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2\"/>
    </mc:Choice>
  </mc:AlternateContent>
  <bookViews>
    <workbookView xWindow="0" yWindow="0" windowWidth="28800" windowHeight="11400" firstSheet="5" activeTab="5"/>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Calcs'!$B$4:$K$30</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Calcs'!$B$4:$K$30</definedName>
    <definedName name="_xlnm.Print_Area" localSheetId="13">'Wind Avoided Capacity Calcs'!$B$4:$K$30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D6" i="44" l="1"/>
  <c r="D6" i="43"/>
  <c r="C22" i="48"/>
  <c r="C21" i="48"/>
  <c r="C20" i="48"/>
  <c r="C19" i="48"/>
  <c r="E28" i="47" l="1"/>
  <c r="B28" i="47"/>
  <c r="O7" i="7" l="1"/>
  <c r="O7" i="43"/>
  <c r="O7" i="44"/>
  <c r="D6" i="7" l="1"/>
  <c r="D8" i="7" l="1"/>
  <c r="D8" i="43"/>
  <c r="D8" i="44"/>
  <c r="J8" i="9" l="1"/>
  <c r="J7" i="9"/>
  <c r="J9" i="9"/>
  <c r="A8" i="47" l="1"/>
  <c r="A9" i="47" s="1"/>
  <c r="A10" i="47" s="1"/>
  <c r="A11" i="47" s="1"/>
  <c r="A12" i="47" s="1"/>
  <c r="A13" i="47" s="1"/>
  <c r="A14" i="47" s="1"/>
  <c r="A15" i="47" s="1"/>
  <c r="A16" i="47" s="1"/>
  <c r="A17" i="47" s="1"/>
  <c r="A18" i="47" s="1"/>
  <c r="A19" i="47" s="1"/>
  <c r="A20" i="47" s="1"/>
  <c r="A21" i="47" s="1"/>
  <c r="A22" i="47" s="1"/>
  <c r="A23" i="47" s="1"/>
  <c r="A24" i="47" s="1"/>
  <c r="A25" i="47" s="1"/>
  <c r="A26" i="47" s="1"/>
  <c r="A27" i="47" s="1"/>
  <c r="B63" i="47" l="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B8" i="47"/>
  <c r="B9" i="47"/>
  <c r="B10" i="47"/>
  <c r="B11" i="47"/>
  <c r="B12" i="47"/>
  <c r="B13" i="47"/>
  <c r="B14" i="47"/>
  <c r="B15" i="47"/>
  <c r="B16" i="47"/>
  <c r="B17" i="47"/>
  <c r="B18" i="47"/>
  <c r="B19" i="47"/>
  <c r="B20" i="47"/>
  <c r="B21" i="47"/>
  <c r="B22" i="47"/>
  <c r="B23" i="47"/>
  <c r="B24" i="47"/>
  <c r="B25" i="47"/>
  <c r="B26" i="47"/>
  <c r="B27" i="47"/>
  <c r="B7" i="47"/>
  <c r="P28" i="22" l="1"/>
  <c r="P29" i="22"/>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44" s="1"/>
  <c r="H7" i="23"/>
  <c r="Q7" i="23" l="1"/>
  <c r="H7" i="43"/>
  <c r="K7" i="23"/>
  <c r="F7" i="7" l="1"/>
  <c r="F7" i="44" l="1"/>
  <c r="F7" i="43"/>
  <c r="G7" i="9"/>
  <c r="C8" i="23" l="1"/>
  <c r="E19" i="37"/>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H7" i="7" l="1"/>
  <c r="I7" i="7" s="1"/>
  <c r="C12" i="23"/>
  <c r="K11" i="23"/>
  <c r="S7" i="23"/>
  <c r="C13" i="23" l="1"/>
  <c r="K12" i="2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F19" i="7" l="1"/>
  <c r="F18" i="43"/>
  <c r="C24" i="23"/>
  <c r="K23" i="23"/>
  <c r="E18" i="37"/>
  <c r="F18" i="37" s="1"/>
  <c r="F20" i="7" l="1"/>
  <c r="F19" i="43"/>
  <c r="C25" i="23"/>
  <c r="K24" i="23"/>
  <c r="C26" i="23" l="1"/>
  <c r="K25" i="23"/>
  <c r="F21" i="7"/>
  <c r="F20" i="43"/>
  <c r="D4" i="5"/>
  <c r="F19" i="37"/>
  <c r="F20" i="37" s="1"/>
  <c r="F15" i="37"/>
  <c r="F14" i="37"/>
  <c r="F22" i="7" l="1"/>
  <c r="F21" i="43"/>
  <c r="C27" i="23"/>
  <c r="K26" i="23"/>
  <c r="O8" i="7"/>
  <c r="O9" i="7" s="1"/>
  <c r="O10" i="7" s="1"/>
  <c r="O11" i="7" s="1"/>
  <c r="O12" i="7" s="1"/>
  <c r="O13" i="7" s="1"/>
  <c r="O14" i="7" s="1"/>
  <c r="O15" i="7" s="1"/>
  <c r="O16" i="7" s="1"/>
  <c r="O17" i="7" s="1"/>
  <c r="O18" i="7" s="1"/>
  <c r="O19" i="7" s="1"/>
  <c r="O20" i="7" s="1"/>
  <c r="O21" i="7" s="1"/>
  <c r="O22" i="7" s="1"/>
  <c r="O23" i="7" s="1"/>
  <c r="O24" i="7" s="1"/>
  <c r="O25" i="7" s="1"/>
  <c r="O26" i="7" s="1"/>
  <c r="O27" i="7" s="1"/>
  <c r="O8" i="43"/>
  <c r="O9" i="43" s="1"/>
  <c r="O10" i="43" s="1"/>
  <c r="O11" i="43" s="1"/>
  <c r="O12" i="43" s="1"/>
  <c r="O13" i="43" s="1"/>
  <c r="O14" i="43" s="1"/>
  <c r="O15" i="43" s="1"/>
  <c r="O16" i="43" s="1"/>
  <c r="O17" i="43" s="1"/>
  <c r="O18" i="43" s="1"/>
  <c r="O19" i="43" s="1"/>
  <c r="O20" i="43" s="1"/>
  <c r="O21" i="43" s="1"/>
  <c r="O22" i="43" s="1"/>
  <c r="O23" i="43" s="1"/>
  <c r="O24" i="43" s="1"/>
  <c r="O25" i="43" s="1"/>
  <c r="O26" i="43" s="1"/>
  <c r="O8" i="44"/>
  <c r="O9" i="44" s="1"/>
  <c r="O10" i="44" s="1"/>
  <c r="O11" i="44" s="1"/>
  <c r="O12" i="44" s="1"/>
  <c r="F16" i="37"/>
  <c r="X19" i="40"/>
  <c r="Y19" i="40" s="1"/>
  <c r="X19" i="39"/>
  <c r="Y19" i="39" s="1"/>
  <c r="X19" i="41"/>
  <c r="Y19" i="41" s="1"/>
  <c r="X19" i="42"/>
  <c r="Y19" i="42" s="1"/>
  <c r="C28" i="23" l="1"/>
  <c r="K28" i="23" s="1"/>
  <c r="K27" i="23"/>
  <c r="F23" i="7"/>
  <c r="F22" i="43"/>
  <c r="O13" i="44"/>
  <c r="O14" i="44" s="1"/>
  <c r="O15" i="44" s="1"/>
  <c r="O16" i="44" s="1"/>
  <c r="O17" i="44" s="1"/>
  <c r="O18" i="44" s="1"/>
  <c r="O19" i="44" s="1"/>
  <c r="O20" i="44" s="1"/>
  <c r="O21" i="44" s="1"/>
  <c r="O22" i="44" s="1"/>
  <c r="O23" i="44" s="1"/>
  <c r="O24" i="44" s="1"/>
  <c r="O25" i="44" s="1"/>
  <c r="O26" i="44" s="1"/>
  <c r="O27" i="44" s="1"/>
  <c r="O27" i="43"/>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G12" i="23"/>
  <c r="H12" i="7" s="1"/>
  <c r="F24" i="7" l="1"/>
  <c r="F23" i="43"/>
  <c r="X20" i="41"/>
  <c r="Y20" i="41" s="1"/>
  <c r="O12" i="23"/>
  <c r="X20" i="39"/>
  <c r="Y20" i="39" s="1"/>
  <c r="X20" i="40"/>
  <c r="Y20" i="40" s="1"/>
  <c r="X20" i="42"/>
  <c r="Y20" i="42"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K5" i="42"/>
  <c r="L5" i="42" s="1"/>
  <c r="J6" i="42"/>
  <c r="J20" i="7"/>
  <c r="K20" i="7" s="1"/>
  <c r="L20" i="7" s="1"/>
  <c r="X20" i="13"/>
  <c r="Y20" i="13" s="1"/>
  <c r="D21" i="5"/>
  <c r="W19" i="7" l="1"/>
  <c r="X19" i="7" s="1"/>
  <c r="M19" i="7"/>
  <c r="C23" i="5"/>
  <c r="D23" i="5" s="1"/>
  <c r="J21" i="7"/>
  <c r="K21" i="7" s="1"/>
  <c r="W20" i="7"/>
  <c r="X20" i="7" s="1"/>
  <c r="L6" i="42"/>
  <c r="F9" i="42" s="1"/>
  <c r="K6" i="42"/>
  <c r="J5" i="40"/>
  <c r="J5" i="41"/>
  <c r="C22" i="5"/>
  <c r="D22" i="5" s="1"/>
  <c r="O22" i="9"/>
  <c r="P22" i="9" s="1"/>
  <c r="L21" i="7" l="1"/>
  <c r="W21" i="7" s="1"/>
  <c r="X21" i="7" s="1"/>
  <c r="I5" i="13" s="1"/>
  <c r="J22" i="7"/>
  <c r="K22" i="7" s="1"/>
  <c r="L22" i="7" s="1"/>
  <c r="W22" i="7" s="1"/>
  <c r="X22" i="7" s="1"/>
  <c r="H5" i="27"/>
  <c r="H5" i="13"/>
  <c r="H6" i="13" s="1"/>
  <c r="H5" i="26"/>
  <c r="H6" i="26" s="1"/>
  <c r="F6" i="45"/>
  <c r="B69" i="47" s="1"/>
  <c r="F13" i="42"/>
  <c r="F27" i="45" s="1"/>
  <c r="M20" i="7"/>
  <c r="K5" i="41"/>
  <c r="J6" i="41"/>
  <c r="K5" i="40"/>
  <c r="J6" i="40"/>
  <c r="M21" i="7"/>
  <c r="G9" i="42"/>
  <c r="J5" i="39"/>
  <c r="J23" i="7"/>
  <c r="K23" i="7" s="1"/>
  <c r="L23" i="7" s="1"/>
  <c r="O23" i="9"/>
  <c r="P23" i="9" s="1"/>
  <c r="O24" i="9" l="1"/>
  <c r="P24" i="9"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C26" i="5"/>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comments2.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comments3.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sharedStrings.xml><?xml version="1.0" encoding="utf-8"?>
<sst xmlns="http://schemas.openxmlformats.org/spreadsheetml/2006/main" count="588" uniqueCount="186">
  <si>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</si>
  <si>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</si>
  <si>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</si>
  <si>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</si>
  <si>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</si>
  <si>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</si>
  <si>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</si>
  <si>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</si>
  <si>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</si>
  <si>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</si>
  <si>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</si>
  <si>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</si>
  <si>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</si>
  <si>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</si>
  <si>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</si>
  <si>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</si>
  <si>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</si>
  <si>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</si>
  <si>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</si>
  <si>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</si>
  <si>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</si>
  <si>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</si>
  <si>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</si>
  <si>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</si>
  <si>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</si>
  <si>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</si>
  <si>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</si>
  <si>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</si>
  <si>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</si>
  <si>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</si>
  <si>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</si>
  <si>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</si>
  <si>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</si>
  <si>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</si>
  <si>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</si>
  <si>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</si>
  <si>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</si>
  <si>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</si>
  <si>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</si>
  <si>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</si>
  <si>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</si>
  <si>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</si>
  <si>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</si>
  <si>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</si>
  <si>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</si>
  <si>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</si>
  <si>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</si>
  <si>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</si>
  <si>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</si>
  <si>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</si>
  <si>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</si>
  <si>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</si>
  <si>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</si>
  <si>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</si>
  <si>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</si>
  <si>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</si>
  <si>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</si>
  <si>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</si>
  <si>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</si>
  <si>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</si>
  <si>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</si>
  <si>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</si>
  <si>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</si>
  <si>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</si>
  <si>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</si>
  <si>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</si>
  <si>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</si>
  <si>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</si>
  <si>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</si>
  <si>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</si>
  <si>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</si>
  <si>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</si>
  <si>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</si>
  <si>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</si>
  <si>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</si>
  <si>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</si>
  <si>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</si>
  <si>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Transmission losses updated as per section 15.7 Real Power Losses, PSE Current Effective OATT 8.7.18.
 </t>
  </si>
  <si>
    <t>http://www.oatioasis.com/webSmartOASIS/HomePage?ProviderName=PSEI&amp;Homepage=1</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</si>
  <si>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</si>
  <si>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</si>
  <si>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</si>
  <si>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</si>
  <si>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</si>
  <si>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</si>
  <si>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</si>
  <si>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</si>
  <si>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</si>
  <si>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</si>
  <si>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</si>
  <si>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</si>
  <si>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</si>
  <si>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</si>
  <si>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</si>
  <si>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</si>
  <si>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</si>
  <si>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</si>
  <si>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</si>
  <si>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</si>
  <si>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</si>
  <si>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</si>
  <si>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</si>
  <si>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</si>
  <si>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</si>
  <si>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</si>
  <si>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</si>
  <si>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</si>
  <si>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</si>
  <si>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</si>
  <si>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</si>
  <si>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As Used in UE-190529 and UG-190530</t>
  </si>
  <si>
    <t>PRO FORMA COST OF CAPITAL APPROVED IN UE-190529/UG-190530</t>
  </si>
  <si>
    <t>FOR THE TWELVE MONTHS ENDED DECEMBER 31, 2018</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</si>
  <si>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</si>
  <si>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</si>
  <si>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</si>
  <si>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</si>
  <si>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</si>
  <si>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(j)=(c)*(i)
Wind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</si>
  <si>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</si>
  <si>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</si>
  <si>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</si>
  <si>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Data for the table is provided by PSE's 2021 IRP</t>
  </si>
  <si>
    <t>- The Wind and Solar ELCCs of 17.8% and 4.0% are based in the assumption used in Chapter 7, page 7-28.</t>
  </si>
  <si>
    <t>- NCFs for Wind and Solar come from Chapter 5, pages 5-27, 5-28 respectively.</t>
  </si>
  <si>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</si>
  <si>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</si>
  <si>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</si>
  <si>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</si>
  <si>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</si>
  <si>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</si>
  <si>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 xml:space="preserve">Net Capacity Factor </t>
  </si>
  <si>
    <t>Cost of Capacity $/KW</t>
  </si>
  <si>
    <t>T&amp;D Deferral</t>
  </si>
  <si>
    <t>Results - Summarized</t>
  </si>
  <si>
    <r>
      <t xml:space="preserve">(c)=(a)*0.178 
</t>
    </r>
    <r>
      <rPr>
        <u/>
        <sz val="10"/>
        <color theme="1"/>
        <rFont val="Arial"/>
        <family val="2"/>
      </rPr>
      <t>Wind Resource</t>
    </r>
    <r>
      <rPr>
        <sz val="10"/>
        <rFont val="Arial"/>
        <family val="2"/>
      </rPr>
      <t xml:space="preserve"> ELCC=17.8%</t>
    </r>
  </si>
  <si>
    <r>
      <t xml:space="preserve">(d)=(a)*0.040
</t>
    </r>
    <r>
      <rPr>
        <u/>
        <sz val="10"/>
        <color theme="1"/>
        <rFont val="Arial"/>
        <family val="2"/>
      </rPr>
      <t>Solar Resource</t>
    </r>
    <r>
      <rPr>
        <sz val="10"/>
        <rFont val="Arial"/>
        <family val="2"/>
      </rPr>
      <t xml:space="preserve"> ELCC=4.0%</t>
    </r>
  </si>
  <si>
    <r>
      <t xml:space="preserve">(i)=(f)*0.367
</t>
    </r>
    <r>
      <rPr>
        <u/>
        <sz val="10"/>
        <color theme="1"/>
        <rFont val="Arial"/>
        <family val="2"/>
      </rPr>
      <t>Wind 
Resource</t>
    </r>
    <r>
      <rPr>
        <sz val="10"/>
        <color theme="1"/>
        <rFont val="Arial"/>
        <family val="2"/>
      </rPr>
      <t xml:space="preserve">
NCF=36.7%</t>
    </r>
  </si>
  <si>
    <r>
      <t xml:space="preserve">(k)=(f)*0.242
</t>
    </r>
    <r>
      <rPr>
        <u/>
        <sz val="10"/>
        <color theme="1"/>
        <rFont val="Arial"/>
        <family val="2"/>
      </rPr>
      <t>Solar 
Resource</t>
    </r>
    <r>
      <rPr>
        <sz val="10"/>
        <color theme="1"/>
        <rFont val="Arial"/>
        <family val="2"/>
      </rPr>
      <t xml:space="preserve">
NCF=24.2%</t>
    </r>
  </si>
  <si>
    <t>Solar capacity factor and ELCC is based on 2021 IRP Figure  D-27 and  Figure 7-17 respectively.</t>
  </si>
  <si>
    <t>Wind capacity factor and ELCC is based on 2021 IRP Figure  D-29 and  Figure 7-17 respectively</t>
  </si>
  <si>
    <t>2023 Sched 91</t>
  </si>
  <si>
    <t>2022 Sched 91</t>
  </si>
  <si>
    <t>Base load resources assumes 100% ELCC and 100% capacity factor for the pricing.</t>
  </si>
  <si>
    <t>Input Tabs</t>
  </si>
  <si>
    <t>https://www.pse.com/-/media/PDFs/IRP/2022/09132022/2022-0913-GenericResourcesCostAdjustments.xlsx?sc_lang=en&amp;modified=20220906182622&amp;hash=19A798C1290BD3404E523AE625661F9E</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</si>
  <si>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</si>
  <si>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</si>
  <si>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</si>
  <si>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</si>
  <si>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</si>
  <si>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Deferred T&amp;D Cost Credit ($/kW-yr)</t>
  </si>
  <si>
    <t>NW Power Act Regional Credit</t>
  </si>
  <si>
    <t>Conservation benefit not used</t>
  </si>
  <si>
    <t>Inflation rate</t>
  </si>
  <si>
    <t>The avoided capacity cost is comprised of the capacity benefit and the T&amp;D deferral benefit.</t>
  </si>
  <si>
    <t>Avoided cost is converted from $/KW  to $/MWh  based on the Effective Load Carrying Capability (ELCC) and the net capacity factor  (NCF) of each type of resource.</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</si>
  <si>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</si>
  <si>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</si>
  <si>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</si>
  <si>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</si>
  <si>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</si>
  <si>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</si>
  <si>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</si>
  <si>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</si>
  <si>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Note 1:  T&amp;D deferral based on the 2021 IRP</t>
  </si>
  <si>
    <t>Change due to inflation</t>
  </si>
  <si>
    <t>No Change</t>
  </si>
  <si>
    <t>All tabs include update to the period of 2023-2043</t>
  </si>
  <si>
    <t>1.  Updated tab [Energy Prices].</t>
  </si>
  <si>
    <t xml:space="preserve">2. [Capacity Delivered] tab </t>
  </si>
  <si>
    <t>Basis for assumptions in this table is PSE's 2021 IRP and as in last Schedule 91 tariff update</t>
  </si>
  <si>
    <t>3. Avoided capacity cost tabs for:[Baseload Avoided Capacity Calcs], [Wind Avoided Cost Calcs], and [Solar Avoided Cost Calcs]</t>
  </si>
  <si>
    <t xml:space="preserve">The $13.58/kW per year for 2023 (i.e., $12.93/kW per year inflation adjusted for 2021 or $12.61/kW per year levelized 2020 dollar).  The $12.61/kW per year value is PSE’s own estimated total T&amp;D capacity deferral costs.  The costs are determined based upon PSE’s T&amp;D upgrade projects from 2010 to 2020. </t>
  </si>
  <si>
    <t>4.  [FlatLoadShapeEnergy_perMWH] tab calculates the levelized cost of energy.</t>
  </si>
  <si>
    <t>Column I is fed from the [Energy Prices] tab</t>
  </si>
  <si>
    <t xml:space="preserve">5. [Electric EES CE Std Energy] tab: Summarizing the information from [FlatLoadShapeEnergy_perMWH] tab  </t>
  </si>
  <si>
    <t>Column D converes the Flat Load Shape Energy from $/MWh to $/kWh.</t>
  </si>
  <si>
    <t>6. All the output tabs indicate the proposed • Schedule 91 Standard Fixed Rates for baseload, solar and wind varied by number of years --  5, 10 and 15.</t>
  </si>
  <si>
    <t>7.  [Output Summary] tab summarizes the proposed Schedule 91 Standard Fixed Rates in this filing.</t>
  </si>
  <si>
    <t>8. Input update from the 2021 Schedule 91 filing inlcudes:  Electricity Market Prices</t>
  </si>
  <si>
    <t>Power prices have been updated to reflect PSE's latest forecast that will be consistent with the 2023 Electric Progress Rereport.</t>
  </si>
  <si>
    <t>As provided for in WAC 480-106-040(1)(a), the estimated Avoided Energy Costs are based upon PSE's most current forecast of market prices for electricity in its two-year progress report on the 2021 IRP in accordance with WAC 480-100-625(4).  See link below for the assumptions and discussions that was presented to the IRP stakeholder group at the 9/13/2022 webinar:</t>
  </si>
  <si>
    <r>
      <t xml:space="preserve">As provided for in WAC 480-106-040(1)(a), the estimated Avoided Energy Costs are based upon PSE's most current forecast of market prices for electricity in its two-year progress report on the 2021 IRP in accordance with WAC 480-100-625(4).  See link below for the assumptions and discussions that was presented to the IRP stakeholder group at the 9/13/2022 webinar:
</t>
    </r>
    <r>
      <rPr>
        <b/>
        <i/>
        <sz val="9"/>
        <color theme="1"/>
        <rFont val="Arial"/>
        <family val="2"/>
      </rPr>
      <t>https://www.pse.com/-/media/PDFs/IRP/2022/09132022/2022-0913-GenericResourcesCostAdjustments.xlsx?sc_lang=en&amp;modified=20220906182622&amp;hash=19A798C1290BD3404E523AE625661F9E</t>
    </r>
  </si>
  <si>
    <t xml:space="preserve"> Transmission Line Loss Reduction [4]</t>
  </si>
  <si>
    <t>Transmission Line Loss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</si>
</sst>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9"/>
      <name val="Arial"/>
      <family val="2"/>
    </font>
    <font>
      <b/>
      <i/>
      <sz val="9"/>
      <color theme="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7">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6" borderId="14" xfId="0" applyFont="1" applyFill="1" applyBorder="1" applyAlignment="1">
      <alignmen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29" xfId="59" applyNumberFormat="1" applyFont="1" applyBorder="1"/>
    <xf numFmtId="0" fontId="38" fillId="26" borderId="15" xfId="0" applyFont="1" applyFill="1" applyBorder="1" applyAlignment="1">
      <alignment horizontal="center" vertical="center"/>
    </xf>
    <xf numFmtId="0" fontId="38" fillId="26" borderId="16" xfId="0" applyFont="1" applyFill="1" applyBorder="1" applyAlignment="1">
      <alignment horizontal="center" vertical="center"/>
    </xf>
    <xf numFmtId="0" fontId="39" fillId="27" borderId="17"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2"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39" xfId="63" applyFont="1" applyBorder="1" applyAlignment="1">
      <alignment vertical="center"/>
    </xf>
    <xf numFmtId="0" fontId="42" fillId="0" borderId="0" xfId="63" applyFont="1"/>
    <xf numFmtId="0" fontId="41" fillId="0" borderId="40" xfId="63" applyFont="1" applyBorder="1" applyAlignment="1">
      <alignment horizontal="right" vertical="center"/>
    </xf>
    <xf numFmtId="0" fontId="42" fillId="0" borderId="39" xfId="63" applyFont="1" applyBorder="1" applyAlignment="1">
      <alignment vertical="center"/>
    </xf>
    <xf numFmtId="0" fontId="41" fillId="0" borderId="39" xfId="63" applyFont="1" applyBorder="1" applyAlignment="1">
      <alignment horizontal="center" vertical="center"/>
    </xf>
    <xf numFmtId="0" fontId="41" fillId="0" borderId="40" xfId="63" applyFont="1" applyBorder="1" applyAlignment="1">
      <alignment vertical="center"/>
    </xf>
    <xf numFmtId="0" fontId="42" fillId="0" borderId="40" xfId="63" applyFont="1" applyBorder="1" applyAlignment="1">
      <alignment vertical="center"/>
    </xf>
    <xf numFmtId="0" fontId="42" fillId="0" borderId="0" xfId="63" applyFont="1" applyAlignment="1">
      <alignment horizontal="center" vertical="center"/>
    </xf>
    <xf numFmtId="0" fontId="42" fillId="0" borderId="40" xfId="63" applyFont="1" applyBorder="1" applyAlignment="1">
      <alignment horizontal="center" vertical="center"/>
    </xf>
    <xf numFmtId="0" fontId="41" fillId="0" borderId="41" xfId="63" applyFont="1" applyBorder="1" applyAlignment="1">
      <alignment horizontal="center" vertical="center"/>
    </xf>
    <xf numFmtId="0" fontId="41" fillId="0" borderId="19" xfId="63" applyFont="1" applyBorder="1" applyAlignment="1">
      <alignment vertical="center"/>
    </xf>
    <xf numFmtId="0" fontId="42" fillId="0" borderId="19" xfId="63" applyFont="1" applyBorder="1" applyAlignment="1">
      <alignment horizontal="center" vertical="center"/>
    </xf>
    <xf numFmtId="0" fontId="42" fillId="0" borderId="42" xfId="63" applyFont="1" applyBorder="1" applyAlignment="1">
      <alignment horizontal="center" vertical="center"/>
    </xf>
    <xf numFmtId="0" fontId="42" fillId="0" borderId="39" xfId="63" applyFont="1" applyBorder="1" applyAlignment="1">
      <alignment horizontal="center" vertical="center"/>
    </xf>
    <xf numFmtId="0" fontId="42" fillId="0" borderId="0" xfId="63" applyFont="1" applyAlignment="1">
      <alignment vertical="center"/>
    </xf>
    <xf numFmtId="10" fontId="42" fillId="29" borderId="0" xfId="63" applyNumberFormat="1" applyFont="1" applyFill="1" applyAlignment="1">
      <alignment horizontal="right" vertical="center"/>
    </xf>
    <xf numFmtId="10" fontId="42" fillId="29" borderId="40" xfId="63" applyNumberFormat="1" applyFont="1" applyFill="1" applyBorder="1" applyAlignment="1">
      <alignment horizontal="right" vertical="center"/>
    </xf>
    <xf numFmtId="10" fontId="42" fillId="29" borderId="19" xfId="63" applyNumberFormat="1" applyFont="1" applyFill="1" applyBorder="1" applyAlignment="1">
      <alignment horizontal="right" vertical="center"/>
    </xf>
    <xf numFmtId="10" fontId="42" fillId="29" borderId="15" xfId="63" applyNumberFormat="1" applyFont="1" applyFill="1" applyBorder="1" applyAlignment="1">
      <alignment horizontal="right" vertical="center"/>
    </xf>
    <xf numFmtId="0" fontId="42" fillId="29" borderId="0" xfId="63" applyFont="1" applyFill="1"/>
    <xf numFmtId="10" fontId="42" fillId="0" borderId="0" xfId="63" applyNumberFormat="1" applyFont="1" applyAlignment="1">
      <alignment horizontal="right" vertical="center"/>
    </xf>
    <xf numFmtId="10" fontId="42" fillId="0" borderId="40" xfId="63" applyNumberFormat="1" applyFont="1" applyBorder="1" applyAlignment="1">
      <alignment horizontal="right" vertical="center"/>
    </xf>
    <xf numFmtId="0" fontId="44" fillId="0" borderId="0" xfId="63" applyFont="1"/>
    <xf numFmtId="10" fontId="42" fillId="0" borderId="19"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1" xfId="63" applyFont="1" applyBorder="1" applyAlignment="1">
      <alignment horizontal="center" vertical="center"/>
    </xf>
    <xf numFmtId="0" fontId="42" fillId="0" borderId="19" xfId="63" applyFont="1" applyBorder="1" applyAlignment="1">
      <alignment vertical="center"/>
    </xf>
    <xf numFmtId="0" fontId="42" fillId="0" borderId="42" xfId="63" applyFont="1" applyBorder="1" applyAlignment="1">
      <alignment vertical="center"/>
    </xf>
    <xf numFmtId="10" fontId="42" fillId="29" borderId="43" xfId="63" applyNumberFormat="1" applyFont="1" applyFill="1" applyBorder="1" applyAlignment="1">
      <alignment horizontal="righ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5"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6" fillId="0" borderId="0" xfId="0" applyFont="1"/>
    <xf numFmtId="0" fontId="5" fillId="0" borderId="0" xfId="0" applyFont="1" applyFill="1"/>
    <xf numFmtId="2" fontId="5" fillId="0" borderId="0" xfId="0" applyNumberFormat="1" applyFont="1"/>
    <xf numFmtId="40" fontId="5" fillId="0" borderId="0" xfId="0" applyNumberFormat="1" applyFont="1"/>
    <xf numFmtId="17" fontId="47"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5"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8" fillId="0" borderId="0" xfId="47" applyFont="1"/>
    <xf numFmtId="0" fontId="6" fillId="0" borderId="0" xfId="0" applyFont="1"/>
    <xf numFmtId="44" fontId="6" fillId="0" borderId="0" xfId="0" applyNumberFormat="1" applyFont="1" applyFill="1"/>
    <xf numFmtId="8" fontId="48"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0" xfId="51" applyNumberFormat="1" applyFont="1" applyFill="1" applyBorder="1" applyAlignment="1">
      <alignment horizontal="right"/>
    </xf>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9" fillId="0" borderId="0" xfId="46" applyFont="1" applyFill="1" applyAlignment="1">
      <alignment horizontal="right"/>
    </xf>
    <xf numFmtId="0" fontId="49"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5"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50"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5"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51" fillId="0" borderId="48" xfId="0" applyFont="1" applyBorder="1" applyAlignment="1">
      <alignment horizontal="center" vertical="center"/>
    </xf>
    <xf numFmtId="0" fontId="51" fillId="0" borderId="47"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49" xfId="0" applyFont="1" applyBorder="1" applyAlignment="1">
      <alignment horizontal="center" vertical="center"/>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48" xfId="0" applyNumberFormat="1" applyFont="1" applyBorder="1" applyAlignment="1">
      <alignment horizontal="center" vertical="center"/>
    </xf>
    <xf numFmtId="8" fontId="51" fillId="0" borderId="49" xfId="0" applyNumberFormat="1" applyFont="1" applyBorder="1" applyAlignment="1">
      <alignment horizontal="right" vertical="center"/>
    </xf>
    <xf numFmtId="1" fontId="51" fillId="0" borderId="23" xfId="0" applyNumberFormat="1" applyFont="1" applyBorder="1" applyAlignment="1">
      <alignment horizontal="center" vertical="center"/>
    </xf>
    <xf numFmtId="8" fontId="51" fillId="0" borderId="25" xfId="0" applyNumberFormat="1" applyFont="1" applyBorder="1" applyAlignment="1">
      <alignment horizontal="right" vertical="center"/>
    </xf>
    <xf numFmtId="0" fontId="51" fillId="0" borderId="0" xfId="59" applyFont="1"/>
    <xf numFmtId="0" fontId="6" fillId="0" borderId="0" xfId="0" applyFont="1" applyBorder="1"/>
    <xf numFmtId="0" fontId="6" fillId="0" borderId="0" xfId="0" applyFont="1" applyFill="1" applyBorder="1"/>
    <xf numFmtId="0" fontId="51" fillId="0" borderId="0" xfId="59" applyFont="1" applyBorder="1"/>
    <xf numFmtId="0" fontId="51" fillId="0" borderId="11" xfId="59" applyFont="1" applyBorder="1" applyAlignment="1">
      <alignment horizontal="center"/>
    </xf>
    <xf numFmtId="44" fontId="6" fillId="0" borderId="0" xfId="60" applyNumberFormat="1" applyFont="1"/>
    <xf numFmtId="0" fontId="51" fillId="0" borderId="20" xfId="59" applyFont="1" applyFill="1" applyBorder="1"/>
    <xf numFmtId="0" fontId="51" fillId="0" borderId="23" xfId="0" applyFont="1" applyBorder="1" applyAlignment="1">
      <alignment horizontal="center" vertical="center"/>
    </xf>
    <xf numFmtId="169" fontId="51" fillId="0" borderId="58" xfId="31" applyNumberFormat="1" applyFont="1" applyBorder="1"/>
    <xf numFmtId="169" fontId="51" fillId="0" borderId="57" xfId="31" applyNumberFormat="1" applyFont="1" applyBorder="1"/>
    <xf numFmtId="169" fontId="6" fillId="0" borderId="27" xfId="31" applyNumberFormat="1" applyFont="1" applyBorder="1"/>
    <xf numFmtId="169" fontId="6" fillId="0" borderId="60" xfId="31" applyNumberFormat="1" applyFont="1" applyBorder="1"/>
    <xf numFmtId="1" fontId="51" fillId="0" borderId="21" xfId="0" applyNumberFormat="1" applyFont="1" applyBorder="1" applyAlignment="1">
      <alignment horizontal="center" vertical="center"/>
    </xf>
    <xf numFmtId="1" fontId="51" fillId="0" borderId="44" xfId="0" applyNumberFormat="1" applyFont="1" applyBorder="1" applyAlignment="1">
      <alignment horizontal="center" vertical="center"/>
    </xf>
    <xf numFmtId="1" fontId="51"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51" fillId="0" borderId="0" xfId="59" applyNumberFormat="1" applyFont="1"/>
    <xf numFmtId="8" fontId="6" fillId="0" borderId="0" xfId="0" applyNumberFormat="1" applyFont="1"/>
    <xf numFmtId="8" fontId="35" fillId="0" borderId="22" xfId="31" applyNumberFormat="1" applyFont="1" applyBorder="1"/>
    <xf numFmtId="0" fontId="51" fillId="0" borderId="18" xfId="59" applyFont="1" applyBorder="1" applyAlignment="1">
      <alignment horizontal="center"/>
    </xf>
    <xf numFmtId="169" fontId="51" fillId="0" borderId="52" xfId="31" applyNumberFormat="1" applyFont="1" applyBorder="1"/>
    <xf numFmtId="169" fontId="51"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8" fillId="0" borderId="0" xfId="47" applyFont="1" applyFill="1" applyBorder="1"/>
    <xf numFmtId="0" fontId="48"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51" fillId="0" borderId="14" xfId="59" applyFont="1" applyFill="1" applyBorder="1" applyAlignment="1">
      <alignment horizontal="center" vertical="top" wrapText="1"/>
    </xf>
    <xf numFmtId="0" fontId="51" fillId="0" borderId="65" xfId="59" applyFont="1" applyBorder="1" applyAlignment="1">
      <alignment horizontal="center"/>
    </xf>
    <xf numFmtId="0" fontId="51" fillId="0" borderId="39" xfId="59" applyFont="1" applyFill="1" applyBorder="1" applyAlignment="1">
      <alignment horizontal="center" wrapText="1"/>
    </xf>
    <xf numFmtId="0" fontId="51" fillId="0" borderId="68" xfId="59" applyFont="1" applyFill="1" applyBorder="1" applyAlignment="1">
      <alignment horizontal="center" wrapText="1"/>
    </xf>
    <xf numFmtId="0" fontId="51" fillId="0" borderId="17" xfId="59" applyFont="1" applyFill="1" applyBorder="1" applyAlignment="1">
      <alignment horizontal="center" wrapText="1"/>
    </xf>
    <xf numFmtId="0" fontId="51" fillId="0" borderId="69" xfId="59" applyFont="1" applyFill="1" applyBorder="1" applyAlignment="1">
      <alignment horizontal="center" wrapText="1"/>
    </xf>
    <xf numFmtId="44" fontId="6" fillId="0" borderId="60" xfId="60" applyFont="1" applyBorder="1"/>
    <xf numFmtId="44" fontId="6" fillId="0" borderId="70" xfId="60" applyFont="1" applyBorder="1"/>
    <xf numFmtId="0" fontId="51" fillId="0" borderId="71" xfId="59" applyFont="1" applyFill="1" applyBorder="1"/>
    <xf numFmtId="44" fontId="6" fillId="0" borderId="45" xfId="60" applyFont="1" applyBorder="1"/>
    <xf numFmtId="0" fontId="51" fillId="0" borderId="67" xfId="59" applyFont="1" applyFill="1" applyBorder="1" applyAlignment="1">
      <alignment horizontal="center" vertical="top" wrapText="1"/>
    </xf>
    <xf numFmtId="0" fontId="51" fillId="30" borderId="38" xfId="59" applyFont="1" applyFill="1" applyBorder="1" applyAlignment="1">
      <alignment horizontal="center"/>
    </xf>
    <xf numFmtId="0" fontId="51" fillId="30" borderId="37" xfId="59" applyFont="1" applyFill="1" applyBorder="1" applyAlignment="1">
      <alignment horizontal="center"/>
    </xf>
    <xf numFmtId="0" fontId="51" fillId="30"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51" fillId="0" borderId="0" xfId="59" applyFont="1" applyFill="1"/>
    <xf numFmtId="0" fontId="51" fillId="0" borderId="51" xfId="59" applyFont="1" applyFill="1" applyBorder="1" applyAlignment="1">
      <alignment horizontal="center" vertical="top" wrapText="1"/>
    </xf>
    <xf numFmtId="0" fontId="51" fillId="0" borderId="59" xfId="59" applyFont="1" applyFill="1" applyBorder="1" applyAlignment="1">
      <alignment horizontal="center" vertical="top" wrapText="1"/>
    </xf>
    <xf numFmtId="0" fontId="51" fillId="0" borderId="46" xfId="59" applyFont="1" applyFill="1" applyBorder="1" applyAlignment="1">
      <alignment horizontal="centerContinuous" vertical="top" wrapText="1"/>
    </xf>
    <xf numFmtId="0" fontId="51" fillId="0" borderId="26" xfId="59" applyFont="1" applyFill="1" applyBorder="1" applyAlignment="1">
      <alignment horizontal="centerContinuous" vertical="top" wrapText="1"/>
    </xf>
    <xf numFmtId="0" fontId="51" fillId="0" borderId="50" xfId="59" applyFont="1" applyFill="1" applyBorder="1" applyAlignment="1">
      <alignment horizontal="centerContinuous" vertical="top" wrapText="1"/>
    </xf>
    <xf numFmtId="0" fontId="51" fillId="0" borderId="0" xfId="59" applyFont="1" applyFill="1" applyBorder="1"/>
    <xf numFmtId="179" fontId="51" fillId="0" borderId="12" xfId="59" applyNumberFormat="1" applyFont="1" applyFill="1" applyBorder="1" applyAlignment="1">
      <alignment horizontal="center"/>
    </xf>
    <xf numFmtId="0" fontId="51" fillId="0" borderId="25" xfId="59" applyFont="1" applyFill="1" applyBorder="1"/>
    <xf numFmtId="0" fontId="51" fillId="0" borderId="25" xfId="0" applyFont="1" applyFill="1" applyBorder="1" applyAlignment="1">
      <alignment horizontal="center" wrapText="1"/>
    </xf>
    <xf numFmtId="0" fontId="51" fillId="0" borderId="18" xfId="59" applyFont="1" applyFill="1" applyBorder="1"/>
    <xf numFmtId="0" fontId="51" fillId="0" borderId="52" xfId="59" applyFont="1" applyFill="1" applyBorder="1" applyAlignment="1">
      <alignment horizontal="centerContinuous"/>
    </xf>
    <xf numFmtId="0" fontId="51" fillId="0" borderId="45" xfId="59" applyFont="1" applyFill="1" applyBorder="1" applyAlignment="1">
      <alignment horizontal="centerContinuous"/>
    </xf>
    <xf numFmtId="0" fontId="51" fillId="0" borderId="48" xfId="59" applyFont="1" applyFill="1" applyBorder="1" applyAlignment="1">
      <alignment horizontal="center" wrapText="1"/>
    </xf>
    <xf numFmtId="0" fontId="51" fillId="0" borderId="49" xfId="59" applyFont="1" applyFill="1" applyBorder="1" applyAlignment="1">
      <alignment horizontal="center"/>
    </xf>
    <xf numFmtId="0" fontId="51" fillId="0" borderId="56" xfId="59" applyFont="1" applyFill="1" applyBorder="1" applyAlignment="1">
      <alignment horizontal="center" wrapText="1"/>
    </xf>
    <xf numFmtId="43" fontId="5" fillId="0" borderId="0" xfId="28" applyFont="1"/>
    <xf numFmtId="9" fontId="51" fillId="0" borderId="57" xfId="59" applyNumberFormat="1" applyFont="1" applyFill="1" applyBorder="1" applyAlignment="1">
      <alignment horizontal="center" wrapText="1"/>
    </xf>
    <xf numFmtId="167" fontId="51" fillId="0" borderId="57" xfId="59" applyNumberFormat="1" applyFont="1" applyFill="1" applyBorder="1" applyAlignment="1">
      <alignment horizontal="center" wrapText="1"/>
    </xf>
    <xf numFmtId="167" fontId="51" fillId="0" borderId="60" xfId="59" applyNumberFormat="1" applyFont="1" applyFill="1" applyBorder="1" applyAlignment="1">
      <alignment horizontal="center" wrapText="1"/>
    </xf>
    <xf numFmtId="8" fontId="32" fillId="0" borderId="0" xfId="31" applyNumberFormat="1" applyFont="1" applyFill="1" applyBorder="1"/>
    <xf numFmtId="0" fontId="40" fillId="0" borderId="73" xfId="0" applyFont="1" applyBorder="1" applyAlignment="1">
      <alignment horizontal="right" vertical="center"/>
    </xf>
    <xf numFmtId="0" fontId="39" fillId="27" borderId="0" xfId="0" applyFont="1" applyFill="1" applyBorder="1" applyAlignment="1">
      <alignment horizontal="centerContinuous" vertical="center"/>
    </xf>
    <xf numFmtId="0" fontId="39" fillId="27" borderId="36" xfId="0" applyFont="1" applyFill="1" applyBorder="1" applyAlignment="1">
      <alignment horizontal="centerContinuous" vertical="center"/>
    </xf>
    <xf numFmtId="44" fontId="5" fillId="0" borderId="72" xfId="0" applyNumberFormat="1" applyFont="1" applyBorder="1"/>
    <xf numFmtId="0" fontId="51" fillId="0" borderId="0" xfId="59" quotePrefix="1" applyFont="1"/>
    <xf numFmtId="44" fontId="0" fillId="0" borderId="0" xfId="60" quotePrefix="1" applyNumberFormat="1" applyFont="1"/>
    <xf numFmtId="0" fontId="53" fillId="0" borderId="0" xfId="59" quotePrefix="1" applyFont="1"/>
    <xf numFmtId="44" fontId="6" fillId="0" borderId="64" xfId="60" applyFont="1" applyFill="1" applyBorder="1"/>
    <xf numFmtId="44" fontId="6" fillId="0" borderId="60" xfId="60" applyFont="1" applyFill="1" applyBorder="1"/>
    <xf numFmtId="179" fontId="51" fillId="0" borderId="44" xfId="59" applyNumberFormat="1" applyFont="1" applyFill="1" applyBorder="1" applyAlignment="1">
      <alignment horizontal="center"/>
    </xf>
    <xf numFmtId="44" fontId="5" fillId="0" borderId="10" xfId="31" applyFont="1" applyFill="1" applyBorder="1" applyAlignment="1">
      <alignment horizontal="right"/>
    </xf>
    <xf numFmtId="8" fontId="35" fillId="0" borderId="72"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6" fillId="0" borderId="0" xfId="0" applyFont="1" applyFill="1"/>
    <xf numFmtId="0" fontId="5" fillId="0" borderId="0" xfId="31" applyNumberFormat="1" applyFont="1" applyFill="1" applyBorder="1" applyAlignment="1">
      <alignment horizontal="center"/>
    </xf>
    <xf numFmtId="179" fontId="35" fillId="0" borderId="0" xfId="65" applyNumberFormat="1" applyFont="1"/>
    <xf numFmtId="0" fontId="5" fillId="0" borderId="0" xfId="65" applyFont="1"/>
    <xf numFmtId="0" fontId="5" fillId="0" borderId="0" xfId="65" quotePrefix="1" applyNumberFormat="1" applyFont="1"/>
    <xf numFmtId="0" fontId="5" fillId="0" borderId="0" xfId="65" quotePrefix="1" applyFont="1" applyAlignment="1">
      <alignment horizontal="left" indent="1"/>
    </xf>
    <xf numFmtId="44" fontId="5" fillId="0" borderId="0" xfId="66" quotePrefix="1" applyNumberFormat="1" applyFont="1" applyAlignment="1"/>
    <xf numFmtId="0" fontId="5" fillId="0" borderId="0" xfId="65" quotePrefix="1" applyNumberFormat="1" applyFont="1" applyAlignment="1">
      <alignment vertical="top" wrapText="1"/>
    </xf>
    <xf numFmtId="0" fontId="5" fillId="0" borderId="0" xfId="65" quotePrefix="1" applyFont="1" applyAlignment="1"/>
    <xf numFmtId="0" fontId="9" fillId="0" borderId="0" xfId="47" applyFont="1" applyFill="1" applyBorder="1" applyAlignment="1">
      <alignment horizontal="left"/>
    </xf>
    <xf numFmtId="44" fontId="5" fillId="0" borderId="10" xfId="31" applyFont="1" applyFill="1" applyBorder="1" applyAlignment="1">
      <alignment horizontal="left"/>
    </xf>
    <xf numFmtId="0" fontId="9" fillId="0" borderId="0" xfId="47" applyFont="1" applyBorder="1" applyAlignment="1">
      <alignment horizontal="lef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8" fillId="0" borderId="0" xfId="47" applyNumberFormat="1" applyFont="1" applyFill="1" applyBorder="1"/>
    <xf numFmtId="0" fontId="5" fillId="0" borderId="0" xfId="0" applyFont="1" applyAlignment="1">
      <alignment vertical="top" wrapText="1"/>
    </xf>
    <xf numFmtId="0" fontId="55" fillId="0" borderId="0" xfId="0" applyFont="1"/>
    <xf numFmtId="0" fontId="5" fillId="0" borderId="0" xfId="0" applyFont="1" applyAlignment="1">
      <alignment vertical="top" wrapText="1"/>
    </xf>
    <xf numFmtId="0" fontId="35"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4"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36" fillId="0" borderId="0" xfId="0" applyFont="1" applyAlignment="1">
      <alignment wrapText="1"/>
    </xf>
    <xf numFmtId="0" fontId="51"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2" fillId="0" borderId="0" xfId="59" applyFont="1" applyFill="1" applyBorder="1" applyAlignment="1">
      <alignment horizontal="center"/>
    </xf>
    <xf numFmtId="0" fontId="51" fillId="0" borderId="14" xfId="59" applyFont="1" applyFill="1" applyBorder="1" applyAlignment="1">
      <alignment horizontal="center" vertical="top" wrapText="1"/>
    </xf>
    <xf numFmtId="0" fontId="51" fillId="0" borderId="39" xfId="59" applyFont="1" applyFill="1" applyBorder="1" applyAlignment="1">
      <alignment horizontal="center" vertical="top" wrapText="1"/>
    </xf>
    <xf numFmtId="0" fontId="51" fillId="0" borderId="41" xfId="59" applyFont="1" applyFill="1" applyBorder="1" applyAlignment="1">
      <alignment horizontal="center" vertical="top" wrapText="1"/>
    </xf>
    <xf numFmtId="0" fontId="51" fillId="0" borderId="53" xfId="59" applyFont="1" applyFill="1" applyBorder="1" applyAlignment="1">
      <alignment horizontal="center" vertical="top" wrapText="1"/>
    </xf>
    <xf numFmtId="0" fontId="51" fillId="0" borderId="54" xfId="59" applyFont="1" applyFill="1" applyBorder="1" applyAlignment="1">
      <alignment horizontal="center" vertical="top" wrapText="1"/>
    </xf>
    <xf numFmtId="0" fontId="51" fillId="0" borderId="55" xfId="59" applyFont="1" applyFill="1" applyBorder="1" applyAlignment="1">
      <alignment horizontal="center" vertical="top" wrapText="1"/>
    </xf>
    <xf numFmtId="0" fontId="52" fillId="0" borderId="19" xfId="59" applyFont="1" applyFill="1" applyBorder="1" applyAlignment="1">
      <alignment horizontal="center" wrapText="1"/>
    </xf>
    <xf numFmtId="0" fontId="41" fillId="0" borderId="39" xfId="63" applyFont="1" applyBorder="1" applyAlignment="1">
      <alignment horizontal="center" vertical="center"/>
    </xf>
    <xf numFmtId="0" fontId="41" fillId="0" borderId="0" xfId="63" applyFont="1" applyBorder="1" applyAlignment="1">
      <alignment horizontal="center" vertical="center"/>
    </xf>
    <xf numFmtId="0" fontId="41" fillId="0" borderId="36" xfId="63" applyFont="1" applyBorder="1" applyAlignment="1">
      <alignment horizontal="center" vertical="center"/>
    </xf>
    <xf numFmtId="0" fontId="41"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6</xdr:col>
          <xdr:colOff>792480</xdr:colOff>
          <xdr:row>3</xdr:row>
          <xdr:rowOff>68580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190500</xdr:colOff>
          <xdr:row>3</xdr:row>
          <xdr:rowOff>152400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190500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tioasis.com/webSmartOASIS/HomePage?ProviderName=PSEI&amp;Homepage=1" TargetMode="External"/></Relationships>
</file>

<file path=xl/worksheets/_rels/sheet13.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2.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ontrol" Target="../activeX/activeX6.xml"/><Relationship Id="rId11" Type="http://schemas.openxmlformats.org/officeDocument/2006/relationships/image" Target="../media/image1.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S44"/>
  <sheetViews>
    <sheetView workbookViewId="0">
      <selection activeCell="B19" sqref="B19"/>
    </sheetView>
  </sheetViews>
  <sheetFormatPr defaultColWidth="9.109375" defaultRowHeight="15" x14ac:dyDescent="0.25"/>
  <cols>
    <col min="1" max="1" width="14.109375" style="53" customWidth="1"/>
    <col min="2" max="2" width="41" style="53" customWidth="1"/>
    <col min="3" max="3" width="16.33203125" style="53" customWidth="1"/>
    <col min="4" max="4" width="13.44140625" style="53" customWidth="1"/>
    <col min="5" max="5" width="12.44140625" style="53" customWidth="1"/>
    <col min="6" max="16384" width="9.109375" style="53"/>
  </cols>
  <sheetData>
    <row r="3" spans="1:19" x14ac:dyDescent="0.25">
      <c r="A3" s="53" t="s">
        <v>144</v>
      </c>
      <c r="B3" s="53" t="s">
        <v>168</v>
      </c>
    </row>
    <row r="5" spans="1:19" x14ac:dyDescent="0.25">
      <c r="A5" s="53" t="s">
        <v>169</v>
      </c>
    </row>
    <row r="6" spans="1:19" ht="48.6" customHeight="1" x14ac:dyDescent="0.25">
      <c r="B6" s="342" t="s">
        <v>182</v>
      </c>
      <c r="C6" s="342"/>
      <c r="D6" s="342"/>
      <c r="E6" s="342"/>
      <c r="F6" s="342"/>
      <c r="G6" s="342"/>
      <c r="H6" s="342"/>
      <c r="I6" s="342"/>
      <c r="J6" s="342"/>
      <c r="K6" s="342"/>
      <c r="L6" s="342"/>
      <c r="M6" s="342"/>
      <c r="N6" s="342"/>
      <c r="O6" s="342"/>
      <c r="P6" s="342"/>
    </row>
    <row r="7" spans="1:19" ht="13.5" customHeight="1" x14ac:dyDescent="0.25">
      <c r="B7" s="341" t="s">
        <v>145</v>
      </c>
      <c r="C7" s="340"/>
      <c r="D7" s="340"/>
      <c r="E7" s="340"/>
      <c r="F7" s="340"/>
      <c r="G7" s="340"/>
      <c r="H7" s="340"/>
      <c r="I7" s="340"/>
      <c r="J7" s="340"/>
      <c r="K7" s="340"/>
      <c r="L7" s="340"/>
      <c r="M7" s="340"/>
      <c r="N7" s="340"/>
      <c r="O7" s="340"/>
      <c r="P7" s="340"/>
    </row>
    <row r="9" spans="1:19" x14ac:dyDescent="0.25">
      <c r="A9" s="53" t="s">
        <v>170</v>
      </c>
    </row>
    <row r="10" spans="1:19" ht="15" customHeight="1" x14ac:dyDescent="0.25">
      <c r="B10" s="343" t="s">
        <v>171</v>
      </c>
      <c r="C10" s="343"/>
      <c r="D10" s="343"/>
      <c r="E10" s="343"/>
      <c r="F10" s="343"/>
      <c r="G10" s="343"/>
      <c r="H10" s="343"/>
      <c r="I10" s="343"/>
      <c r="J10" s="343"/>
      <c r="K10" s="343"/>
      <c r="L10" s="343"/>
      <c r="M10" s="343"/>
      <c r="N10" s="343"/>
      <c r="O10" s="343"/>
      <c r="P10" s="343"/>
      <c r="Q10" s="343"/>
      <c r="R10" s="343"/>
      <c r="S10" s="327"/>
    </row>
    <row r="11" spans="1:19" x14ac:dyDescent="0.25">
      <c r="B11" s="344" t="s">
        <v>146</v>
      </c>
      <c r="C11" s="344"/>
      <c r="D11" s="344"/>
      <c r="E11" s="344"/>
      <c r="F11" s="344"/>
      <c r="G11" s="344"/>
      <c r="H11" s="344"/>
      <c r="I11" s="344"/>
      <c r="J11" s="344"/>
      <c r="K11" s="344"/>
      <c r="L11" s="344"/>
      <c r="M11" s="344"/>
      <c r="N11" s="344"/>
      <c r="O11" s="344"/>
      <c r="P11" s="344"/>
      <c r="Q11" s="344"/>
      <c r="R11" s="328"/>
    </row>
    <row r="12" spans="1:19" x14ac:dyDescent="0.25">
      <c r="B12" s="329" t="s">
        <v>147</v>
      </c>
      <c r="C12" s="328"/>
      <c r="D12" s="328"/>
      <c r="E12" s="328"/>
      <c r="F12" s="328"/>
      <c r="G12" s="328"/>
      <c r="H12" s="328"/>
      <c r="I12" s="328"/>
      <c r="J12" s="328"/>
      <c r="K12" s="328"/>
      <c r="L12" s="328"/>
      <c r="M12" s="328"/>
      <c r="N12" s="328"/>
      <c r="O12" s="328"/>
      <c r="P12" s="328"/>
      <c r="Q12" s="328"/>
      <c r="R12" s="328"/>
    </row>
    <row r="13" spans="1:19" x14ac:dyDescent="0.25">
      <c r="B13" s="345" t="s">
        <v>148</v>
      </c>
      <c r="C13" s="345"/>
      <c r="D13" s="345"/>
      <c r="E13" s="345"/>
      <c r="F13" s="345"/>
      <c r="G13" s="345"/>
      <c r="H13" s="345"/>
      <c r="I13" s="345"/>
      <c r="J13" s="345"/>
      <c r="K13" s="345"/>
      <c r="L13" s="345"/>
      <c r="M13" s="345"/>
      <c r="N13" s="345"/>
      <c r="O13" s="345"/>
      <c r="P13" s="345"/>
      <c r="Q13" s="345"/>
      <c r="R13" s="345"/>
    </row>
    <row r="14" spans="1:19" x14ac:dyDescent="0.25">
      <c r="B14" s="330" t="s">
        <v>149</v>
      </c>
      <c r="C14" s="331"/>
      <c r="D14" s="332"/>
      <c r="E14" s="332"/>
      <c r="F14" s="332"/>
      <c r="G14" s="332"/>
      <c r="H14" s="332"/>
      <c r="I14" s="332"/>
      <c r="J14" s="332"/>
      <c r="K14" s="332"/>
      <c r="L14" s="332"/>
      <c r="M14" s="332"/>
      <c r="N14" s="332"/>
      <c r="O14" s="332"/>
      <c r="P14" s="332"/>
      <c r="Q14" s="332"/>
      <c r="R14" s="328"/>
    </row>
    <row r="15" spans="1:19" x14ac:dyDescent="0.25">
      <c r="B15" s="330" t="s">
        <v>150</v>
      </c>
      <c r="C15" s="333"/>
      <c r="D15" s="328"/>
      <c r="F15" s="328"/>
      <c r="G15" s="328"/>
      <c r="H15" s="328"/>
      <c r="J15" s="328"/>
      <c r="K15" s="328"/>
      <c r="M15" s="328"/>
      <c r="N15" s="328"/>
      <c r="O15" s="328"/>
      <c r="P15" s="328"/>
      <c r="Q15" s="328"/>
      <c r="R15" s="328"/>
    </row>
    <row r="17" spans="1:13" x14ac:dyDescent="0.25">
      <c r="A17" s="53" t="s">
        <v>172</v>
      </c>
    </row>
    <row r="19" spans="1:13" ht="45" customHeight="1" x14ac:dyDescent="0.3">
      <c r="B19" s="334" t="s">
        <v>151</v>
      </c>
      <c r="C19" s="335">
        <f>'Baseload Avoided Capacity Calcs'!D6</f>
        <v>13.579590781249998</v>
      </c>
      <c r="D19" s="346" t="s">
        <v>173</v>
      </c>
      <c r="E19" s="347"/>
      <c r="F19" s="347"/>
      <c r="G19" s="347"/>
      <c r="H19" s="347"/>
      <c r="I19" s="347"/>
      <c r="J19" s="347"/>
      <c r="K19" s="347"/>
      <c r="L19" s="347"/>
      <c r="M19" s="347"/>
    </row>
    <row r="20" spans="1:13" ht="15.6" x14ac:dyDescent="0.3">
      <c r="B20" s="336" t="s">
        <v>152</v>
      </c>
      <c r="C20" s="46">
        <f>'Baseload Avoided Capacity Calcs'!D7</f>
        <v>0</v>
      </c>
      <c r="D20" s="53" t="s">
        <v>153</v>
      </c>
    </row>
    <row r="21" spans="1:13" ht="15.6" x14ac:dyDescent="0.3">
      <c r="B21" s="336" t="s">
        <v>49</v>
      </c>
      <c r="C21" s="46">
        <f>'Baseload Avoided Capacity Calcs'!D8</f>
        <v>7.3899999999999993E-2</v>
      </c>
      <c r="D21" s="53" t="s">
        <v>167</v>
      </c>
    </row>
    <row r="22" spans="1:13" ht="15.6" x14ac:dyDescent="0.3">
      <c r="B22" s="336" t="s">
        <v>50</v>
      </c>
      <c r="C22" s="46">
        <f>'Baseload Avoided Capacity Calcs'!D9</f>
        <v>2.5000000000000001E-2</v>
      </c>
      <c r="D22" s="53" t="s">
        <v>154</v>
      </c>
    </row>
    <row r="24" spans="1:13" x14ac:dyDescent="0.25">
      <c r="B24" s="53" t="s">
        <v>155</v>
      </c>
    </row>
    <row r="25" spans="1:13" x14ac:dyDescent="0.25">
      <c r="B25" s="53" t="s">
        <v>156</v>
      </c>
    </row>
    <row r="26" spans="1:13" x14ac:dyDescent="0.25">
      <c r="B26" s="53" t="s">
        <v>163</v>
      </c>
    </row>
    <row r="28" spans="1:13" x14ac:dyDescent="0.25">
      <c r="A28" s="53" t="s">
        <v>174</v>
      </c>
    </row>
    <row r="29" spans="1:13" x14ac:dyDescent="0.25">
      <c r="B29" s="53" t="s">
        <v>175</v>
      </c>
    </row>
    <row r="30" spans="1:13" x14ac:dyDescent="0.25">
      <c r="B30" s="53" t="s">
        <v>157</v>
      </c>
    </row>
    <row r="31" spans="1:13" x14ac:dyDescent="0.25">
      <c r="B31" s="53" t="s">
        <v>158</v>
      </c>
    </row>
    <row r="33" spans="1:2" x14ac:dyDescent="0.25">
      <c r="A33" s="53" t="s">
        <v>176</v>
      </c>
    </row>
    <row r="34" spans="1:2" x14ac:dyDescent="0.25">
      <c r="B34" s="53" t="s">
        <v>177</v>
      </c>
    </row>
    <row r="36" spans="1:2" x14ac:dyDescent="0.25">
      <c r="A36" s="53" t="s">
        <v>178</v>
      </c>
    </row>
    <row r="37" spans="1:2" x14ac:dyDescent="0.25">
      <c r="B37" s="53" t="s">
        <v>159</v>
      </c>
    </row>
    <row r="38" spans="1:2" x14ac:dyDescent="0.25">
      <c r="B38" s="53" t="s">
        <v>160</v>
      </c>
    </row>
    <row r="39" spans="1:2" x14ac:dyDescent="0.25">
      <c r="B39" s="53" t="s">
        <v>161</v>
      </c>
    </row>
    <row r="40" spans="1:2" x14ac:dyDescent="0.25">
      <c r="B40" s="53" t="s">
        <v>162</v>
      </c>
    </row>
    <row r="42" spans="1:2" x14ac:dyDescent="0.25">
      <c r="A42" s="53" t="s">
        <v>179</v>
      </c>
    </row>
    <row r="44" spans="1:2" x14ac:dyDescent="0.25">
      <c r="A44" s="53" t="s">
        <v>180</v>
      </c>
    </row>
  </sheetData>
  <mergeCells count="5">
    <mergeCell ref="B6:P6"/>
    <mergeCell ref="B10:R10"/>
    <mergeCell ref="B11:Q11"/>
    <mergeCell ref="B13:R13"/>
    <mergeCell ref="D19:M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6" t="s">
        <v>89</v>
      </c>
      <c r="D2" s="206"/>
      <c r="E2" s="206"/>
      <c r="F2" s="206"/>
      <c r="G2" s="206"/>
      <c r="H2" s="206"/>
      <c r="I2" s="206"/>
      <c r="J2" s="206"/>
      <c r="K2" s="206"/>
      <c r="L2" s="206"/>
    </row>
    <row r="3" spans="2:31" ht="15.6" x14ac:dyDescent="0.3">
      <c r="C3" s="42" t="s">
        <v>47</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6">
        <f>+'Capacity Delivered'!$I$5</f>
        <v>0.04</v>
      </c>
      <c r="G5" s="147" t="s">
        <v>8</v>
      </c>
      <c r="H5" s="148">
        <f>'Electric EES CE Std Energy'!D23</f>
        <v>4.2828278870585629E-2</v>
      </c>
      <c r="I5" s="149">
        <f>'Solar Avoided Capacity Calcs'!X21</f>
        <v>3.5915511981945113E-3</v>
      </c>
      <c r="J5" s="149">
        <f>H5+I5</f>
        <v>4.6419830068780144E-2</v>
      </c>
      <c r="K5" s="150">
        <f>J5</f>
        <v>4.6419830068780144E-2</v>
      </c>
      <c r="L5" s="151">
        <f>K5*1000</f>
        <v>46.419830068780144</v>
      </c>
      <c r="M5" s="135"/>
    </row>
    <row r="6" spans="2:31" ht="15.6" x14ac:dyDescent="0.3">
      <c r="C6" s="143"/>
      <c r="D6" s="143"/>
      <c r="E6" s="110"/>
      <c r="F6" s="110"/>
      <c r="G6" s="110"/>
      <c r="H6" s="32">
        <f>H5*1000</f>
        <v>42.828278870585628</v>
      </c>
      <c r="I6" s="32">
        <f t="shared" ref="I6:K6" si="0">I5*1000</f>
        <v>3.5915511981945114</v>
      </c>
      <c r="J6" s="32">
        <f t="shared" si="0"/>
        <v>46.419830068780144</v>
      </c>
      <c r="K6" s="32">
        <f t="shared" si="0"/>
        <v>46.419830068780144</v>
      </c>
      <c r="L6" s="112">
        <f>L5*(1-M6)</f>
        <v>45.027235166716736</v>
      </c>
      <c r="M6" s="233">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7" t="s">
        <v>79</v>
      </c>
      <c r="Y8" s="116"/>
      <c r="Z8" s="116"/>
      <c r="AA8" s="116"/>
    </row>
    <row r="9" spans="2:31" x14ac:dyDescent="0.25">
      <c r="C9" s="117" t="s">
        <v>9</v>
      </c>
      <c r="D9" s="117"/>
      <c r="E9" s="117"/>
      <c r="F9" s="118">
        <f>+L6</f>
        <v>45.027235166716736</v>
      </c>
      <c r="G9" s="118">
        <f t="shared" ref="G9:T9" si="1">F9</f>
        <v>45.027235166716736</v>
      </c>
      <c r="H9" s="118">
        <f t="shared" si="1"/>
        <v>45.027235166716736</v>
      </c>
      <c r="I9" s="118">
        <f t="shared" si="1"/>
        <v>45.027235166716736</v>
      </c>
      <c r="J9" s="118">
        <f t="shared" si="1"/>
        <v>45.027235166716736</v>
      </c>
      <c r="K9" s="118">
        <f t="shared" si="1"/>
        <v>45.027235166716736</v>
      </c>
      <c r="L9" s="118">
        <f t="shared" si="1"/>
        <v>45.027235166716736</v>
      </c>
      <c r="M9" s="118">
        <f t="shared" si="1"/>
        <v>45.027235166716736</v>
      </c>
      <c r="N9" s="118">
        <f t="shared" si="1"/>
        <v>45.027235166716736</v>
      </c>
      <c r="O9" s="118">
        <f t="shared" si="1"/>
        <v>45.027235166716736</v>
      </c>
      <c r="P9" s="118">
        <f t="shared" si="1"/>
        <v>45.027235166716736</v>
      </c>
      <c r="Q9" s="118">
        <f t="shared" si="1"/>
        <v>45.027235166716736</v>
      </c>
      <c r="R9" s="118">
        <f t="shared" si="1"/>
        <v>45.027235166716736</v>
      </c>
      <c r="S9" s="118">
        <f t="shared" si="1"/>
        <v>45.027235166716736</v>
      </c>
      <c r="T9" s="118">
        <f t="shared" si="1"/>
        <v>45.027235166716736</v>
      </c>
      <c r="U9" s="40"/>
      <c r="V9" s="40"/>
      <c r="W9" s="40"/>
      <c r="X9" s="196">
        <f>NPV(Rate_of_Return,F9:T9)</f>
        <v>400.19029688645981</v>
      </c>
      <c r="Y9" s="196">
        <f>-PMT(Rate_of_Return,15,X9)</f>
        <v>45.027235166716714</v>
      </c>
      <c r="Z9" s="40"/>
      <c r="AA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row>
    <row r="11" spans="2:31" x14ac:dyDescent="0.25">
      <c r="C11" s="53" t="s">
        <v>59</v>
      </c>
      <c r="F11" s="201">
        <v>1</v>
      </c>
      <c r="G11" s="201">
        <v>2</v>
      </c>
      <c r="H11" s="201">
        <v>3</v>
      </c>
      <c r="I11" s="201">
        <v>4</v>
      </c>
      <c r="J11" s="201">
        <v>5</v>
      </c>
      <c r="K11" s="201">
        <v>6</v>
      </c>
      <c r="L11" s="201">
        <v>7</v>
      </c>
      <c r="M11" s="201">
        <v>8</v>
      </c>
      <c r="N11" s="201">
        <v>9</v>
      </c>
      <c r="O11" s="201">
        <v>10</v>
      </c>
      <c r="P11" s="201">
        <v>11</v>
      </c>
      <c r="Q11" s="201">
        <v>12</v>
      </c>
      <c r="R11" s="201">
        <v>13</v>
      </c>
      <c r="S11" s="201">
        <v>14</v>
      </c>
      <c r="T11" s="201">
        <v>15</v>
      </c>
      <c r="U11" s="201">
        <v>16</v>
      </c>
      <c r="V11" s="201">
        <v>17</v>
      </c>
      <c r="W11" s="40"/>
      <c r="X11" s="40"/>
      <c r="Y11" s="40"/>
      <c r="Z11" s="40"/>
      <c r="AA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9"/>
      <c r="X12" s="197" t="s">
        <v>79</v>
      </c>
      <c r="Y12" s="32"/>
      <c r="Z12" s="116"/>
      <c r="AA12" s="116"/>
    </row>
    <row r="13" spans="2:31" ht="52.95" customHeight="1" x14ac:dyDescent="0.25">
      <c r="B13" s="110"/>
      <c r="C13" s="202" t="s">
        <v>83</v>
      </c>
      <c r="D13" s="110"/>
      <c r="F13" s="152">
        <f t="shared" ref="F13:T13" si="3">F$9*F$20</f>
        <v>38.909071300755215</v>
      </c>
      <c r="G13" s="153">
        <f>G$9*G$20</f>
        <v>39.881798083274091</v>
      </c>
      <c r="H13" s="154">
        <f t="shared" si="3"/>
        <v>40.878843035355935</v>
      </c>
      <c r="I13" s="154">
        <f t="shared" si="3"/>
        <v>41.900814111239832</v>
      </c>
      <c r="J13" s="154">
        <f t="shared" si="3"/>
        <v>42.948334464020832</v>
      </c>
      <c r="K13" s="154">
        <f t="shared" si="3"/>
        <v>44.022042825621341</v>
      </c>
      <c r="L13" s="154">
        <f t="shared" si="3"/>
        <v>45.122593896261868</v>
      </c>
      <c r="M13" s="154">
        <f t="shared" si="3"/>
        <v>46.250658743668417</v>
      </c>
      <c r="N13" s="154">
        <f t="shared" si="3"/>
        <v>47.40692521226012</v>
      </c>
      <c r="O13" s="154">
        <f t="shared" si="3"/>
        <v>48.592098342566622</v>
      </c>
      <c r="P13" s="154">
        <f t="shared" si="3"/>
        <v>49.80690080113078</v>
      </c>
      <c r="Q13" s="154">
        <f t="shared" si="3"/>
        <v>51.052073321159035</v>
      </c>
      <c r="R13" s="154">
        <f t="shared" si="3"/>
        <v>52.328375154188009</v>
      </c>
      <c r="S13" s="154">
        <f t="shared" si="3"/>
        <v>53.636584533042701</v>
      </c>
      <c r="T13" s="154">
        <f t="shared" si="3"/>
        <v>54.977499146368764</v>
      </c>
      <c r="U13" s="198">
        <f>T13*1.025</f>
        <v>56.351936625027982</v>
      </c>
      <c r="V13" s="198">
        <f>U13*1.025</f>
        <v>57.760735040653678</v>
      </c>
      <c r="W13" s="122"/>
      <c r="X13" s="196">
        <f>NPV(Rate_of_Return,F13:T13)</f>
        <v>400.19029688646003</v>
      </c>
      <c r="Y13" s="196">
        <f>-PMT(Rate_of_Return,15,X13)</f>
        <v>45.027235166716743</v>
      </c>
      <c r="Z13" s="122"/>
      <c r="AA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row>
    <row r="15" spans="2:31" x14ac:dyDescent="0.25">
      <c r="C15" s="125"/>
      <c r="E15" s="124"/>
      <c r="F15" s="122"/>
      <c r="G15" s="205"/>
      <c r="H15" s="122"/>
      <c r="I15" s="122"/>
      <c r="J15" s="122"/>
      <c r="K15" s="122"/>
      <c r="L15" s="122"/>
      <c r="M15" s="122"/>
      <c r="N15" s="122"/>
      <c r="O15" s="122"/>
      <c r="P15" s="122"/>
      <c r="Q15" s="122"/>
      <c r="R15" s="122"/>
      <c r="S15" s="122"/>
      <c r="T15" s="122"/>
      <c r="U15" s="122"/>
      <c r="V15" s="122"/>
      <c r="W15" s="122"/>
      <c r="X15" s="116"/>
      <c r="Y15" s="116"/>
      <c r="Z15" s="116"/>
      <c r="AA15" s="116"/>
    </row>
    <row r="16" spans="2:31" x14ac:dyDescent="0.25">
      <c r="C16" s="53" t="s">
        <v>10</v>
      </c>
      <c r="Q16" s="116"/>
      <c r="R16" s="116"/>
    </row>
    <row r="17" spans="2:27" x14ac:dyDescent="0.25">
      <c r="Q17" s="116"/>
      <c r="R17" s="116"/>
    </row>
    <row r="18" spans="2:27" ht="15.6" x14ac:dyDescent="0.3">
      <c r="C18" s="110"/>
      <c r="D18" s="110"/>
      <c r="E18" s="110"/>
      <c r="F18" s="110"/>
      <c r="G18" s="110"/>
      <c r="H18" s="110"/>
      <c r="I18" s="110"/>
      <c r="J18" s="110"/>
      <c r="K18" s="110"/>
      <c r="L18" s="110"/>
      <c r="M18" s="110"/>
      <c r="N18" s="110"/>
      <c r="O18" s="110"/>
      <c r="P18" s="110"/>
      <c r="Q18" s="115"/>
      <c r="R18" s="115"/>
      <c r="S18" s="110"/>
      <c r="T18" s="110"/>
      <c r="X18" s="197" t="s">
        <v>79</v>
      </c>
      <c r="Y18" s="110"/>
    </row>
    <row r="19" spans="2:27"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row>
    <row r="20" spans="2:27"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row>
    <row r="21" spans="2:27" x14ac:dyDescent="0.25">
      <c r="C21" s="110"/>
      <c r="D21" s="110"/>
      <c r="E21" s="137"/>
      <c r="F21" s="137"/>
      <c r="G21" s="137"/>
      <c r="H21" s="137"/>
      <c r="I21" s="137"/>
      <c r="J21" s="137"/>
      <c r="K21" s="137"/>
      <c r="L21" s="137"/>
      <c r="M21" s="138"/>
      <c r="N21" s="138"/>
      <c r="O21" s="138"/>
      <c r="P21" s="138"/>
      <c r="Q21" s="138"/>
      <c r="R21" s="138"/>
      <c r="S21" s="138"/>
      <c r="T21" s="138"/>
      <c r="X21" s="110"/>
      <c r="Y21" s="110"/>
    </row>
    <row r="22" spans="2:27" x14ac:dyDescent="0.25">
      <c r="B22" s="128" t="s">
        <v>13</v>
      </c>
      <c r="C22" s="129"/>
      <c r="D22" s="130"/>
      <c r="E22" s="130"/>
      <c r="F22" s="130"/>
      <c r="G22" s="130"/>
      <c r="H22" s="130"/>
      <c r="I22" s="130"/>
      <c r="J22" s="130"/>
      <c r="K22" s="130"/>
      <c r="L22" s="130"/>
      <c r="M22" s="130"/>
      <c r="N22" s="130"/>
      <c r="O22" s="130"/>
      <c r="Z22" s="125"/>
    </row>
    <row r="23" spans="2:27" x14ac:dyDescent="0.25">
      <c r="B23" s="131">
        <v>1</v>
      </c>
      <c r="C23" s="283" t="s">
        <v>119</v>
      </c>
      <c r="D23" s="130"/>
      <c r="E23" s="130"/>
      <c r="F23" s="130"/>
      <c r="G23" s="130"/>
      <c r="H23" s="130"/>
      <c r="I23" s="130"/>
      <c r="J23" s="130"/>
      <c r="K23" s="130"/>
      <c r="L23" s="130"/>
      <c r="M23" s="130"/>
      <c r="N23" s="130"/>
      <c r="O23" s="130"/>
      <c r="Z23" s="121"/>
    </row>
    <row r="24" spans="2:27" x14ac:dyDescent="0.25">
      <c r="B24" s="131">
        <v>2</v>
      </c>
      <c r="C24" s="130" t="s">
        <v>181</v>
      </c>
      <c r="D24" s="130"/>
      <c r="E24" s="130"/>
      <c r="F24" s="130"/>
      <c r="G24" s="130"/>
      <c r="H24" s="130"/>
      <c r="I24" s="130"/>
      <c r="J24" s="130"/>
      <c r="K24" s="130"/>
      <c r="L24" s="130"/>
      <c r="M24" s="130"/>
      <c r="N24" s="130"/>
      <c r="O24" s="130"/>
      <c r="Z24" s="122"/>
    </row>
    <row r="25" spans="2:27" x14ac:dyDescent="0.25">
      <c r="B25" s="131">
        <v>3</v>
      </c>
      <c r="C25" s="130" t="s">
        <v>48</v>
      </c>
      <c r="D25" s="130"/>
      <c r="E25" s="130"/>
      <c r="F25" s="130"/>
      <c r="G25" s="130"/>
      <c r="H25" s="130"/>
      <c r="I25" s="130"/>
      <c r="J25" s="130"/>
      <c r="K25" s="130"/>
      <c r="L25" s="130"/>
      <c r="M25" s="130"/>
      <c r="N25" s="130"/>
      <c r="O25" s="130"/>
      <c r="Z25" s="132"/>
    </row>
    <row r="26" spans="2:27" x14ac:dyDescent="0.25">
      <c r="B26" s="131">
        <v>4</v>
      </c>
      <c r="C26" s="130" t="s">
        <v>139</v>
      </c>
      <c r="D26" s="130"/>
      <c r="E26" s="130"/>
      <c r="F26" s="130"/>
      <c r="G26" s="130"/>
      <c r="H26" s="130"/>
      <c r="I26" s="130"/>
      <c r="J26" s="130"/>
      <c r="K26" s="130"/>
      <c r="L26" s="130"/>
      <c r="M26" s="130"/>
      <c r="N26" s="130"/>
      <c r="O26" s="130"/>
      <c r="Z26" s="132"/>
    </row>
    <row r="27" spans="2:27" x14ac:dyDescent="0.25">
      <c r="B27" s="131">
        <v>5</v>
      </c>
      <c r="C27" s="130" t="s">
        <v>84</v>
      </c>
      <c r="D27" s="130"/>
      <c r="E27" s="130"/>
      <c r="F27" s="130"/>
      <c r="G27" s="130"/>
      <c r="H27" s="130"/>
      <c r="I27" s="130"/>
      <c r="J27" s="130"/>
      <c r="K27" s="130"/>
      <c r="L27" s="130"/>
      <c r="M27" s="130"/>
      <c r="N27" s="130"/>
      <c r="O27" s="130"/>
      <c r="Z27" s="121"/>
    </row>
    <row r="28" spans="2:27" x14ac:dyDescent="0.25">
      <c r="B28" s="131">
        <v>6</v>
      </c>
      <c r="C28" s="130" t="s">
        <v>85</v>
      </c>
      <c r="D28" s="130"/>
      <c r="E28" s="130"/>
      <c r="F28" s="130"/>
      <c r="G28" s="130"/>
      <c r="H28" s="130"/>
      <c r="I28" s="130"/>
      <c r="J28" s="130"/>
      <c r="K28" s="130"/>
      <c r="L28" s="130"/>
      <c r="M28" s="130"/>
      <c r="N28" s="130"/>
      <c r="O28" s="130"/>
      <c r="Z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topLeftCell="A4" workbookViewId="0">
      <selection activeCell="B4" sqref="B4:C4"/>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8" t="s">
        <v>55</v>
      </c>
      <c r="C3" s="348"/>
      <c r="D3" s="35"/>
    </row>
    <row r="4" spans="2:6" x14ac:dyDescent="0.25">
      <c r="B4" s="349" t="str">
        <f>+FlatLoadShapeEnergy_perMWh!C6</f>
        <v xml:space="preserve"> Transmission Line Loss Reduction [4]</v>
      </c>
      <c r="C4" s="350"/>
      <c r="D4" s="158">
        <f>+FlatLoadShapeEnergy_perMWh!E6</f>
        <v>2.7E-2</v>
      </c>
      <c r="E4" s="35"/>
    </row>
    <row r="5" spans="2:6" x14ac:dyDescent="0.25">
      <c r="B5" s="351" t="s">
        <v>49</v>
      </c>
      <c r="C5" s="351"/>
      <c r="D5" s="159">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80</v>
      </c>
      <c r="D8" s="30" t="s">
        <v>81</v>
      </c>
      <c r="E8"/>
      <c r="F8"/>
    </row>
    <row r="9" spans="2:6" x14ac:dyDescent="0.25">
      <c r="B9" s="8">
        <v>1</v>
      </c>
      <c r="C9" s="36">
        <f>+FlatLoadShapeEnergy_perMWh!P7</f>
        <v>38.002850894281686</v>
      </c>
      <c r="D9" s="157">
        <f t="shared" ref="D9:D27" si="0">C9/1000</f>
        <v>3.8002850894281688E-2</v>
      </c>
    </row>
    <row r="10" spans="2:6" x14ac:dyDescent="0.25">
      <c r="B10" s="8">
        <v>2</v>
      </c>
      <c r="C10" s="36">
        <f>+FlatLoadShapeEnergy_perMWh!P8</f>
        <v>36.810752878270911</v>
      </c>
      <c r="D10" s="157">
        <f t="shared" si="0"/>
        <v>3.681075287827091E-2</v>
      </c>
    </row>
    <row r="11" spans="2:6" x14ac:dyDescent="0.25">
      <c r="B11" s="8">
        <v>3</v>
      </c>
      <c r="C11" s="36">
        <f>+FlatLoadShapeEnergy_perMWh!P9</f>
        <v>36.564897468004467</v>
      </c>
      <c r="D11" s="157">
        <f t="shared" si="0"/>
        <v>3.6564897468004467E-2</v>
      </c>
    </row>
    <row r="12" spans="2:6" x14ac:dyDescent="0.25">
      <c r="B12" s="8">
        <v>4</v>
      </c>
      <c r="C12" s="36">
        <f>+FlatLoadShapeEnergy_perMWh!P10</f>
        <v>37.010261369557455</v>
      </c>
      <c r="D12" s="157">
        <f t="shared" si="0"/>
        <v>3.7010261369557457E-2</v>
      </c>
    </row>
    <row r="13" spans="2:6" x14ac:dyDescent="0.25">
      <c r="B13" s="8">
        <v>5</v>
      </c>
      <c r="C13" s="36">
        <f>+FlatLoadShapeEnergy_perMWh!P11</f>
        <v>38.067082555830289</v>
      </c>
      <c r="D13" s="157">
        <f t="shared" si="0"/>
        <v>3.8067082555830287E-2</v>
      </c>
    </row>
    <row r="14" spans="2:6" x14ac:dyDescent="0.25">
      <c r="B14" s="8">
        <v>6</v>
      </c>
      <c r="C14" s="36">
        <f>+FlatLoadShapeEnergy_perMWh!P12</f>
        <v>38.970406608727266</v>
      </c>
      <c r="D14" s="157">
        <f t="shared" si="0"/>
        <v>3.8970406608727269E-2</v>
      </c>
    </row>
    <row r="15" spans="2:6" x14ac:dyDescent="0.25">
      <c r="B15" s="8">
        <v>7</v>
      </c>
      <c r="C15" s="36">
        <f>+FlatLoadShapeEnergy_perMWh!P13</f>
        <v>39.635973972177226</v>
      </c>
      <c r="D15" s="157">
        <f t="shared" si="0"/>
        <v>3.9635973972177226E-2</v>
      </c>
    </row>
    <row r="16" spans="2:6" x14ac:dyDescent="0.25">
      <c r="B16" s="8">
        <v>8</v>
      </c>
      <c r="C16" s="36">
        <f>+FlatLoadShapeEnergy_perMWh!P14</f>
        <v>40.081360282993664</v>
      </c>
      <c r="D16" s="157">
        <f t="shared" si="0"/>
        <v>4.0081360282993667E-2</v>
      </c>
    </row>
    <row r="17" spans="2:4" x14ac:dyDescent="0.25">
      <c r="B17" s="8">
        <v>9</v>
      </c>
      <c r="C17" s="36">
        <f>+FlatLoadShapeEnergy_perMWh!P15</f>
        <v>40.445801249137055</v>
      </c>
      <c r="D17" s="157">
        <f t="shared" si="0"/>
        <v>4.0445801249137055E-2</v>
      </c>
    </row>
    <row r="18" spans="2:4" x14ac:dyDescent="0.25">
      <c r="B18" s="8">
        <v>10</v>
      </c>
      <c r="C18" s="36">
        <f>+FlatLoadShapeEnergy_perMWh!P16</f>
        <v>40.786409360273041</v>
      </c>
      <c r="D18" s="157">
        <f t="shared" si="0"/>
        <v>4.0786409360273043E-2</v>
      </c>
    </row>
    <row r="19" spans="2:4" x14ac:dyDescent="0.25">
      <c r="B19" s="8">
        <v>11</v>
      </c>
      <c r="C19" s="36">
        <f>+FlatLoadShapeEnergy_perMWh!P17</f>
        <v>41.191926825172899</v>
      </c>
      <c r="D19" s="157">
        <f t="shared" si="0"/>
        <v>4.1191926825172899E-2</v>
      </c>
    </row>
    <row r="20" spans="2:4" x14ac:dyDescent="0.25">
      <c r="B20" s="8">
        <v>12</v>
      </c>
      <c r="C20" s="36">
        <f>+FlatLoadShapeEnergy_perMWh!P18</f>
        <v>41.569739039826608</v>
      </c>
      <c r="D20" s="157">
        <f t="shared" si="0"/>
        <v>4.1569739039826609E-2</v>
      </c>
    </row>
    <row r="21" spans="2:4" x14ac:dyDescent="0.25">
      <c r="B21" s="8">
        <v>13</v>
      </c>
      <c r="C21" s="36">
        <f>+FlatLoadShapeEnergy_perMWh!P19</f>
        <v>42.021757605008418</v>
      </c>
      <c r="D21" s="157">
        <f t="shared" si="0"/>
        <v>4.2021757605008418E-2</v>
      </c>
    </row>
    <row r="22" spans="2:4" x14ac:dyDescent="0.25">
      <c r="B22" s="8">
        <v>14</v>
      </c>
      <c r="C22" s="36">
        <f>+FlatLoadShapeEnergy_perMWh!P20</f>
        <v>42.426148577519726</v>
      </c>
      <c r="D22" s="157">
        <f t="shared" si="0"/>
        <v>4.2426148577519723E-2</v>
      </c>
    </row>
    <row r="23" spans="2:4" x14ac:dyDescent="0.25">
      <c r="B23" s="284">
        <v>15</v>
      </c>
      <c r="C23" s="285">
        <f>+FlatLoadShapeEnergy_perMWh!P21</f>
        <v>42.828278870585628</v>
      </c>
      <c r="D23" s="157">
        <f>C23/1000</f>
        <v>4.2828278870585629E-2</v>
      </c>
    </row>
    <row r="24" spans="2:4" x14ac:dyDescent="0.25">
      <c r="B24" s="8">
        <v>16</v>
      </c>
      <c r="C24" s="36">
        <f>+FlatLoadShapeEnergy_perMWh!P22</f>
        <v>43.192841473145862</v>
      </c>
      <c r="D24" s="157">
        <f t="shared" si="0"/>
        <v>4.3192841473145858E-2</v>
      </c>
    </row>
    <row r="25" spans="2:4" x14ac:dyDescent="0.25">
      <c r="B25" s="8">
        <v>17</v>
      </c>
      <c r="C25" s="36">
        <f>+FlatLoadShapeEnergy_perMWh!P23</f>
        <v>43.568379029828797</v>
      </c>
      <c r="D25" s="157">
        <f t="shared" si="0"/>
        <v>4.3568379029828797E-2</v>
      </c>
    </row>
    <row r="26" spans="2:4" x14ac:dyDescent="0.25">
      <c r="B26" s="8">
        <v>18</v>
      </c>
      <c r="C26" s="36">
        <f>+FlatLoadShapeEnergy_perMWh!P24</f>
        <v>43.918166451748931</v>
      </c>
      <c r="D26" s="157">
        <f t="shared" si="0"/>
        <v>4.3918166451748931E-2</v>
      </c>
    </row>
    <row r="27" spans="2:4" x14ac:dyDescent="0.25">
      <c r="B27" s="8">
        <v>19</v>
      </c>
      <c r="C27" s="36">
        <f>+FlatLoadShapeEnergy_perMWh!P25</f>
        <v>44.296931361992513</v>
      </c>
      <c r="D27" s="157">
        <f t="shared" si="0"/>
        <v>4.429693136199251E-2</v>
      </c>
    </row>
    <row r="28" spans="2:4" x14ac:dyDescent="0.25">
      <c r="B28" s="8">
        <v>20</v>
      </c>
      <c r="C28" s="36">
        <f>+FlatLoadShapeEnergy_perMWh!P26</f>
        <v>44.684361955064901</v>
      </c>
      <c r="D28" s="157">
        <f t="shared" ref="D28:D29" si="1">C28/1000</f>
        <v>4.4684361955064901E-2</v>
      </c>
    </row>
    <row r="29" spans="2:4" x14ac:dyDescent="0.25">
      <c r="B29" s="8">
        <v>21</v>
      </c>
      <c r="C29" s="36">
        <f>+FlatLoadShapeEnergy_perMWh!P27</f>
        <v>45.070494299313111</v>
      </c>
      <c r="D29" s="157">
        <f t="shared" si="1"/>
        <v>4.5070494299313112E-2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J4" sqref="J4"/>
    </sheetView>
  </sheetViews>
  <sheetFormatPr defaultColWidth="14.44140625" defaultRowHeight="15" x14ac:dyDescent="0.25"/>
  <cols>
    <col min="1" max="1" width="2.6640625" style="194" customWidth="1"/>
    <col min="2" max="2" width="4" style="194" bestFit="1" customWidth="1"/>
    <col min="3" max="3" width="30.88671875" style="194" customWidth="1"/>
    <col min="4" max="4" width="2.6640625" style="194" customWidth="1"/>
    <col min="5" max="5" width="10.44140625" style="194" customWidth="1"/>
    <col min="6" max="6" width="2.6640625" style="194" customWidth="1"/>
    <col min="7" max="7" width="9.44140625" style="194" customWidth="1"/>
    <col min="8" max="8" width="12.5546875" style="194" customWidth="1"/>
    <col min="9" max="9" width="17.6640625" style="194" customWidth="1"/>
    <col min="10" max="10" width="15.44140625" style="194" customWidth="1"/>
    <col min="11" max="11" width="17" style="194" customWidth="1"/>
    <col min="12" max="12" width="14.44140625" style="194" customWidth="1"/>
    <col min="13" max="13" width="16.33203125" style="194" bestFit="1" customWidth="1"/>
    <col min="14" max="14" width="15.6640625" style="194" customWidth="1"/>
    <col min="15" max="16" width="16.109375" style="194" customWidth="1"/>
    <col min="17" max="16384" width="14.44140625" style="194"/>
  </cols>
  <sheetData>
    <row r="1" spans="2:21" s="188" customFormat="1" x14ac:dyDescent="0.25"/>
    <row r="2" spans="2:21" s="188" customFormat="1" ht="15.6" x14ac:dyDescent="0.3">
      <c r="B2" s="189"/>
      <c r="C2" s="189"/>
      <c r="D2" s="189"/>
      <c r="E2" s="189"/>
      <c r="F2" s="189"/>
      <c r="G2" s="189"/>
      <c r="H2" s="189"/>
      <c r="I2" s="189"/>
      <c r="J2" s="190"/>
      <c r="K2" s="189"/>
      <c r="L2" s="189"/>
      <c r="M2" s="191"/>
      <c r="N2" s="189"/>
      <c r="O2" s="189"/>
      <c r="P2" s="189"/>
      <c r="Q2" s="189"/>
      <c r="R2" s="189"/>
      <c r="S2" s="189"/>
      <c r="T2" s="189"/>
      <c r="U2" s="189"/>
    </row>
    <row r="3" spans="2:21" ht="15.6" x14ac:dyDescent="0.3">
      <c r="B3" s="192"/>
      <c r="C3" s="192"/>
      <c r="D3" s="192"/>
      <c r="E3" s="192"/>
      <c r="F3" s="192"/>
      <c r="G3" s="192"/>
      <c r="H3" s="192"/>
      <c r="I3" s="192"/>
      <c r="J3" s="22"/>
      <c r="K3" s="189"/>
      <c r="L3" s="189"/>
      <c r="M3" s="193"/>
      <c r="N3" s="192"/>
      <c r="O3" s="192"/>
      <c r="P3" s="192"/>
      <c r="Q3" s="192"/>
      <c r="R3" s="192"/>
      <c r="S3" s="192"/>
      <c r="T3" s="192"/>
      <c r="U3" s="192"/>
    </row>
    <row r="4" spans="2:21" ht="66" customHeight="1" x14ac:dyDescent="0.3">
      <c r="B4" s="192"/>
      <c r="C4" s="192"/>
      <c r="D4" s="192"/>
      <c r="E4" s="192"/>
      <c r="F4" s="192"/>
      <c r="G4" s="23" t="s">
        <v>15</v>
      </c>
      <c r="H4" s="24" t="s">
        <v>1</v>
      </c>
      <c r="I4" s="25" t="s">
        <v>30</v>
      </c>
      <c r="J4" s="24" t="s">
        <v>185</v>
      </c>
      <c r="K4" s="25" t="s">
        <v>51</v>
      </c>
      <c r="L4" s="25" t="s">
        <v>52</v>
      </c>
      <c r="M4" s="24" t="s">
        <v>53</v>
      </c>
      <c r="N4" s="24" t="s">
        <v>35</v>
      </c>
      <c r="O4" s="24" t="s">
        <v>36</v>
      </c>
      <c r="P4" s="24" t="s">
        <v>31</v>
      </c>
      <c r="Q4" s="24"/>
      <c r="R4" s="23"/>
      <c r="S4" s="24"/>
      <c r="T4" s="24"/>
      <c r="U4" s="24"/>
    </row>
    <row r="5" spans="2:21" ht="15.6" x14ac:dyDescent="0.3">
      <c r="B5" s="175"/>
      <c r="C5" s="175"/>
      <c r="D5" s="175"/>
      <c r="E5" s="175"/>
      <c r="F5" s="175"/>
      <c r="G5" s="26"/>
      <c r="H5" s="26" t="s">
        <v>20</v>
      </c>
      <c r="I5" s="26" t="s">
        <v>56</v>
      </c>
      <c r="J5" s="26" t="s">
        <v>56</v>
      </c>
      <c r="K5" s="26" t="s">
        <v>56</v>
      </c>
      <c r="L5" s="26" t="s">
        <v>56</v>
      </c>
      <c r="M5" s="26" t="s">
        <v>56</v>
      </c>
      <c r="N5" s="26" t="s">
        <v>56</v>
      </c>
      <c r="O5" s="26" t="s">
        <v>56</v>
      </c>
      <c r="P5" s="26" t="s">
        <v>56</v>
      </c>
      <c r="Q5" s="23"/>
      <c r="R5" s="23"/>
      <c r="S5" s="23"/>
      <c r="T5" s="23"/>
      <c r="U5" s="23"/>
    </row>
    <row r="6" spans="2:21" ht="15.6" x14ac:dyDescent="0.3">
      <c r="B6" s="175"/>
      <c r="C6" s="28" t="s">
        <v>184</v>
      </c>
      <c r="D6" s="28"/>
      <c r="E6" s="176">
        <v>2.7E-2</v>
      </c>
      <c r="F6" s="51"/>
      <c r="G6" s="160" t="s">
        <v>22</v>
      </c>
      <c r="H6" s="160" t="s">
        <v>23</v>
      </c>
      <c r="I6" s="160" t="s">
        <v>24</v>
      </c>
      <c r="J6" s="160" t="s">
        <v>25</v>
      </c>
      <c r="K6" s="160" t="s">
        <v>26</v>
      </c>
      <c r="L6" s="160" t="s">
        <v>32</v>
      </c>
      <c r="M6" s="160" t="s">
        <v>27</v>
      </c>
      <c r="N6" s="160" t="s">
        <v>28</v>
      </c>
      <c r="O6" s="160" t="s">
        <v>39</v>
      </c>
      <c r="P6" s="160" t="s">
        <v>75</v>
      </c>
      <c r="Q6" s="27"/>
      <c r="R6" s="23"/>
      <c r="S6" s="192"/>
      <c r="T6" s="27"/>
      <c r="U6" s="23"/>
    </row>
    <row r="7" spans="2:21" ht="15.6" x14ac:dyDescent="0.3">
      <c r="B7" s="34"/>
      <c r="C7" s="28" t="s">
        <v>49</v>
      </c>
      <c r="D7" s="28"/>
      <c r="E7" s="177">
        <f>Rate_of_Return</f>
        <v>7.3899999999999993E-2</v>
      </c>
      <c r="F7" s="178"/>
      <c r="G7" s="168">
        <f>'Energy Prices'!C6</f>
        <v>2023</v>
      </c>
      <c r="H7" s="163">
        <v>1</v>
      </c>
      <c r="I7" s="179">
        <f>'Energy Prices'!P6</f>
        <v>37.003749653633584</v>
      </c>
      <c r="J7" s="179">
        <f>I7*$E$6</f>
        <v>0.99910124064810679</v>
      </c>
      <c r="K7" s="179">
        <v>0</v>
      </c>
      <c r="L7" s="179">
        <v>0</v>
      </c>
      <c r="M7" s="179">
        <v>0</v>
      </c>
      <c r="N7" s="179">
        <f>(I7+J7+K7+L7+M7)/((1+$E$7)^H7)</f>
        <v>35.387699873621088</v>
      </c>
      <c r="O7" s="179">
        <f>N7</f>
        <v>35.387699873621088</v>
      </c>
      <c r="P7" s="179">
        <f>(-PMT($E$7,H7,(O7)))</f>
        <v>38.002850894281686</v>
      </c>
      <c r="Q7" s="180"/>
      <c r="R7" s="181"/>
      <c r="S7" s="182"/>
      <c r="T7" s="183"/>
      <c r="U7" s="183"/>
    </row>
    <row r="8" spans="2:21" ht="15.6" x14ac:dyDescent="0.3">
      <c r="B8" s="175"/>
      <c r="C8" s="28" t="s">
        <v>50</v>
      </c>
      <c r="D8" s="28"/>
      <c r="E8" s="177">
        <v>2.5000000000000001E-2</v>
      </c>
      <c r="F8" s="178"/>
      <c r="G8" s="38">
        <f>G7+1</f>
        <v>2024</v>
      </c>
      <c r="H8" s="39">
        <v>2</v>
      </c>
      <c r="I8" s="184">
        <f>'Energy Prices'!P7</f>
        <v>34.596454546131412</v>
      </c>
      <c r="J8" s="184">
        <f>I8*$E$6</f>
        <v>0.93410427274554808</v>
      </c>
      <c r="K8" s="184">
        <f>+$K$7</f>
        <v>0</v>
      </c>
      <c r="L8" s="184">
        <v>0</v>
      </c>
      <c r="M8" s="184">
        <v>0</v>
      </c>
      <c r="N8" s="184">
        <f t="shared" ref="N8:N25" si="0">(I8+J8+K8+L8+M8)/((1+$E$7)^H8)</f>
        <v>30.80876952314815</v>
      </c>
      <c r="O8" s="184">
        <f t="shared" ref="O8:O25" si="1">N8+O7</f>
        <v>66.196469396769231</v>
      </c>
      <c r="P8" s="179">
        <f>(-PMT($E$7,H8,(O8)))</f>
        <v>36.810752878270911</v>
      </c>
      <c r="Q8" s="180"/>
      <c r="R8" s="181"/>
      <c r="S8" s="182"/>
      <c r="T8" s="183"/>
      <c r="U8" s="183"/>
    </row>
    <row r="9" spans="2:21" ht="15.6" x14ac:dyDescent="0.3">
      <c r="B9" s="175"/>
      <c r="C9" s="28"/>
      <c r="D9" s="28"/>
      <c r="E9" s="178"/>
      <c r="F9" s="185"/>
      <c r="G9" s="38">
        <f t="shared" ref="G9:G27" si="2">G8+1</f>
        <v>2025</v>
      </c>
      <c r="H9" s="39">
        <v>3</v>
      </c>
      <c r="I9" s="184">
        <f>'Energy Prices'!P8</f>
        <v>35.070436061334384</v>
      </c>
      <c r="J9" s="184">
        <f>I9*$E$6</f>
        <v>0.94690177365602834</v>
      </c>
      <c r="K9" s="184">
        <f t="shared" ref="K9:K27" si="3">+$K$7</f>
        <v>0</v>
      </c>
      <c r="L9" s="184">
        <v>0</v>
      </c>
      <c r="M9" s="184">
        <v>0</v>
      </c>
      <c r="N9" s="184">
        <f t="shared" si="0"/>
        <v>29.081719572671251</v>
      </c>
      <c r="O9" s="184">
        <f t="shared" si="1"/>
        <v>95.278188969440478</v>
      </c>
      <c r="P9" s="179">
        <f t="shared" ref="P9:P27" si="4">(-PMT($E$7,H9,(O9)))</f>
        <v>36.564897468004467</v>
      </c>
      <c r="Q9" s="180"/>
      <c r="R9" s="181"/>
      <c r="S9" s="182"/>
      <c r="T9" s="183"/>
      <c r="U9" s="183"/>
    </row>
    <row r="10" spans="2:21" x14ac:dyDescent="0.25">
      <c r="B10" s="175"/>
      <c r="C10" s="175"/>
      <c r="D10" s="175"/>
      <c r="E10" s="175"/>
      <c r="F10" s="178"/>
      <c r="G10" s="38">
        <f t="shared" si="2"/>
        <v>2026</v>
      </c>
      <c r="H10" s="39">
        <v>4</v>
      </c>
      <c r="I10" s="184">
        <f>'Energy Prices'!P9</f>
        <v>37.540151969641975</v>
      </c>
      <c r="J10" s="184">
        <f t="shared" ref="J10:J25" si="5">I10*$E$6</f>
        <v>1.0135841031803334</v>
      </c>
      <c r="K10" s="184">
        <f t="shared" si="3"/>
        <v>0</v>
      </c>
      <c r="L10" s="184">
        <v>0</v>
      </c>
      <c r="M10" s="184">
        <v>0</v>
      </c>
      <c r="N10" s="184">
        <f t="shared" si="0"/>
        <v>28.987522615839051</v>
      </c>
      <c r="O10" s="184">
        <f t="shared" si="1"/>
        <v>124.26571158527953</v>
      </c>
      <c r="P10" s="179">
        <f t="shared" si="4"/>
        <v>37.010261369557455</v>
      </c>
      <c r="Q10" s="180"/>
      <c r="R10" s="181"/>
      <c r="S10" s="182"/>
      <c r="T10" s="183"/>
      <c r="U10" s="183"/>
    </row>
    <row r="11" spans="2:21" x14ac:dyDescent="0.25">
      <c r="B11" s="175"/>
      <c r="C11" s="175"/>
      <c r="D11" s="175"/>
      <c r="E11" s="175"/>
      <c r="F11" s="178"/>
      <c r="G11" s="38">
        <f t="shared" si="2"/>
        <v>2027</v>
      </c>
      <c r="H11" s="39">
        <v>5</v>
      </c>
      <c r="I11" s="184">
        <f>'Energy Prices'!P10</f>
        <v>42.001204945392658</v>
      </c>
      <c r="J11" s="184">
        <f t="shared" si="5"/>
        <v>1.1340325335256018</v>
      </c>
      <c r="K11" s="184">
        <f t="shared" si="3"/>
        <v>0</v>
      </c>
      <c r="L11" s="184">
        <v>0</v>
      </c>
      <c r="M11" s="184">
        <v>0</v>
      </c>
      <c r="N11" s="184">
        <f t="shared" si="0"/>
        <v>30.200419909858468</v>
      </c>
      <c r="O11" s="184">
        <f t="shared" si="1"/>
        <v>154.466131495138</v>
      </c>
      <c r="P11" s="179">
        <f t="shared" si="4"/>
        <v>38.067082555830289</v>
      </c>
      <c r="Q11" s="180"/>
      <c r="R11" s="181"/>
      <c r="S11" s="182"/>
      <c r="T11" s="183"/>
      <c r="U11" s="183"/>
    </row>
    <row r="12" spans="2:21" x14ac:dyDescent="0.25">
      <c r="B12" s="192"/>
      <c r="C12" s="192"/>
      <c r="D12" s="192"/>
      <c r="E12" s="192"/>
      <c r="F12" s="175"/>
      <c r="G12" s="38">
        <f t="shared" si="2"/>
        <v>2028</v>
      </c>
      <c r="H12" s="39">
        <v>6</v>
      </c>
      <c r="I12" s="184">
        <f>'Energy Prices'!P11</f>
        <v>43.420310196516546</v>
      </c>
      <c r="J12" s="184">
        <f t="shared" si="5"/>
        <v>1.1723483753059467</v>
      </c>
      <c r="K12" s="184">
        <f t="shared" si="3"/>
        <v>0</v>
      </c>
      <c r="L12" s="184">
        <v>0</v>
      </c>
      <c r="M12" s="184">
        <v>0</v>
      </c>
      <c r="N12" s="184">
        <f>(I12+J12+K12+L12+M12)/((1+$E$7)^H12)</f>
        <v>29.072361556699395</v>
      </c>
      <c r="O12" s="184">
        <f t="shared" si="1"/>
        <v>183.53849305183741</v>
      </c>
      <c r="P12" s="179">
        <f t="shared" si="4"/>
        <v>38.970406608727266</v>
      </c>
      <c r="Q12" s="180"/>
      <c r="R12" s="181"/>
      <c r="S12" s="182"/>
      <c r="T12" s="183"/>
      <c r="U12" s="183"/>
    </row>
    <row r="13" spans="2:21" x14ac:dyDescent="0.25">
      <c r="B13" s="192"/>
      <c r="C13" s="192"/>
      <c r="D13" s="192"/>
      <c r="E13" s="192"/>
      <c r="F13" s="175"/>
      <c r="G13" s="38">
        <f t="shared" si="2"/>
        <v>2029</v>
      </c>
      <c r="H13" s="39">
        <v>7</v>
      </c>
      <c r="I13" s="184">
        <f>'Energy Prices'!P12</f>
        <v>43.621537398628909</v>
      </c>
      <c r="J13" s="184">
        <f t="shared" si="5"/>
        <v>1.1777815097629805</v>
      </c>
      <c r="K13" s="184">
        <f t="shared" si="3"/>
        <v>0</v>
      </c>
      <c r="L13" s="184">
        <v>0</v>
      </c>
      <c r="M13" s="184">
        <v>0</v>
      </c>
      <c r="N13" s="184">
        <f t="shared" si="0"/>
        <v>27.197220027122</v>
      </c>
      <c r="O13" s="184">
        <f t="shared" si="1"/>
        <v>210.73571307895941</v>
      </c>
      <c r="P13" s="179">
        <f t="shared" si="4"/>
        <v>39.635973972177226</v>
      </c>
      <c r="Q13" s="180"/>
      <c r="R13" s="181"/>
      <c r="S13" s="182"/>
      <c r="T13" s="183"/>
      <c r="U13" s="183"/>
    </row>
    <row r="14" spans="2:21" x14ac:dyDescent="0.25">
      <c r="B14" s="192"/>
      <c r="C14" s="192"/>
      <c r="D14" s="192"/>
      <c r="E14" s="192"/>
      <c r="F14" s="178"/>
      <c r="G14" s="38">
        <f t="shared" si="2"/>
        <v>2030</v>
      </c>
      <c r="H14" s="39">
        <v>8</v>
      </c>
      <c r="I14" s="184">
        <f>'Energy Prices'!P13</f>
        <v>43.106352287817842</v>
      </c>
      <c r="J14" s="184">
        <f t="shared" si="5"/>
        <v>1.1638715117710816</v>
      </c>
      <c r="K14" s="184">
        <f t="shared" si="3"/>
        <v>0</v>
      </c>
      <c r="L14" s="184">
        <v>0</v>
      </c>
      <c r="M14" s="184">
        <v>0</v>
      </c>
      <c r="N14" s="184">
        <f>(I14+J14+K14+L14+M14)/((1+$E$7)^H14)</f>
        <v>25.026549641189195</v>
      </c>
      <c r="O14" s="184">
        <f t="shared" si="1"/>
        <v>235.76226272014861</v>
      </c>
      <c r="P14" s="179">
        <f t="shared" si="4"/>
        <v>40.081360282993664</v>
      </c>
      <c r="Q14" s="180"/>
      <c r="R14" s="181"/>
      <c r="S14" s="182"/>
      <c r="T14" s="183"/>
      <c r="U14" s="183"/>
    </row>
    <row r="15" spans="2:21" x14ac:dyDescent="0.25">
      <c r="B15" s="192"/>
      <c r="C15" s="192"/>
      <c r="D15" s="192"/>
      <c r="E15" s="192"/>
      <c r="F15" s="175"/>
      <c r="G15" s="38">
        <f t="shared" si="2"/>
        <v>2031</v>
      </c>
      <c r="H15" s="39">
        <v>9</v>
      </c>
      <c r="I15" s="184">
        <f>'Energy Prices'!P14</f>
        <v>43.347656803115463</v>
      </c>
      <c r="J15" s="184">
        <f t="shared" si="5"/>
        <v>1.1703867336841174</v>
      </c>
      <c r="K15" s="184">
        <f t="shared" si="3"/>
        <v>0</v>
      </c>
      <c r="L15" s="184">
        <v>0</v>
      </c>
      <c r="M15" s="184">
        <v>0</v>
      </c>
      <c r="N15" s="184">
        <f t="shared" si="0"/>
        <v>23.43481278824504</v>
      </c>
      <c r="O15" s="184">
        <f t="shared" si="1"/>
        <v>259.19707550839365</v>
      </c>
      <c r="P15" s="179">
        <f t="shared" si="4"/>
        <v>40.445801249137055</v>
      </c>
      <c r="Q15" s="180"/>
      <c r="R15" s="181"/>
      <c r="S15" s="182"/>
      <c r="T15" s="183"/>
      <c r="U15" s="183"/>
    </row>
    <row r="16" spans="2:21" x14ac:dyDescent="0.25">
      <c r="B16" s="192"/>
      <c r="C16" s="192"/>
      <c r="D16" s="192"/>
      <c r="E16" s="192"/>
      <c r="F16" s="186"/>
      <c r="G16" s="38">
        <f t="shared" si="2"/>
        <v>2032</v>
      </c>
      <c r="H16" s="39">
        <v>10</v>
      </c>
      <c r="I16" s="184">
        <f>'Energy Prices'!P15</f>
        <v>44.050031525100842</v>
      </c>
      <c r="J16" s="184">
        <f t="shared" si="5"/>
        <v>1.1893508511777227</v>
      </c>
      <c r="K16" s="184">
        <f t="shared" si="3"/>
        <v>0</v>
      </c>
      <c r="L16" s="184">
        <v>0</v>
      </c>
      <c r="M16" s="184">
        <v>0</v>
      </c>
      <c r="N16" s="184">
        <f t="shared" si="0"/>
        <v>22.175746245183465</v>
      </c>
      <c r="O16" s="184">
        <f t="shared" si="1"/>
        <v>281.37282175357711</v>
      </c>
      <c r="P16" s="179">
        <f t="shared" si="4"/>
        <v>40.786409360273041</v>
      </c>
      <c r="Q16" s="180"/>
      <c r="R16" s="181"/>
      <c r="S16" s="182"/>
      <c r="T16" s="183"/>
      <c r="U16" s="183"/>
    </row>
    <row r="17" spans="2:21" x14ac:dyDescent="0.25">
      <c r="B17" s="192"/>
      <c r="C17" s="192"/>
      <c r="D17" s="192"/>
      <c r="E17" s="192"/>
      <c r="F17" s="187"/>
      <c r="G17" s="38">
        <f t="shared" si="2"/>
        <v>2033</v>
      </c>
      <c r="H17" s="39">
        <v>11</v>
      </c>
      <c r="I17" s="184">
        <f>'Energy Prices'!P16</f>
        <v>46.076699024393896</v>
      </c>
      <c r="J17" s="184">
        <f t="shared" si="5"/>
        <v>1.2440708736586352</v>
      </c>
      <c r="K17" s="184">
        <f t="shared" si="3"/>
        <v>0</v>
      </c>
      <c r="L17" s="184">
        <v>0</v>
      </c>
      <c r="M17" s="184">
        <v>0</v>
      </c>
      <c r="N17" s="184">
        <f t="shared" si="0"/>
        <v>21.599790343215158</v>
      </c>
      <c r="O17" s="184">
        <f t="shared" si="1"/>
        <v>302.97261209679226</v>
      </c>
      <c r="P17" s="179">
        <f t="shared" si="4"/>
        <v>41.191926825172899</v>
      </c>
      <c r="Q17" s="180"/>
      <c r="R17" s="181"/>
      <c r="S17" s="182"/>
      <c r="T17" s="183"/>
      <c r="U17" s="183"/>
    </row>
    <row r="18" spans="2:21" x14ac:dyDescent="0.25">
      <c r="B18" s="192"/>
      <c r="C18" s="192"/>
      <c r="D18" s="192"/>
      <c r="E18" s="192"/>
      <c r="F18" s="187"/>
      <c r="G18" s="38">
        <f t="shared" si="2"/>
        <v>2034</v>
      </c>
      <c r="H18" s="39">
        <v>12</v>
      </c>
      <c r="I18" s="184">
        <f>'Energy Prices'!P17</f>
        <v>46.842809324336052</v>
      </c>
      <c r="J18" s="184">
        <f t="shared" si="5"/>
        <v>1.2647558517570734</v>
      </c>
      <c r="K18" s="184">
        <f t="shared" si="3"/>
        <v>0</v>
      </c>
      <c r="L18" s="184">
        <v>0</v>
      </c>
      <c r="M18" s="184">
        <v>0</v>
      </c>
      <c r="N18" s="184">
        <f t="shared" si="0"/>
        <v>20.447832002646056</v>
      </c>
      <c r="O18" s="184">
        <f t="shared" si="1"/>
        <v>323.42044409943833</v>
      </c>
      <c r="P18" s="179">
        <f t="shared" si="4"/>
        <v>41.569739039826608</v>
      </c>
      <c r="Q18" s="180"/>
      <c r="R18" s="181"/>
      <c r="S18" s="182"/>
      <c r="T18" s="183"/>
      <c r="U18" s="183"/>
    </row>
    <row r="19" spans="2:21" x14ac:dyDescent="0.25">
      <c r="B19" s="192"/>
      <c r="C19" s="192"/>
      <c r="D19" s="192"/>
      <c r="E19" s="192"/>
      <c r="F19" s="187"/>
      <c r="G19" s="38">
        <f t="shared" si="2"/>
        <v>2035</v>
      </c>
      <c r="H19" s="39">
        <v>13</v>
      </c>
      <c r="I19" s="184">
        <f>'Energy Prices'!P18</f>
        <v>49.568788266486955</v>
      </c>
      <c r="J19" s="184">
        <f>I19*$E$6</f>
        <v>1.3383572831951478</v>
      </c>
      <c r="K19" s="184">
        <f t="shared" si="3"/>
        <v>0</v>
      </c>
      <c r="L19" s="184">
        <v>0</v>
      </c>
      <c r="M19" s="184">
        <v>0</v>
      </c>
      <c r="N19" s="184">
        <f t="shared" si="0"/>
        <v>20.148781867052644</v>
      </c>
      <c r="O19" s="184">
        <f t="shared" si="1"/>
        <v>343.56922596649099</v>
      </c>
      <c r="P19" s="179">
        <f t="shared" si="4"/>
        <v>42.021757605008418</v>
      </c>
      <c r="Q19" s="180"/>
      <c r="R19" s="181"/>
      <c r="S19" s="182"/>
      <c r="T19" s="183"/>
      <c r="U19" s="183"/>
    </row>
    <row r="20" spans="2:21" x14ac:dyDescent="0.25">
      <c r="B20" s="192"/>
      <c r="C20" s="192"/>
      <c r="D20" s="192"/>
      <c r="E20" s="192"/>
      <c r="F20" s="187"/>
      <c r="G20" s="38">
        <f t="shared" si="2"/>
        <v>2036</v>
      </c>
      <c r="H20" s="39">
        <v>14</v>
      </c>
      <c r="I20" s="184">
        <f>'Energy Prices'!P19</f>
        <v>50.045797038450637</v>
      </c>
      <c r="J20" s="184">
        <f t="shared" si="5"/>
        <v>1.3512365200381671</v>
      </c>
      <c r="K20" s="184">
        <f t="shared" si="3"/>
        <v>0</v>
      </c>
      <c r="L20" s="184">
        <v>0</v>
      </c>
      <c r="M20" s="184">
        <v>0</v>
      </c>
      <c r="N20" s="184">
        <f t="shared" si="0"/>
        <v>18.942803778647221</v>
      </c>
      <c r="O20" s="184">
        <f t="shared" si="1"/>
        <v>362.51202974513819</v>
      </c>
      <c r="P20" s="179">
        <f t="shared" si="4"/>
        <v>42.426148577519726</v>
      </c>
      <c r="Q20" s="180"/>
      <c r="R20" s="181"/>
      <c r="S20" s="182"/>
      <c r="T20" s="183"/>
      <c r="U20" s="183"/>
    </row>
    <row r="21" spans="2:21" x14ac:dyDescent="0.25">
      <c r="B21" s="192"/>
      <c r="C21" s="192"/>
      <c r="D21" s="192"/>
      <c r="E21" s="192"/>
      <c r="F21" s="187"/>
      <c r="G21" s="37">
        <f t="shared" si="2"/>
        <v>2037</v>
      </c>
      <c r="H21" s="37">
        <v>15</v>
      </c>
      <c r="I21" s="184">
        <f>'Energy Prices'!P20</f>
        <v>51.45092858290873</v>
      </c>
      <c r="J21" s="184">
        <f t="shared" si="5"/>
        <v>1.3891750717385356</v>
      </c>
      <c r="K21" s="184">
        <f t="shared" si="3"/>
        <v>0</v>
      </c>
      <c r="L21" s="184">
        <v>0</v>
      </c>
      <c r="M21" s="184">
        <v>0</v>
      </c>
      <c r="N21" s="184">
        <f>(I21+J21+K21+L21+M21)/((1+$E$7)^H21)</f>
        <v>18.134518347268891</v>
      </c>
      <c r="O21" s="184">
        <f>N21+O20</f>
        <v>380.6465480924071</v>
      </c>
      <c r="P21" s="179">
        <f t="shared" si="4"/>
        <v>42.828278870585628</v>
      </c>
      <c r="Q21" s="180"/>
      <c r="R21" s="181"/>
      <c r="S21" s="182"/>
      <c r="T21" s="183"/>
      <c r="U21" s="183"/>
    </row>
    <row r="22" spans="2:21" x14ac:dyDescent="0.25">
      <c r="B22" s="192"/>
      <c r="C22" s="192"/>
      <c r="D22" s="192"/>
      <c r="E22" s="192"/>
      <c r="F22" s="187"/>
      <c r="G22" s="38">
        <f t="shared" si="2"/>
        <v>2038</v>
      </c>
      <c r="H22" s="39">
        <v>16</v>
      </c>
      <c r="I22" s="184">
        <f>'Energy Prices'!P21</f>
        <v>51.929505413253892</v>
      </c>
      <c r="J22" s="184">
        <f t="shared" si="5"/>
        <v>1.402096646157855</v>
      </c>
      <c r="K22" s="184">
        <f t="shared" si="3"/>
        <v>0</v>
      </c>
      <c r="L22" s="184">
        <v>0</v>
      </c>
      <c r="M22" s="184">
        <v>0</v>
      </c>
      <c r="N22" s="184">
        <f t="shared" si="0"/>
        <v>17.043671376144015</v>
      </c>
      <c r="O22" s="184">
        <f t="shared" si="1"/>
        <v>397.69021946855111</v>
      </c>
      <c r="P22" s="179">
        <f t="shared" si="4"/>
        <v>43.192841473145862</v>
      </c>
      <c r="Q22" s="180"/>
      <c r="R22" s="181"/>
      <c r="S22" s="182"/>
      <c r="T22" s="183"/>
      <c r="U22" s="183"/>
    </row>
    <row r="23" spans="2:21" x14ac:dyDescent="0.25">
      <c r="B23" s="192"/>
      <c r="C23" s="192"/>
      <c r="D23" s="192"/>
      <c r="E23" s="192"/>
      <c r="F23" s="187"/>
      <c r="G23" s="38">
        <f t="shared" si="2"/>
        <v>2039</v>
      </c>
      <c r="H23" s="39">
        <v>17</v>
      </c>
      <c r="I23" s="184">
        <f>'Energy Prices'!P22</f>
        <v>53.736573937015542</v>
      </c>
      <c r="J23" s="184">
        <f t="shared" si="5"/>
        <v>1.4508874962994196</v>
      </c>
      <c r="K23" s="184">
        <f t="shared" si="3"/>
        <v>0</v>
      </c>
      <c r="L23" s="184">
        <v>0</v>
      </c>
      <c r="M23" s="184">
        <v>0</v>
      </c>
      <c r="N23" s="184">
        <f t="shared" si="0"/>
        <v>16.423098475622702</v>
      </c>
      <c r="O23" s="184">
        <f t="shared" si="1"/>
        <v>414.11331794417379</v>
      </c>
      <c r="P23" s="179">
        <f t="shared" si="4"/>
        <v>43.568379029828797</v>
      </c>
      <c r="Q23" s="180"/>
      <c r="R23" s="181"/>
      <c r="S23" s="182"/>
      <c r="T23" s="183"/>
      <c r="U23" s="183"/>
    </row>
    <row r="24" spans="2:21" x14ac:dyDescent="0.25">
      <c r="B24" s="192"/>
      <c r="C24" s="192"/>
      <c r="D24" s="192"/>
      <c r="E24" s="192"/>
      <c r="F24" s="187"/>
      <c r="G24" s="38">
        <f t="shared" si="2"/>
        <v>2040</v>
      </c>
      <c r="H24" s="39">
        <v>18</v>
      </c>
      <c r="I24" s="184">
        <f>'Energy Prices'!P23</f>
        <v>54.445913760881787</v>
      </c>
      <c r="J24" s="184">
        <f t="shared" si="5"/>
        <v>1.4700396715438082</v>
      </c>
      <c r="K24" s="184">
        <f t="shared" si="3"/>
        <v>0</v>
      </c>
      <c r="L24" s="184">
        <v>0</v>
      </c>
      <c r="M24" s="184">
        <v>0</v>
      </c>
      <c r="N24" s="184">
        <f t="shared" si="0"/>
        <v>15.494821292224238</v>
      </c>
      <c r="O24" s="184">
        <f t="shared" si="1"/>
        <v>429.60813923639802</v>
      </c>
      <c r="P24" s="179">
        <f t="shared" si="4"/>
        <v>43.918166451748931</v>
      </c>
      <c r="Q24" s="180"/>
      <c r="R24" s="181"/>
      <c r="S24" s="182"/>
      <c r="T24" s="183"/>
      <c r="U24" s="183"/>
    </row>
    <row r="25" spans="2:21" x14ac:dyDescent="0.25">
      <c r="B25" s="192"/>
      <c r="C25" s="192"/>
      <c r="D25" s="192"/>
      <c r="E25" s="192"/>
      <c r="F25" s="187"/>
      <c r="G25" s="38">
        <f t="shared" si="2"/>
        <v>2041</v>
      </c>
      <c r="H25" s="39">
        <v>19</v>
      </c>
      <c r="I25" s="184">
        <f>'Energy Prices'!P24</f>
        <v>57.113433817802267</v>
      </c>
      <c r="J25" s="184">
        <f t="shared" si="5"/>
        <v>1.5420627130806612</v>
      </c>
      <c r="K25" s="184">
        <f t="shared" si="3"/>
        <v>0</v>
      </c>
      <c r="L25" s="184">
        <v>0</v>
      </c>
      <c r="M25" s="184">
        <v>0</v>
      </c>
      <c r="N25" s="184">
        <f t="shared" si="0"/>
        <v>15.135462986240356</v>
      </c>
      <c r="O25" s="184">
        <f t="shared" si="1"/>
        <v>444.7436022226384</v>
      </c>
      <c r="P25" s="179">
        <f t="shared" si="4"/>
        <v>44.296931361992513</v>
      </c>
      <c r="Q25" s="180"/>
      <c r="R25" s="181"/>
      <c r="S25" s="182"/>
      <c r="T25" s="183"/>
      <c r="U25" s="183"/>
    </row>
    <row r="26" spans="2:21" x14ac:dyDescent="0.25">
      <c r="B26" s="192"/>
      <c r="C26" s="192"/>
      <c r="D26" s="192"/>
      <c r="E26" s="192"/>
      <c r="F26" s="187"/>
      <c r="G26" s="38">
        <f t="shared" si="2"/>
        <v>2042</v>
      </c>
      <c r="H26" s="39">
        <v>20</v>
      </c>
      <c r="I26" s="184">
        <f>'Energy Prices'!P25</f>
        <v>59.272512208452937</v>
      </c>
      <c r="J26" s="184">
        <f t="shared" ref="J26" si="6">I26*$E$6</f>
        <v>1.6003578296282293</v>
      </c>
      <c r="K26" s="184">
        <f t="shared" si="3"/>
        <v>0</v>
      </c>
      <c r="L26" s="184">
        <v>0</v>
      </c>
      <c r="M26" s="184">
        <v>0</v>
      </c>
      <c r="N26" s="184">
        <f t="shared" ref="N26" si="7">(I26+J26+K26+L26+M26)/((1+$E$7)^H26)</f>
        <v>14.626719429588109</v>
      </c>
      <c r="O26" s="184">
        <f t="shared" ref="O26" si="8">N26+O25</f>
        <v>459.37032165222649</v>
      </c>
      <c r="P26" s="179">
        <f t="shared" si="4"/>
        <v>44.684361955064901</v>
      </c>
      <c r="Q26" s="180"/>
      <c r="R26" s="181"/>
      <c r="S26" s="182"/>
      <c r="T26" s="183"/>
      <c r="U26" s="183"/>
    </row>
    <row r="27" spans="2:21" x14ac:dyDescent="0.25">
      <c r="C27" s="192"/>
      <c r="D27" s="192"/>
      <c r="E27" s="195"/>
      <c r="F27" s="192"/>
      <c r="G27" s="38">
        <f t="shared" si="2"/>
        <v>2043</v>
      </c>
      <c r="H27" s="37">
        <v>21</v>
      </c>
      <c r="I27" s="184">
        <f>'Energy Prices'!P26</f>
        <v>61.160414269182276</v>
      </c>
      <c r="J27" s="184">
        <f>I27*$E$6</f>
        <v>1.6513311852679213</v>
      </c>
      <c r="K27" s="184">
        <f t="shared" si="3"/>
        <v>0</v>
      </c>
      <c r="L27" s="184">
        <v>0</v>
      </c>
      <c r="M27" s="184">
        <v>0</v>
      </c>
      <c r="N27" s="184">
        <f>(I27+J27+K27+L27+M27)/((1+$E$7)^H27)</f>
        <v>14.054007212838686</v>
      </c>
      <c r="O27" s="184">
        <f>N27+O26</f>
        <v>473.42432886506521</v>
      </c>
      <c r="P27" s="179">
        <f t="shared" si="4"/>
        <v>45.070494299313111</v>
      </c>
      <c r="Q27" s="180"/>
      <c r="R27" s="181"/>
      <c r="S27" s="182"/>
      <c r="T27" s="183"/>
      <c r="U27" s="183"/>
    </row>
    <row r="28" spans="2:21" x14ac:dyDescent="0.25">
      <c r="C28" s="192"/>
      <c r="D28" s="192"/>
      <c r="E28" s="195"/>
      <c r="F28" s="192"/>
      <c r="G28" s="38"/>
      <c r="H28" s="37"/>
      <c r="I28" s="192"/>
      <c r="J28" s="192"/>
      <c r="K28" s="192"/>
      <c r="L28" s="192"/>
      <c r="M28" s="192"/>
      <c r="N28" s="192"/>
      <c r="O28" s="192"/>
      <c r="P28" s="192"/>
      <c r="Q28" s="180"/>
      <c r="R28" s="181"/>
      <c r="S28" s="182"/>
      <c r="T28" s="183"/>
      <c r="U28" s="183"/>
    </row>
    <row r="29" spans="2:21" ht="15.6" x14ac:dyDescent="0.3">
      <c r="B29" s="28" t="s">
        <v>25</v>
      </c>
      <c r="C29" s="53" t="s">
        <v>77</v>
      </c>
      <c r="D29" s="192"/>
      <c r="E29" s="195"/>
      <c r="F29" s="192"/>
      <c r="H29" s="192"/>
      <c r="I29" s="192"/>
      <c r="J29" s="192"/>
      <c r="K29" s="192"/>
      <c r="L29" s="192"/>
      <c r="M29" s="192"/>
      <c r="N29" s="192"/>
      <c r="O29" s="192"/>
      <c r="P29" s="192"/>
      <c r="Q29" s="180"/>
      <c r="R29" s="181"/>
      <c r="S29" s="182"/>
      <c r="T29" s="183"/>
      <c r="U29" s="183"/>
    </row>
    <row r="30" spans="2:21" ht="15.6" x14ac:dyDescent="0.3">
      <c r="B30" s="28"/>
      <c r="C30" s="57" t="s">
        <v>78</v>
      </c>
      <c r="D30" s="192"/>
      <c r="E30" s="195"/>
      <c r="F30" s="192"/>
      <c r="H30" s="192"/>
      <c r="I30" s="192"/>
      <c r="J30" s="192"/>
      <c r="K30" s="192"/>
      <c r="L30" s="192"/>
      <c r="M30" s="192"/>
      <c r="N30" s="192"/>
      <c r="O30" s="192"/>
      <c r="P30" s="192"/>
      <c r="Q30" s="180"/>
      <c r="R30" s="181"/>
      <c r="S30" s="182"/>
      <c r="T30" s="183"/>
      <c r="U30" s="183"/>
    </row>
    <row r="31" spans="2:21" ht="15.6" x14ac:dyDescent="0.3">
      <c r="B31" s="28"/>
      <c r="C31" s="53"/>
      <c r="D31" s="53"/>
      <c r="F31" s="192"/>
      <c r="Q31" s="192"/>
      <c r="R31" s="192"/>
      <c r="S31" s="192"/>
      <c r="T31" s="192"/>
      <c r="U31" s="192"/>
    </row>
    <row r="32" spans="2:21" ht="15.6" x14ac:dyDescent="0.3">
      <c r="B32" s="22"/>
    </row>
    <row r="33" spans="2:2" ht="15.6" x14ac:dyDescent="0.3">
      <c r="B33" s="28"/>
    </row>
  </sheetData>
  <phoneticPr fontId="14"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workbookViewId="0">
      <selection activeCell="A22" sqref="A22"/>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6" t="s">
        <v>19</v>
      </c>
      <c r="X4" s="237"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8" t="s">
        <v>37</v>
      </c>
      <c r="X5" s="239" t="s">
        <v>38</v>
      </c>
    </row>
    <row r="6" spans="1:24" ht="15.6" x14ac:dyDescent="0.3">
      <c r="A6" s="167"/>
      <c r="B6" s="167"/>
      <c r="C6" s="161" t="s">
        <v>21</v>
      </c>
      <c r="D6" s="318">
        <f>12.61*(1+D9)^(F7-2020)</f>
        <v>13.579590781249998</v>
      </c>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40" t="s">
        <v>39</v>
      </c>
      <c r="X6" s="241" t="s">
        <v>75</v>
      </c>
    </row>
    <row r="7" spans="1:24" ht="15.6" x14ac:dyDescent="0.3">
      <c r="A7" s="167"/>
      <c r="B7" s="50"/>
      <c r="C7" s="20" t="s">
        <v>29</v>
      </c>
      <c r="D7" s="46">
        <v>0</v>
      </c>
      <c r="E7" s="47"/>
      <c r="F7" s="168">
        <f>'Capacity Delivered'!C7</f>
        <v>2023</v>
      </c>
      <c r="G7" s="163">
        <v>1</v>
      </c>
      <c r="H7" s="169">
        <f>'Capacity Delivered'!G7</f>
        <v>95.27</v>
      </c>
      <c r="I7" s="32">
        <f>SUM(H7)/((1+$D$8)^G7)</f>
        <v>88.71403296396312</v>
      </c>
      <c r="J7" s="164">
        <f>I7</f>
        <v>88.71403296396312</v>
      </c>
      <c r="K7" s="41">
        <f>(-PMT($D$8,G7,(J7)))</f>
        <v>95.27</v>
      </c>
      <c r="L7" s="164">
        <f>+K7/'Capacity Delivered'!N7*1000</f>
        <v>10.875570776255707</v>
      </c>
      <c r="M7" s="234">
        <f t="shared" ref="M7:M27" si="0">L7/1000</f>
        <v>1.0875570776255707E-2</v>
      </c>
      <c r="O7" s="174">
        <f>D6</f>
        <v>13.579590781249998</v>
      </c>
      <c r="P7" s="174">
        <f t="shared" ref="P7:P27" si="1">(H7+O7)*$D$7</f>
        <v>0</v>
      </c>
      <c r="Q7" s="174">
        <f t="shared" ref="Q7:Q27" si="2">SUM(O7:P7)/((1+$D$8)^G7)</f>
        <v>12.645116660070768</v>
      </c>
      <c r="R7" s="174">
        <f>Q7</f>
        <v>12.645116660070768</v>
      </c>
      <c r="S7" s="307">
        <f>(-PMT($D$8,G7,(R7)))</f>
        <v>13.579590781249996</v>
      </c>
      <c r="T7" s="164">
        <f>+S7/'Capacity Delivered'!L7*1000</f>
        <v>1.5501815960331045</v>
      </c>
      <c r="U7" s="234">
        <f t="shared" ref="U7:U20" si="3">T7/1000</f>
        <v>1.5501815960331045E-3</v>
      </c>
      <c r="W7" s="242">
        <f>L7+T7</f>
        <v>12.425752372288811</v>
      </c>
      <c r="X7" s="243">
        <f t="shared" ref="X7:X20" si="4">W7/1000</f>
        <v>1.2425752372288811E-2</v>
      </c>
    </row>
    <row r="8" spans="1:24" ht="15.6" x14ac:dyDescent="0.3">
      <c r="A8" s="167"/>
      <c r="B8" s="50"/>
      <c r="C8" s="20" t="s">
        <v>33</v>
      </c>
      <c r="D8" s="46">
        <f>Rate_of_Return</f>
        <v>7.3899999999999993E-2</v>
      </c>
      <c r="E8" s="47"/>
      <c r="F8" s="38">
        <f>F7+1</f>
        <v>2024</v>
      </c>
      <c r="G8" s="39">
        <v>2</v>
      </c>
      <c r="H8" s="169">
        <f>'Capacity Delivered'!G8</f>
        <v>95.27</v>
      </c>
      <c r="I8" s="40">
        <f t="shared" ref="I8:I27" si="5">SUM(H8)/((1+$D$8)^G8)</f>
        <v>82.609212183595403</v>
      </c>
      <c r="J8" s="41">
        <f t="shared" ref="J8:J26" si="6">J7+I8</f>
        <v>171.32324514755851</v>
      </c>
      <c r="K8" s="41">
        <f t="shared" ref="K8:K27" si="7">(-PMT($D$8,G8,(J8)))</f>
        <v>95.269999999999953</v>
      </c>
      <c r="L8" s="164">
        <f>+K8/'Capacity Delivered'!N8*1000</f>
        <v>10.845856102003637</v>
      </c>
      <c r="M8" s="235">
        <f t="shared" si="0"/>
        <v>1.0845856102003637E-2</v>
      </c>
      <c r="O8" s="169">
        <f t="shared" ref="O8:O27" si="8">O7+(O7*$D$9)</f>
        <v>13.919080550781247</v>
      </c>
      <c r="P8" s="169">
        <f t="shared" si="1"/>
        <v>0</v>
      </c>
      <c r="Q8" s="169">
        <f t="shared" si="2"/>
        <v>12.069321702740046</v>
      </c>
      <c r="R8" s="169">
        <f t="shared" ref="R8:R12" si="9">R7+Q8</f>
        <v>24.714438362810814</v>
      </c>
      <c r="S8" s="307">
        <f t="shared" ref="S8:S27" si="10">(-PMT($D$8,G8,(R8)))</f>
        <v>13.743287087499693</v>
      </c>
      <c r="T8" s="41">
        <f>+S8/'Capacity Delivered'!L8*1000</f>
        <v>1.5645818633310216</v>
      </c>
      <c r="U8" s="235">
        <f t="shared" si="3"/>
        <v>1.5645818633310215E-3</v>
      </c>
      <c r="W8" s="242">
        <f t="shared" ref="W8:W27" si="11">L8+T8</f>
        <v>12.410437965334658</v>
      </c>
      <c r="X8" s="243">
        <f t="shared" si="4"/>
        <v>1.2410437965334658E-2</v>
      </c>
    </row>
    <row r="9" spans="1:24" ht="15.6" x14ac:dyDescent="0.3">
      <c r="A9" s="167"/>
      <c r="B9" s="50"/>
      <c r="C9" s="20" t="s">
        <v>121</v>
      </c>
      <c r="D9" s="46">
        <v>2.5000000000000001E-2</v>
      </c>
      <c r="E9" s="49"/>
      <c r="F9" s="38">
        <f t="shared" ref="F9:F27" si="12">F8+1</f>
        <v>2025</v>
      </c>
      <c r="G9" s="39">
        <v>3</v>
      </c>
      <c r="H9" s="169">
        <f>'Capacity Delivered'!G9</f>
        <v>95.27</v>
      </c>
      <c r="I9" s="40">
        <f t="shared" si="5"/>
        <v>76.924492209326203</v>
      </c>
      <c r="J9" s="41">
        <f t="shared" si="6"/>
        <v>248.24773735688473</v>
      </c>
      <c r="K9" s="41">
        <f t="shared" si="7"/>
        <v>95.269999999999968</v>
      </c>
      <c r="L9" s="164">
        <f>+K9/'Capacity Delivered'!N9*1000</f>
        <v>10.875570776255705</v>
      </c>
      <c r="M9" s="235">
        <f t="shared" si="0"/>
        <v>1.0875570776255705E-2</v>
      </c>
      <c r="O9" s="169">
        <f t="shared" si="8"/>
        <v>14.267057564550779</v>
      </c>
      <c r="P9" s="169">
        <f t="shared" si="1"/>
        <v>0</v>
      </c>
      <c r="Q9" s="169">
        <f t="shared" si="2"/>
        <v>11.519745549221108</v>
      </c>
      <c r="R9" s="169">
        <f t="shared" si="9"/>
        <v>36.234183912031924</v>
      </c>
      <c r="S9" s="307">
        <f t="shared" si="10"/>
        <v>13.90558777313885</v>
      </c>
      <c r="T9" s="41">
        <f>+S9/'Capacity Delivered'!L9*1000</f>
        <v>1.5873958645135673</v>
      </c>
      <c r="U9" s="235">
        <f t="shared" si="3"/>
        <v>1.5873958645135672E-3</v>
      </c>
      <c r="W9" s="242">
        <f t="shared" si="11"/>
        <v>12.462966640769272</v>
      </c>
      <c r="X9" s="243">
        <f t="shared" si="4"/>
        <v>1.2462966640769272E-2</v>
      </c>
    </row>
    <row r="10" spans="1:24" ht="15.6" x14ac:dyDescent="0.3">
      <c r="B10" s="50"/>
      <c r="C10" s="20"/>
      <c r="D10" s="51"/>
      <c r="E10" s="47"/>
      <c r="F10" s="38">
        <f t="shared" si="12"/>
        <v>2026</v>
      </c>
      <c r="G10" s="39">
        <v>4</v>
      </c>
      <c r="H10" s="169">
        <f>'Capacity Delivered'!G10</f>
        <v>95.27</v>
      </c>
      <c r="I10" s="40">
        <f t="shared" si="5"/>
        <v>71.630963971809479</v>
      </c>
      <c r="J10" s="41">
        <f t="shared" si="6"/>
        <v>319.87870132869421</v>
      </c>
      <c r="K10" s="41">
        <f t="shared" si="7"/>
        <v>95.269999999999968</v>
      </c>
      <c r="L10" s="164">
        <f>+K10/'Capacity Delivered'!N10*1000</f>
        <v>10.875570776255705</v>
      </c>
      <c r="M10" s="235">
        <f t="shared" si="0"/>
        <v>1.0875570776255705E-2</v>
      </c>
      <c r="O10" s="169">
        <f t="shared" si="8"/>
        <v>14.623734003664548</v>
      </c>
      <c r="P10" s="169">
        <f t="shared" si="1"/>
        <v>0</v>
      </c>
      <c r="Q10" s="169">
        <f t="shared" si="2"/>
        <v>10.995194327173511</v>
      </c>
      <c r="R10" s="169">
        <f t="shared" si="9"/>
        <v>47.229378239205431</v>
      </c>
      <c r="S10" s="307">
        <f t="shared" si="10"/>
        <v>14.066403440301439</v>
      </c>
      <c r="T10" s="41">
        <f>+S10/'Capacity Delivered'!L10*1000</f>
        <v>1.6057538173860091</v>
      </c>
      <c r="U10" s="235">
        <f t="shared" si="3"/>
        <v>1.605753817386009E-3</v>
      </c>
      <c r="W10" s="242">
        <f t="shared" si="11"/>
        <v>12.481324593641714</v>
      </c>
      <c r="X10" s="243">
        <f t="shared" si="4"/>
        <v>1.2481324593641714E-2</v>
      </c>
    </row>
    <row r="11" spans="1:24" s="44" customFormat="1" ht="15.6" x14ac:dyDescent="0.3">
      <c r="B11" s="167"/>
      <c r="C11" s="161"/>
      <c r="D11" s="337"/>
      <c r="E11" s="254"/>
      <c r="F11" s="37">
        <f t="shared" si="12"/>
        <v>2027</v>
      </c>
      <c r="G11" s="37">
        <v>5</v>
      </c>
      <c r="H11" s="169">
        <f>'Capacity Delivered'!G11</f>
        <v>95.27</v>
      </c>
      <c r="I11" s="255">
        <f t="shared" si="5"/>
        <v>66.701707767771182</v>
      </c>
      <c r="J11" s="256">
        <f t="shared" si="6"/>
        <v>386.58040909646536</v>
      </c>
      <c r="K11" s="256">
        <f t="shared" si="7"/>
        <v>95.269999999999968</v>
      </c>
      <c r="L11" s="164">
        <f>+K11/'Capacity Delivered'!N11*1000</f>
        <v>10.875570776255705</v>
      </c>
      <c r="M11" s="257">
        <f t="shared" si="0"/>
        <v>1.0875570776255705E-2</v>
      </c>
      <c r="N11" s="265"/>
      <c r="O11" s="169">
        <f t="shared" si="8"/>
        <v>14.989327353756162</v>
      </c>
      <c r="P11" s="169">
        <f t="shared" si="1"/>
        <v>0</v>
      </c>
      <c r="Q11" s="169">
        <f t="shared" si="2"/>
        <v>10.494528527193266</v>
      </c>
      <c r="R11" s="169">
        <f t="shared" si="9"/>
        <v>57.723906766398699</v>
      </c>
      <c r="S11" s="307">
        <f t="shared" si="10"/>
        <v>14.225647415729544</v>
      </c>
      <c r="T11" s="256">
        <f>+S11/'Capacity Delivered'!L11*1000</f>
        <v>1.6239323533937835</v>
      </c>
      <c r="U11" s="257">
        <f t="shared" si="3"/>
        <v>1.6239323533937834E-3</v>
      </c>
      <c r="V11" s="265"/>
      <c r="W11" s="258">
        <f>L11+T11</f>
        <v>12.499503129649488</v>
      </c>
      <c r="X11" s="259">
        <f t="shared" si="4"/>
        <v>1.2499503129649488E-2</v>
      </c>
    </row>
    <row r="12" spans="1:24" s="44" customFormat="1" ht="15.6" x14ac:dyDescent="0.3">
      <c r="B12" s="261"/>
      <c r="C12" s="338"/>
      <c r="D12" s="262"/>
      <c r="E12" s="254"/>
      <c r="F12" s="38">
        <f t="shared" si="12"/>
        <v>2028</v>
      </c>
      <c r="G12" s="37">
        <v>6</v>
      </c>
      <c r="H12" s="169">
        <f>'Capacity Delivered'!G12</f>
        <v>95.27</v>
      </c>
      <c r="I12" s="255">
        <f t="shared" si="5"/>
        <v>62.11165636257676</v>
      </c>
      <c r="J12" s="256">
        <f t="shared" si="6"/>
        <v>448.69206545904211</v>
      </c>
      <c r="K12" s="256">
        <f t="shared" si="7"/>
        <v>95.269999999999953</v>
      </c>
      <c r="L12" s="164">
        <f>+K12/'Capacity Delivered'!N12*1000</f>
        <v>10.845856102003637</v>
      </c>
      <c r="M12" s="257">
        <f t="shared" si="0"/>
        <v>1.0845856102003637E-2</v>
      </c>
      <c r="O12" s="169">
        <f t="shared" si="8"/>
        <v>15.364060537600066</v>
      </c>
      <c r="P12" s="169">
        <f t="shared" si="1"/>
        <v>0</v>
      </c>
      <c r="Q12" s="169">
        <f t="shared" si="2"/>
        <v>10.01666052739836</v>
      </c>
      <c r="R12" s="169">
        <f t="shared" si="9"/>
        <v>67.740567293797056</v>
      </c>
      <c r="S12" s="307">
        <f t="shared" si="10"/>
        <v>14.383235949308647</v>
      </c>
      <c r="T12" s="256">
        <f>+S12/'Capacity Delivered'!L12*1000</f>
        <v>1.6374357865788534</v>
      </c>
      <c r="U12" s="257">
        <f t="shared" si="3"/>
        <v>1.6374357865788533E-3</v>
      </c>
      <c r="W12" s="258">
        <f t="shared" si="11"/>
        <v>12.483291888582491</v>
      </c>
      <c r="X12" s="259">
        <f t="shared" si="4"/>
        <v>1.2483291888582491E-2</v>
      </c>
    </row>
    <row r="13" spans="1:24" s="44" customFormat="1" ht="15.6" x14ac:dyDescent="0.3">
      <c r="B13" s="261"/>
      <c r="C13" s="338"/>
      <c r="D13" s="262"/>
      <c r="E13" s="254"/>
      <c r="F13" s="38">
        <f t="shared" si="12"/>
        <v>2029</v>
      </c>
      <c r="G13" s="37">
        <v>7</v>
      </c>
      <c r="H13" s="169">
        <f>'Capacity Delivered'!G13</f>
        <v>95.27</v>
      </c>
      <c r="I13" s="255">
        <f t="shared" si="5"/>
        <v>57.837467513340862</v>
      </c>
      <c r="J13" s="256">
        <f>J12+I13</f>
        <v>506.52953297238298</v>
      </c>
      <c r="K13" s="256">
        <f t="shared" si="7"/>
        <v>95.269999999999968</v>
      </c>
      <c r="L13" s="164">
        <f>+K13/'Capacity Delivered'!N13*1000</f>
        <v>10.875570776255705</v>
      </c>
      <c r="M13" s="257">
        <f t="shared" si="0"/>
        <v>1.0875570776255705E-2</v>
      </c>
      <c r="O13" s="169">
        <f>O12+(O12*$D$9)</f>
        <v>15.748162051040067</v>
      </c>
      <c r="P13" s="169">
        <f t="shared" si="1"/>
        <v>0</v>
      </c>
      <c r="Q13" s="169">
        <f t="shared" si="2"/>
        <v>9.5605522307322062</v>
      </c>
      <c r="R13" s="169">
        <f>R12+Q13</f>
        <v>77.30111952452927</v>
      </c>
      <c r="S13" s="307">
        <f t="shared" si="10"/>
        <v>14.539088400011272</v>
      </c>
      <c r="T13" s="256">
        <f>+S13/'Capacity Delivered'!L13*1000</f>
        <v>1.6597132876725196</v>
      </c>
      <c r="U13" s="257">
        <f t="shared" si="3"/>
        <v>1.6597132876725196E-3</v>
      </c>
      <c r="W13" s="258">
        <f t="shared" si="11"/>
        <v>12.535284063928223</v>
      </c>
      <c r="X13" s="259">
        <f t="shared" si="4"/>
        <v>1.2535284063928223E-2</v>
      </c>
    </row>
    <row r="14" spans="1:24" s="44" customFormat="1" x14ac:dyDescent="0.25">
      <c r="B14" s="261"/>
      <c r="C14" s="263"/>
      <c r="D14" s="263"/>
      <c r="E14" s="254"/>
      <c r="F14" s="38">
        <f t="shared" si="12"/>
        <v>2030</v>
      </c>
      <c r="G14" s="37">
        <v>8</v>
      </c>
      <c r="H14" s="169">
        <f>'Capacity Delivered'!G14</f>
        <v>95.27</v>
      </c>
      <c r="I14" s="255">
        <f t="shared" si="5"/>
        <v>53.857405264308461</v>
      </c>
      <c r="J14" s="256">
        <f t="shared" si="6"/>
        <v>560.38693823669144</v>
      </c>
      <c r="K14" s="256">
        <f t="shared" si="7"/>
        <v>95.269999999999953</v>
      </c>
      <c r="L14" s="164">
        <f>+K14/'Capacity Delivered'!N14*1000</f>
        <v>10.875570776255703</v>
      </c>
      <c r="M14" s="257">
        <f t="shared" si="0"/>
        <v>1.0875570776255703E-2</v>
      </c>
      <c r="O14" s="169">
        <f t="shared" si="8"/>
        <v>16.141866102316069</v>
      </c>
      <c r="P14" s="169">
        <f t="shared" si="1"/>
        <v>0</v>
      </c>
      <c r="Q14" s="169">
        <f t="shared" si="2"/>
        <v>9.1252128098524175</v>
      </c>
      <c r="R14" s="169">
        <f t="shared" ref="R14:R20" si="13">R13+Q14</f>
        <v>86.426332334381684</v>
      </c>
      <c r="S14" s="307">
        <f t="shared" si="10"/>
        <v>14.693127408367255</v>
      </c>
      <c r="T14" s="256">
        <f>+S14/'Capacity Delivered'!L14*1000</f>
        <v>1.6772976493569927</v>
      </c>
      <c r="U14" s="257">
        <f t="shared" si="3"/>
        <v>1.6772976493569926E-3</v>
      </c>
      <c r="W14" s="258">
        <f t="shared" si="11"/>
        <v>12.552868425612695</v>
      </c>
      <c r="X14" s="259">
        <f t="shared" si="4"/>
        <v>1.2552868425612696E-2</v>
      </c>
    </row>
    <row r="15" spans="1:24" s="44" customFormat="1" x14ac:dyDescent="0.25">
      <c r="B15" s="263"/>
      <c r="C15" s="263"/>
      <c r="D15" s="339"/>
      <c r="E15" s="254"/>
      <c r="F15" s="38">
        <f t="shared" si="12"/>
        <v>2031</v>
      </c>
      <c r="G15" s="37">
        <v>9</v>
      </c>
      <c r="H15" s="169">
        <f>'Capacity Delivered'!G15</f>
        <v>95.27</v>
      </c>
      <c r="I15" s="255">
        <f t="shared" si="5"/>
        <v>50.151229410846874</v>
      </c>
      <c r="J15" s="256">
        <f t="shared" si="6"/>
        <v>610.53816764753833</v>
      </c>
      <c r="K15" s="256">
        <f t="shared" si="7"/>
        <v>95.269999999999968</v>
      </c>
      <c r="L15" s="164">
        <f>+K15/'Capacity Delivered'!N15*1000</f>
        <v>10.875570776255705</v>
      </c>
      <c r="M15" s="257">
        <f t="shared" si="0"/>
        <v>1.0875570776255705E-2</v>
      </c>
      <c r="O15" s="169">
        <f t="shared" si="8"/>
        <v>16.545412754873972</v>
      </c>
      <c r="P15" s="169">
        <f t="shared" si="1"/>
        <v>0</v>
      </c>
      <c r="Q15" s="169">
        <f t="shared" si="2"/>
        <v>8.7096965547059568</v>
      </c>
      <c r="R15" s="169">
        <f t="shared" si="13"/>
        <v>95.13602888908764</v>
      </c>
      <c r="S15" s="307">
        <f t="shared" si="10"/>
        <v>14.845279054684372</v>
      </c>
      <c r="T15" s="256">
        <f>+S15/'Capacity Delivered'!L15*1000</f>
        <v>1.6946665587539238</v>
      </c>
      <c r="U15" s="257">
        <f t="shared" si="3"/>
        <v>1.6946665587539238E-3</v>
      </c>
      <c r="W15" s="258">
        <f t="shared" si="11"/>
        <v>12.570237335009629</v>
      </c>
      <c r="X15" s="259">
        <f t="shared" si="4"/>
        <v>1.2570237335009629E-2</v>
      </c>
    </row>
    <row r="16" spans="1:24" s="44" customFormat="1" x14ac:dyDescent="0.25">
      <c r="B16" s="263"/>
      <c r="C16" s="264"/>
      <c r="D16" s="264"/>
      <c r="E16" s="254"/>
      <c r="F16" s="37">
        <f t="shared" si="12"/>
        <v>2032</v>
      </c>
      <c r="G16" s="37">
        <v>10</v>
      </c>
      <c r="H16" s="169">
        <f>'Capacity Delivered'!G16</f>
        <v>95.27</v>
      </c>
      <c r="I16" s="255">
        <f t="shared" si="5"/>
        <v>46.700092569929119</v>
      </c>
      <c r="J16" s="256">
        <f t="shared" si="6"/>
        <v>657.23826021746743</v>
      </c>
      <c r="K16" s="256">
        <f t="shared" si="7"/>
        <v>95.269999999999953</v>
      </c>
      <c r="L16" s="164">
        <f>+K16/'Capacity Delivered'!N16*1000</f>
        <v>10.845856102003637</v>
      </c>
      <c r="M16" s="257">
        <f t="shared" si="0"/>
        <v>1.0845856102003637E-2</v>
      </c>
      <c r="N16" s="265"/>
      <c r="O16" s="169">
        <f t="shared" si="8"/>
        <v>16.959048073745823</v>
      </c>
      <c r="P16" s="169">
        <f t="shared" si="1"/>
        <v>0</v>
      </c>
      <c r="Q16" s="169">
        <f t="shared" si="2"/>
        <v>8.3131008181149149</v>
      </c>
      <c r="R16" s="169">
        <f t="shared" si="13"/>
        <v>103.44912970720256</v>
      </c>
      <c r="S16" s="307">
        <f t="shared" si="10"/>
        <v>14.995473002354057</v>
      </c>
      <c r="T16" s="256">
        <f>+S16/'Capacity Delivered'!L16*1000</f>
        <v>1.7071349046395785</v>
      </c>
      <c r="U16" s="257">
        <f t="shared" si="3"/>
        <v>1.7071349046395784E-3</v>
      </c>
      <c r="V16" s="265"/>
      <c r="W16" s="258">
        <f t="shared" si="11"/>
        <v>12.552991006643216</v>
      </c>
      <c r="X16" s="259">
        <f t="shared" si="4"/>
        <v>1.2552991006643217E-2</v>
      </c>
    </row>
    <row r="17" spans="2:24" s="44" customFormat="1" x14ac:dyDescent="0.25">
      <c r="B17" s="263"/>
      <c r="C17" s="264"/>
      <c r="D17" s="264"/>
      <c r="E17" s="254"/>
      <c r="F17" s="38">
        <f t="shared" si="12"/>
        <v>2033</v>
      </c>
      <c r="G17" s="37">
        <v>11</v>
      </c>
      <c r="H17" s="169">
        <f>'Capacity Delivered'!G17</f>
        <v>95.27</v>
      </c>
      <c r="I17" s="255">
        <f t="shared" si="5"/>
        <v>43.486444333670839</v>
      </c>
      <c r="J17" s="256">
        <f t="shared" si="6"/>
        <v>700.7247045511383</v>
      </c>
      <c r="K17" s="256">
        <f t="shared" si="7"/>
        <v>95.269999999999968</v>
      </c>
      <c r="L17" s="164">
        <f>+K17/'Capacity Delivered'!N17*1000</f>
        <v>10.875570776255705</v>
      </c>
      <c r="M17" s="257">
        <f t="shared" si="0"/>
        <v>1.0875570776255705E-2</v>
      </c>
      <c r="O17" s="169">
        <f t="shared" si="8"/>
        <v>17.38302427558947</v>
      </c>
      <c r="P17" s="169">
        <f t="shared" si="1"/>
        <v>0</v>
      </c>
      <c r="Q17" s="169">
        <f t="shared" si="2"/>
        <v>7.9345640549099441</v>
      </c>
      <c r="R17" s="169">
        <f t="shared" si="13"/>
        <v>111.3836937621125</v>
      </c>
      <c r="S17" s="307">
        <f t="shared" si="10"/>
        <v>15.143642625692575</v>
      </c>
      <c r="T17" s="256">
        <f>+S17/'Capacity Delivered'!L17*1000</f>
        <v>1.7287263271338558</v>
      </c>
      <c r="U17" s="257">
        <f t="shared" si="3"/>
        <v>1.7287263271338557E-3</v>
      </c>
      <c r="W17" s="258">
        <f t="shared" si="11"/>
        <v>12.604297103389561</v>
      </c>
      <c r="X17" s="259">
        <f t="shared" si="4"/>
        <v>1.2604297103389561E-2</v>
      </c>
    </row>
    <row r="18" spans="2:24" s="44" customFormat="1" x14ac:dyDescent="0.25">
      <c r="B18" s="264"/>
      <c r="C18" s="264"/>
      <c r="D18" s="264"/>
      <c r="E18" s="254"/>
      <c r="F18" s="38">
        <f t="shared" si="12"/>
        <v>2034</v>
      </c>
      <c r="G18" s="37">
        <v>12</v>
      </c>
      <c r="H18" s="169">
        <f>'Capacity Delivered'!G18</f>
        <v>95.27</v>
      </c>
      <c r="I18" s="255">
        <f t="shared" si="5"/>
        <v>40.493942018503432</v>
      </c>
      <c r="J18" s="256">
        <f t="shared" si="6"/>
        <v>741.21864656964169</v>
      </c>
      <c r="K18" s="256">
        <f t="shared" si="7"/>
        <v>95.269999999999953</v>
      </c>
      <c r="L18" s="164">
        <f>+K18/'Capacity Delivered'!N18*1000</f>
        <v>10.875570776255703</v>
      </c>
      <c r="M18" s="257">
        <f t="shared" si="0"/>
        <v>1.0875570776255703E-2</v>
      </c>
      <c r="O18" s="169">
        <f t="shared" si="8"/>
        <v>17.817599882479207</v>
      </c>
      <c r="P18" s="169">
        <f t="shared" si="1"/>
        <v>0</v>
      </c>
      <c r="Q18" s="169">
        <f t="shared" si="2"/>
        <v>7.5732639503517012</v>
      </c>
      <c r="R18" s="169">
        <f t="shared" si="13"/>
        <v>118.9569577124642</v>
      </c>
      <c r="S18" s="307">
        <f t="shared" si="10"/>
        <v>15.289725121886361</v>
      </c>
      <c r="T18" s="256">
        <f>+S18/'Capacity Delivered'!L18*1000</f>
        <v>1.7454024111742421</v>
      </c>
      <c r="U18" s="257">
        <f t="shared" si="3"/>
        <v>1.7454024111742421E-3</v>
      </c>
      <c r="W18" s="258">
        <f t="shared" si="11"/>
        <v>12.620973187429945</v>
      </c>
      <c r="X18" s="259">
        <f t="shared" si="4"/>
        <v>1.2620973187429945E-2</v>
      </c>
    </row>
    <row r="19" spans="2:24" s="44" customFormat="1" x14ac:dyDescent="0.25">
      <c r="B19" s="264"/>
      <c r="C19" s="264"/>
      <c r="D19" s="264"/>
      <c r="E19" s="187"/>
      <c r="F19" s="38">
        <f t="shared" si="12"/>
        <v>2035</v>
      </c>
      <c r="G19" s="37">
        <v>13</v>
      </c>
      <c r="H19" s="169">
        <f>'Capacity Delivered'!G19</f>
        <v>95.27</v>
      </c>
      <c r="I19" s="255">
        <f t="shared" si="5"/>
        <v>37.707367556107108</v>
      </c>
      <c r="J19" s="256">
        <f t="shared" si="6"/>
        <v>778.92601412574879</v>
      </c>
      <c r="K19" s="256">
        <f t="shared" si="7"/>
        <v>95.269999999999953</v>
      </c>
      <c r="L19" s="164">
        <f>+K19/'Capacity Delivered'!N19*1000</f>
        <v>10.875570776255703</v>
      </c>
      <c r="M19" s="257">
        <f t="shared" si="0"/>
        <v>1.0875570776255703E-2</v>
      </c>
      <c r="O19" s="169">
        <f t="shared" si="8"/>
        <v>18.263039879541189</v>
      </c>
      <c r="P19" s="169">
        <f t="shared" si="1"/>
        <v>0</v>
      </c>
      <c r="Q19" s="169">
        <f t="shared" si="2"/>
        <v>7.2284156337745529</v>
      </c>
      <c r="R19" s="169">
        <f t="shared" si="13"/>
        <v>126.18537334623875</v>
      </c>
      <c r="S19" s="307">
        <f t="shared" si="10"/>
        <v>15.433661606730464</v>
      </c>
      <c r="T19" s="256">
        <f>+S19/'Capacity Delivered'!L19*1000</f>
        <v>1.761833516750053</v>
      </c>
      <c r="U19" s="257">
        <f t="shared" si="3"/>
        <v>1.7618335167500529E-3</v>
      </c>
      <c r="W19" s="258">
        <f t="shared" si="11"/>
        <v>12.637404293005757</v>
      </c>
      <c r="X19" s="259">
        <f t="shared" si="4"/>
        <v>1.2637404293005756E-2</v>
      </c>
    </row>
    <row r="20" spans="2:24" s="44" customFormat="1" x14ac:dyDescent="0.25">
      <c r="B20" s="264"/>
      <c r="C20" s="264"/>
      <c r="D20" s="264"/>
      <c r="E20" s="187"/>
      <c r="F20" s="38">
        <f t="shared" si="12"/>
        <v>2036</v>
      </c>
      <c r="G20" s="37">
        <v>14</v>
      </c>
      <c r="H20" s="169">
        <f>'Capacity Delivered'!G20</f>
        <v>95.27</v>
      </c>
      <c r="I20" s="255">
        <f t="shared" si="5"/>
        <v>35.112550103461317</v>
      </c>
      <c r="J20" s="256">
        <f t="shared" si="6"/>
        <v>814.03856422921012</v>
      </c>
      <c r="K20" s="256">
        <f t="shared" si="7"/>
        <v>95.269999999999953</v>
      </c>
      <c r="L20" s="164">
        <f>+K20/'Capacity Delivered'!N20*1000</f>
        <v>10.845856102003637</v>
      </c>
      <c r="M20" s="257">
        <f t="shared" si="0"/>
        <v>1.0845856102003637E-2</v>
      </c>
      <c r="O20" s="169">
        <f t="shared" si="8"/>
        <v>18.719615876529719</v>
      </c>
      <c r="P20" s="169">
        <f t="shared" si="1"/>
        <v>0</v>
      </c>
      <c r="Q20" s="169">
        <f t="shared" si="2"/>
        <v>6.8992699735719505</v>
      </c>
      <c r="R20" s="169">
        <f t="shared" si="13"/>
        <v>133.08464331981071</v>
      </c>
      <c r="S20" s="307">
        <f t="shared" si="10"/>
        <v>15.575397193969206</v>
      </c>
      <c r="T20" s="256">
        <f>+S20/'Capacity Delivered'!L20*1000</f>
        <v>1.773155418256968</v>
      </c>
      <c r="U20" s="257">
        <f t="shared" si="3"/>
        <v>1.7731554182569679E-3</v>
      </c>
      <c r="W20" s="258">
        <f t="shared" si="11"/>
        <v>12.619011520260605</v>
      </c>
      <c r="X20" s="259">
        <f t="shared" si="4"/>
        <v>1.2619011520260605E-2</v>
      </c>
    </row>
    <row r="21" spans="2:24" s="265" customFormat="1" x14ac:dyDescent="0.25">
      <c r="B21" s="264"/>
      <c r="C21" s="264"/>
      <c r="D21" s="264"/>
      <c r="E21" s="187"/>
      <c r="F21" s="37">
        <f t="shared" si="12"/>
        <v>2037</v>
      </c>
      <c r="G21" s="37">
        <v>15</v>
      </c>
      <c r="H21" s="169">
        <f>'Capacity Delivered'!G21</f>
        <v>95.27</v>
      </c>
      <c r="I21" s="255">
        <f t="shared" si="5"/>
        <v>32.696293978453596</v>
      </c>
      <c r="J21" s="256">
        <f>J20+I21</f>
        <v>846.73485820766371</v>
      </c>
      <c r="K21" s="256">
        <f t="shared" si="7"/>
        <v>95.269999999999953</v>
      </c>
      <c r="L21" s="164">
        <f>+K21/'Capacity Delivered'!N21*1000</f>
        <v>10.875570776255703</v>
      </c>
      <c r="M21" s="257">
        <f>L21/1000</f>
        <v>1.0875570776255703E-2</v>
      </c>
      <c r="O21" s="169">
        <f t="shared" si="8"/>
        <v>19.187606273442963</v>
      </c>
      <c r="P21" s="169">
        <f t="shared" si="1"/>
        <v>0</v>
      </c>
      <c r="Q21" s="169">
        <f t="shared" si="2"/>
        <v>6.5851119498195825</v>
      </c>
      <c r="R21" s="169">
        <f>R20+Q21</f>
        <v>139.66975526963029</v>
      </c>
      <c r="S21" s="307">
        <f t="shared" si="10"/>
        <v>15.714881058167396</v>
      </c>
      <c r="T21" s="256">
        <f>+S21/'Capacity Delivered'!L21*1000</f>
        <v>1.7939361938547256</v>
      </c>
      <c r="U21" s="257">
        <f>T21/1000</f>
        <v>1.7939361938547256E-3</v>
      </c>
      <c r="W21" s="258">
        <f t="shared" si="11"/>
        <v>12.669506970110429</v>
      </c>
      <c r="X21" s="259">
        <f>W21/1000</f>
        <v>1.266950697011043E-2</v>
      </c>
    </row>
    <row r="22" spans="2:24" s="44" customFormat="1" x14ac:dyDescent="0.25">
      <c r="B22" s="264"/>
      <c r="C22" s="264"/>
      <c r="D22" s="264"/>
      <c r="E22" s="187"/>
      <c r="F22" s="38">
        <f t="shared" si="12"/>
        <v>2038</v>
      </c>
      <c r="G22" s="37">
        <v>16</v>
      </c>
      <c r="H22" s="169">
        <f>'Capacity Delivered'!G22</f>
        <v>95.27</v>
      </c>
      <c r="I22" s="255">
        <f t="shared" si="5"/>
        <v>30.446311554570809</v>
      </c>
      <c r="J22" s="256">
        <f t="shared" si="6"/>
        <v>877.1811697622345</v>
      </c>
      <c r="K22" s="256">
        <f t="shared" si="7"/>
        <v>95.269999999999939</v>
      </c>
      <c r="L22" s="164">
        <f>+K22/'Capacity Delivered'!N22*1000</f>
        <v>10.875570776255701</v>
      </c>
      <c r="M22" s="257">
        <f t="shared" si="0"/>
        <v>1.0875570776255701E-2</v>
      </c>
      <c r="O22" s="169">
        <f t="shared" si="8"/>
        <v>19.667296430279038</v>
      </c>
      <c r="P22" s="169">
        <f t="shared" si="1"/>
        <v>0</v>
      </c>
      <c r="Q22" s="169">
        <f t="shared" si="2"/>
        <v>6.285259101001091</v>
      </c>
      <c r="R22" s="169">
        <f t="shared" ref="R22:R27" si="14">R21+Q22</f>
        <v>145.95501437063137</v>
      </c>
      <c r="S22" s="307">
        <f t="shared" si="10"/>
        <v>15.852066481157044</v>
      </c>
      <c r="T22" s="256">
        <f>+S22/'Capacity Delivered'!L22*1000</f>
        <v>1.8095966302690689</v>
      </c>
      <c r="U22" s="257">
        <f t="shared" ref="U22:U27" si="15">T22/1000</f>
        <v>1.8095966302690688E-3</v>
      </c>
      <c r="W22" s="258">
        <f t="shared" si="11"/>
        <v>12.685167406524769</v>
      </c>
      <c r="X22" s="259">
        <f t="shared" ref="X22:X27" si="16">W22/1000</f>
        <v>1.2685167406524769E-2</v>
      </c>
    </row>
    <row r="23" spans="2:24" s="44" customFormat="1" x14ac:dyDescent="0.25">
      <c r="B23" s="264"/>
      <c r="C23" s="264"/>
      <c r="D23" s="264"/>
      <c r="E23" s="187"/>
      <c r="F23" s="38">
        <f t="shared" si="12"/>
        <v>2039</v>
      </c>
      <c r="G23" s="37">
        <v>17</v>
      </c>
      <c r="H23" s="169">
        <f>'Capacity Delivered'!G23</f>
        <v>95.27</v>
      </c>
      <c r="I23" s="255">
        <f t="shared" si="5"/>
        <v>28.351160773415408</v>
      </c>
      <c r="J23" s="256">
        <f t="shared" si="6"/>
        <v>905.53233053564986</v>
      </c>
      <c r="K23" s="256">
        <f t="shared" si="7"/>
        <v>95.269999999999939</v>
      </c>
      <c r="L23" s="164">
        <f>+K23/'Capacity Delivered'!N23*1000</f>
        <v>10.875570776255701</v>
      </c>
      <c r="M23" s="257">
        <f t="shared" si="0"/>
        <v>1.0875570776255701E-2</v>
      </c>
      <c r="O23" s="169">
        <f t="shared" si="8"/>
        <v>20.158978841036014</v>
      </c>
      <c r="P23" s="169">
        <f t="shared" si="1"/>
        <v>0</v>
      </c>
      <c r="Q23" s="169">
        <f t="shared" si="2"/>
        <v>5.9990600414620703</v>
      </c>
      <c r="R23" s="169">
        <f t="shared" si="14"/>
        <v>151.95407441209343</v>
      </c>
      <c r="S23" s="307">
        <f t="shared" si="10"/>
        <v>15.986910882217474</v>
      </c>
      <c r="T23" s="256">
        <f>+S23/'Capacity Delivered'!L23*1000</f>
        <v>1.8249898267371547</v>
      </c>
      <c r="U23" s="257">
        <f t="shared" si="15"/>
        <v>1.8249898267371548E-3</v>
      </c>
      <c r="W23" s="258">
        <f t="shared" si="11"/>
        <v>12.700560602992855</v>
      </c>
      <c r="X23" s="259">
        <f t="shared" si="16"/>
        <v>1.2700560602992855E-2</v>
      </c>
    </row>
    <row r="24" spans="2:24" s="44" customFormat="1" x14ac:dyDescent="0.25">
      <c r="B24" s="264"/>
      <c r="C24" s="264"/>
      <c r="D24" s="264"/>
      <c r="E24" s="187"/>
      <c r="F24" s="38">
        <f t="shared" si="12"/>
        <v>2040</v>
      </c>
      <c r="G24" s="37">
        <v>18</v>
      </c>
      <c r="H24" s="169">
        <f>'Capacity Delivered'!G24</f>
        <v>95.27</v>
      </c>
      <c r="I24" s="255">
        <f t="shared" si="5"/>
        <v>26.400186957272936</v>
      </c>
      <c r="J24" s="256">
        <f t="shared" si="6"/>
        <v>931.93251749292278</v>
      </c>
      <c r="K24" s="256">
        <f t="shared" si="7"/>
        <v>95.269999999999939</v>
      </c>
      <c r="L24" s="164">
        <f>+K24/'Capacity Delivered'!N24*1000</f>
        <v>10.845856102003635</v>
      </c>
      <c r="M24" s="257">
        <f t="shared" si="0"/>
        <v>1.0845856102003636E-2</v>
      </c>
      <c r="O24" s="169">
        <f t="shared" si="8"/>
        <v>20.662953312061912</v>
      </c>
      <c r="P24" s="169">
        <f t="shared" si="1"/>
        <v>0</v>
      </c>
      <c r="Q24" s="169">
        <f t="shared" si="2"/>
        <v>5.7258930463717492</v>
      </c>
      <c r="R24" s="169">
        <f t="shared" si="14"/>
        <v>157.67996745846517</v>
      </c>
      <c r="S24" s="307">
        <f t="shared" si="10"/>
        <v>16.119375832254988</v>
      </c>
      <c r="T24" s="256">
        <f>+S24/'Capacity Delivered'!L24*1000</f>
        <v>1.8350837696100852</v>
      </c>
      <c r="U24" s="257">
        <f t="shared" si="15"/>
        <v>1.8350837696100852E-3</v>
      </c>
      <c r="W24" s="258">
        <f t="shared" si="11"/>
        <v>12.68093987161372</v>
      </c>
      <c r="X24" s="259">
        <f t="shared" si="16"/>
        <v>1.2680939871613721E-2</v>
      </c>
    </row>
    <row r="25" spans="2:24" s="44" customFormat="1" x14ac:dyDescent="0.25">
      <c r="B25" s="264"/>
      <c r="C25" s="264"/>
      <c r="D25" s="264"/>
      <c r="E25" s="187"/>
      <c r="F25" s="38">
        <f t="shared" si="12"/>
        <v>2041</v>
      </c>
      <c r="G25" s="37">
        <v>19</v>
      </c>
      <c r="H25" s="169">
        <f>'Capacity Delivered'!G25</f>
        <v>95.27</v>
      </c>
      <c r="I25" s="255">
        <f t="shared" si="5"/>
        <v>24.583468625824509</v>
      </c>
      <c r="J25" s="256">
        <f t="shared" si="6"/>
        <v>956.51598611874726</v>
      </c>
      <c r="K25" s="256">
        <f t="shared" si="7"/>
        <v>95.269999999999925</v>
      </c>
      <c r="L25" s="164">
        <f>+K25/'Capacity Delivered'!N25*1000</f>
        <v>10.875570776255699</v>
      </c>
      <c r="M25" s="257">
        <f t="shared" si="0"/>
        <v>1.08755707762557E-2</v>
      </c>
      <c r="O25" s="169">
        <f t="shared" si="8"/>
        <v>21.17952714486346</v>
      </c>
      <c r="P25" s="169">
        <f t="shared" si="1"/>
        <v>0</v>
      </c>
      <c r="Q25" s="169">
        <f t="shared" si="2"/>
        <v>5.4651647011183941</v>
      </c>
      <c r="R25" s="169">
        <f t="shared" si="14"/>
        <v>163.14513215958357</v>
      </c>
      <c r="S25" s="307">
        <f t="shared" si="10"/>
        <v>16.24942705235032</v>
      </c>
      <c r="T25" s="256">
        <f>+S25/'Capacity Delivered'!L25*1000</f>
        <v>1.8549574260673882</v>
      </c>
      <c r="U25" s="257">
        <f t="shared" si="15"/>
        <v>1.8549574260673881E-3</v>
      </c>
      <c r="W25" s="258">
        <f t="shared" si="11"/>
        <v>12.730528202323088</v>
      </c>
      <c r="X25" s="259">
        <f t="shared" si="16"/>
        <v>1.2730528202323088E-2</v>
      </c>
    </row>
    <row r="26" spans="2:24" x14ac:dyDescent="0.25">
      <c r="B26" s="170"/>
      <c r="C26" s="170"/>
      <c r="D26" s="170"/>
      <c r="E26" s="52"/>
      <c r="F26" s="38">
        <f t="shared" si="12"/>
        <v>2042</v>
      </c>
      <c r="G26" s="39">
        <v>20</v>
      </c>
      <c r="H26" s="169">
        <f>'Capacity Delivered'!G26</f>
        <v>95.27</v>
      </c>
      <c r="I26" s="40">
        <f t="shared" si="5"/>
        <v>22.891767041460568</v>
      </c>
      <c r="J26" s="41">
        <f t="shared" si="6"/>
        <v>979.40775316020779</v>
      </c>
      <c r="K26" s="41">
        <f t="shared" si="7"/>
        <v>95.269999999999939</v>
      </c>
      <c r="L26" s="164">
        <f>+K26/'Capacity Delivered'!N26*1000</f>
        <v>10.875570776255701</v>
      </c>
      <c r="M26" s="235">
        <f t="shared" si="0"/>
        <v>1.0875570776255701E-2</v>
      </c>
      <c r="O26" s="169">
        <f t="shared" si="8"/>
        <v>21.709015323485048</v>
      </c>
      <c r="P26" s="169">
        <f t="shared" si="1"/>
        <v>0</v>
      </c>
      <c r="Q26" s="169">
        <f t="shared" si="2"/>
        <v>5.2163086122044451</v>
      </c>
      <c r="R26" s="169">
        <f t="shared" si="14"/>
        <v>168.36144077178801</v>
      </c>
      <c r="S26" s="307">
        <f t="shared" si="10"/>
        <v>16.377034397137862</v>
      </c>
      <c r="T26" s="41">
        <f>+S26/'Capacity Delivered'!L26*1000</f>
        <v>1.8695244745591166</v>
      </c>
      <c r="U26" s="235">
        <f t="shared" si="15"/>
        <v>1.8695244745591166E-3</v>
      </c>
      <c r="W26" s="242">
        <f t="shared" si="11"/>
        <v>12.745095250814817</v>
      </c>
      <c r="X26" s="243">
        <f t="shared" si="16"/>
        <v>1.2745095250814817E-2</v>
      </c>
    </row>
    <row r="27" spans="2:24" s="44" customFormat="1" ht="15.6" thickBot="1" x14ac:dyDescent="0.3">
      <c r="F27" s="38">
        <f t="shared" si="12"/>
        <v>2043</v>
      </c>
      <c r="G27" s="37">
        <v>21</v>
      </c>
      <c r="H27" s="169">
        <f>'Capacity Delivered'!G27</f>
        <v>95.27</v>
      </c>
      <c r="I27" s="40">
        <f t="shared" si="5"/>
        <v>21.316479226613804</v>
      </c>
      <c r="J27" s="41">
        <f t="shared" ref="J27" si="17">J26+I27</f>
        <v>1000.7242323868215</v>
      </c>
      <c r="K27" s="41">
        <f t="shared" si="7"/>
        <v>95.269999999999925</v>
      </c>
      <c r="L27" s="164">
        <f>+K27/'Capacity Delivered'!N27*1000</f>
        <v>10.875570776255699</v>
      </c>
      <c r="M27" s="235">
        <f t="shared" si="0"/>
        <v>1.08755707762557E-2</v>
      </c>
      <c r="O27" s="169">
        <f t="shared" si="8"/>
        <v>22.251740706572175</v>
      </c>
      <c r="P27" s="169">
        <f t="shared" si="1"/>
        <v>0</v>
      </c>
      <c r="Q27" s="169">
        <f t="shared" si="2"/>
        <v>4.978784176841005</v>
      </c>
      <c r="R27" s="169">
        <f t="shared" si="14"/>
        <v>173.34022494862901</v>
      </c>
      <c r="S27" s="307">
        <f t="shared" si="10"/>
        <v>16.50217182356835</v>
      </c>
      <c r="T27" s="41">
        <f>+S27/'Capacity Delivered'!L27*1000</f>
        <v>1.8838095689004966</v>
      </c>
      <c r="U27" s="235">
        <f t="shared" si="15"/>
        <v>1.8838095689004966E-3</v>
      </c>
      <c r="W27" s="244">
        <f t="shared" si="11"/>
        <v>12.759380345156195</v>
      </c>
      <c r="X27" s="245">
        <f t="shared" si="16"/>
        <v>1.2759380345156196E-2</v>
      </c>
    </row>
    <row r="28" spans="2:24" s="44" customFormat="1" x14ac:dyDescent="0.25">
      <c r="C28" s="21"/>
      <c r="F28" s="38"/>
      <c r="G28" s="37"/>
      <c r="H28" s="172"/>
      <c r="I28" s="55"/>
      <c r="J28" s="56"/>
      <c r="K28" s="48"/>
      <c r="L28" s="48"/>
      <c r="M28" s="48"/>
      <c r="O28" s="173"/>
      <c r="P28" s="54"/>
      <c r="Q28" s="55"/>
      <c r="R28" s="56"/>
      <c r="S28" s="48"/>
      <c r="T28" s="48"/>
      <c r="U28" s="48"/>
      <c r="W28" s="48"/>
      <c r="X28" s="48"/>
    </row>
    <row r="29" spans="2:24" x14ac:dyDescent="0.25">
      <c r="B29" s="31"/>
      <c r="C29" s="21"/>
      <c r="D29" s="44"/>
      <c r="E29" s="44"/>
      <c r="F29" s="31"/>
      <c r="G29" s="37"/>
      <c r="H29" s="172"/>
      <c r="I29" s="31"/>
      <c r="J29" s="31"/>
      <c r="K29" s="31"/>
      <c r="L29" s="31"/>
      <c r="M29" s="31"/>
      <c r="O29" s="173"/>
      <c r="P29" s="54"/>
      <c r="Q29" s="31"/>
      <c r="R29" s="31"/>
      <c r="S29" s="31"/>
      <c r="T29" s="31"/>
      <c r="U29" s="31"/>
      <c r="W29" s="31"/>
      <c r="X29" s="31"/>
    </row>
    <row r="30" spans="2:24" x14ac:dyDescent="0.25">
      <c r="B30" s="31" t="s">
        <v>165</v>
      </c>
      <c r="C30" s="21"/>
      <c r="D30" s="44"/>
      <c r="E30" s="44"/>
      <c r="F30" s="31"/>
      <c r="G30" s="37"/>
      <c r="H30" s="172"/>
      <c r="I30" s="31"/>
      <c r="J30" s="31"/>
      <c r="K30" s="31"/>
      <c r="L30" s="31"/>
      <c r="M30" s="31"/>
      <c r="O30" s="173"/>
      <c r="P30" s="54"/>
      <c r="Q30" s="31"/>
      <c r="R30" s="31"/>
      <c r="S30" s="31"/>
      <c r="T30" s="31"/>
      <c r="U30" s="31"/>
      <c r="W30" s="31"/>
      <c r="X30" s="31"/>
    </row>
  </sheetData>
  <phoneticPr fontId="14"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6</xdr:col>
                <xdr:colOff>571500</xdr:colOff>
                <xdr:row>2</xdr:row>
                <xdr:rowOff>45720</xdr:rowOff>
              </from>
              <to>
                <xdr:col>6</xdr:col>
                <xdr:colOff>792480</xdr:colOff>
                <xdr:row>3</xdr:row>
                <xdr:rowOff>68580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45720</xdr:rowOff>
              </from>
              <to>
                <xdr:col>7</xdr:col>
                <xdr:colOff>167640</xdr:colOff>
                <xdr:row>3</xdr:row>
                <xdr:rowOff>68580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45720</xdr:rowOff>
              </from>
              <to>
                <xdr:col>7</xdr:col>
                <xdr:colOff>167640</xdr:colOff>
                <xdr:row>3</xdr:row>
                <xdr:rowOff>68580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45720</xdr:rowOff>
              </from>
              <to>
                <xdr:col>7</xdr:col>
                <xdr:colOff>190500</xdr:colOff>
                <xdr:row>3</xdr:row>
                <xdr:rowOff>152400</xdr:rowOff>
              </to>
            </anchor>
          </controlPr>
        </control>
      </mc:Choice>
      <mc:Fallback>
        <control shapeId="5124" r:id="rId11" name="Control 4"/>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C7" workbookViewId="0">
      <selection activeCell="D6" sqref="D6"/>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6" t="s">
        <v>19</v>
      </c>
      <c r="X4" s="237"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8" t="s">
        <v>37</v>
      </c>
      <c r="X5" s="239" t="s">
        <v>38</v>
      </c>
    </row>
    <row r="6" spans="1:24" s="44" customFormat="1" ht="15.6" x14ac:dyDescent="0.3">
      <c r="A6" s="167"/>
      <c r="B6" s="167"/>
      <c r="C6" s="161" t="s">
        <v>21</v>
      </c>
      <c r="D6" s="318">
        <f>12.61*(1+D9)^(F7-2020)</f>
        <v>13.579590781249998</v>
      </c>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40" t="s">
        <v>39</v>
      </c>
      <c r="X6" s="241" t="s">
        <v>75</v>
      </c>
    </row>
    <row r="7" spans="1:24" s="44" customFormat="1" ht="15.6" x14ac:dyDescent="0.3">
      <c r="A7" s="167"/>
      <c r="B7" s="167"/>
      <c r="C7" s="161" t="s">
        <v>29</v>
      </c>
      <c r="D7" s="46">
        <v>0</v>
      </c>
      <c r="E7" s="254"/>
      <c r="F7" s="168">
        <f>'Baseload Avoided Capacity Calcs'!F7</f>
        <v>2023</v>
      </c>
      <c r="G7" s="266">
        <v>1</v>
      </c>
      <c r="H7" s="169">
        <f>'Capacity Delivered'!H7</f>
        <v>16.95806</v>
      </c>
      <c r="I7" s="262">
        <f t="shared" ref="I7:I27" si="0">SUM(H7)/((1+$D$8)^G7)</f>
        <v>15.791097867585435</v>
      </c>
      <c r="J7" s="267">
        <f>I7</f>
        <v>15.791097867585435</v>
      </c>
      <c r="K7" s="267">
        <f>(-PMT($D$8,G7,(J7)))</f>
        <v>16.95806</v>
      </c>
      <c r="L7" s="267">
        <f>+K7/'Capacity Delivered'!P7*1000</f>
        <v>5.2747999950232041</v>
      </c>
      <c r="M7" s="268">
        <f t="shared" ref="M7:M27" si="1">L7/1000</f>
        <v>5.2747999950232037E-3</v>
      </c>
      <c r="O7" s="174">
        <f>D6</f>
        <v>13.579590781249998</v>
      </c>
      <c r="P7" s="174">
        <f t="shared" ref="P7:P27" si="2">(H7+O7)*$D$7</f>
        <v>0</v>
      </c>
      <c r="Q7" s="174">
        <f t="shared" ref="Q7:Q27" si="3">SUM(O7:P7)/((1+$D$8)^G7)</f>
        <v>12.645116660070768</v>
      </c>
      <c r="R7" s="174">
        <f>Q7</f>
        <v>12.645116660070768</v>
      </c>
      <c r="S7" s="307">
        <f>(-PMT($D$8,G7,(R7)))</f>
        <v>13.579590781249996</v>
      </c>
      <c r="T7" s="267">
        <f>+S7/'Capacity Delivered'!L7*1000</f>
        <v>1.5501815960331045</v>
      </c>
      <c r="U7" s="268">
        <f t="shared" ref="U7:U20" si="4">T7/1000</f>
        <v>1.5501815960331045E-3</v>
      </c>
      <c r="W7" s="258">
        <f>L7+T7</f>
        <v>6.824981591056309</v>
      </c>
      <c r="X7" s="259">
        <f t="shared" ref="X7:X20" si="5">W7/1000</f>
        <v>6.8249815910563089E-3</v>
      </c>
    </row>
    <row r="8" spans="1:24" s="44" customFormat="1" ht="15.6" x14ac:dyDescent="0.3">
      <c r="A8" s="167"/>
      <c r="B8" s="167"/>
      <c r="C8" s="161" t="s">
        <v>33</v>
      </c>
      <c r="D8" s="46">
        <f>Rate_of_Return</f>
        <v>7.3899999999999993E-2</v>
      </c>
      <c r="E8" s="254"/>
      <c r="F8" s="168">
        <f>'Baseload Avoided Capacity Calcs'!F8</f>
        <v>2024</v>
      </c>
      <c r="G8" s="37">
        <v>2</v>
      </c>
      <c r="H8" s="169">
        <f>'Capacity Delivered'!H8</f>
        <v>16.95806</v>
      </c>
      <c r="I8" s="255">
        <f t="shared" si="0"/>
        <v>14.704439768679983</v>
      </c>
      <c r="J8" s="256">
        <f t="shared" ref="J8:J27" si="6">J7+I8</f>
        <v>30.495537636265418</v>
      </c>
      <c r="K8" s="256">
        <f>(-PMT($D$8,G8,(J8)))</f>
        <v>16.958059999999996</v>
      </c>
      <c r="L8" s="267">
        <f>+K8/'Capacity Delivered'!P8*1000</f>
        <v>5.2603879731788767</v>
      </c>
      <c r="M8" s="257">
        <f t="shared" si="1"/>
        <v>5.2603879731788769E-3</v>
      </c>
      <c r="O8" s="169">
        <f t="shared" ref="O8:O27" si="7">O7+(O7*$D$9)</f>
        <v>13.919080550781247</v>
      </c>
      <c r="P8" s="169">
        <f t="shared" si="2"/>
        <v>0</v>
      </c>
      <c r="Q8" s="169">
        <f t="shared" si="3"/>
        <v>12.069321702740046</v>
      </c>
      <c r="R8" s="169">
        <f t="shared" ref="R8:R12" si="8">R7+Q8</f>
        <v>24.714438362810814</v>
      </c>
      <c r="S8" s="307">
        <f t="shared" ref="S8:S27" si="9">(-PMT($D$8,G8,(R8)))</f>
        <v>13.743287087499693</v>
      </c>
      <c r="T8" s="256">
        <f>+S8/'Capacity Delivered'!L8*1000</f>
        <v>1.5645818633310216</v>
      </c>
      <c r="U8" s="257">
        <f t="shared" si="4"/>
        <v>1.5645818633310215E-3</v>
      </c>
      <c r="W8" s="258">
        <f t="shared" ref="W8:W27" si="10">L8+T8</f>
        <v>6.8249698365098981</v>
      </c>
      <c r="X8" s="259">
        <f t="shared" si="5"/>
        <v>6.824969836509898E-3</v>
      </c>
    </row>
    <row r="9" spans="1:24" s="44" customFormat="1" ht="15.6" x14ac:dyDescent="0.3">
      <c r="A9" s="167"/>
      <c r="B9" s="167"/>
      <c r="C9" s="161" t="s">
        <v>121</v>
      </c>
      <c r="D9" s="46">
        <v>2.5000000000000001E-2</v>
      </c>
      <c r="E9" s="260"/>
      <c r="F9" s="168">
        <f>'Baseload Avoided Capacity Calcs'!F9</f>
        <v>2025</v>
      </c>
      <c r="G9" s="37">
        <v>3</v>
      </c>
      <c r="H9" s="169">
        <f>'Capacity Delivered'!H9</f>
        <v>16.95806</v>
      </c>
      <c r="I9" s="255">
        <f t="shared" si="0"/>
        <v>13.692559613260064</v>
      </c>
      <c r="J9" s="256">
        <f t="shared" si="6"/>
        <v>44.188097249525484</v>
      </c>
      <c r="K9" s="256">
        <f>(-PMT($D$8,G9,(J9)))</f>
        <v>16.958059999999996</v>
      </c>
      <c r="L9" s="267">
        <f>+K9/'Capacity Delivered'!P9*1000</f>
        <v>5.2747999950232032</v>
      </c>
      <c r="M9" s="257">
        <f t="shared" si="1"/>
        <v>5.2747999950232029E-3</v>
      </c>
      <c r="O9" s="169">
        <f t="shared" si="7"/>
        <v>14.267057564550779</v>
      </c>
      <c r="P9" s="169">
        <f t="shared" si="2"/>
        <v>0</v>
      </c>
      <c r="Q9" s="169">
        <f t="shared" si="3"/>
        <v>11.519745549221108</v>
      </c>
      <c r="R9" s="169">
        <f t="shared" si="8"/>
        <v>36.234183912031924</v>
      </c>
      <c r="S9" s="307">
        <f t="shared" si="9"/>
        <v>13.90558777313885</v>
      </c>
      <c r="T9" s="256">
        <f>+S9/'Capacity Delivered'!L9*1000</f>
        <v>1.5873958645135673</v>
      </c>
      <c r="U9" s="257">
        <f t="shared" si="4"/>
        <v>1.5873958645135672E-3</v>
      </c>
      <c r="W9" s="258">
        <f t="shared" si="10"/>
        <v>6.8621958595367705</v>
      </c>
      <c r="X9" s="259">
        <f t="shared" si="5"/>
        <v>6.8621958595367705E-3</v>
      </c>
    </row>
    <row r="10" spans="1:24" s="44" customFormat="1" ht="15.6" x14ac:dyDescent="0.3">
      <c r="B10" s="167"/>
      <c r="C10" s="161"/>
      <c r="D10" s="51"/>
      <c r="E10" s="254"/>
      <c r="F10" s="168">
        <f>'Baseload Avoided Capacity Calcs'!F10</f>
        <v>2026</v>
      </c>
      <c r="G10" s="37">
        <v>4</v>
      </c>
      <c r="H10" s="169">
        <f>'Capacity Delivered'!H10</f>
        <v>16.95806</v>
      </c>
      <c r="I10" s="255">
        <f t="shared" si="0"/>
        <v>12.750311586982086</v>
      </c>
      <c r="J10" s="256">
        <f t="shared" si="6"/>
        <v>56.93840883650757</v>
      </c>
      <c r="K10" s="256">
        <f t="shared" ref="K10:K26" si="11">(-PMT($D$8,G10,(J10)))</f>
        <v>16.958059999999996</v>
      </c>
      <c r="L10" s="267">
        <f>+K10/'Capacity Delivered'!P10*1000</f>
        <v>5.2747999950232032</v>
      </c>
      <c r="M10" s="257">
        <f t="shared" si="1"/>
        <v>5.2747999950232029E-3</v>
      </c>
      <c r="O10" s="169">
        <f t="shared" si="7"/>
        <v>14.623734003664548</v>
      </c>
      <c r="P10" s="169">
        <f t="shared" si="2"/>
        <v>0</v>
      </c>
      <c r="Q10" s="169">
        <f t="shared" si="3"/>
        <v>10.995194327173511</v>
      </c>
      <c r="R10" s="169">
        <f t="shared" si="8"/>
        <v>47.229378239205431</v>
      </c>
      <c r="S10" s="307">
        <f t="shared" si="9"/>
        <v>14.066403440301439</v>
      </c>
      <c r="T10" s="256">
        <f>+S10/'Capacity Delivered'!L10*1000</f>
        <v>1.6057538173860091</v>
      </c>
      <c r="U10" s="257">
        <f t="shared" si="4"/>
        <v>1.605753817386009E-3</v>
      </c>
      <c r="W10" s="258">
        <f t="shared" si="10"/>
        <v>6.8805538124092127</v>
      </c>
      <c r="X10" s="259">
        <f t="shared" si="5"/>
        <v>6.880553812409213E-3</v>
      </c>
    </row>
    <row r="11" spans="1:24" s="44" customFormat="1" ht="15.6" x14ac:dyDescent="0.3">
      <c r="B11" s="167"/>
      <c r="C11" s="161"/>
      <c r="D11" s="337"/>
      <c r="E11" s="254"/>
      <c r="F11" s="168">
        <f>'Baseload Avoided Capacity Calcs'!F11</f>
        <v>2027</v>
      </c>
      <c r="G11" s="37">
        <v>5</v>
      </c>
      <c r="H11" s="169">
        <f>'Capacity Delivered'!H11</f>
        <v>16.95806</v>
      </c>
      <c r="I11" s="255">
        <f t="shared" si="0"/>
        <v>11.872903982663269</v>
      </c>
      <c r="J11" s="256">
        <f t="shared" si="6"/>
        <v>68.811312819170837</v>
      </c>
      <c r="K11" s="256">
        <f t="shared" si="11"/>
        <v>16.958059999999993</v>
      </c>
      <c r="L11" s="267">
        <f>+K11/'Capacity Delivered'!P11*1000</f>
        <v>5.2747999950232023</v>
      </c>
      <c r="M11" s="257">
        <f t="shared" si="1"/>
        <v>5.274799995023202E-3</v>
      </c>
      <c r="O11" s="169">
        <f t="shared" si="7"/>
        <v>14.989327353756162</v>
      </c>
      <c r="P11" s="169">
        <f t="shared" si="2"/>
        <v>0</v>
      </c>
      <c r="Q11" s="169">
        <f t="shared" si="3"/>
        <v>10.494528527193266</v>
      </c>
      <c r="R11" s="169">
        <f t="shared" si="8"/>
        <v>57.723906766398699</v>
      </c>
      <c r="S11" s="307">
        <f t="shared" si="9"/>
        <v>14.225647415729544</v>
      </c>
      <c r="T11" s="256">
        <f>+S11/'Capacity Delivered'!L11*1000</f>
        <v>1.6239323533937835</v>
      </c>
      <c r="U11" s="257">
        <f t="shared" si="4"/>
        <v>1.6239323533937834E-3</v>
      </c>
      <c r="W11" s="258">
        <f t="shared" si="10"/>
        <v>6.8987323484169858</v>
      </c>
      <c r="X11" s="259">
        <f t="shared" si="5"/>
        <v>6.8987323484169857E-3</v>
      </c>
    </row>
    <row r="12" spans="1:24" s="44" customFormat="1" ht="15.6" x14ac:dyDescent="0.3">
      <c r="B12" s="261"/>
      <c r="C12" s="338"/>
      <c r="D12" s="262"/>
      <c r="E12" s="254"/>
      <c r="F12" s="168">
        <f>'Baseload Avoided Capacity Calcs'!F12</f>
        <v>2028</v>
      </c>
      <c r="G12" s="37">
        <v>6</v>
      </c>
      <c r="H12" s="169">
        <f>'Capacity Delivered'!H12</f>
        <v>16.95806</v>
      </c>
      <c r="I12" s="255">
        <f t="shared" si="0"/>
        <v>11.055874832538663</v>
      </c>
      <c r="J12" s="256">
        <f t="shared" si="6"/>
        <v>79.8671876517095</v>
      </c>
      <c r="K12" s="256">
        <f t="shared" si="11"/>
        <v>16.958059999999993</v>
      </c>
      <c r="L12" s="267">
        <f>+K12/'Capacity Delivered'!P12*1000</f>
        <v>5.2603879731788759</v>
      </c>
      <c r="M12" s="257">
        <f t="shared" si="1"/>
        <v>5.2603879731788761E-3</v>
      </c>
      <c r="O12" s="169">
        <f t="shared" si="7"/>
        <v>15.364060537600066</v>
      </c>
      <c r="P12" s="169">
        <f t="shared" si="2"/>
        <v>0</v>
      </c>
      <c r="Q12" s="169">
        <f t="shared" si="3"/>
        <v>10.01666052739836</v>
      </c>
      <c r="R12" s="169">
        <f t="shared" si="8"/>
        <v>67.740567293797056</v>
      </c>
      <c r="S12" s="307">
        <f t="shared" si="9"/>
        <v>14.383235949308647</v>
      </c>
      <c r="T12" s="256">
        <f>+S12/'Capacity Delivered'!L12*1000</f>
        <v>1.6374357865788534</v>
      </c>
      <c r="U12" s="257">
        <f t="shared" si="4"/>
        <v>1.6374357865788533E-3</v>
      </c>
      <c r="W12" s="258">
        <f t="shared" si="10"/>
        <v>6.8978237597577294</v>
      </c>
      <c r="X12" s="259">
        <f t="shared" si="5"/>
        <v>6.8978237597577298E-3</v>
      </c>
    </row>
    <row r="13" spans="1:24" s="44" customFormat="1" ht="15.6" x14ac:dyDescent="0.3">
      <c r="B13" s="261"/>
      <c r="C13" s="338"/>
      <c r="D13" s="262"/>
      <c r="E13" s="254"/>
      <c r="F13" s="168">
        <f>'Baseload Avoided Capacity Calcs'!F13</f>
        <v>2029</v>
      </c>
      <c r="G13" s="37">
        <v>7</v>
      </c>
      <c r="H13" s="169">
        <f>'Capacity Delivered'!H13</f>
        <v>16.95806</v>
      </c>
      <c r="I13" s="255">
        <f t="shared" si="0"/>
        <v>10.295069217374675</v>
      </c>
      <c r="J13" s="256">
        <f>J12+I13</f>
        <v>90.162256869084175</v>
      </c>
      <c r="K13" s="256">
        <f t="shared" si="11"/>
        <v>16.958059999999993</v>
      </c>
      <c r="L13" s="267">
        <f>+K13/'Capacity Delivered'!P13*1000</f>
        <v>5.2747999950232023</v>
      </c>
      <c r="M13" s="257">
        <f t="shared" si="1"/>
        <v>5.274799995023202E-3</v>
      </c>
      <c r="O13" s="169">
        <f>O12+(O12*$D$9)</f>
        <v>15.748162051040067</v>
      </c>
      <c r="P13" s="169">
        <f t="shared" si="2"/>
        <v>0</v>
      </c>
      <c r="Q13" s="169">
        <f t="shared" si="3"/>
        <v>9.5605522307322062</v>
      </c>
      <c r="R13" s="169">
        <f>R12+Q13</f>
        <v>77.30111952452927</v>
      </c>
      <c r="S13" s="307">
        <f t="shared" si="9"/>
        <v>14.539088400011272</v>
      </c>
      <c r="T13" s="256">
        <f>+S13/'Capacity Delivered'!L13*1000</f>
        <v>1.6597132876725196</v>
      </c>
      <c r="U13" s="257">
        <f t="shared" si="4"/>
        <v>1.6597132876725196E-3</v>
      </c>
      <c r="W13" s="258">
        <f t="shared" si="10"/>
        <v>6.9345132826957219</v>
      </c>
      <c r="X13" s="259">
        <f t="shared" si="5"/>
        <v>6.9345132826957217E-3</v>
      </c>
    </row>
    <row r="14" spans="1:24" s="44" customFormat="1" x14ac:dyDescent="0.25">
      <c r="B14" s="261"/>
      <c r="C14" s="263"/>
      <c r="D14" s="263"/>
      <c r="E14" s="254"/>
      <c r="F14" s="168">
        <f>'Baseload Avoided Capacity Calcs'!F14</f>
        <v>2030</v>
      </c>
      <c r="G14" s="37">
        <v>8</v>
      </c>
      <c r="H14" s="169">
        <f>'Capacity Delivered'!H14</f>
        <v>16.95806</v>
      </c>
      <c r="I14" s="255">
        <f t="shared" si="0"/>
        <v>9.5866181370469068</v>
      </c>
      <c r="J14" s="256">
        <f t="shared" si="6"/>
        <v>99.748875006131087</v>
      </c>
      <c r="K14" s="256">
        <f t="shared" si="11"/>
        <v>16.958059999999993</v>
      </c>
      <c r="L14" s="267">
        <f>+K14/'Capacity Delivered'!P14*1000</f>
        <v>5.2747999950232023</v>
      </c>
      <c r="M14" s="257">
        <f t="shared" si="1"/>
        <v>5.274799995023202E-3</v>
      </c>
      <c r="O14" s="169">
        <f t="shared" si="7"/>
        <v>16.141866102316069</v>
      </c>
      <c r="P14" s="169">
        <f t="shared" si="2"/>
        <v>0</v>
      </c>
      <c r="Q14" s="169">
        <f t="shared" si="3"/>
        <v>9.1252128098524175</v>
      </c>
      <c r="R14" s="169">
        <f t="shared" ref="R14:R20" si="12">R13+Q14</f>
        <v>86.426332334381684</v>
      </c>
      <c r="S14" s="307">
        <f t="shared" si="9"/>
        <v>14.693127408367255</v>
      </c>
      <c r="T14" s="256">
        <f>+S14/'Capacity Delivered'!L14*1000</f>
        <v>1.6772976493569927</v>
      </c>
      <c r="U14" s="257">
        <f t="shared" si="4"/>
        <v>1.6772976493569926E-3</v>
      </c>
      <c r="W14" s="258">
        <f t="shared" si="10"/>
        <v>6.9520976443801947</v>
      </c>
      <c r="X14" s="259">
        <f t="shared" si="5"/>
        <v>6.952097644380195E-3</v>
      </c>
    </row>
    <row r="15" spans="1:24" s="44" customFormat="1" x14ac:dyDescent="0.25">
      <c r="B15" s="263"/>
      <c r="C15" s="264"/>
      <c r="D15" s="264"/>
      <c r="E15" s="254"/>
      <c r="F15" s="168">
        <f>'Baseload Avoided Capacity Calcs'!F15</f>
        <v>2031</v>
      </c>
      <c r="G15" s="37">
        <v>9</v>
      </c>
      <c r="H15" s="169">
        <f>'Capacity Delivered'!H15</f>
        <v>16.95806</v>
      </c>
      <c r="I15" s="255">
        <f t="shared" si="0"/>
        <v>8.9269188351307438</v>
      </c>
      <c r="J15" s="256">
        <f t="shared" si="6"/>
        <v>108.67579384126184</v>
      </c>
      <c r="K15" s="256">
        <f t="shared" si="11"/>
        <v>16.958059999999996</v>
      </c>
      <c r="L15" s="267">
        <f>+K15/'Capacity Delivered'!P15*1000</f>
        <v>5.2747999950232032</v>
      </c>
      <c r="M15" s="257">
        <f t="shared" si="1"/>
        <v>5.2747999950232029E-3</v>
      </c>
      <c r="O15" s="169">
        <f t="shared" si="7"/>
        <v>16.545412754873972</v>
      </c>
      <c r="P15" s="169">
        <f t="shared" si="2"/>
        <v>0</v>
      </c>
      <c r="Q15" s="169">
        <f t="shared" si="3"/>
        <v>8.7096965547059568</v>
      </c>
      <c r="R15" s="169">
        <f t="shared" si="12"/>
        <v>95.13602888908764</v>
      </c>
      <c r="S15" s="307">
        <f t="shared" si="9"/>
        <v>14.845279054684372</v>
      </c>
      <c r="T15" s="256">
        <f>+S15/'Capacity Delivered'!L15*1000</f>
        <v>1.6946665587539238</v>
      </c>
      <c r="U15" s="257">
        <f t="shared" si="4"/>
        <v>1.6946665587539238E-3</v>
      </c>
      <c r="W15" s="258">
        <f t="shared" si="10"/>
        <v>6.969466553777127</v>
      </c>
      <c r="X15" s="259">
        <f t="shared" si="5"/>
        <v>6.9694665537771271E-3</v>
      </c>
    </row>
    <row r="16" spans="1:24" s="44" customFormat="1" x14ac:dyDescent="0.25">
      <c r="B16" s="263"/>
      <c r="C16" s="264"/>
      <c r="D16" s="264"/>
      <c r="E16" s="254"/>
      <c r="F16" s="168">
        <f>'Baseload Avoided Capacity Calcs'!F16</f>
        <v>2032</v>
      </c>
      <c r="G16" s="37">
        <v>10</v>
      </c>
      <c r="H16" s="169">
        <f>'Capacity Delivered'!H16</f>
        <v>16.95806</v>
      </c>
      <c r="I16" s="255">
        <f t="shared" si="0"/>
        <v>8.3126164774473832</v>
      </c>
      <c r="J16" s="256">
        <f t="shared" si="6"/>
        <v>116.98841031870921</v>
      </c>
      <c r="K16" s="256">
        <f t="shared" si="11"/>
        <v>16.958059999999996</v>
      </c>
      <c r="L16" s="267">
        <f>+K16/'Capacity Delivered'!P16*1000</f>
        <v>5.2603879731788767</v>
      </c>
      <c r="M16" s="257">
        <f t="shared" si="1"/>
        <v>5.2603879731788769E-3</v>
      </c>
      <c r="N16" s="265"/>
      <c r="O16" s="169">
        <f t="shared" si="7"/>
        <v>16.959048073745823</v>
      </c>
      <c r="P16" s="169">
        <f t="shared" si="2"/>
        <v>0</v>
      </c>
      <c r="Q16" s="169">
        <f t="shared" si="3"/>
        <v>8.3131008181149149</v>
      </c>
      <c r="R16" s="169">
        <f t="shared" si="12"/>
        <v>103.44912970720256</v>
      </c>
      <c r="S16" s="307">
        <f t="shared" si="9"/>
        <v>14.995473002354057</v>
      </c>
      <c r="T16" s="256">
        <f>+S16/'Capacity Delivered'!L16*1000</f>
        <v>1.7071349046395785</v>
      </c>
      <c r="U16" s="257">
        <f t="shared" si="4"/>
        <v>1.7071349046395784E-3</v>
      </c>
      <c r="V16" s="265"/>
      <c r="W16" s="258">
        <f t="shared" si="10"/>
        <v>6.967522877818455</v>
      </c>
      <c r="X16" s="259">
        <f t="shared" si="5"/>
        <v>6.9675228778184554E-3</v>
      </c>
    </row>
    <row r="17" spans="2:24" s="44" customFormat="1" x14ac:dyDescent="0.25">
      <c r="B17" s="263"/>
      <c r="C17" s="264"/>
      <c r="D17" s="264"/>
      <c r="E17" s="254"/>
      <c r="F17" s="168">
        <f>'Baseload Avoided Capacity Calcs'!F17</f>
        <v>2033</v>
      </c>
      <c r="G17" s="37">
        <v>11</v>
      </c>
      <c r="H17" s="169">
        <f>'Capacity Delivered'!H17</f>
        <v>16.95806</v>
      </c>
      <c r="I17" s="255">
        <f t="shared" si="0"/>
        <v>7.7405870913934089</v>
      </c>
      <c r="J17" s="256">
        <f t="shared" si="6"/>
        <v>124.72899741010262</v>
      </c>
      <c r="K17" s="256">
        <f t="shared" si="11"/>
        <v>16.958059999999993</v>
      </c>
      <c r="L17" s="267">
        <f>+K17/'Capacity Delivered'!P17*1000</f>
        <v>5.2747999950232023</v>
      </c>
      <c r="M17" s="257">
        <f t="shared" si="1"/>
        <v>5.274799995023202E-3</v>
      </c>
      <c r="O17" s="169">
        <f t="shared" si="7"/>
        <v>17.38302427558947</v>
      </c>
      <c r="P17" s="169">
        <f t="shared" si="2"/>
        <v>0</v>
      </c>
      <c r="Q17" s="169">
        <f t="shared" si="3"/>
        <v>7.9345640549099441</v>
      </c>
      <c r="R17" s="169">
        <f t="shared" si="12"/>
        <v>111.3836937621125</v>
      </c>
      <c r="S17" s="307">
        <f t="shared" si="9"/>
        <v>15.143642625692575</v>
      </c>
      <c r="T17" s="256">
        <f>+S17/'Capacity Delivered'!L17*1000</f>
        <v>1.7287263271338558</v>
      </c>
      <c r="U17" s="257">
        <f t="shared" si="4"/>
        <v>1.7287263271338557E-3</v>
      </c>
      <c r="W17" s="258">
        <f t="shared" si="10"/>
        <v>7.0035263221570583</v>
      </c>
      <c r="X17" s="259">
        <f t="shared" si="5"/>
        <v>7.0035263221570583E-3</v>
      </c>
    </row>
    <row r="18" spans="2:24" s="44" customFormat="1" x14ac:dyDescent="0.25">
      <c r="B18" s="264"/>
      <c r="C18" s="264"/>
      <c r="D18" s="264"/>
      <c r="E18" s="254"/>
      <c r="F18" s="168">
        <f>'Baseload Avoided Capacity Calcs'!F18</f>
        <v>2034</v>
      </c>
      <c r="G18" s="37">
        <v>12</v>
      </c>
      <c r="H18" s="169">
        <f>'Capacity Delivered'!H18</f>
        <v>16.95806</v>
      </c>
      <c r="I18" s="255">
        <f t="shared" si="0"/>
        <v>7.2079216792936105</v>
      </c>
      <c r="J18" s="256">
        <f t="shared" si="6"/>
        <v>131.93691908939624</v>
      </c>
      <c r="K18" s="256">
        <f t="shared" si="11"/>
        <v>16.958059999999993</v>
      </c>
      <c r="L18" s="267">
        <f>+K18/'Capacity Delivered'!P18*1000</f>
        <v>5.2747999950232023</v>
      </c>
      <c r="M18" s="257">
        <f t="shared" si="1"/>
        <v>5.274799995023202E-3</v>
      </c>
      <c r="O18" s="169">
        <f t="shared" si="7"/>
        <v>17.817599882479207</v>
      </c>
      <c r="P18" s="169">
        <f t="shared" si="2"/>
        <v>0</v>
      </c>
      <c r="Q18" s="169">
        <f t="shared" si="3"/>
        <v>7.5732639503517012</v>
      </c>
      <c r="R18" s="169">
        <f t="shared" si="12"/>
        <v>118.9569577124642</v>
      </c>
      <c r="S18" s="307">
        <f t="shared" si="9"/>
        <v>15.289725121886361</v>
      </c>
      <c r="T18" s="256">
        <f>+S18/'Capacity Delivered'!L18*1000</f>
        <v>1.7454024111742421</v>
      </c>
      <c r="U18" s="257">
        <f t="shared" si="4"/>
        <v>1.7454024111742421E-3</v>
      </c>
      <c r="W18" s="258">
        <f t="shared" si="10"/>
        <v>7.0202024061974448</v>
      </c>
      <c r="X18" s="259">
        <f t="shared" si="5"/>
        <v>7.0202024061974452E-3</v>
      </c>
    </row>
    <row r="19" spans="2:24" s="44" customFormat="1" x14ac:dyDescent="0.25">
      <c r="B19" s="264"/>
      <c r="C19" s="264"/>
      <c r="D19" s="264"/>
      <c r="E19" s="187"/>
      <c r="F19" s="168">
        <f>'Baseload Avoided Capacity Calcs'!F19</f>
        <v>2035</v>
      </c>
      <c r="G19" s="37">
        <v>13</v>
      </c>
      <c r="H19" s="169">
        <f>'Capacity Delivered'!H19</f>
        <v>16.95806</v>
      </c>
      <c r="I19" s="255">
        <f t="shared" si="0"/>
        <v>6.7119114249870648</v>
      </c>
      <c r="J19" s="256">
        <f t="shared" si="6"/>
        <v>138.64883051438329</v>
      </c>
      <c r="K19" s="256">
        <f t="shared" si="11"/>
        <v>16.958059999999993</v>
      </c>
      <c r="L19" s="267">
        <f>+K19/'Capacity Delivered'!P19*1000</f>
        <v>5.2747999950232023</v>
      </c>
      <c r="M19" s="257">
        <f t="shared" si="1"/>
        <v>5.274799995023202E-3</v>
      </c>
      <c r="O19" s="169">
        <f t="shared" si="7"/>
        <v>18.263039879541189</v>
      </c>
      <c r="P19" s="169">
        <f t="shared" si="2"/>
        <v>0</v>
      </c>
      <c r="Q19" s="169">
        <f t="shared" si="3"/>
        <v>7.2284156337745529</v>
      </c>
      <c r="R19" s="169">
        <f t="shared" si="12"/>
        <v>126.18537334623875</v>
      </c>
      <c r="S19" s="307">
        <f t="shared" si="9"/>
        <v>15.433661606730464</v>
      </c>
      <c r="T19" s="256">
        <f>+S19/'Capacity Delivered'!L19*1000</f>
        <v>1.761833516750053</v>
      </c>
      <c r="U19" s="257">
        <f t="shared" si="4"/>
        <v>1.7618335167500529E-3</v>
      </c>
      <c r="W19" s="258">
        <f t="shared" si="10"/>
        <v>7.036633511773255</v>
      </c>
      <c r="X19" s="259">
        <f t="shared" si="5"/>
        <v>7.0366335117732553E-3</v>
      </c>
    </row>
    <row r="20" spans="2:24" s="44" customFormat="1" x14ac:dyDescent="0.25">
      <c r="B20" s="264"/>
      <c r="C20" s="264"/>
      <c r="D20" s="264"/>
      <c r="E20" s="187"/>
      <c r="F20" s="168">
        <f>'Baseload Avoided Capacity Calcs'!F20</f>
        <v>2036</v>
      </c>
      <c r="G20" s="37">
        <v>14</v>
      </c>
      <c r="H20" s="169">
        <f>'Capacity Delivered'!H20</f>
        <v>16.95806</v>
      </c>
      <c r="I20" s="255">
        <f t="shared" si="0"/>
        <v>6.2500339184161149</v>
      </c>
      <c r="J20" s="256">
        <f t="shared" si="6"/>
        <v>144.8988644327994</v>
      </c>
      <c r="K20" s="256">
        <f t="shared" si="11"/>
        <v>16.958059999999993</v>
      </c>
      <c r="L20" s="267">
        <f>+K20/'Capacity Delivered'!P20*1000</f>
        <v>5.2603879731788759</v>
      </c>
      <c r="M20" s="257">
        <f t="shared" si="1"/>
        <v>5.2603879731788761E-3</v>
      </c>
      <c r="O20" s="169">
        <f t="shared" si="7"/>
        <v>18.719615876529719</v>
      </c>
      <c r="P20" s="169">
        <f t="shared" si="2"/>
        <v>0</v>
      </c>
      <c r="Q20" s="169">
        <f t="shared" si="3"/>
        <v>6.8992699735719505</v>
      </c>
      <c r="R20" s="169">
        <f t="shared" si="12"/>
        <v>133.08464331981071</v>
      </c>
      <c r="S20" s="307">
        <f t="shared" si="9"/>
        <v>15.575397193969206</v>
      </c>
      <c r="T20" s="256">
        <f>+S20/'Capacity Delivered'!L20*1000</f>
        <v>1.773155418256968</v>
      </c>
      <c r="U20" s="257">
        <f t="shared" si="4"/>
        <v>1.7731554182569679E-3</v>
      </c>
      <c r="W20" s="258">
        <f t="shared" si="10"/>
        <v>7.0335433914358436</v>
      </c>
      <c r="X20" s="259">
        <f t="shared" si="5"/>
        <v>7.0335433914358435E-3</v>
      </c>
    </row>
    <row r="21" spans="2:24" s="265" customFormat="1" x14ac:dyDescent="0.25">
      <c r="B21" s="264"/>
      <c r="C21" s="264"/>
      <c r="D21" s="264"/>
      <c r="E21" s="187"/>
      <c r="F21" s="168">
        <f>'Baseload Avoided Capacity Calcs'!F21</f>
        <v>2037</v>
      </c>
      <c r="G21" s="37">
        <v>15</v>
      </c>
      <c r="H21" s="169">
        <f>'Capacity Delivered'!H21</f>
        <v>16.95806</v>
      </c>
      <c r="I21" s="255">
        <f t="shared" si="0"/>
        <v>5.8199403281647397</v>
      </c>
      <c r="J21" s="256">
        <f>J20+I21</f>
        <v>150.71880476096413</v>
      </c>
      <c r="K21" s="256">
        <f t="shared" si="11"/>
        <v>16.958059999999989</v>
      </c>
      <c r="L21" s="267">
        <f>+K21/'Capacity Delivered'!P21*1000</f>
        <v>5.2747999950232014</v>
      </c>
      <c r="M21" s="257">
        <f>L21/1000</f>
        <v>5.2747999950232011E-3</v>
      </c>
      <c r="O21" s="169">
        <f t="shared" si="7"/>
        <v>19.187606273442963</v>
      </c>
      <c r="P21" s="169">
        <f t="shared" si="2"/>
        <v>0</v>
      </c>
      <c r="Q21" s="169">
        <f t="shared" si="3"/>
        <v>6.5851119498195825</v>
      </c>
      <c r="R21" s="169">
        <f>R20+Q21</f>
        <v>139.66975526963029</v>
      </c>
      <c r="S21" s="307">
        <f t="shared" si="9"/>
        <v>15.714881058167396</v>
      </c>
      <c r="T21" s="256">
        <f>+S21/'Capacity Delivered'!L21*1000</f>
        <v>1.7939361938547256</v>
      </c>
      <c r="U21" s="257">
        <f>T21/1000</f>
        <v>1.7939361938547256E-3</v>
      </c>
      <c r="W21" s="258">
        <f>L21+T21</f>
        <v>7.068736188877927</v>
      </c>
      <c r="X21" s="259">
        <f>W21/1000</f>
        <v>7.0687361888779271E-3</v>
      </c>
    </row>
    <row r="22" spans="2:24" s="44" customFormat="1" x14ac:dyDescent="0.25">
      <c r="B22" s="264"/>
      <c r="C22" s="264"/>
      <c r="D22" s="264"/>
      <c r="E22" s="187"/>
      <c r="F22" s="168">
        <f>'Baseload Avoided Capacity Calcs'!F22</f>
        <v>2038</v>
      </c>
      <c r="G22" s="37">
        <v>16</v>
      </c>
      <c r="H22" s="169">
        <f>'Capacity Delivered'!H22</f>
        <v>16.95806</v>
      </c>
      <c r="I22" s="255">
        <f t="shared" si="0"/>
        <v>5.4194434567136041</v>
      </c>
      <c r="J22" s="256">
        <f t="shared" si="6"/>
        <v>156.13824821767773</v>
      </c>
      <c r="K22" s="256">
        <f t="shared" si="11"/>
        <v>16.958059999999989</v>
      </c>
      <c r="L22" s="267">
        <f>+K22/'Capacity Delivered'!P22*1000</f>
        <v>5.2747999950232014</v>
      </c>
      <c r="M22" s="257">
        <f t="shared" si="1"/>
        <v>5.2747999950232011E-3</v>
      </c>
      <c r="O22" s="169">
        <f t="shared" si="7"/>
        <v>19.667296430279038</v>
      </c>
      <c r="P22" s="169">
        <f t="shared" si="2"/>
        <v>0</v>
      </c>
      <c r="Q22" s="169">
        <f t="shared" si="3"/>
        <v>6.285259101001091</v>
      </c>
      <c r="R22" s="169">
        <f t="shared" ref="R22:R27" si="13">R21+Q22</f>
        <v>145.95501437063137</v>
      </c>
      <c r="S22" s="307">
        <f t="shared" si="9"/>
        <v>15.852066481157044</v>
      </c>
      <c r="T22" s="256">
        <f>+S22/'Capacity Delivered'!L22*1000</f>
        <v>1.8095966302690689</v>
      </c>
      <c r="U22" s="257">
        <f t="shared" ref="U22:U27" si="14">T22/1000</f>
        <v>1.8095966302690688E-3</v>
      </c>
      <c r="W22" s="258">
        <f t="shared" si="10"/>
        <v>7.0843966252922703</v>
      </c>
      <c r="X22" s="259">
        <f t="shared" ref="X22:X27" si="15">W22/1000</f>
        <v>7.08439662529227E-3</v>
      </c>
    </row>
    <row r="23" spans="2:24" s="44" customFormat="1" x14ac:dyDescent="0.25">
      <c r="B23" s="264"/>
      <c r="C23" s="264"/>
      <c r="D23" s="264"/>
      <c r="E23" s="187"/>
      <c r="F23" s="168">
        <f>'Baseload Avoided Capacity Calcs'!F23</f>
        <v>2039</v>
      </c>
      <c r="G23" s="37">
        <v>17</v>
      </c>
      <c r="H23" s="169">
        <f>'Capacity Delivered'!H23</f>
        <v>16.95806</v>
      </c>
      <c r="I23" s="255">
        <f t="shared" si="0"/>
        <v>5.0465066176679425</v>
      </c>
      <c r="J23" s="256">
        <f t="shared" si="6"/>
        <v>161.18475483534567</v>
      </c>
      <c r="K23" s="256">
        <f t="shared" si="11"/>
        <v>16.958059999999989</v>
      </c>
      <c r="L23" s="267">
        <f>+K23/'Capacity Delivered'!P23*1000</f>
        <v>5.2747999950232014</v>
      </c>
      <c r="M23" s="257">
        <f t="shared" si="1"/>
        <v>5.2747999950232011E-3</v>
      </c>
      <c r="O23" s="169">
        <f t="shared" si="7"/>
        <v>20.158978841036014</v>
      </c>
      <c r="P23" s="169">
        <f t="shared" si="2"/>
        <v>0</v>
      </c>
      <c r="Q23" s="169">
        <f t="shared" si="3"/>
        <v>5.9990600414620703</v>
      </c>
      <c r="R23" s="169">
        <f t="shared" si="13"/>
        <v>151.95407441209343</v>
      </c>
      <c r="S23" s="307">
        <f t="shared" si="9"/>
        <v>15.986910882217474</v>
      </c>
      <c r="T23" s="256">
        <f>+S23/'Capacity Delivered'!L23*1000</f>
        <v>1.8249898267371547</v>
      </c>
      <c r="U23" s="257">
        <f t="shared" si="14"/>
        <v>1.8249898267371548E-3</v>
      </c>
      <c r="W23" s="258">
        <f t="shared" si="10"/>
        <v>7.0997898217603561</v>
      </c>
      <c r="X23" s="259">
        <f t="shared" si="15"/>
        <v>7.0997898217603564E-3</v>
      </c>
    </row>
    <row r="24" spans="2:24" x14ac:dyDescent="0.25">
      <c r="B24" s="170"/>
      <c r="C24" s="170"/>
      <c r="D24" s="170"/>
      <c r="E24" s="52"/>
      <c r="F24" s="168">
        <f>'Baseload Avoided Capacity Calcs'!F24</f>
        <v>2040</v>
      </c>
      <c r="G24" s="39">
        <v>18</v>
      </c>
      <c r="H24" s="169">
        <f>'Capacity Delivered'!H24</f>
        <v>16.95806</v>
      </c>
      <c r="I24" s="40">
        <f t="shared" si="0"/>
        <v>4.6992332783945825</v>
      </c>
      <c r="J24" s="41">
        <f t="shared" si="6"/>
        <v>165.88398811374026</v>
      </c>
      <c r="K24" s="256">
        <f t="shared" si="11"/>
        <v>16.958059999999989</v>
      </c>
      <c r="L24" s="267">
        <f>+K24/'Capacity Delivered'!P24*1000</f>
        <v>5.260387973178875</v>
      </c>
      <c r="M24" s="235">
        <f t="shared" si="1"/>
        <v>5.2603879731788752E-3</v>
      </c>
      <c r="O24" s="169">
        <f t="shared" si="7"/>
        <v>20.662953312061912</v>
      </c>
      <c r="P24" s="169">
        <f t="shared" si="2"/>
        <v>0</v>
      </c>
      <c r="Q24" s="169">
        <f t="shared" si="3"/>
        <v>5.7258930463717492</v>
      </c>
      <c r="R24" s="169">
        <f t="shared" si="13"/>
        <v>157.67996745846517</v>
      </c>
      <c r="S24" s="307">
        <f t="shared" si="9"/>
        <v>16.119375832254988</v>
      </c>
      <c r="T24" s="41">
        <f>+S24/'Capacity Delivered'!L24*1000</f>
        <v>1.8350837696100852</v>
      </c>
      <c r="U24" s="235">
        <f t="shared" si="14"/>
        <v>1.8350837696100852E-3</v>
      </c>
      <c r="W24" s="242">
        <f t="shared" si="10"/>
        <v>7.09547174278896</v>
      </c>
      <c r="X24" s="243">
        <f t="shared" si="15"/>
        <v>7.0954717427889596E-3</v>
      </c>
    </row>
    <row r="25" spans="2:24" x14ac:dyDescent="0.25">
      <c r="B25" s="170"/>
      <c r="C25" s="170"/>
      <c r="D25" s="170"/>
      <c r="E25" s="52"/>
      <c r="F25" s="168">
        <f>'Baseload Avoided Capacity Calcs'!F25</f>
        <v>2041</v>
      </c>
      <c r="G25" s="39">
        <v>19</v>
      </c>
      <c r="H25" s="169">
        <f>'Capacity Delivered'!H25</f>
        <v>16.95806</v>
      </c>
      <c r="I25" s="40">
        <f t="shared" si="0"/>
        <v>4.3758574153967622</v>
      </c>
      <c r="J25" s="41">
        <f t="shared" si="6"/>
        <v>170.25984552913701</v>
      </c>
      <c r="K25" s="256">
        <f t="shared" si="11"/>
        <v>16.958059999999989</v>
      </c>
      <c r="L25" s="267">
        <f>+K25/'Capacity Delivered'!P25*1000</f>
        <v>5.2747999950232014</v>
      </c>
      <c r="M25" s="235">
        <f t="shared" si="1"/>
        <v>5.2747999950232011E-3</v>
      </c>
      <c r="O25" s="169">
        <f t="shared" si="7"/>
        <v>21.17952714486346</v>
      </c>
      <c r="P25" s="169">
        <f t="shared" si="2"/>
        <v>0</v>
      </c>
      <c r="Q25" s="169">
        <f t="shared" si="3"/>
        <v>5.4651647011183941</v>
      </c>
      <c r="R25" s="169">
        <f t="shared" si="13"/>
        <v>163.14513215958357</v>
      </c>
      <c r="S25" s="307">
        <f t="shared" si="9"/>
        <v>16.24942705235032</v>
      </c>
      <c r="T25" s="41">
        <f>+S25/'Capacity Delivered'!L25*1000</f>
        <v>1.8549574260673882</v>
      </c>
      <c r="U25" s="235">
        <f t="shared" si="14"/>
        <v>1.8549574260673881E-3</v>
      </c>
      <c r="W25" s="242">
        <f t="shared" si="10"/>
        <v>7.1297574210905896</v>
      </c>
      <c r="X25" s="243">
        <f t="shared" si="15"/>
        <v>7.1297574210905899E-3</v>
      </c>
    </row>
    <row r="26" spans="2:24" x14ac:dyDescent="0.25">
      <c r="B26" s="170"/>
      <c r="C26" s="170"/>
      <c r="D26" s="170"/>
      <c r="E26" s="52"/>
      <c r="F26" s="168">
        <f>'Baseload Avoided Capacity Calcs'!F26</f>
        <v>2042</v>
      </c>
      <c r="G26" s="39">
        <v>20</v>
      </c>
      <c r="H26" s="169">
        <f>'Capacity Delivered'!H26</f>
        <v>16.95806</v>
      </c>
      <c r="I26" s="40">
        <f t="shared" si="0"/>
        <v>4.0747345333799814</v>
      </c>
      <c r="J26" s="41">
        <f t="shared" si="6"/>
        <v>174.33458006251698</v>
      </c>
      <c r="K26" s="256">
        <f t="shared" si="11"/>
        <v>16.958059999999989</v>
      </c>
      <c r="L26" s="267">
        <f>+K26/'Capacity Delivered'!P26*1000</f>
        <v>5.2747999950232014</v>
      </c>
      <c r="M26" s="235">
        <f t="shared" si="1"/>
        <v>5.2747999950232011E-3</v>
      </c>
      <c r="O26" s="169">
        <f t="shared" si="7"/>
        <v>21.709015323485048</v>
      </c>
      <c r="P26" s="169">
        <f t="shared" si="2"/>
        <v>0</v>
      </c>
      <c r="Q26" s="169">
        <f t="shared" si="3"/>
        <v>5.2163086122044451</v>
      </c>
      <c r="R26" s="169">
        <f t="shared" si="13"/>
        <v>168.36144077178801</v>
      </c>
      <c r="S26" s="307">
        <f t="shared" si="9"/>
        <v>16.377034397137862</v>
      </c>
      <c r="T26" s="41">
        <f>+S26/'Capacity Delivered'!L26*1000</f>
        <v>1.8695244745591166</v>
      </c>
      <c r="U26" s="235">
        <f t="shared" si="14"/>
        <v>1.8695244745591166E-3</v>
      </c>
      <c r="W26" s="242">
        <f t="shared" si="10"/>
        <v>7.144324469582318</v>
      </c>
      <c r="X26" s="243">
        <f t="shared" si="15"/>
        <v>7.144324469582318E-3</v>
      </c>
    </row>
    <row r="27" spans="2:24" s="44" customFormat="1" ht="15.6" thickBot="1" x14ac:dyDescent="0.3">
      <c r="F27" s="168">
        <f>'Baseload Avoided Capacity Calcs'!F27</f>
        <v>2043</v>
      </c>
      <c r="G27" s="37">
        <v>21</v>
      </c>
      <c r="H27" s="169">
        <f>'Capacity Delivered'!H27</f>
        <v>16.95806</v>
      </c>
      <c r="I27" s="40">
        <f t="shared" si="0"/>
        <v>3.794333302337257</v>
      </c>
      <c r="J27" s="41">
        <f t="shared" si="6"/>
        <v>178.12891336485424</v>
      </c>
      <c r="K27" s="256">
        <f>(-PMT($D$8,G27,(J27)))</f>
        <v>16.958059999999985</v>
      </c>
      <c r="L27" s="267">
        <f>+K27/'Capacity Delivered'!P27*1000</f>
        <v>5.2747999950231996</v>
      </c>
      <c r="M27" s="235">
        <f t="shared" si="1"/>
        <v>5.2747999950231994E-3</v>
      </c>
      <c r="O27" s="169">
        <f t="shared" si="7"/>
        <v>22.251740706572175</v>
      </c>
      <c r="P27" s="169">
        <f t="shared" si="2"/>
        <v>0</v>
      </c>
      <c r="Q27" s="169">
        <f t="shared" si="3"/>
        <v>4.978784176841005</v>
      </c>
      <c r="R27" s="169">
        <f t="shared" si="13"/>
        <v>173.34022494862901</v>
      </c>
      <c r="S27" s="307">
        <f t="shared" si="9"/>
        <v>16.50217182356835</v>
      </c>
      <c r="T27" s="41">
        <f>+S27/'Capacity Delivered'!L27*1000</f>
        <v>1.8838095689004966</v>
      </c>
      <c r="U27" s="235">
        <f t="shared" si="14"/>
        <v>1.8838095689004966E-3</v>
      </c>
      <c r="W27" s="244">
        <f t="shared" si="10"/>
        <v>7.1586095639236964</v>
      </c>
      <c r="X27" s="245">
        <f t="shared" si="15"/>
        <v>7.1586095639236966E-3</v>
      </c>
    </row>
    <row r="28" spans="2:24" s="44" customFormat="1" x14ac:dyDescent="0.25">
      <c r="C28" s="21"/>
      <c r="F28" s="38"/>
      <c r="G28" s="37"/>
      <c r="H28" s="172"/>
      <c r="I28" s="55"/>
      <c r="J28" s="56"/>
      <c r="K28" s="48"/>
      <c r="L28" s="48"/>
      <c r="M28" s="48"/>
      <c r="O28" s="173"/>
      <c r="P28" s="54"/>
      <c r="Q28" s="55"/>
      <c r="R28" s="56"/>
      <c r="S28" s="48"/>
      <c r="T28" s="48"/>
      <c r="U28" s="48"/>
      <c r="W28" s="48"/>
      <c r="X28" s="48"/>
    </row>
    <row r="29" spans="2:24" x14ac:dyDescent="0.25">
      <c r="B29" s="31"/>
      <c r="C29" s="21"/>
      <c r="D29" s="44"/>
      <c r="E29" s="44"/>
      <c r="F29" s="31"/>
      <c r="G29" s="37"/>
      <c r="H29" s="172"/>
      <c r="I29" s="31"/>
      <c r="J29" s="31"/>
      <c r="K29" s="31"/>
      <c r="L29" s="31"/>
      <c r="M29" s="31"/>
      <c r="O29" s="173"/>
      <c r="P29" s="54"/>
      <c r="Q29" s="31"/>
      <c r="R29" s="31"/>
      <c r="S29" s="31"/>
      <c r="T29" s="31"/>
      <c r="U29" s="31"/>
      <c r="W29" s="31"/>
      <c r="X29" s="31"/>
    </row>
    <row r="30" spans="2:24" x14ac:dyDescent="0.25">
      <c r="B30" s="31" t="s">
        <v>165</v>
      </c>
      <c r="C30" s="21"/>
      <c r="D30" s="44"/>
      <c r="E30" s="44"/>
      <c r="F30" s="31"/>
      <c r="G30" s="37"/>
      <c r="H30" s="172"/>
      <c r="I30" s="31"/>
      <c r="J30" s="31"/>
      <c r="K30" s="31"/>
      <c r="L30" s="31"/>
      <c r="M30" s="31"/>
      <c r="O30" s="173"/>
      <c r="P30" s="54"/>
      <c r="Q30" s="31"/>
      <c r="R30" s="31"/>
      <c r="S30" s="31"/>
      <c r="T30" s="31"/>
      <c r="U30" s="31"/>
      <c r="W30" s="31"/>
      <c r="X30" s="31"/>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52" r:id="rId4" name="Control 4">
          <controlPr defaultSize="0" r:id="rId5">
            <anchor moveWithCells="1">
              <from>
                <xdr:col>6</xdr:col>
                <xdr:colOff>571500</xdr:colOff>
                <xdr:row>2</xdr:row>
                <xdr:rowOff>68580</xdr:rowOff>
              </from>
              <to>
                <xdr:col>7</xdr:col>
                <xdr:colOff>190500</xdr:colOff>
                <xdr:row>3</xdr:row>
                <xdr:rowOff>175260</xdr:rowOff>
              </to>
            </anchor>
          </controlPr>
        </control>
      </mc:Choice>
      <mc:Fallback>
        <control shapeId="27652" r:id="rId4" name="Control 4"/>
      </mc:Fallback>
    </mc:AlternateContent>
    <mc:AlternateContent xmlns:mc="http://schemas.openxmlformats.org/markup-compatibility/2006">
      <mc:Choice Requires="x14">
        <control shapeId="27651" r:id="rId6" name="Control 3">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7651" r:id="rId6" name="Control 3"/>
      </mc:Fallback>
    </mc:AlternateContent>
    <mc:AlternateContent xmlns:mc="http://schemas.openxmlformats.org/markup-compatibility/2006">
      <mc:Choice Requires="x14">
        <control shapeId="27650" r:id="rId8" name="Control 2">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7650" r:id="rId8" name="Control 2"/>
      </mc:Fallback>
    </mc:AlternateContent>
    <mc:AlternateContent xmlns:mc="http://schemas.openxmlformats.org/markup-compatibility/2006">
      <mc:Choice Requires="x14">
        <control shapeId="27649"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7649" r:id="rId10" name="Control 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workbookViewId="0">
      <selection activeCell="D14" sqref="D14"/>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6" t="s">
        <v>19</v>
      </c>
      <c r="X4" s="237"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8" t="s">
        <v>37</v>
      </c>
      <c r="X5" s="239" t="s">
        <v>38</v>
      </c>
    </row>
    <row r="6" spans="1:24" ht="15.6" x14ac:dyDescent="0.3">
      <c r="A6" s="167"/>
      <c r="B6" s="167"/>
      <c r="C6" s="161" t="s">
        <v>21</v>
      </c>
      <c r="D6" s="318">
        <f>12.61*(1+D9)^(F7-2020)</f>
        <v>13.579590781249998</v>
      </c>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40" t="s">
        <v>39</v>
      </c>
      <c r="X6" s="241" t="s">
        <v>75</v>
      </c>
    </row>
    <row r="7" spans="1:24" ht="15.6" x14ac:dyDescent="0.3">
      <c r="A7" s="167"/>
      <c r="B7" s="50"/>
      <c r="C7" s="20" t="s">
        <v>29</v>
      </c>
      <c r="D7" s="46">
        <v>0</v>
      </c>
      <c r="E7" s="47"/>
      <c r="F7" s="168">
        <f>'Baseload Avoided Capacity Calcs'!F7</f>
        <v>2023</v>
      </c>
      <c r="G7" s="163">
        <v>1</v>
      </c>
      <c r="H7" s="169">
        <f>'Capacity Delivered'!I7</f>
        <v>3.8108</v>
      </c>
      <c r="I7" s="32">
        <f t="shared" ref="I7:I27" si="0">SUM(H7)/((1+$D$8)^G7)</f>
        <v>3.5485613185585247</v>
      </c>
      <c r="J7" s="164">
        <f>I7</f>
        <v>3.5485613185585247</v>
      </c>
      <c r="K7" s="256">
        <f>(-PMT($D$8,G7,(J7)))</f>
        <v>3.8107999999999995</v>
      </c>
      <c r="L7" s="164">
        <f>+K7/'Capacity Delivered'!R7*1000</f>
        <v>1.797615004339786</v>
      </c>
      <c r="M7" s="234">
        <f t="shared" ref="M7:M27" si="1">L7/1000</f>
        <v>1.7976150043397861E-3</v>
      </c>
      <c r="O7" s="174">
        <f>D6</f>
        <v>13.579590781249998</v>
      </c>
      <c r="P7" s="174">
        <f t="shared" ref="P7:P27" si="2">(H7+O7)*$D$7</f>
        <v>0</v>
      </c>
      <c r="Q7" s="174">
        <f t="shared" ref="Q7:Q27" si="3">SUM(O7:P7)/((1+$D$8)^G7)</f>
        <v>12.645116660070768</v>
      </c>
      <c r="R7" s="174">
        <f>Q7</f>
        <v>12.645116660070768</v>
      </c>
      <c r="S7" s="307">
        <f>(-PMT($D$8,G7,(R7)))</f>
        <v>13.579590781249996</v>
      </c>
      <c r="T7" s="164">
        <f>+S7/'Capacity Delivered'!L7*1000</f>
        <v>1.5501815960331045</v>
      </c>
      <c r="U7" s="234">
        <f t="shared" ref="U7:U20" si="4">T7/1000</f>
        <v>1.5501815960331045E-3</v>
      </c>
      <c r="W7" s="242">
        <f>L7+T7</f>
        <v>3.3477966003728907</v>
      </c>
      <c r="X7" s="243">
        <f t="shared" ref="X7:X20" si="5">W7/1000</f>
        <v>3.3477966003728908E-3</v>
      </c>
    </row>
    <row r="8" spans="1:24" s="44" customFormat="1" ht="15.6" x14ac:dyDescent="0.3">
      <c r="A8" s="167"/>
      <c r="B8" s="167"/>
      <c r="C8" s="161" t="s">
        <v>33</v>
      </c>
      <c r="D8" s="46">
        <f>Rate_of_Return</f>
        <v>7.3899999999999993E-2</v>
      </c>
      <c r="E8" s="254"/>
      <c r="F8" s="38">
        <f>F7+1</f>
        <v>2024</v>
      </c>
      <c r="G8" s="37">
        <v>2</v>
      </c>
      <c r="H8" s="169">
        <f>'Capacity Delivered'!I8</f>
        <v>3.8108</v>
      </c>
      <c r="I8" s="255">
        <f t="shared" si="0"/>
        <v>3.3043684873438166</v>
      </c>
      <c r="J8" s="256">
        <f t="shared" ref="J8:J27" si="6">J7+I8</f>
        <v>6.8529298059023418</v>
      </c>
      <c r="K8" s="256">
        <f t="shared" ref="K8:K27" si="7">(-PMT($D$8,G8,(J8)))</f>
        <v>3.8107999999999995</v>
      </c>
      <c r="L8" s="164">
        <f>+K8/'Capacity Delivered'!R8*1000</f>
        <v>1.7927034879344861</v>
      </c>
      <c r="M8" s="257">
        <f t="shared" si="1"/>
        <v>1.7927034879344861E-3</v>
      </c>
      <c r="O8" s="169">
        <f t="shared" ref="O8:O27" si="8">O7+(O7*$D$9)</f>
        <v>13.919080550781247</v>
      </c>
      <c r="P8" s="169">
        <f t="shared" si="2"/>
        <v>0</v>
      </c>
      <c r="Q8" s="169">
        <f t="shared" si="3"/>
        <v>12.069321702740046</v>
      </c>
      <c r="R8" s="169">
        <f t="shared" ref="R8:R12" si="9">R7+Q8</f>
        <v>24.714438362810814</v>
      </c>
      <c r="S8" s="307">
        <f t="shared" ref="S8:S27" si="10">(-PMT($D$8,G8,(R8)))</f>
        <v>13.743287087499693</v>
      </c>
      <c r="T8" s="256">
        <f>+S8/'Capacity Delivered'!L8*1000</f>
        <v>1.5645818633310216</v>
      </c>
      <c r="U8" s="257">
        <f t="shared" si="4"/>
        <v>1.5645818633310215E-3</v>
      </c>
      <c r="W8" s="258">
        <f t="shared" ref="W8:W27" si="11">L8+T8</f>
        <v>3.3572853512655074</v>
      </c>
      <c r="X8" s="259">
        <f t="shared" si="5"/>
        <v>3.3572853512655073E-3</v>
      </c>
    </row>
    <row r="9" spans="1:24" s="44" customFormat="1" ht="15.6" x14ac:dyDescent="0.3">
      <c r="A9" s="167"/>
      <c r="B9" s="167"/>
      <c r="C9" s="161" t="s">
        <v>121</v>
      </c>
      <c r="D9" s="46">
        <v>2.5000000000000001E-2</v>
      </c>
      <c r="E9" s="260"/>
      <c r="F9" s="38">
        <f t="shared" ref="F9:F27" si="12">F8+1</f>
        <v>2025</v>
      </c>
      <c r="G9" s="37">
        <v>3</v>
      </c>
      <c r="H9" s="169">
        <f>'Capacity Delivered'!I9</f>
        <v>3.8108</v>
      </c>
      <c r="I9" s="255">
        <f t="shared" si="0"/>
        <v>3.0769796883730485</v>
      </c>
      <c r="J9" s="256">
        <f t="shared" si="6"/>
        <v>9.9299094942753907</v>
      </c>
      <c r="K9" s="256">
        <f t="shared" si="7"/>
        <v>3.8107999999999995</v>
      </c>
      <c r="L9" s="164">
        <f>+K9/'Capacity Delivered'!R9*1000</f>
        <v>1.797615004339786</v>
      </c>
      <c r="M9" s="257">
        <f t="shared" si="1"/>
        <v>1.7976150043397861E-3</v>
      </c>
      <c r="O9" s="169">
        <f t="shared" si="8"/>
        <v>14.267057564550779</v>
      </c>
      <c r="P9" s="169">
        <f t="shared" si="2"/>
        <v>0</v>
      </c>
      <c r="Q9" s="169">
        <f t="shared" si="3"/>
        <v>11.519745549221108</v>
      </c>
      <c r="R9" s="169">
        <f t="shared" si="9"/>
        <v>36.234183912031924</v>
      </c>
      <c r="S9" s="307">
        <f t="shared" si="10"/>
        <v>13.90558777313885</v>
      </c>
      <c r="T9" s="256">
        <f>+S9/'Capacity Delivered'!L9*1000</f>
        <v>1.5873958645135673</v>
      </c>
      <c r="U9" s="257">
        <f t="shared" si="4"/>
        <v>1.5873958645135672E-3</v>
      </c>
      <c r="W9" s="258">
        <f t="shared" si="11"/>
        <v>3.3850108688533531</v>
      </c>
      <c r="X9" s="259">
        <f t="shared" si="5"/>
        <v>3.3850108688533529E-3</v>
      </c>
    </row>
    <row r="10" spans="1:24" s="44" customFormat="1" ht="15.6" x14ac:dyDescent="0.3">
      <c r="B10" s="167"/>
      <c r="C10" s="161"/>
      <c r="D10" s="51"/>
      <c r="E10" s="254"/>
      <c r="F10" s="38">
        <f t="shared" si="12"/>
        <v>2026</v>
      </c>
      <c r="G10" s="37">
        <v>4</v>
      </c>
      <c r="H10" s="169">
        <f>'Capacity Delivered'!I10</f>
        <v>3.8108</v>
      </c>
      <c r="I10" s="255">
        <f t="shared" si="0"/>
        <v>2.8652385588723792</v>
      </c>
      <c r="J10" s="256">
        <f t="shared" si="6"/>
        <v>12.79514805314777</v>
      </c>
      <c r="K10" s="256">
        <f t="shared" si="7"/>
        <v>3.8107999999999995</v>
      </c>
      <c r="L10" s="164">
        <f>+K10/'Capacity Delivered'!R10*1000</f>
        <v>1.797615004339786</v>
      </c>
      <c r="M10" s="257">
        <f t="shared" si="1"/>
        <v>1.7976150043397861E-3</v>
      </c>
      <c r="O10" s="169">
        <f t="shared" si="8"/>
        <v>14.623734003664548</v>
      </c>
      <c r="P10" s="169">
        <f t="shared" si="2"/>
        <v>0</v>
      </c>
      <c r="Q10" s="169">
        <f t="shared" si="3"/>
        <v>10.995194327173511</v>
      </c>
      <c r="R10" s="169">
        <f t="shared" si="9"/>
        <v>47.229378239205431</v>
      </c>
      <c r="S10" s="307">
        <f t="shared" si="10"/>
        <v>14.066403440301439</v>
      </c>
      <c r="T10" s="256">
        <f>+S10/'Capacity Delivered'!L10*1000</f>
        <v>1.6057538173860091</v>
      </c>
      <c r="U10" s="257">
        <f t="shared" si="4"/>
        <v>1.605753817386009E-3</v>
      </c>
      <c r="W10" s="258">
        <f t="shared" si="11"/>
        <v>3.4033688217257954</v>
      </c>
      <c r="X10" s="259">
        <f t="shared" si="5"/>
        <v>3.4033688217257954E-3</v>
      </c>
    </row>
    <row r="11" spans="1:24" s="44" customFormat="1" ht="15.6" x14ac:dyDescent="0.3">
      <c r="B11" s="167"/>
      <c r="C11" s="161"/>
      <c r="D11" s="337"/>
      <c r="E11" s="254"/>
      <c r="F11" s="38">
        <f t="shared" si="12"/>
        <v>2027</v>
      </c>
      <c r="G11" s="37">
        <v>5</v>
      </c>
      <c r="H11" s="169">
        <f>'Capacity Delivered'!I11</f>
        <v>3.8108</v>
      </c>
      <c r="I11" s="255">
        <f t="shared" si="0"/>
        <v>2.6680683107108472</v>
      </c>
      <c r="J11" s="256">
        <f t="shared" si="6"/>
        <v>15.463216363858617</v>
      </c>
      <c r="K11" s="256">
        <f t="shared" si="7"/>
        <v>3.8107999999999995</v>
      </c>
      <c r="L11" s="164">
        <f>+K11/'Capacity Delivered'!R11*1000</f>
        <v>1.797615004339786</v>
      </c>
      <c r="M11" s="257">
        <f t="shared" si="1"/>
        <v>1.7976150043397861E-3</v>
      </c>
      <c r="O11" s="169">
        <f t="shared" si="8"/>
        <v>14.989327353756162</v>
      </c>
      <c r="P11" s="169">
        <f t="shared" si="2"/>
        <v>0</v>
      </c>
      <c r="Q11" s="169">
        <f t="shared" si="3"/>
        <v>10.494528527193266</v>
      </c>
      <c r="R11" s="169">
        <f t="shared" si="9"/>
        <v>57.723906766398699</v>
      </c>
      <c r="S11" s="307">
        <f t="shared" si="10"/>
        <v>14.225647415729544</v>
      </c>
      <c r="T11" s="256">
        <f>+S11/'Capacity Delivered'!L11*1000</f>
        <v>1.6239323533937835</v>
      </c>
      <c r="U11" s="257">
        <f t="shared" si="4"/>
        <v>1.6239323533937834E-3</v>
      </c>
      <c r="W11" s="258">
        <f t="shared" si="11"/>
        <v>3.4215473577335693</v>
      </c>
      <c r="X11" s="259">
        <f t="shared" si="5"/>
        <v>3.4215473577335694E-3</v>
      </c>
    </row>
    <row r="12" spans="1:24" s="44" customFormat="1" ht="15.6" x14ac:dyDescent="0.3">
      <c r="B12" s="167"/>
      <c r="C12" s="161"/>
      <c r="D12" s="337"/>
      <c r="E12" s="254"/>
      <c r="F12" s="38">
        <f t="shared" si="12"/>
        <v>2028</v>
      </c>
      <c r="G12" s="37">
        <v>6</v>
      </c>
      <c r="H12" s="169">
        <f>'Capacity Delivered'!I12</f>
        <v>3.8108</v>
      </c>
      <c r="I12" s="255">
        <f t="shared" si="0"/>
        <v>2.4844662545030705</v>
      </c>
      <c r="J12" s="256">
        <f t="shared" si="6"/>
        <v>17.947682618361689</v>
      </c>
      <c r="K12" s="256">
        <f t="shared" si="7"/>
        <v>3.8107999999999995</v>
      </c>
      <c r="L12" s="164">
        <f>+K12/'Capacity Delivered'!R12*1000</f>
        <v>1.7927034879344861</v>
      </c>
      <c r="M12" s="257">
        <f t="shared" si="1"/>
        <v>1.7927034879344861E-3</v>
      </c>
      <c r="O12" s="169">
        <f t="shared" si="8"/>
        <v>15.364060537600066</v>
      </c>
      <c r="P12" s="169">
        <f t="shared" si="2"/>
        <v>0</v>
      </c>
      <c r="Q12" s="169">
        <f t="shared" si="3"/>
        <v>10.01666052739836</v>
      </c>
      <c r="R12" s="169">
        <f t="shared" si="9"/>
        <v>67.740567293797056</v>
      </c>
      <c r="S12" s="307">
        <f t="shared" si="10"/>
        <v>14.383235949308647</v>
      </c>
      <c r="T12" s="256">
        <f>+S12/'Capacity Delivered'!L12*1000</f>
        <v>1.6374357865788534</v>
      </c>
      <c r="U12" s="257">
        <f t="shared" si="4"/>
        <v>1.6374357865788533E-3</v>
      </c>
      <c r="W12" s="258">
        <f t="shared" si="11"/>
        <v>3.4301392745133397</v>
      </c>
      <c r="X12" s="259">
        <f t="shared" si="5"/>
        <v>3.4301392745133396E-3</v>
      </c>
    </row>
    <row r="13" spans="1:24" s="44" customFormat="1" ht="15.6" x14ac:dyDescent="0.3">
      <c r="B13" s="167"/>
      <c r="C13" s="161"/>
      <c r="D13" s="337"/>
      <c r="E13" s="254"/>
      <c r="F13" s="38">
        <f t="shared" si="12"/>
        <v>2029</v>
      </c>
      <c r="G13" s="37">
        <v>7</v>
      </c>
      <c r="H13" s="169">
        <f>'Capacity Delivered'!I13</f>
        <v>3.8108</v>
      </c>
      <c r="I13" s="255">
        <f t="shared" si="0"/>
        <v>2.3134987005336347</v>
      </c>
      <c r="J13" s="256">
        <f>J12+I13</f>
        <v>20.261181318895325</v>
      </c>
      <c r="K13" s="256">
        <f t="shared" si="7"/>
        <v>3.8107999999999995</v>
      </c>
      <c r="L13" s="164">
        <f>+K13/'Capacity Delivered'!R13*1000</f>
        <v>1.797615004339786</v>
      </c>
      <c r="M13" s="257">
        <f t="shared" si="1"/>
        <v>1.7976150043397861E-3</v>
      </c>
      <c r="O13" s="169">
        <f>O12+(O12*$D$9)</f>
        <v>15.748162051040067</v>
      </c>
      <c r="P13" s="169">
        <f t="shared" si="2"/>
        <v>0</v>
      </c>
      <c r="Q13" s="169">
        <f t="shared" si="3"/>
        <v>9.5605522307322062</v>
      </c>
      <c r="R13" s="169">
        <f>R12+Q13</f>
        <v>77.30111952452927</v>
      </c>
      <c r="S13" s="307">
        <f t="shared" si="10"/>
        <v>14.539088400011272</v>
      </c>
      <c r="T13" s="256">
        <f>+S13/'Capacity Delivered'!L13*1000</f>
        <v>1.6597132876725196</v>
      </c>
      <c r="U13" s="257">
        <f t="shared" si="4"/>
        <v>1.6597132876725196E-3</v>
      </c>
      <c r="W13" s="258">
        <f t="shared" si="11"/>
        <v>3.4573282920123054</v>
      </c>
      <c r="X13" s="259">
        <f t="shared" si="5"/>
        <v>3.4573282920123054E-3</v>
      </c>
    </row>
    <row r="14" spans="1:24" s="44" customFormat="1" ht="15.6" x14ac:dyDescent="0.3">
      <c r="B14" s="167"/>
      <c r="C14" s="161"/>
      <c r="D14" s="337"/>
      <c r="E14" s="254"/>
      <c r="F14" s="38">
        <f t="shared" si="12"/>
        <v>2030</v>
      </c>
      <c r="G14" s="37">
        <v>8</v>
      </c>
      <c r="H14" s="169">
        <f>'Capacity Delivered'!I14</f>
        <v>3.8108</v>
      </c>
      <c r="I14" s="255">
        <f t="shared" si="0"/>
        <v>2.1542962105723387</v>
      </c>
      <c r="J14" s="256">
        <f t="shared" si="6"/>
        <v>22.415477529467665</v>
      </c>
      <c r="K14" s="256">
        <f t="shared" si="7"/>
        <v>3.8107999999999995</v>
      </c>
      <c r="L14" s="164">
        <f>+K14/'Capacity Delivered'!R14*1000</f>
        <v>1.797615004339786</v>
      </c>
      <c r="M14" s="257">
        <f t="shared" si="1"/>
        <v>1.7976150043397861E-3</v>
      </c>
      <c r="O14" s="169">
        <f t="shared" si="8"/>
        <v>16.141866102316069</v>
      </c>
      <c r="P14" s="169">
        <f t="shared" si="2"/>
        <v>0</v>
      </c>
      <c r="Q14" s="169">
        <f t="shared" si="3"/>
        <v>9.1252128098524175</v>
      </c>
      <c r="R14" s="169">
        <f t="shared" ref="R14:R20" si="13">R13+Q14</f>
        <v>86.426332334381684</v>
      </c>
      <c r="S14" s="307">
        <f t="shared" si="10"/>
        <v>14.693127408367255</v>
      </c>
      <c r="T14" s="256">
        <f>+S14/'Capacity Delivered'!L14*1000</f>
        <v>1.6772976493569927</v>
      </c>
      <c r="U14" s="257">
        <f t="shared" si="4"/>
        <v>1.6772976493569926E-3</v>
      </c>
      <c r="W14" s="258">
        <f t="shared" si="11"/>
        <v>3.4749126536967787</v>
      </c>
      <c r="X14" s="259">
        <f t="shared" si="5"/>
        <v>3.4749126536967787E-3</v>
      </c>
    </row>
    <row r="15" spans="1:24" s="44" customFormat="1" ht="15.6" x14ac:dyDescent="0.3">
      <c r="B15" s="167"/>
      <c r="C15" s="161"/>
      <c r="D15" s="337"/>
      <c r="E15" s="254"/>
      <c r="F15" s="38">
        <f t="shared" si="12"/>
        <v>2031</v>
      </c>
      <c r="G15" s="37">
        <v>9</v>
      </c>
      <c r="H15" s="169">
        <f>'Capacity Delivered'!I15</f>
        <v>3.8108</v>
      </c>
      <c r="I15" s="255">
        <f t="shared" si="0"/>
        <v>2.006049176433875</v>
      </c>
      <c r="J15" s="256">
        <f t="shared" si="6"/>
        <v>24.421526705901542</v>
      </c>
      <c r="K15" s="256">
        <f t="shared" si="7"/>
        <v>3.8108</v>
      </c>
      <c r="L15" s="164">
        <f>+K15/'Capacity Delivered'!R15*1000</f>
        <v>1.7976150043397863</v>
      </c>
      <c r="M15" s="257">
        <f t="shared" si="1"/>
        <v>1.7976150043397864E-3</v>
      </c>
      <c r="O15" s="169">
        <f t="shared" si="8"/>
        <v>16.545412754873972</v>
      </c>
      <c r="P15" s="169">
        <f t="shared" si="2"/>
        <v>0</v>
      </c>
      <c r="Q15" s="169">
        <f t="shared" si="3"/>
        <v>8.7096965547059568</v>
      </c>
      <c r="R15" s="169">
        <f t="shared" si="13"/>
        <v>95.13602888908764</v>
      </c>
      <c r="S15" s="307">
        <f t="shared" si="10"/>
        <v>14.845279054684372</v>
      </c>
      <c r="T15" s="256">
        <f>+S15/'Capacity Delivered'!L15*1000</f>
        <v>1.6946665587539238</v>
      </c>
      <c r="U15" s="257">
        <f t="shared" si="4"/>
        <v>1.6946665587539238E-3</v>
      </c>
      <c r="W15" s="258">
        <f t="shared" si="11"/>
        <v>3.4922815630937101</v>
      </c>
      <c r="X15" s="259">
        <f t="shared" si="5"/>
        <v>3.49228156309371E-3</v>
      </c>
    </row>
    <row r="16" spans="1:24" s="44" customFormat="1" x14ac:dyDescent="0.25">
      <c r="B16" s="263"/>
      <c r="C16" s="264"/>
      <c r="D16" s="263"/>
      <c r="E16" s="254"/>
      <c r="F16" s="37">
        <f t="shared" si="12"/>
        <v>2032</v>
      </c>
      <c r="G16" s="37">
        <v>10</v>
      </c>
      <c r="H16" s="169">
        <f>'Capacity Delivered'!I16</f>
        <v>3.8108</v>
      </c>
      <c r="I16" s="255">
        <f t="shared" si="0"/>
        <v>1.8680037027971648</v>
      </c>
      <c r="J16" s="256">
        <f t="shared" si="6"/>
        <v>26.289530408698706</v>
      </c>
      <c r="K16" s="256">
        <f t="shared" si="7"/>
        <v>3.8107999999999995</v>
      </c>
      <c r="L16" s="164">
        <f>+K16/'Capacity Delivered'!R16*1000</f>
        <v>1.7927034879344861</v>
      </c>
      <c r="M16" s="257">
        <f t="shared" si="1"/>
        <v>1.7927034879344861E-3</v>
      </c>
      <c r="N16" s="265"/>
      <c r="O16" s="169">
        <f t="shared" si="8"/>
        <v>16.959048073745823</v>
      </c>
      <c r="P16" s="169">
        <f t="shared" si="2"/>
        <v>0</v>
      </c>
      <c r="Q16" s="169">
        <f>SUM(O16:P16)/((1+$D$8)^G16)</f>
        <v>8.3131008181149149</v>
      </c>
      <c r="R16" s="169">
        <f>R15+Q16</f>
        <v>103.44912970720256</v>
      </c>
      <c r="S16" s="307">
        <f t="shared" si="10"/>
        <v>14.995473002354057</v>
      </c>
      <c r="T16" s="256">
        <f>+S16/'Capacity Delivered'!L16*1000</f>
        <v>1.7071349046395785</v>
      </c>
      <c r="U16" s="257">
        <f t="shared" si="4"/>
        <v>1.7071349046395784E-3</v>
      </c>
      <c r="V16" s="265"/>
      <c r="W16" s="258">
        <f>L16+T16</f>
        <v>3.4998383925740644</v>
      </c>
      <c r="X16" s="259">
        <f t="shared" si="5"/>
        <v>3.4998383925740643E-3</v>
      </c>
    </row>
    <row r="17" spans="2:24" s="44" customFormat="1" x14ac:dyDescent="0.25">
      <c r="B17" s="263"/>
      <c r="C17" s="264"/>
      <c r="D17" s="264"/>
      <c r="E17" s="254"/>
      <c r="F17" s="38">
        <f t="shared" si="12"/>
        <v>2033</v>
      </c>
      <c r="G17" s="37">
        <v>11</v>
      </c>
      <c r="H17" s="169">
        <f>'Capacity Delivered'!I17</f>
        <v>3.8108</v>
      </c>
      <c r="I17" s="255">
        <f t="shared" si="0"/>
        <v>1.7394577733468335</v>
      </c>
      <c r="J17" s="256">
        <f t="shared" si="6"/>
        <v>28.028988182045538</v>
      </c>
      <c r="K17" s="256">
        <f t="shared" si="7"/>
        <v>3.8107999999999995</v>
      </c>
      <c r="L17" s="164">
        <f>+K17/'Capacity Delivered'!R17*1000</f>
        <v>1.797615004339786</v>
      </c>
      <c r="M17" s="257">
        <f t="shared" si="1"/>
        <v>1.7976150043397861E-3</v>
      </c>
      <c r="O17" s="169">
        <f t="shared" si="8"/>
        <v>17.38302427558947</v>
      </c>
      <c r="P17" s="169">
        <f t="shared" si="2"/>
        <v>0</v>
      </c>
      <c r="Q17" s="169">
        <f t="shared" si="3"/>
        <v>7.9345640549099441</v>
      </c>
      <c r="R17" s="169">
        <f t="shared" si="13"/>
        <v>111.3836937621125</v>
      </c>
      <c r="S17" s="307">
        <f t="shared" si="10"/>
        <v>15.143642625692575</v>
      </c>
      <c r="T17" s="256">
        <f>+S17/'Capacity Delivered'!L17*1000</f>
        <v>1.7287263271338558</v>
      </c>
      <c r="U17" s="257">
        <f t="shared" si="4"/>
        <v>1.7287263271338557E-3</v>
      </c>
      <c r="W17" s="258">
        <f t="shared" si="11"/>
        <v>3.5263413314736418</v>
      </c>
      <c r="X17" s="259">
        <f t="shared" si="5"/>
        <v>3.5263413314736416E-3</v>
      </c>
    </row>
    <row r="18" spans="2:24" s="44" customFormat="1" x14ac:dyDescent="0.25">
      <c r="B18" s="264"/>
      <c r="C18" s="264"/>
      <c r="D18" s="264"/>
      <c r="E18" s="254"/>
      <c r="F18" s="38">
        <f t="shared" si="12"/>
        <v>2034</v>
      </c>
      <c r="G18" s="37">
        <v>12</v>
      </c>
      <c r="H18" s="169">
        <f>'Capacity Delivered'!I18</f>
        <v>3.8108</v>
      </c>
      <c r="I18" s="255">
        <f t="shared" si="0"/>
        <v>1.6197576807401373</v>
      </c>
      <c r="J18" s="256">
        <f t="shared" si="6"/>
        <v>29.648745862785674</v>
      </c>
      <c r="K18" s="256">
        <f t="shared" si="7"/>
        <v>3.8107999999999991</v>
      </c>
      <c r="L18" s="164">
        <f>+K18/'Capacity Delivered'!R18*1000</f>
        <v>1.7976150043397858</v>
      </c>
      <c r="M18" s="257">
        <f t="shared" si="1"/>
        <v>1.7976150043397859E-3</v>
      </c>
      <c r="O18" s="169">
        <f t="shared" si="8"/>
        <v>17.817599882479207</v>
      </c>
      <c r="P18" s="169">
        <f t="shared" si="2"/>
        <v>0</v>
      </c>
      <c r="Q18" s="169">
        <f t="shared" si="3"/>
        <v>7.5732639503517012</v>
      </c>
      <c r="R18" s="169">
        <f t="shared" si="13"/>
        <v>118.9569577124642</v>
      </c>
      <c r="S18" s="307">
        <f t="shared" si="10"/>
        <v>15.289725121886361</v>
      </c>
      <c r="T18" s="256">
        <f>+S18/'Capacity Delivered'!L18*1000</f>
        <v>1.7454024111742421</v>
      </c>
      <c r="U18" s="257">
        <f t="shared" si="4"/>
        <v>1.7454024111742421E-3</v>
      </c>
      <c r="W18" s="258">
        <f t="shared" si="11"/>
        <v>3.5430174155140279</v>
      </c>
      <c r="X18" s="259">
        <f t="shared" si="5"/>
        <v>3.543017415514028E-3</v>
      </c>
    </row>
    <row r="19" spans="2:24" s="44" customFormat="1" x14ac:dyDescent="0.25">
      <c r="B19" s="264"/>
      <c r="C19" s="264"/>
      <c r="D19" s="264"/>
      <c r="E19" s="187"/>
      <c r="F19" s="38">
        <f t="shared" si="12"/>
        <v>2035</v>
      </c>
      <c r="G19" s="37">
        <v>13</v>
      </c>
      <c r="H19" s="169">
        <f>'Capacity Delivered'!I19</f>
        <v>3.8108</v>
      </c>
      <c r="I19" s="255">
        <f t="shared" si="0"/>
        <v>1.5082947022442843</v>
      </c>
      <c r="J19" s="256">
        <f t="shared" si="6"/>
        <v>31.157040565029959</v>
      </c>
      <c r="K19" s="256">
        <f t="shared" si="7"/>
        <v>3.8107999999999991</v>
      </c>
      <c r="L19" s="164">
        <f>+K19/'Capacity Delivered'!R19*1000</f>
        <v>1.7976150043397858</v>
      </c>
      <c r="M19" s="257">
        <f t="shared" si="1"/>
        <v>1.7976150043397859E-3</v>
      </c>
      <c r="O19" s="169">
        <f t="shared" si="8"/>
        <v>18.263039879541189</v>
      </c>
      <c r="P19" s="169">
        <f t="shared" si="2"/>
        <v>0</v>
      </c>
      <c r="Q19" s="169">
        <f t="shared" si="3"/>
        <v>7.2284156337745529</v>
      </c>
      <c r="R19" s="169">
        <f t="shared" si="13"/>
        <v>126.18537334623875</v>
      </c>
      <c r="S19" s="307">
        <f t="shared" si="10"/>
        <v>15.433661606730464</v>
      </c>
      <c r="T19" s="256">
        <f>+S19/'Capacity Delivered'!L19*1000</f>
        <v>1.761833516750053</v>
      </c>
      <c r="U19" s="257">
        <f t="shared" si="4"/>
        <v>1.7618335167500529E-3</v>
      </c>
      <c r="W19" s="258">
        <f t="shared" si="11"/>
        <v>3.5594485210898386</v>
      </c>
      <c r="X19" s="259">
        <f t="shared" si="5"/>
        <v>3.5594485210898386E-3</v>
      </c>
    </row>
    <row r="20" spans="2:24" s="44" customFormat="1" x14ac:dyDescent="0.25">
      <c r="B20" s="264"/>
      <c r="C20" s="264"/>
      <c r="D20" s="264"/>
      <c r="E20" s="187"/>
      <c r="F20" s="38">
        <f t="shared" si="12"/>
        <v>2036</v>
      </c>
      <c r="G20" s="37">
        <v>14</v>
      </c>
      <c r="H20" s="169">
        <f>'Capacity Delivered'!I20</f>
        <v>3.8108</v>
      </c>
      <c r="I20" s="255">
        <f t="shared" si="0"/>
        <v>1.4045020041384528</v>
      </c>
      <c r="J20" s="256">
        <f t="shared" si="6"/>
        <v>32.561542569168409</v>
      </c>
      <c r="K20" s="256">
        <f t="shared" si="7"/>
        <v>3.8107999999999991</v>
      </c>
      <c r="L20" s="164">
        <f>+K20/'Capacity Delivered'!R20*1000</f>
        <v>1.7927034879344859</v>
      </c>
      <c r="M20" s="257">
        <f t="shared" si="1"/>
        <v>1.7927034879344859E-3</v>
      </c>
      <c r="O20" s="169">
        <f t="shared" si="8"/>
        <v>18.719615876529719</v>
      </c>
      <c r="P20" s="169">
        <f t="shared" si="2"/>
        <v>0</v>
      </c>
      <c r="Q20" s="169">
        <f t="shared" si="3"/>
        <v>6.8992699735719505</v>
      </c>
      <c r="R20" s="169">
        <f t="shared" si="13"/>
        <v>133.08464331981071</v>
      </c>
      <c r="S20" s="307">
        <f t="shared" si="10"/>
        <v>15.575397193969206</v>
      </c>
      <c r="T20" s="256">
        <f>+S20/'Capacity Delivered'!L20*1000</f>
        <v>1.773155418256968</v>
      </c>
      <c r="U20" s="257">
        <f t="shared" si="4"/>
        <v>1.7731554182569679E-3</v>
      </c>
      <c r="W20" s="258">
        <f t="shared" si="11"/>
        <v>3.5658589061914538</v>
      </c>
      <c r="X20" s="259">
        <f t="shared" si="5"/>
        <v>3.5658589061914538E-3</v>
      </c>
    </row>
    <row r="21" spans="2:24" s="265" customFormat="1" x14ac:dyDescent="0.25">
      <c r="B21" s="264"/>
      <c r="C21" s="264"/>
      <c r="D21" s="264"/>
      <c r="E21" s="187"/>
      <c r="F21" s="37">
        <f t="shared" si="12"/>
        <v>2037</v>
      </c>
      <c r="G21" s="37">
        <v>15</v>
      </c>
      <c r="H21" s="169">
        <f>'Capacity Delivered'!I21</f>
        <v>3.8108</v>
      </c>
      <c r="I21" s="255">
        <f t="shared" si="0"/>
        <v>1.3078517591381438</v>
      </c>
      <c r="J21" s="256">
        <f>J20+I21</f>
        <v>33.869394328306555</v>
      </c>
      <c r="K21" s="256">
        <f t="shared" si="7"/>
        <v>3.8107999999999991</v>
      </c>
      <c r="L21" s="164">
        <f>+K21/'Capacity Delivered'!R21*1000</f>
        <v>1.7976150043397858</v>
      </c>
      <c r="M21" s="257">
        <f>L21/1000</f>
        <v>1.7976150043397859E-3</v>
      </c>
      <c r="O21" s="169">
        <f t="shared" si="8"/>
        <v>19.187606273442963</v>
      </c>
      <c r="P21" s="169">
        <f t="shared" si="2"/>
        <v>0</v>
      </c>
      <c r="Q21" s="169">
        <f t="shared" si="3"/>
        <v>6.5851119498195825</v>
      </c>
      <c r="R21" s="169">
        <f>R20+Q21</f>
        <v>139.66975526963029</v>
      </c>
      <c r="S21" s="307">
        <f t="shared" si="10"/>
        <v>15.714881058167396</v>
      </c>
      <c r="T21" s="256">
        <f>+S21/'Capacity Delivered'!L21*1000</f>
        <v>1.7939361938547256</v>
      </c>
      <c r="U21" s="257">
        <f>T21/1000</f>
        <v>1.7939361938547256E-3</v>
      </c>
      <c r="W21" s="258">
        <f t="shared" si="11"/>
        <v>3.5915511981945114</v>
      </c>
      <c r="X21" s="259">
        <f>W21/1000</f>
        <v>3.5915511981945113E-3</v>
      </c>
    </row>
    <row r="22" spans="2:24" s="44" customFormat="1" x14ac:dyDescent="0.25">
      <c r="B22" s="264"/>
      <c r="C22" s="264"/>
      <c r="D22" s="264"/>
      <c r="E22" s="187"/>
      <c r="F22" s="38">
        <f t="shared" si="12"/>
        <v>2038</v>
      </c>
      <c r="G22" s="37">
        <v>16</v>
      </c>
      <c r="H22" s="169">
        <f>'Capacity Delivered'!I22</f>
        <v>3.8108</v>
      </c>
      <c r="I22" s="255">
        <f t="shared" si="0"/>
        <v>1.2178524621828324</v>
      </c>
      <c r="J22" s="256">
        <f t="shared" si="6"/>
        <v>35.087246790489388</v>
      </c>
      <c r="K22" s="256">
        <f t="shared" si="7"/>
        <v>3.8107999999999986</v>
      </c>
      <c r="L22" s="164">
        <f>+K22/'Capacity Delivered'!R22*1000</f>
        <v>1.7976150043397856</v>
      </c>
      <c r="M22" s="257">
        <f t="shared" si="1"/>
        <v>1.7976150043397857E-3</v>
      </c>
      <c r="O22" s="169">
        <f t="shared" si="8"/>
        <v>19.667296430279038</v>
      </c>
      <c r="P22" s="169">
        <f t="shared" si="2"/>
        <v>0</v>
      </c>
      <c r="Q22" s="169">
        <f t="shared" si="3"/>
        <v>6.285259101001091</v>
      </c>
      <c r="R22" s="169">
        <f t="shared" ref="R22:R27" si="14">R21+Q22</f>
        <v>145.95501437063137</v>
      </c>
      <c r="S22" s="307">
        <f t="shared" si="10"/>
        <v>15.852066481157044</v>
      </c>
      <c r="T22" s="256">
        <f>+S22/'Capacity Delivered'!L22*1000</f>
        <v>1.8095966302690689</v>
      </c>
      <c r="U22" s="257">
        <f t="shared" ref="U22:U27" si="15">T22/1000</f>
        <v>1.8095966302690688E-3</v>
      </c>
      <c r="W22" s="258">
        <f t="shared" si="11"/>
        <v>3.6072116346088547</v>
      </c>
      <c r="X22" s="259">
        <f t="shared" ref="X22:X27" si="16">W22/1000</f>
        <v>3.6072116346088545E-3</v>
      </c>
    </row>
    <row r="23" spans="2:24" s="44" customFormat="1" x14ac:dyDescent="0.25">
      <c r="B23" s="264"/>
      <c r="C23" s="264"/>
      <c r="D23" s="264"/>
      <c r="E23" s="187"/>
      <c r="F23" s="38">
        <f t="shared" si="12"/>
        <v>2039</v>
      </c>
      <c r="G23" s="37">
        <v>17</v>
      </c>
      <c r="H23" s="169">
        <f>'Capacity Delivered'!I23</f>
        <v>3.8108</v>
      </c>
      <c r="I23" s="255">
        <f t="shared" si="0"/>
        <v>1.1340464309366163</v>
      </c>
      <c r="J23" s="256">
        <f t="shared" si="6"/>
        <v>36.221293221426002</v>
      </c>
      <c r="K23" s="256">
        <f t="shared" si="7"/>
        <v>3.8107999999999982</v>
      </c>
      <c r="L23" s="164">
        <f>+K23/'Capacity Delivered'!R23*1000</f>
        <v>1.7976150043397856</v>
      </c>
      <c r="M23" s="257">
        <f t="shared" si="1"/>
        <v>1.7976150043397857E-3</v>
      </c>
      <c r="O23" s="169">
        <f t="shared" si="8"/>
        <v>20.158978841036014</v>
      </c>
      <c r="P23" s="169">
        <f t="shared" si="2"/>
        <v>0</v>
      </c>
      <c r="Q23" s="169">
        <f t="shared" si="3"/>
        <v>5.9990600414620703</v>
      </c>
      <c r="R23" s="169">
        <f t="shared" si="14"/>
        <v>151.95407441209343</v>
      </c>
      <c r="S23" s="307">
        <f t="shared" si="10"/>
        <v>15.986910882217474</v>
      </c>
      <c r="T23" s="256">
        <f>+S23/'Capacity Delivered'!L23*1000</f>
        <v>1.8249898267371547</v>
      </c>
      <c r="U23" s="257">
        <f t="shared" si="15"/>
        <v>1.8249898267371548E-3</v>
      </c>
      <c r="W23" s="258">
        <f t="shared" si="11"/>
        <v>3.6226048310769405</v>
      </c>
      <c r="X23" s="259">
        <f t="shared" si="16"/>
        <v>3.6226048310769405E-3</v>
      </c>
    </row>
    <row r="24" spans="2:24" s="44" customFormat="1" x14ac:dyDescent="0.25">
      <c r="B24" s="264"/>
      <c r="C24" s="264"/>
      <c r="D24" s="264"/>
      <c r="E24" s="187"/>
      <c r="F24" s="38">
        <f t="shared" si="12"/>
        <v>2040</v>
      </c>
      <c r="G24" s="37">
        <v>18</v>
      </c>
      <c r="H24" s="169">
        <f>'Capacity Delivered'!I24</f>
        <v>3.8108</v>
      </c>
      <c r="I24" s="255">
        <f t="shared" si="0"/>
        <v>1.0560074782909175</v>
      </c>
      <c r="J24" s="256">
        <f t="shared" si="6"/>
        <v>37.277300699716918</v>
      </c>
      <c r="K24" s="256">
        <f t="shared" si="7"/>
        <v>3.8107999999999982</v>
      </c>
      <c r="L24" s="164">
        <f>+K24/'Capacity Delivered'!R24*1000</f>
        <v>1.7927034879344854</v>
      </c>
      <c r="M24" s="257">
        <f t="shared" si="1"/>
        <v>1.7927034879344854E-3</v>
      </c>
      <c r="O24" s="169">
        <f t="shared" si="8"/>
        <v>20.662953312061912</v>
      </c>
      <c r="P24" s="169">
        <f t="shared" si="2"/>
        <v>0</v>
      </c>
      <c r="Q24" s="169">
        <f t="shared" si="3"/>
        <v>5.7258930463717492</v>
      </c>
      <c r="R24" s="169">
        <f t="shared" si="14"/>
        <v>157.67996745846517</v>
      </c>
      <c r="S24" s="307">
        <f t="shared" si="10"/>
        <v>16.119375832254988</v>
      </c>
      <c r="T24" s="256">
        <f>+S24/'Capacity Delivered'!L24*1000</f>
        <v>1.8350837696100852</v>
      </c>
      <c r="U24" s="257">
        <f t="shared" si="15"/>
        <v>1.8350837696100852E-3</v>
      </c>
      <c r="W24" s="258">
        <f t="shared" si="11"/>
        <v>3.6277872575445707</v>
      </c>
      <c r="X24" s="259">
        <f t="shared" si="16"/>
        <v>3.6277872575445707E-3</v>
      </c>
    </row>
    <row r="25" spans="2:24" x14ac:dyDescent="0.25">
      <c r="B25" s="170"/>
      <c r="C25" s="170"/>
      <c r="D25" s="170"/>
      <c r="E25" s="52"/>
      <c r="F25" s="38">
        <f t="shared" si="12"/>
        <v>2041</v>
      </c>
      <c r="G25" s="39">
        <v>19</v>
      </c>
      <c r="H25" s="169">
        <f>'Capacity Delivered'!I25</f>
        <v>3.8108</v>
      </c>
      <c r="I25" s="40">
        <f t="shared" si="0"/>
        <v>0.98333874503298035</v>
      </c>
      <c r="J25" s="41">
        <f t="shared" si="6"/>
        <v>38.260639444749899</v>
      </c>
      <c r="K25" s="41">
        <f t="shared" si="7"/>
        <v>3.8107999999999982</v>
      </c>
      <c r="L25" s="164">
        <f>+K25/'Capacity Delivered'!R25*1000</f>
        <v>1.7976150043397856</v>
      </c>
      <c r="M25" s="235">
        <f t="shared" si="1"/>
        <v>1.7976150043397857E-3</v>
      </c>
      <c r="O25" s="169">
        <f t="shared" si="8"/>
        <v>21.17952714486346</v>
      </c>
      <c r="P25" s="169">
        <f t="shared" si="2"/>
        <v>0</v>
      </c>
      <c r="Q25" s="169">
        <f t="shared" si="3"/>
        <v>5.4651647011183941</v>
      </c>
      <c r="R25" s="169">
        <f t="shared" si="14"/>
        <v>163.14513215958357</v>
      </c>
      <c r="S25" s="307">
        <f t="shared" si="10"/>
        <v>16.24942705235032</v>
      </c>
      <c r="T25" s="41">
        <f>+S25/'Capacity Delivered'!L25*1000</f>
        <v>1.8549574260673882</v>
      </c>
      <c r="U25" s="235">
        <f t="shared" si="15"/>
        <v>1.8549574260673881E-3</v>
      </c>
      <c r="W25" s="242">
        <f t="shared" si="11"/>
        <v>3.6525724304071741</v>
      </c>
      <c r="X25" s="243">
        <f t="shared" si="16"/>
        <v>3.6525724304071741E-3</v>
      </c>
    </row>
    <row r="26" spans="2:24" x14ac:dyDescent="0.25">
      <c r="B26" s="170"/>
      <c r="C26" s="170"/>
      <c r="D26" s="170"/>
      <c r="E26" s="52"/>
      <c r="F26" s="38">
        <f t="shared" si="12"/>
        <v>2042</v>
      </c>
      <c r="G26" s="39">
        <v>20</v>
      </c>
      <c r="H26" s="169">
        <f>'Capacity Delivered'!I26</f>
        <v>3.8108</v>
      </c>
      <c r="I26" s="40">
        <f t="shared" si="0"/>
        <v>0.9156706816584228</v>
      </c>
      <c r="J26" s="41">
        <f t="shared" si="6"/>
        <v>39.176310126408325</v>
      </c>
      <c r="K26" s="41">
        <f t="shared" si="7"/>
        <v>3.8107999999999986</v>
      </c>
      <c r="L26" s="164">
        <f>+K26/'Capacity Delivered'!R26*1000</f>
        <v>1.7976150043397856</v>
      </c>
      <c r="M26" s="235">
        <f t="shared" si="1"/>
        <v>1.7976150043397857E-3</v>
      </c>
      <c r="O26" s="169">
        <f t="shared" si="8"/>
        <v>21.709015323485048</v>
      </c>
      <c r="P26" s="169">
        <f t="shared" si="2"/>
        <v>0</v>
      </c>
      <c r="Q26" s="169">
        <f t="shared" si="3"/>
        <v>5.2163086122044451</v>
      </c>
      <c r="R26" s="169">
        <f t="shared" si="14"/>
        <v>168.36144077178801</v>
      </c>
      <c r="S26" s="307">
        <f t="shared" si="10"/>
        <v>16.377034397137862</v>
      </c>
      <c r="T26" s="41">
        <f>+S26/'Capacity Delivered'!L26*1000</f>
        <v>1.8695244745591166</v>
      </c>
      <c r="U26" s="235">
        <f t="shared" si="15"/>
        <v>1.8695244745591166E-3</v>
      </c>
      <c r="W26" s="242">
        <f t="shared" si="11"/>
        <v>3.6671394788989025</v>
      </c>
      <c r="X26" s="243">
        <f t="shared" si="16"/>
        <v>3.6671394788989026E-3</v>
      </c>
    </row>
    <row r="27" spans="2:24" s="44" customFormat="1" ht="15.6" thickBot="1" x14ac:dyDescent="0.3">
      <c r="F27" s="38">
        <f t="shared" si="12"/>
        <v>2043</v>
      </c>
      <c r="G27" s="37">
        <v>21</v>
      </c>
      <c r="H27" s="169">
        <f>'Capacity Delivered'!I27</f>
        <v>3.8108</v>
      </c>
      <c r="I27" s="40">
        <f t="shared" si="0"/>
        <v>0.85265916906455219</v>
      </c>
      <c r="J27" s="41">
        <f t="shared" si="6"/>
        <v>40.028969295472876</v>
      </c>
      <c r="K27" s="41">
        <f t="shared" si="7"/>
        <v>3.8107999999999982</v>
      </c>
      <c r="L27" s="164">
        <f>+K27/'Capacity Delivered'!R27*1000</f>
        <v>1.7976150043397856</v>
      </c>
      <c r="M27" s="235">
        <f t="shared" si="1"/>
        <v>1.7976150043397857E-3</v>
      </c>
      <c r="O27" s="169">
        <f t="shared" si="8"/>
        <v>22.251740706572175</v>
      </c>
      <c r="P27" s="169">
        <f t="shared" si="2"/>
        <v>0</v>
      </c>
      <c r="Q27" s="169">
        <f t="shared" si="3"/>
        <v>4.978784176841005</v>
      </c>
      <c r="R27" s="169">
        <f t="shared" si="14"/>
        <v>173.34022494862901</v>
      </c>
      <c r="S27" s="307">
        <f t="shared" si="10"/>
        <v>16.50217182356835</v>
      </c>
      <c r="T27" s="41">
        <f>+S27/'Capacity Delivered'!L27*1000</f>
        <v>1.8838095689004966</v>
      </c>
      <c r="U27" s="235">
        <f t="shared" si="15"/>
        <v>1.8838095689004966E-3</v>
      </c>
      <c r="W27" s="244">
        <f t="shared" si="11"/>
        <v>3.6814245732402822</v>
      </c>
      <c r="X27" s="245">
        <f t="shared" si="16"/>
        <v>3.681424573240282E-3</v>
      </c>
    </row>
    <row r="28" spans="2:24" s="44" customFormat="1" x14ac:dyDescent="0.25">
      <c r="C28" s="21"/>
      <c r="F28" s="38"/>
      <c r="G28" s="37"/>
      <c r="H28" s="172"/>
      <c r="I28" s="55"/>
      <c r="J28" s="56"/>
      <c r="K28" s="48"/>
      <c r="L28" s="48"/>
      <c r="M28" s="48"/>
      <c r="O28" s="173"/>
      <c r="P28" s="54"/>
      <c r="Q28" s="55"/>
      <c r="R28" s="56"/>
      <c r="S28" s="48"/>
      <c r="T28" s="48"/>
      <c r="U28" s="48"/>
      <c r="W28" s="48"/>
      <c r="X28" s="48"/>
    </row>
    <row r="29" spans="2:24" x14ac:dyDescent="0.25">
      <c r="B29" s="31"/>
      <c r="C29" s="21"/>
      <c r="D29" s="44"/>
      <c r="E29" s="44"/>
      <c r="F29" s="31"/>
      <c r="G29" s="37"/>
      <c r="H29" s="172"/>
      <c r="I29" s="31"/>
      <c r="J29" s="31"/>
      <c r="K29" s="31"/>
      <c r="L29" s="31"/>
      <c r="M29" s="31"/>
      <c r="O29" s="173"/>
      <c r="P29" s="54"/>
      <c r="Q29" s="31"/>
      <c r="R29" s="31"/>
      <c r="S29" s="31"/>
      <c r="T29" s="31"/>
      <c r="U29" s="31"/>
      <c r="W29" s="31"/>
      <c r="X29" s="31"/>
    </row>
    <row r="30" spans="2:24" x14ac:dyDescent="0.25">
      <c r="B30" s="31" t="s">
        <v>165</v>
      </c>
      <c r="C30" s="21"/>
      <c r="D30" s="44"/>
      <c r="E30" s="44"/>
      <c r="F30" s="31"/>
      <c r="G30" s="37"/>
      <c r="H30" s="172"/>
      <c r="I30" s="31"/>
      <c r="J30" s="31"/>
      <c r="K30" s="31"/>
      <c r="L30" s="31"/>
      <c r="M30" s="31"/>
      <c r="O30" s="173"/>
      <c r="P30" s="54"/>
      <c r="Q30" s="31"/>
      <c r="R30" s="31"/>
      <c r="S30" s="31"/>
      <c r="T30" s="31"/>
      <c r="U30" s="31"/>
      <c r="W30" s="31"/>
      <c r="X30" s="31"/>
    </row>
    <row r="32" spans="2:24" x14ac:dyDescent="0.25">
      <c r="J32" s="246"/>
      <c r="R32" s="246"/>
    </row>
  </sheetData>
  <pageMargins left="0.75" right="0.5" top="0.76" bottom="0.79" header="0.5" footer="0.26"/>
  <pageSetup scale="64" orientation="landscape" r:id="rId1"/>
  <headerFooter alignWithMargins="0">
    <oddFooter>&amp;L&amp;F&amp;C&amp;A&amp;RPSE Advice No. 2018-48 &amp;D
Page &amp;P of &amp;N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109375" defaultRowHeight="14.4" x14ac:dyDescent="0.3"/>
  <cols>
    <col min="1" max="16384" width="9.109375" style="72"/>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C2" sqref="C2:Q2"/>
    </sheetView>
  </sheetViews>
  <sheetFormatPr defaultColWidth="8.88671875" defaultRowHeight="15" x14ac:dyDescent="0.25"/>
  <cols>
    <col min="1" max="1" width="2.6640625" style="59" customWidth="1"/>
    <col min="2" max="2" width="4" style="59" bestFit="1" customWidth="1"/>
    <col min="3" max="3" width="9.6640625" style="59" customWidth="1"/>
    <col min="4" max="9" width="10" style="59" customWidth="1"/>
    <col min="10" max="10" width="11" style="59" bestFit="1" customWidth="1"/>
    <col min="11" max="16" width="10" style="59" customWidth="1"/>
    <col min="17" max="17" width="14.109375" style="64" customWidth="1"/>
    <col min="18" max="16384" width="8.88671875" style="59"/>
  </cols>
  <sheetData>
    <row r="2" spans="2:17" ht="64.8" customHeight="1" x14ac:dyDescent="0.3">
      <c r="C2" s="352" t="s">
        <v>183</v>
      </c>
      <c r="D2" s="352"/>
      <c r="E2" s="352"/>
      <c r="F2" s="352"/>
      <c r="G2" s="352"/>
      <c r="H2" s="352"/>
      <c r="I2" s="352"/>
      <c r="J2" s="352"/>
      <c r="K2" s="352"/>
      <c r="L2" s="352"/>
      <c r="M2" s="352"/>
      <c r="N2" s="352"/>
      <c r="O2" s="352"/>
      <c r="P2" s="352"/>
      <c r="Q2" s="352"/>
    </row>
    <row r="3" spans="2:17" ht="16.2" thickBot="1" x14ac:dyDescent="0.35">
      <c r="C3" s="58"/>
      <c r="Q3" s="69"/>
    </row>
    <row r="4" spans="2:17" ht="15.6" x14ac:dyDescent="0.25">
      <c r="C4" s="60"/>
      <c r="D4" s="66" t="s">
        <v>60</v>
      </c>
      <c r="E4" s="66">
        <v>2</v>
      </c>
      <c r="F4" s="66">
        <v>3</v>
      </c>
      <c r="G4" s="66">
        <v>4</v>
      </c>
      <c r="H4" s="66">
        <v>5</v>
      </c>
      <c r="I4" s="66">
        <v>6</v>
      </c>
      <c r="J4" s="66">
        <v>7</v>
      </c>
      <c r="K4" s="66">
        <v>8</v>
      </c>
      <c r="L4" s="66">
        <v>9</v>
      </c>
      <c r="M4" s="66">
        <v>10</v>
      </c>
      <c r="N4" s="66">
        <v>11</v>
      </c>
      <c r="O4" s="66">
        <v>12</v>
      </c>
      <c r="P4" s="67" t="s">
        <v>41</v>
      </c>
      <c r="Q4" s="69"/>
    </row>
    <row r="5" spans="2:17" ht="16.2" thickBot="1" x14ac:dyDescent="0.3">
      <c r="C5" s="68" t="s">
        <v>42</v>
      </c>
      <c r="D5" s="309"/>
      <c r="E5" s="309"/>
      <c r="F5" s="309"/>
      <c r="G5" s="309"/>
      <c r="H5" s="309"/>
      <c r="I5" s="309"/>
      <c r="J5" s="309"/>
      <c r="K5" s="309"/>
      <c r="L5" s="309"/>
      <c r="M5" s="309"/>
      <c r="N5" s="309"/>
      <c r="O5" s="309"/>
      <c r="P5" s="310"/>
      <c r="Q5" s="69"/>
    </row>
    <row r="6" spans="2:17" ht="15.6" thickBot="1" x14ac:dyDescent="0.3">
      <c r="B6" s="204">
        <v>1</v>
      </c>
      <c r="C6" s="308">
        <v>2023</v>
      </c>
      <c r="D6" s="311">
        <v>48.510593488090748</v>
      </c>
      <c r="E6" s="311">
        <v>43.057698082474211</v>
      </c>
      <c r="F6" s="311">
        <v>30.414524993326783</v>
      </c>
      <c r="G6" s="311">
        <v>26.384304546843516</v>
      </c>
      <c r="H6" s="311">
        <v>21.07624425404887</v>
      </c>
      <c r="I6" s="311">
        <v>26.729408603147405</v>
      </c>
      <c r="J6" s="311">
        <v>44.354341449272482</v>
      </c>
      <c r="K6" s="311">
        <v>40.061750840120752</v>
      </c>
      <c r="L6" s="311">
        <v>45.728923310388211</v>
      </c>
      <c r="M6" s="311">
        <v>38.489275733583383</v>
      </c>
      <c r="N6" s="311">
        <v>36.779950896646639</v>
      </c>
      <c r="O6" s="311">
        <v>42.644090420788736</v>
      </c>
      <c r="P6" s="311">
        <v>37.003749653633584</v>
      </c>
      <c r="Q6" s="69"/>
    </row>
    <row r="7" spans="2:17" ht="15.6" thickBot="1" x14ac:dyDescent="0.3">
      <c r="B7" s="59">
        <v>2</v>
      </c>
      <c r="C7" s="308">
        <f>C6+1</f>
        <v>2024</v>
      </c>
      <c r="D7" s="311">
        <v>39.629646974731095</v>
      </c>
      <c r="E7" s="311">
        <v>34.62407201559212</v>
      </c>
      <c r="F7" s="311">
        <v>28.057560903304761</v>
      </c>
      <c r="G7" s="311">
        <v>25.480361460284648</v>
      </c>
      <c r="H7" s="311">
        <v>18.800209600607392</v>
      </c>
      <c r="I7" s="311">
        <v>25.902323917626163</v>
      </c>
      <c r="J7" s="311">
        <v>41.993221341766315</v>
      </c>
      <c r="K7" s="311">
        <v>39.523601019463847</v>
      </c>
      <c r="L7" s="311">
        <v>43.833783856464358</v>
      </c>
      <c r="M7" s="311">
        <v>37.207909010002005</v>
      </c>
      <c r="N7" s="311">
        <v>37.827424613865489</v>
      </c>
      <c r="O7" s="311">
        <v>42.106801472210385</v>
      </c>
      <c r="P7" s="311">
        <v>34.596454546131412</v>
      </c>
      <c r="Q7" s="71"/>
    </row>
    <row r="8" spans="2:17" ht="15.6" thickBot="1" x14ac:dyDescent="0.3">
      <c r="B8" s="59">
        <v>3</v>
      </c>
      <c r="C8" s="308">
        <f t="shared" ref="C8:C26" si="0">C7+1</f>
        <v>2025</v>
      </c>
      <c r="D8" s="311">
        <v>36.531014623354828</v>
      </c>
      <c r="E8" s="311">
        <v>35.246754799755188</v>
      </c>
      <c r="F8" s="311">
        <v>28.433880235981611</v>
      </c>
      <c r="G8" s="311">
        <v>25.908803611116173</v>
      </c>
      <c r="H8" s="311">
        <v>18.096773074664586</v>
      </c>
      <c r="I8" s="311">
        <v>25.720247654162975</v>
      </c>
      <c r="J8" s="311">
        <v>43.401579307992257</v>
      </c>
      <c r="K8" s="311">
        <v>39.515585359496725</v>
      </c>
      <c r="L8" s="311">
        <v>45.686948014995302</v>
      </c>
      <c r="M8" s="311">
        <v>39.52187167821107</v>
      </c>
      <c r="N8" s="311">
        <v>38.58433388237259</v>
      </c>
      <c r="O8" s="311">
        <v>44.073167756250086</v>
      </c>
      <c r="P8" s="311">
        <v>35.070436061334384</v>
      </c>
      <c r="Q8" s="71"/>
    </row>
    <row r="9" spans="2:17" ht="15.6" thickBot="1" x14ac:dyDescent="0.3">
      <c r="B9" s="204">
        <v>4</v>
      </c>
      <c r="C9" s="308">
        <f t="shared" si="0"/>
        <v>2026</v>
      </c>
      <c r="D9" s="311">
        <v>40.560108961909783</v>
      </c>
      <c r="E9" s="311">
        <v>37.513983388956156</v>
      </c>
      <c r="F9" s="311">
        <v>28.654674364941016</v>
      </c>
      <c r="G9" s="311">
        <v>26.595854738189367</v>
      </c>
      <c r="H9" s="311">
        <v>19.296204761669301</v>
      </c>
      <c r="I9" s="311">
        <v>27.721756836874334</v>
      </c>
      <c r="J9" s="311">
        <v>48.356511598931476</v>
      </c>
      <c r="K9" s="311">
        <v>43.132765199270814</v>
      </c>
      <c r="L9" s="311">
        <v>48.762959056695188</v>
      </c>
      <c r="M9" s="311">
        <v>42.205060641844952</v>
      </c>
      <c r="N9" s="311">
        <v>40.091685998877978</v>
      </c>
      <c r="O9" s="311">
        <v>47.362294958832685</v>
      </c>
      <c r="P9" s="311">
        <v>37.540151969641975</v>
      </c>
      <c r="Q9" s="71"/>
    </row>
    <row r="10" spans="2:17" ht="15.6" thickBot="1" x14ac:dyDescent="0.3">
      <c r="B10" s="59">
        <v>5</v>
      </c>
      <c r="C10" s="308">
        <f t="shared" si="0"/>
        <v>2027</v>
      </c>
      <c r="D10" s="311">
        <v>44.75675938367894</v>
      </c>
      <c r="E10" s="311">
        <v>43.257101457090322</v>
      </c>
      <c r="F10" s="311">
        <v>33.356178106227354</v>
      </c>
      <c r="G10" s="311">
        <v>29.869103074537254</v>
      </c>
      <c r="H10" s="311">
        <v>20.665215247842003</v>
      </c>
      <c r="I10" s="311">
        <v>32.232438677451675</v>
      </c>
      <c r="J10" s="311">
        <v>54.24216288122193</v>
      </c>
      <c r="K10" s="311">
        <v>48.892836772959051</v>
      </c>
      <c r="L10" s="311">
        <v>54.250816658436655</v>
      </c>
      <c r="M10" s="311">
        <v>46.428711921854507</v>
      </c>
      <c r="N10" s="311">
        <v>45.053849954105814</v>
      </c>
      <c r="O10" s="311">
        <v>50.917965148599563</v>
      </c>
      <c r="P10" s="311">
        <v>42.001204945392658</v>
      </c>
      <c r="Q10" s="71"/>
    </row>
    <row r="11" spans="2:17" ht="15.6" thickBot="1" x14ac:dyDescent="0.3">
      <c r="B11" s="59">
        <v>6</v>
      </c>
      <c r="C11" s="308">
        <f t="shared" si="0"/>
        <v>2028</v>
      </c>
      <c r="D11" s="311">
        <v>48.807627968078542</v>
      </c>
      <c r="E11" s="311">
        <v>43.093511129928665</v>
      </c>
      <c r="F11" s="311">
        <v>33.959894126142125</v>
      </c>
      <c r="G11" s="311">
        <v>30.330434059125356</v>
      </c>
      <c r="H11" s="311">
        <v>22.077039299388733</v>
      </c>
      <c r="I11" s="311">
        <v>32.791380001544752</v>
      </c>
      <c r="J11" s="311">
        <v>55.959976614840912</v>
      </c>
      <c r="K11" s="311">
        <v>51.508690884683169</v>
      </c>
      <c r="L11" s="311">
        <v>54.651554882362646</v>
      </c>
      <c r="M11" s="311">
        <v>47.058607487695191</v>
      </c>
      <c r="N11" s="311">
        <v>46.279890000789379</v>
      </c>
      <c r="O11" s="311">
        <v>54.193452033444089</v>
      </c>
      <c r="P11" s="311">
        <v>43.420310196516546</v>
      </c>
      <c r="Q11" s="71"/>
    </row>
    <row r="12" spans="2:17" ht="15.6" thickBot="1" x14ac:dyDescent="0.3">
      <c r="B12" s="204">
        <v>7</v>
      </c>
      <c r="C12" s="308">
        <f t="shared" si="0"/>
        <v>2029</v>
      </c>
      <c r="D12" s="311">
        <v>47.159466333965817</v>
      </c>
      <c r="E12" s="311">
        <v>41.669917616437075</v>
      </c>
      <c r="F12" s="311">
        <v>31.039913868661742</v>
      </c>
      <c r="G12" s="311">
        <v>29.901716446062117</v>
      </c>
      <c r="H12" s="311">
        <v>21.21068152335107</v>
      </c>
      <c r="I12" s="311">
        <v>30.966747929624574</v>
      </c>
      <c r="J12" s="311">
        <v>56.348428868443754</v>
      </c>
      <c r="K12" s="311">
        <v>53.979007846318119</v>
      </c>
      <c r="L12" s="311">
        <v>59.349874365464046</v>
      </c>
      <c r="M12" s="311">
        <v>49.817346499800962</v>
      </c>
      <c r="N12" s="311">
        <v>47.925252505237687</v>
      </c>
      <c r="O12" s="311">
        <v>53.69662989325365</v>
      </c>
      <c r="P12" s="311">
        <v>43.621537398628909</v>
      </c>
      <c r="Q12" s="71"/>
    </row>
    <row r="13" spans="2:17" ht="15.6" thickBot="1" x14ac:dyDescent="0.3">
      <c r="B13" s="59">
        <v>8</v>
      </c>
      <c r="C13" s="308">
        <f t="shared" si="0"/>
        <v>2030</v>
      </c>
      <c r="D13" s="311">
        <v>47.24710328448478</v>
      </c>
      <c r="E13" s="311">
        <v>41.252329578684126</v>
      </c>
      <c r="F13" s="311">
        <v>28.862413827279486</v>
      </c>
      <c r="G13" s="311">
        <v>27.955042411256368</v>
      </c>
      <c r="H13" s="311">
        <v>21.283572570576254</v>
      </c>
      <c r="I13" s="311">
        <v>30.193280496527482</v>
      </c>
      <c r="J13" s="311">
        <v>57.326087811908742</v>
      </c>
      <c r="K13" s="311">
        <v>53.889960899197341</v>
      </c>
      <c r="L13" s="311">
        <v>58.433837603481898</v>
      </c>
      <c r="M13" s="311">
        <v>49.541463419625615</v>
      </c>
      <c r="N13" s="311">
        <v>47.174975809253937</v>
      </c>
      <c r="O13" s="311">
        <v>53.657116484825195</v>
      </c>
      <c r="P13" s="311">
        <v>43.106352287817842</v>
      </c>
      <c r="Q13" s="71"/>
    </row>
    <row r="14" spans="2:17" ht="15.6" thickBot="1" x14ac:dyDescent="0.3">
      <c r="B14" s="59">
        <v>9</v>
      </c>
      <c r="C14" s="308">
        <f t="shared" si="0"/>
        <v>2031</v>
      </c>
      <c r="D14" s="311">
        <v>43.733002013708798</v>
      </c>
      <c r="E14" s="311">
        <v>41.482944230416201</v>
      </c>
      <c r="F14" s="311">
        <v>28.512238193420455</v>
      </c>
      <c r="G14" s="311">
        <v>30.419046461604861</v>
      </c>
      <c r="H14" s="311">
        <v>18.729673767270896</v>
      </c>
      <c r="I14" s="311">
        <v>30.975437746756434</v>
      </c>
      <c r="J14" s="311">
        <v>58.782369519590318</v>
      </c>
      <c r="K14" s="311">
        <v>54.888173381942948</v>
      </c>
      <c r="L14" s="311">
        <v>59.992852494943499</v>
      </c>
      <c r="M14" s="311">
        <v>50.061541491838291</v>
      </c>
      <c r="N14" s="311">
        <v>47.639703938982905</v>
      </c>
      <c r="O14" s="311">
        <v>54.633681484384525</v>
      </c>
      <c r="P14" s="311">
        <v>43.347656803115463</v>
      </c>
      <c r="Q14" s="71"/>
    </row>
    <row r="15" spans="2:17" ht="15.6" thickBot="1" x14ac:dyDescent="0.3">
      <c r="B15" s="204">
        <v>10</v>
      </c>
      <c r="C15" s="308">
        <f t="shared" si="0"/>
        <v>2032</v>
      </c>
      <c r="D15" s="311">
        <v>45.702526729481079</v>
      </c>
      <c r="E15" s="311">
        <v>40.247858586551686</v>
      </c>
      <c r="F15" s="311">
        <v>27.30100996841502</v>
      </c>
      <c r="G15" s="311">
        <v>27.919872413795677</v>
      </c>
      <c r="H15" s="311">
        <v>17.495186975001801</v>
      </c>
      <c r="I15" s="311">
        <v>32.213558551354915</v>
      </c>
      <c r="J15" s="311">
        <v>59.804447494805643</v>
      </c>
      <c r="K15" s="311">
        <v>56.794955326248463</v>
      </c>
      <c r="L15" s="311">
        <v>63.906160270165017</v>
      </c>
      <c r="M15" s="311">
        <v>51.869562542513158</v>
      </c>
      <c r="N15" s="311">
        <v>48.938540913075769</v>
      </c>
      <c r="O15" s="311">
        <v>56.057461761120223</v>
      </c>
      <c r="P15" s="311">
        <v>44.050031525100842</v>
      </c>
      <c r="Q15" s="71"/>
    </row>
    <row r="16" spans="2:17" ht="15.6" thickBot="1" x14ac:dyDescent="0.3">
      <c r="B16" s="59">
        <v>11</v>
      </c>
      <c r="C16" s="308">
        <f t="shared" si="0"/>
        <v>2033</v>
      </c>
      <c r="D16" s="311">
        <v>45.970136361333807</v>
      </c>
      <c r="E16" s="311">
        <v>42.629447081495428</v>
      </c>
      <c r="F16" s="311">
        <v>28.012496214711231</v>
      </c>
      <c r="G16" s="311">
        <v>27.407145547010352</v>
      </c>
      <c r="H16" s="311">
        <v>17.079439462374705</v>
      </c>
      <c r="I16" s="311">
        <v>33.431073854282317</v>
      </c>
      <c r="J16" s="311">
        <v>66.176442382366261</v>
      </c>
      <c r="K16" s="311">
        <v>62.354875415946424</v>
      </c>
      <c r="L16" s="311">
        <v>62.923844596467774</v>
      </c>
      <c r="M16" s="311">
        <v>54.35808055710298</v>
      </c>
      <c r="N16" s="311">
        <v>50.754495702882792</v>
      </c>
      <c r="O16" s="311">
        <v>61.173492012701111</v>
      </c>
      <c r="P16" s="311">
        <v>46.076699024393896</v>
      </c>
      <c r="Q16" s="71"/>
    </row>
    <row r="17" spans="2:17" ht="15.6" thickBot="1" x14ac:dyDescent="0.3">
      <c r="B17" s="59">
        <v>12</v>
      </c>
      <c r="C17" s="308">
        <f t="shared" si="0"/>
        <v>2034</v>
      </c>
      <c r="D17" s="311">
        <v>44.720085495003616</v>
      </c>
      <c r="E17" s="311">
        <v>39.546901910007236</v>
      </c>
      <c r="F17" s="311">
        <v>29.166547490476425</v>
      </c>
      <c r="G17" s="311">
        <v>29.930147366953381</v>
      </c>
      <c r="H17" s="311">
        <v>18.565896188521496</v>
      </c>
      <c r="I17" s="311">
        <v>34.765538210476208</v>
      </c>
      <c r="J17" s="311">
        <v>69.131885244830002</v>
      </c>
      <c r="K17" s="311">
        <v>60.311065067010134</v>
      </c>
      <c r="L17" s="311">
        <v>65.163274094675941</v>
      </c>
      <c r="M17" s="311">
        <v>57.116502971645609</v>
      </c>
      <c r="N17" s="311">
        <v>52.612838769765482</v>
      </c>
      <c r="O17" s="311">
        <v>60.218927111749174</v>
      </c>
      <c r="P17" s="311">
        <v>46.842809324336052</v>
      </c>
      <c r="Q17" s="71"/>
    </row>
    <row r="18" spans="2:17" ht="15.6" thickBot="1" x14ac:dyDescent="0.3">
      <c r="B18" s="204">
        <v>13</v>
      </c>
      <c r="C18" s="308">
        <f t="shared" si="0"/>
        <v>2035</v>
      </c>
      <c r="D18" s="311">
        <v>48.131098128914068</v>
      </c>
      <c r="E18" s="311">
        <v>42.667518257448911</v>
      </c>
      <c r="F18" s="311">
        <v>29.00161824703752</v>
      </c>
      <c r="G18" s="311">
        <v>29.972963696097739</v>
      </c>
      <c r="H18" s="311">
        <v>18.762133070507744</v>
      </c>
      <c r="I18" s="311">
        <v>32.106709147906074</v>
      </c>
      <c r="J18" s="311">
        <v>73.465639633255236</v>
      </c>
      <c r="K18" s="311">
        <v>67.312847140080478</v>
      </c>
      <c r="L18" s="311">
        <v>74.176212266280089</v>
      </c>
      <c r="M18" s="311">
        <v>59.977039117473133</v>
      </c>
      <c r="N18" s="311">
        <v>54.952472330443015</v>
      </c>
      <c r="O18" s="311">
        <v>63.40338217361348</v>
      </c>
      <c r="P18" s="311">
        <v>49.568788266486955</v>
      </c>
      <c r="Q18" s="71"/>
    </row>
    <row r="19" spans="2:17" ht="15.6" thickBot="1" x14ac:dyDescent="0.3">
      <c r="B19" s="59">
        <v>14</v>
      </c>
      <c r="C19" s="308">
        <f t="shared" si="0"/>
        <v>2036</v>
      </c>
      <c r="D19" s="311">
        <v>51.271110613930567</v>
      </c>
      <c r="E19" s="311">
        <v>40.684002004403098</v>
      </c>
      <c r="F19" s="311">
        <v>27.926141108897017</v>
      </c>
      <c r="G19" s="311">
        <v>28.876295383383138</v>
      </c>
      <c r="H19" s="311">
        <v>17.964830872834977</v>
      </c>
      <c r="I19" s="311">
        <v>33.344861635135835</v>
      </c>
      <c r="J19" s="311">
        <v>78.639497836801823</v>
      </c>
      <c r="K19" s="311">
        <v>69.534007774157899</v>
      </c>
      <c r="L19" s="311">
        <v>74.857186388271614</v>
      </c>
      <c r="M19" s="311">
        <v>58.730751410033236</v>
      </c>
      <c r="N19" s="311">
        <v>53.784721064677321</v>
      </c>
      <c r="O19" s="311">
        <v>64.031522441445944</v>
      </c>
      <c r="P19" s="311">
        <v>50.045797038450637</v>
      </c>
      <c r="Q19" s="71"/>
    </row>
    <row r="20" spans="2:17" ht="15.6" thickBot="1" x14ac:dyDescent="0.3">
      <c r="B20" s="59">
        <v>15</v>
      </c>
      <c r="C20" s="308">
        <f t="shared" si="0"/>
        <v>2037</v>
      </c>
      <c r="D20" s="311">
        <v>47.529857433755417</v>
      </c>
      <c r="E20" s="311">
        <v>43.331450984775429</v>
      </c>
      <c r="F20" s="311">
        <v>31.939003608386454</v>
      </c>
      <c r="G20" s="311">
        <v>29.06831835555273</v>
      </c>
      <c r="H20" s="311">
        <v>15.612060344373063</v>
      </c>
      <c r="I20" s="311">
        <v>34.483944366454253</v>
      </c>
      <c r="J20" s="311">
        <v>80.656971918839957</v>
      </c>
      <c r="K20" s="311">
        <v>72.608650539160749</v>
      </c>
      <c r="L20" s="311">
        <v>79.305813326819262</v>
      </c>
      <c r="M20" s="311">
        <v>59.435971513201281</v>
      </c>
      <c r="N20" s="311">
        <v>55.462270527809466</v>
      </c>
      <c r="O20" s="311">
        <v>66.949675219345522</v>
      </c>
      <c r="P20" s="311">
        <v>51.45092858290873</v>
      </c>
      <c r="Q20" s="71"/>
    </row>
    <row r="21" spans="2:17" ht="15.6" thickBot="1" x14ac:dyDescent="0.3">
      <c r="B21" s="204">
        <v>16</v>
      </c>
      <c r="C21" s="308">
        <f t="shared" si="0"/>
        <v>2038</v>
      </c>
      <c r="D21" s="311">
        <v>48.735525008411102</v>
      </c>
      <c r="E21" s="311">
        <v>39.853826344745869</v>
      </c>
      <c r="F21" s="311">
        <v>27.69968855130978</v>
      </c>
      <c r="G21" s="311">
        <v>28.536620273245781</v>
      </c>
      <c r="H21" s="311">
        <v>16.529566025394473</v>
      </c>
      <c r="I21" s="311">
        <v>34.020310263739937</v>
      </c>
      <c r="J21" s="311">
        <v>84.202605265023479</v>
      </c>
      <c r="K21" s="311">
        <v>70.728493699706476</v>
      </c>
      <c r="L21" s="311">
        <v>80.971631676681142</v>
      </c>
      <c r="M21" s="311">
        <v>63.139708577372843</v>
      </c>
      <c r="N21" s="311">
        <v>56.51793389963958</v>
      </c>
      <c r="O21" s="311">
        <v>70.802072704575352</v>
      </c>
      <c r="P21" s="311">
        <v>51.929505413253892</v>
      </c>
      <c r="Q21" s="71"/>
    </row>
    <row r="22" spans="2:17" ht="15.6" thickBot="1" x14ac:dyDescent="0.3">
      <c r="B22" s="59">
        <v>17</v>
      </c>
      <c r="C22" s="308">
        <f t="shared" si="0"/>
        <v>2039</v>
      </c>
      <c r="D22" s="311">
        <v>51.291271202720296</v>
      </c>
      <c r="E22" s="311">
        <v>43.694107912919094</v>
      </c>
      <c r="F22" s="311">
        <v>28.060596165909178</v>
      </c>
      <c r="G22" s="311">
        <v>28.305660936087204</v>
      </c>
      <c r="H22" s="311">
        <v>16.451281597190473</v>
      </c>
      <c r="I22" s="311">
        <v>39.275153087500065</v>
      </c>
      <c r="J22" s="311">
        <v>86.828717513127032</v>
      </c>
      <c r="K22" s="311">
        <v>74.806851522632144</v>
      </c>
      <c r="L22" s="311">
        <v>80.623587712933414</v>
      </c>
      <c r="M22" s="311">
        <v>62.832926026648217</v>
      </c>
      <c r="N22" s="311">
        <v>59.699429285911123</v>
      </c>
      <c r="O22" s="311">
        <v>71.770276448413995</v>
      </c>
      <c r="P22" s="311">
        <v>53.736573937015542</v>
      </c>
      <c r="Q22" s="71"/>
    </row>
    <row r="23" spans="2:17" ht="15.6" thickBot="1" x14ac:dyDescent="0.3">
      <c r="B23" s="59">
        <v>18</v>
      </c>
      <c r="C23" s="308">
        <f t="shared" si="0"/>
        <v>2040</v>
      </c>
      <c r="D23" s="311">
        <v>49.874173142370374</v>
      </c>
      <c r="E23" s="311">
        <v>40.711039281373822</v>
      </c>
      <c r="F23" s="311">
        <v>29.196305946432258</v>
      </c>
      <c r="G23" s="311">
        <v>28.938461855629587</v>
      </c>
      <c r="H23" s="311">
        <v>18.157520047505987</v>
      </c>
      <c r="I23" s="311">
        <v>40.70357214269476</v>
      </c>
      <c r="J23" s="311">
        <v>89.730624062695313</v>
      </c>
      <c r="K23" s="311">
        <v>75.977835856995767</v>
      </c>
      <c r="L23" s="311">
        <v>82.770558563014859</v>
      </c>
      <c r="M23" s="311">
        <v>66.406583413575859</v>
      </c>
      <c r="N23" s="311">
        <v>56.378521431535539</v>
      </c>
      <c r="O23" s="311">
        <v>73.329566483218429</v>
      </c>
      <c r="P23" s="311">
        <v>54.445913760881787</v>
      </c>
      <c r="Q23" s="71"/>
    </row>
    <row r="24" spans="2:17" ht="15.6" thickBot="1" x14ac:dyDescent="0.3">
      <c r="B24" s="204">
        <v>19</v>
      </c>
      <c r="C24" s="308">
        <f t="shared" si="0"/>
        <v>2041</v>
      </c>
      <c r="D24" s="311">
        <v>58.786559464190077</v>
      </c>
      <c r="E24" s="311">
        <v>45.66907564533237</v>
      </c>
      <c r="F24" s="311">
        <v>28.214676955043927</v>
      </c>
      <c r="G24" s="311">
        <v>29.943029602039669</v>
      </c>
      <c r="H24" s="311">
        <v>14.899961641433553</v>
      </c>
      <c r="I24" s="311">
        <v>35.203411401420496</v>
      </c>
      <c r="J24" s="311">
        <v>92.559350449010637</v>
      </c>
      <c r="K24" s="311">
        <v>83.561645584831126</v>
      </c>
      <c r="L24" s="311">
        <v>89.62439852907336</v>
      </c>
      <c r="M24" s="311">
        <v>66.930294273273788</v>
      </c>
      <c r="N24" s="311">
        <v>63.049255011543096</v>
      </c>
      <c r="O24" s="311">
        <v>75.469008054997161</v>
      </c>
      <c r="P24" s="311">
        <v>57.113433817802267</v>
      </c>
      <c r="Q24" s="71"/>
    </row>
    <row r="25" spans="2:17" ht="15.6" thickBot="1" x14ac:dyDescent="0.3">
      <c r="B25" s="59">
        <v>20</v>
      </c>
      <c r="C25" s="308">
        <f t="shared" si="0"/>
        <v>2042</v>
      </c>
      <c r="D25" s="311">
        <v>59.149912795088547</v>
      </c>
      <c r="E25" s="311">
        <v>44.92046935335329</v>
      </c>
      <c r="F25" s="311">
        <v>26.893199829197396</v>
      </c>
      <c r="G25" s="311">
        <v>29.51394198912373</v>
      </c>
      <c r="H25" s="311">
        <v>14.58998017926465</v>
      </c>
      <c r="I25" s="311">
        <v>38.352684473557922</v>
      </c>
      <c r="J25" s="311">
        <v>101.79429178948294</v>
      </c>
      <c r="K25" s="311">
        <v>92.741414347952116</v>
      </c>
      <c r="L25" s="311">
        <v>91.718015992361615</v>
      </c>
      <c r="M25" s="311">
        <v>66.900097853397128</v>
      </c>
      <c r="N25" s="311">
        <v>61.394805823024733</v>
      </c>
      <c r="O25" s="311">
        <v>81.392727910435639</v>
      </c>
      <c r="P25" s="311">
        <v>59.272512208452937</v>
      </c>
      <c r="Q25" s="71"/>
    </row>
    <row r="26" spans="2:17" ht="15.6" thickBot="1" x14ac:dyDescent="0.3">
      <c r="B26" s="59">
        <v>21</v>
      </c>
      <c r="C26" s="308">
        <f t="shared" si="0"/>
        <v>2043</v>
      </c>
      <c r="D26" s="311">
        <v>59.814036251317049</v>
      </c>
      <c r="E26" s="311">
        <v>44.284197428208529</v>
      </c>
      <c r="F26" s="311">
        <v>30.507456627418545</v>
      </c>
      <c r="G26" s="311">
        <v>28.653217291108124</v>
      </c>
      <c r="H26" s="311">
        <v>15.727210028959233</v>
      </c>
      <c r="I26" s="311">
        <v>42.724714275115588</v>
      </c>
      <c r="J26" s="311">
        <v>107.65775083253155</v>
      </c>
      <c r="K26" s="311">
        <v>89.904579663298151</v>
      </c>
      <c r="L26" s="311">
        <v>96.074084988552542</v>
      </c>
      <c r="M26" s="311">
        <v>67.151256214979568</v>
      </c>
      <c r="N26" s="311">
        <v>64.724695340081581</v>
      </c>
      <c r="O26" s="311">
        <v>84.666495007815044</v>
      </c>
      <c r="P26" s="311">
        <v>61.160414269182276</v>
      </c>
      <c r="Q26" s="71"/>
    </row>
    <row r="27" spans="2:17" ht="15.6" thickBot="1" x14ac:dyDescent="0.3">
      <c r="C27" s="61"/>
      <c r="D27" s="62"/>
      <c r="E27" s="62"/>
      <c r="F27" s="62"/>
      <c r="G27" s="62"/>
      <c r="H27" s="62"/>
      <c r="I27" s="62"/>
      <c r="J27" s="62"/>
      <c r="K27" s="62"/>
      <c r="L27" s="62"/>
      <c r="M27" s="62"/>
      <c r="N27" s="62"/>
      <c r="O27" s="62"/>
      <c r="P27" s="63"/>
      <c r="Q27" s="70"/>
    </row>
    <row r="28" spans="2:17" ht="15.6" thickBot="1" x14ac:dyDescent="0.3">
      <c r="O28" s="64" t="s">
        <v>57</v>
      </c>
      <c r="P28" s="65">
        <f>-PMT(Rate_of_Return,20,NPV(Rate_of_Return,P6:P25))</f>
        <v>43.50960268263379</v>
      </c>
      <c r="Q28" s="69"/>
    </row>
    <row r="29" spans="2:17" ht="15.6" thickBot="1" x14ac:dyDescent="0.3">
      <c r="O29" s="64" t="s">
        <v>58</v>
      </c>
      <c r="P29" s="249">
        <f>-PMT(Rate_of_Return,15,NPV(Rate_of_Return,P6:P20))</f>
        <v>41.702316329684159</v>
      </c>
      <c r="Q29" s="69"/>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0"/>
  <sheetViews>
    <sheetView workbookViewId="0">
      <selection activeCell="F18" sqref="F18"/>
    </sheetView>
  </sheetViews>
  <sheetFormatPr defaultColWidth="8.88671875" defaultRowHeight="13.2" x14ac:dyDescent="0.25"/>
  <cols>
    <col min="1" max="1" width="2.6640625" style="218" customWidth="1"/>
    <col min="2" max="2" width="3.88671875" style="218" bestFit="1" customWidth="1"/>
    <col min="3" max="3" width="9" style="218" bestFit="1" customWidth="1"/>
    <col min="4" max="4" width="23" style="218" customWidth="1"/>
    <col min="5" max="5" width="24.6640625" style="218" customWidth="1"/>
    <col min="6" max="6" width="2.109375" style="171" customWidth="1"/>
    <col min="7" max="7" width="17.44140625" style="218" bestFit="1" customWidth="1"/>
    <col min="8" max="9" width="13.88671875" style="218" bestFit="1" customWidth="1"/>
    <col min="10" max="10" width="2.109375" style="171" customWidth="1"/>
    <col min="11" max="11" width="8.88671875" style="218"/>
    <col min="12" max="12" width="11.109375" style="218" customWidth="1"/>
    <col min="13" max="13" width="2.109375" style="171" customWidth="1"/>
    <col min="14" max="14" width="14" style="218" customWidth="1"/>
    <col min="15" max="15" width="11.33203125" style="218" bestFit="1" customWidth="1"/>
    <col min="16" max="16" width="11.6640625" style="218" customWidth="1"/>
    <col min="17" max="17" width="10.109375" style="218" bestFit="1" customWidth="1"/>
    <col min="18" max="18" width="12.109375" style="218" customWidth="1"/>
    <col min="19" max="19" width="11.33203125" style="218" bestFit="1" customWidth="1"/>
    <col min="20" max="16384" width="8.88671875" style="218"/>
  </cols>
  <sheetData>
    <row r="1" spans="1:19" x14ac:dyDescent="0.25">
      <c r="O1" s="247"/>
      <c r="Q1" s="247"/>
    </row>
    <row r="2" spans="1:19" x14ac:dyDescent="0.25">
      <c r="K2" s="171"/>
      <c r="L2" s="171"/>
      <c r="O2" s="248"/>
      <c r="P2" s="171"/>
      <c r="Q2" s="248"/>
      <c r="R2" s="171"/>
      <c r="S2" s="248"/>
    </row>
    <row r="3" spans="1:19" s="287" customFormat="1" ht="27.6" customHeight="1" thickBot="1" x14ac:dyDescent="0.3">
      <c r="D3" s="362" t="s">
        <v>43</v>
      </c>
      <c r="E3" s="362"/>
      <c r="F3" s="265"/>
      <c r="G3" s="355" t="s">
        <v>91</v>
      </c>
      <c r="H3" s="355"/>
      <c r="I3" s="355"/>
      <c r="J3" s="265"/>
      <c r="K3" s="265"/>
      <c r="L3" s="265"/>
      <c r="M3" s="265"/>
      <c r="N3" s="355" t="s">
        <v>92</v>
      </c>
      <c r="O3" s="355"/>
      <c r="P3" s="355"/>
      <c r="Q3" s="355"/>
      <c r="R3" s="355"/>
      <c r="S3" s="355"/>
    </row>
    <row r="4" spans="1:19" s="287" customFormat="1" ht="85.95" customHeight="1" x14ac:dyDescent="0.25">
      <c r="D4" s="269" t="s">
        <v>44</v>
      </c>
      <c r="E4" s="279" t="s">
        <v>93</v>
      </c>
      <c r="F4" s="265"/>
      <c r="G4" s="288" t="s">
        <v>113</v>
      </c>
      <c r="H4" s="288" t="s">
        <v>135</v>
      </c>
      <c r="I4" s="289" t="s">
        <v>136</v>
      </c>
      <c r="J4" s="220"/>
      <c r="K4" s="356" t="s">
        <v>114</v>
      </c>
      <c r="L4" s="359" t="s">
        <v>115</v>
      </c>
      <c r="M4" s="220"/>
      <c r="N4" s="290" t="s">
        <v>116</v>
      </c>
      <c r="O4" s="291" t="s">
        <v>117</v>
      </c>
      <c r="P4" s="290" t="s">
        <v>137</v>
      </c>
      <c r="Q4" s="291" t="s">
        <v>118</v>
      </c>
      <c r="R4" s="292" t="s">
        <v>138</v>
      </c>
      <c r="S4" s="291" t="s">
        <v>120</v>
      </c>
    </row>
    <row r="5" spans="1:19" s="287" customFormat="1" x14ac:dyDescent="0.25">
      <c r="C5" s="293"/>
      <c r="D5" s="271"/>
      <c r="E5" s="272"/>
      <c r="F5" s="265"/>
      <c r="G5" s="304">
        <v>1</v>
      </c>
      <c r="H5" s="305">
        <v>0.17799999999999999</v>
      </c>
      <c r="I5" s="306">
        <v>0.04</v>
      </c>
      <c r="J5" s="220"/>
      <c r="K5" s="357"/>
      <c r="L5" s="360"/>
      <c r="M5" s="220"/>
      <c r="N5" s="294">
        <v>1</v>
      </c>
      <c r="O5" s="295"/>
      <c r="P5" s="294">
        <v>0.36699999999999999</v>
      </c>
      <c r="Q5" s="295"/>
      <c r="R5" s="317">
        <v>0.24199999999999999</v>
      </c>
      <c r="S5" s="296"/>
    </row>
    <row r="6" spans="1:19" s="287" customFormat="1" ht="27" thickBot="1" x14ac:dyDescent="0.3">
      <c r="B6" s="293"/>
      <c r="C6" s="297"/>
      <c r="D6" s="273"/>
      <c r="E6" s="274" t="s">
        <v>95</v>
      </c>
      <c r="F6" s="265"/>
      <c r="G6" s="298" t="s">
        <v>95</v>
      </c>
      <c r="H6" s="298" t="s">
        <v>95</v>
      </c>
      <c r="I6" s="299" t="s">
        <v>95</v>
      </c>
      <c r="J6" s="265"/>
      <c r="K6" s="358"/>
      <c r="L6" s="361"/>
      <c r="M6" s="220"/>
      <c r="N6" s="300" t="s">
        <v>94</v>
      </c>
      <c r="O6" s="301" t="s">
        <v>14</v>
      </c>
      <c r="P6" s="300" t="s">
        <v>94</v>
      </c>
      <c r="Q6" s="301" t="s">
        <v>14</v>
      </c>
      <c r="R6" s="302" t="s">
        <v>94</v>
      </c>
      <c r="S6" s="301" t="s">
        <v>14</v>
      </c>
    </row>
    <row r="7" spans="1:19" x14ac:dyDescent="0.25">
      <c r="A7" s="221"/>
      <c r="B7" s="280">
        <v>1</v>
      </c>
      <c r="C7" s="270">
        <v>2023</v>
      </c>
      <c r="D7" s="224"/>
      <c r="E7" s="315">
        <v>95.27</v>
      </c>
      <c r="G7" s="226">
        <f t="shared" ref="G7:I27" si="0">G$5*$E7</f>
        <v>95.27</v>
      </c>
      <c r="H7" s="226">
        <f>H$5*$E7</f>
        <v>16.95806</v>
      </c>
      <c r="I7" s="228">
        <f>I$5*$E7</f>
        <v>3.8108</v>
      </c>
      <c r="K7" s="225">
        <f t="shared" ref="K7:K28" si="1">C7</f>
        <v>2023</v>
      </c>
      <c r="L7" s="208">
        <v>8760</v>
      </c>
      <c r="M7" s="219"/>
      <c r="N7" s="216">
        <f t="shared" ref="N7:N28" si="2">L7*$N$5</f>
        <v>8760</v>
      </c>
      <c r="O7" s="217">
        <f>(+G7*1000)/$N7</f>
        <v>10.875570776255708</v>
      </c>
      <c r="P7" s="216">
        <f>L7*$P$5</f>
        <v>3214.92</v>
      </c>
      <c r="Q7" s="217">
        <f>(+H7*1000)/$P7</f>
        <v>5.274799995023205</v>
      </c>
      <c r="R7" s="230">
        <f t="shared" ref="R7:R28" si="3">L7*$R$5</f>
        <v>2119.92</v>
      </c>
      <c r="S7" s="217">
        <f>(+I7*1000)/$R7</f>
        <v>1.7976150043397865</v>
      </c>
    </row>
    <row r="8" spans="1:19" x14ac:dyDescent="0.25">
      <c r="A8" s="221"/>
      <c r="B8" s="281">
        <f t="shared" ref="B8:B28" si="4">+B7+1</f>
        <v>2</v>
      </c>
      <c r="C8" s="222">
        <f>C7+1</f>
        <v>2024</v>
      </c>
      <c r="D8" s="224"/>
      <c r="E8" s="316">
        <v>95.27</v>
      </c>
      <c r="G8" s="227">
        <f t="shared" si="0"/>
        <v>95.27</v>
      </c>
      <c r="H8" s="226">
        <f t="shared" si="0"/>
        <v>16.95806</v>
      </c>
      <c r="I8" s="229">
        <f t="shared" si="0"/>
        <v>3.8108</v>
      </c>
      <c r="K8" s="209">
        <f t="shared" si="1"/>
        <v>2024</v>
      </c>
      <c r="L8" s="210">
        <v>8784</v>
      </c>
      <c r="M8" s="219"/>
      <c r="N8" s="212">
        <f t="shared" si="2"/>
        <v>8784</v>
      </c>
      <c r="O8" s="213">
        <f>(+G8*1000)/$N8</f>
        <v>10.845856102003642</v>
      </c>
      <c r="P8" s="212">
        <f t="shared" ref="P8:P28" si="5">L8*$P$5</f>
        <v>3223.7280000000001</v>
      </c>
      <c r="Q8" s="213">
        <f t="shared" ref="Q8:Q28" si="6">(+H8*1000)/$P8</f>
        <v>5.2603879731788785</v>
      </c>
      <c r="R8" s="231">
        <f>L8*$R$5</f>
        <v>2125.7280000000001</v>
      </c>
      <c r="S8" s="213">
        <f>(+I8*1000)/$R8</f>
        <v>1.7927034879344865</v>
      </c>
    </row>
    <row r="9" spans="1:19" x14ac:dyDescent="0.25">
      <c r="A9" s="221"/>
      <c r="B9" s="281">
        <f t="shared" si="4"/>
        <v>3</v>
      </c>
      <c r="C9" s="222">
        <f>+C8+1</f>
        <v>2025</v>
      </c>
      <c r="D9" s="224"/>
      <c r="E9" s="316">
        <v>95.27</v>
      </c>
      <c r="G9" s="227">
        <f t="shared" si="0"/>
        <v>95.27</v>
      </c>
      <c r="H9" s="226">
        <f t="shared" si="0"/>
        <v>16.95806</v>
      </c>
      <c r="I9" s="229">
        <f t="shared" si="0"/>
        <v>3.8108</v>
      </c>
      <c r="K9" s="209">
        <f t="shared" si="1"/>
        <v>2025</v>
      </c>
      <c r="L9" s="210">
        <v>8760</v>
      </c>
      <c r="M9" s="219"/>
      <c r="N9" s="212">
        <f t="shared" si="2"/>
        <v>8760</v>
      </c>
      <c r="O9" s="213">
        <f t="shared" ref="O9:O28" si="7">(+G9*1000)/$N9</f>
        <v>10.875570776255708</v>
      </c>
      <c r="P9" s="212">
        <f t="shared" si="5"/>
        <v>3214.92</v>
      </c>
      <c r="Q9" s="213">
        <f t="shared" si="6"/>
        <v>5.274799995023205</v>
      </c>
      <c r="R9" s="231">
        <f t="shared" si="3"/>
        <v>2119.92</v>
      </c>
      <c r="S9" s="213">
        <f t="shared" ref="S9:S28" si="8">(+I9*1000)/$R9</f>
        <v>1.7976150043397865</v>
      </c>
    </row>
    <row r="10" spans="1:19" x14ac:dyDescent="0.25">
      <c r="A10" s="221"/>
      <c r="B10" s="281">
        <f t="shared" si="4"/>
        <v>4</v>
      </c>
      <c r="C10" s="222">
        <f t="shared" ref="C10:C28" si="9">+C9+1</f>
        <v>2026</v>
      </c>
      <c r="D10" s="224"/>
      <c r="E10" s="275">
        <v>95.27</v>
      </c>
      <c r="G10" s="227">
        <f t="shared" si="0"/>
        <v>95.27</v>
      </c>
      <c r="H10" s="226">
        <f t="shared" si="0"/>
        <v>16.95806</v>
      </c>
      <c r="I10" s="229">
        <f t="shared" si="0"/>
        <v>3.8108</v>
      </c>
      <c r="K10" s="209">
        <f t="shared" si="1"/>
        <v>2026</v>
      </c>
      <c r="L10" s="210">
        <v>8760</v>
      </c>
      <c r="M10" s="219"/>
      <c r="N10" s="212">
        <f t="shared" si="2"/>
        <v>8760</v>
      </c>
      <c r="O10" s="213">
        <f t="shared" si="7"/>
        <v>10.875570776255708</v>
      </c>
      <c r="P10" s="212">
        <f t="shared" si="5"/>
        <v>3214.92</v>
      </c>
      <c r="Q10" s="213">
        <f t="shared" si="6"/>
        <v>5.274799995023205</v>
      </c>
      <c r="R10" s="231">
        <f t="shared" si="3"/>
        <v>2119.92</v>
      </c>
      <c r="S10" s="213">
        <f t="shared" si="8"/>
        <v>1.7976150043397865</v>
      </c>
    </row>
    <row r="11" spans="1:19" x14ac:dyDescent="0.25">
      <c r="A11" s="221"/>
      <c r="B11" s="281">
        <f t="shared" si="4"/>
        <v>5</v>
      </c>
      <c r="C11" s="222">
        <f t="shared" si="9"/>
        <v>2027</v>
      </c>
      <c r="D11" s="224"/>
      <c r="E11" s="275">
        <v>95.27</v>
      </c>
      <c r="G11" s="227">
        <f t="shared" si="0"/>
        <v>95.27</v>
      </c>
      <c r="H11" s="226">
        <f t="shared" si="0"/>
        <v>16.95806</v>
      </c>
      <c r="I11" s="229">
        <f t="shared" si="0"/>
        <v>3.8108</v>
      </c>
      <c r="K11" s="209">
        <f t="shared" si="1"/>
        <v>2027</v>
      </c>
      <c r="L11" s="210">
        <v>8760</v>
      </c>
      <c r="M11" s="219"/>
      <c r="N11" s="212">
        <f t="shared" si="2"/>
        <v>8760</v>
      </c>
      <c r="O11" s="213">
        <f t="shared" si="7"/>
        <v>10.875570776255708</v>
      </c>
      <c r="P11" s="212">
        <f t="shared" si="5"/>
        <v>3214.92</v>
      </c>
      <c r="Q11" s="213">
        <f t="shared" si="6"/>
        <v>5.274799995023205</v>
      </c>
      <c r="R11" s="231">
        <f t="shared" si="3"/>
        <v>2119.92</v>
      </c>
      <c r="S11" s="213">
        <f t="shared" si="8"/>
        <v>1.7976150043397865</v>
      </c>
    </row>
    <row r="12" spans="1:19" x14ac:dyDescent="0.25">
      <c r="A12" s="221"/>
      <c r="B12" s="281">
        <f t="shared" si="4"/>
        <v>6</v>
      </c>
      <c r="C12" s="222">
        <f t="shared" si="9"/>
        <v>2028</v>
      </c>
      <c r="D12" s="224" t="s">
        <v>45</v>
      </c>
      <c r="E12" s="275">
        <v>95.27</v>
      </c>
      <c r="G12" s="227">
        <f t="shared" si="0"/>
        <v>95.27</v>
      </c>
      <c r="H12" s="226">
        <f t="shared" si="0"/>
        <v>16.95806</v>
      </c>
      <c r="I12" s="229">
        <f t="shared" si="0"/>
        <v>3.8108</v>
      </c>
      <c r="K12" s="209">
        <f t="shared" si="1"/>
        <v>2028</v>
      </c>
      <c r="L12" s="210">
        <v>8784</v>
      </c>
      <c r="M12" s="219"/>
      <c r="N12" s="212">
        <f t="shared" si="2"/>
        <v>8784</v>
      </c>
      <c r="O12" s="213">
        <f t="shared" si="7"/>
        <v>10.845856102003642</v>
      </c>
      <c r="P12" s="212">
        <f t="shared" si="5"/>
        <v>3223.7280000000001</v>
      </c>
      <c r="Q12" s="213">
        <f t="shared" si="6"/>
        <v>5.2603879731788785</v>
      </c>
      <c r="R12" s="231">
        <f t="shared" si="3"/>
        <v>2125.7280000000001</v>
      </c>
      <c r="S12" s="213">
        <f t="shared" si="8"/>
        <v>1.7927034879344865</v>
      </c>
    </row>
    <row r="13" spans="1:19" x14ac:dyDescent="0.25">
      <c r="A13" s="221"/>
      <c r="B13" s="281">
        <f t="shared" si="4"/>
        <v>7</v>
      </c>
      <c r="C13" s="222">
        <f t="shared" si="9"/>
        <v>2029</v>
      </c>
      <c r="D13" s="224"/>
      <c r="E13" s="275">
        <v>95.27</v>
      </c>
      <c r="G13" s="227">
        <f t="shared" si="0"/>
        <v>95.27</v>
      </c>
      <c r="H13" s="226">
        <f t="shared" si="0"/>
        <v>16.95806</v>
      </c>
      <c r="I13" s="229">
        <f t="shared" si="0"/>
        <v>3.8108</v>
      </c>
      <c r="K13" s="209">
        <f t="shared" si="1"/>
        <v>2029</v>
      </c>
      <c r="L13" s="210">
        <v>8760</v>
      </c>
      <c r="M13" s="219"/>
      <c r="N13" s="212">
        <f t="shared" si="2"/>
        <v>8760</v>
      </c>
      <c r="O13" s="213">
        <f t="shared" si="7"/>
        <v>10.875570776255708</v>
      </c>
      <c r="P13" s="212">
        <f t="shared" si="5"/>
        <v>3214.92</v>
      </c>
      <c r="Q13" s="213">
        <f t="shared" si="6"/>
        <v>5.274799995023205</v>
      </c>
      <c r="R13" s="231">
        <f t="shared" si="3"/>
        <v>2119.92</v>
      </c>
      <c r="S13" s="213">
        <f t="shared" si="8"/>
        <v>1.7976150043397865</v>
      </c>
    </row>
    <row r="14" spans="1:19" x14ac:dyDescent="0.25">
      <c r="A14" s="221"/>
      <c r="B14" s="281">
        <f t="shared" si="4"/>
        <v>8</v>
      </c>
      <c r="C14" s="222">
        <f t="shared" si="9"/>
        <v>2030</v>
      </c>
      <c r="D14" s="224"/>
      <c r="E14" s="275">
        <v>95.27</v>
      </c>
      <c r="G14" s="227">
        <f t="shared" si="0"/>
        <v>95.27</v>
      </c>
      <c r="H14" s="226">
        <f t="shared" si="0"/>
        <v>16.95806</v>
      </c>
      <c r="I14" s="229">
        <f t="shared" si="0"/>
        <v>3.8108</v>
      </c>
      <c r="K14" s="209">
        <f t="shared" si="1"/>
        <v>2030</v>
      </c>
      <c r="L14" s="210">
        <v>8760</v>
      </c>
      <c r="M14" s="219"/>
      <c r="N14" s="212">
        <f t="shared" si="2"/>
        <v>8760</v>
      </c>
      <c r="O14" s="213">
        <f t="shared" si="7"/>
        <v>10.875570776255708</v>
      </c>
      <c r="P14" s="212">
        <f t="shared" si="5"/>
        <v>3214.92</v>
      </c>
      <c r="Q14" s="213">
        <f t="shared" si="6"/>
        <v>5.274799995023205</v>
      </c>
      <c r="R14" s="231">
        <f t="shared" si="3"/>
        <v>2119.92</v>
      </c>
      <c r="S14" s="213">
        <f t="shared" si="8"/>
        <v>1.7976150043397865</v>
      </c>
    </row>
    <row r="15" spans="1:19" x14ac:dyDescent="0.25">
      <c r="A15" s="221"/>
      <c r="B15" s="281">
        <f t="shared" si="4"/>
        <v>9</v>
      </c>
      <c r="C15" s="222">
        <f t="shared" si="9"/>
        <v>2031</v>
      </c>
      <c r="D15" s="224"/>
      <c r="E15" s="275">
        <v>95.27</v>
      </c>
      <c r="G15" s="227">
        <f t="shared" si="0"/>
        <v>95.27</v>
      </c>
      <c r="H15" s="226">
        <f t="shared" si="0"/>
        <v>16.95806</v>
      </c>
      <c r="I15" s="229">
        <f t="shared" si="0"/>
        <v>3.8108</v>
      </c>
      <c r="K15" s="209">
        <f t="shared" si="1"/>
        <v>2031</v>
      </c>
      <c r="L15" s="210">
        <v>8760</v>
      </c>
      <c r="M15" s="219"/>
      <c r="N15" s="212">
        <f t="shared" si="2"/>
        <v>8760</v>
      </c>
      <c r="O15" s="213">
        <f t="shared" si="7"/>
        <v>10.875570776255708</v>
      </c>
      <c r="P15" s="212">
        <f t="shared" si="5"/>
        <v>3214.92</v>
      </c>
      <c r="Q15" s="213">
        <f t="shared" si="6"/>
        <v>5.274799995023205</v>
      </c>
      <c r="R15" s="231">
        <f t="shared" si="3"/>
        <v>2119.92</v>
      </c>
      <c r="S15" s="213">
        <f t="shared" si="8"/>
        <v>1.7976150043397865</v>
      </c>
    </row>
    <row r="16" spans="1:19" x14ac:dyDescent="0.25">
      <c r="A16" s="221"/>
      <c r="B16" s="281">
        <f t="shared" si="4"/>
        <v>10</v>
      </c>
      <c r="C16" s="222">
        <f t="shared" si="9"/>
        <v>2032</v>
      </c>
      <c r="D16" s="224"/>
      <c r="E16" s="275">
        <v>95.27</v>
      </c>
      <c r="G16" s="227">
        <f t="shared" si="0"/>
        <v>95.27</v>
      </c>
      <c r="H16" s="226">
        <f t="shared" si="0"/>
        <v>16.95806</v>
      </c>
      <c r="I16" s="229">
        <f t="shared" si="0"/>
        <v>3.8108</v>
      </c>
      <c r="K16" s="209">
        <f t="shared" si="1"/>
        <v>2032</v>
      </c>
      <c r="L16" s="210">
        <v>8784</v>
      </c>
      <c r="M16" s="219"/>
      <c r="N16" s="212">
        <f t="shared" si="2"/>
        <v>8784</v>
      </c>
      <c r="O16" s="213">
        <f t="shared" si="7"/>
        <v>10.845856102003642</v>
      </c>
      <c r="P16" s="212">
        <f t="shared" si="5"/>
        <v>3223.7280000000001</v>
      </c>
      <c r="Q16" s="213">
        <f t="shared" si="6"/>
        <v>5.2603879731788785</v>
      </c>
      <c r="R16" s="231">
        <f t="shared" si="3"/>
        <v>2125.7280000000001</v>
      </c>
      <c r="S16" s="213">
        <f t="shared" si="8"/>
        <v>1.7927034879344865</v>
      </c>
    </row>
    <row r="17" spans="1:19" x14ac:dyDescent="0.25">
      <c r="A17" s="221"/>
      <c r="B17" s="281">
        <f t="shared" si="4"/>
        <v>11</v>
      </c>
      <c r="C17" s="222">
        <f t="shared" si="9"/>
        <v>2033</v>
      </c>
      <c r="D17" s="224"/>
      <c r="E17" s="275">
        <v>95.27</v>
      </c>
      <c r="G17" s="227">
        <f t="shared" si="0"/>
        <v>95.27</v>
      </c>
      <c r="H17" s="226">
        <f t="shared" si="0"/>
        <v>16.95806</v>
      </c>
      <c r="I17" s="229">
        <f t="shared" si="0"/>
        <v>3.8108</v>
      </c>
      <c r="K17" s="209">
        <f t="shared" si="1"/>
        <v>2033</v>
      </c>
      <c r="L17" s="210">
        <v>8760</v>
      </c>
      <c r="M17" s="219"/>
      <c r="N17" s="212">
        <f t="shared" si="2"/>
        <v>8760</v>
      </c>
      <c r="O17" s="213">
        <f t="shared" si="7"/>
        <v>10.875570776255708</v>
      </c>
      <c r="P17" s="212">
        <f t="shared" si="5"/>
        <v>3214.92</v>
      </c>
      <c r="Q17" s="213">
        <f t="shared" si="6"/>
        <v>5.274799995023205</v>
      </c>
      <c r="R17" s="231">
        <f t="shared" si="3"/>
        <v>2119.92</v>
      </c>
      <c r="S17" s="213">
        <f t="shared" si="8"/>
        <v>1.7976150043397865</v>
      </c>
    </row>
    <row r="18" spans="1:19" x14ac:dyDescent="0.25">
      <c r="A18" s="221"/>
      <c r="B18" s="281">
        <f t="shared" si="4"/>
        <v>12</v>
      </c>
      <c r="C18" s="222">
        <f t="shared" si="9"/>
        <v>2034</v>
      </c>
      <c r="D18" s="224" t="s">
        <v>45</v>
      </c>
      <c r="E18" s="275">
        <v>95.27</v>
      </c>
      <c r="G18" s="227">
        <f t="shared" si="0"/>
        <v>95.27</v>
      </c>
      <c r="H18" s="226">
        <f t="shared" si="0"/>
        <v>16.95806</v>
      </c>
      <c r="I18" s="229">
        <f t="shared" si="0"/>
        <v>3.8108</v>
      </c>
      <c r="K18" s="209">
        <f t="shared" si="1"/>
        <v>2034</v>
      </c>
      <c r="L18" s="210">
        <v>8760</v>
      </c>
      <c r="M18" s="219"/>
      <c r="N18" s="212">
        <f t="shared" si="2"/>
        <v>8760</v>
      </c>
      <c r="O18" s="213">
        <f t="shared" si="7"/>
        <v>10.875570776255708</v>
      </c>
      <c r="P18" s="212">
        <f t="shared" si="5"/>
        <v>3214.92</v>
      </c>
      <c r="Q18" s="213">
        <f t="shared" si="6"/>
        <v>5.274799995023205</v>
      </c>
      <c r="R18" s="231">
        <f t="shared" si="3"/>
        <v>2119.92</v>
      </c>
      <c r="S18" s="213">
        <f t="shared" si="8"/>
        <v>1.7976150043397865</v>
      </c>
    </row>
    <row r="19" spans="1:19" x14ac:dyDescent="0.25">
      <c r="A19" s="221"/>
      <c r="B19" s="281">
        <f t="shared" si="4"/>
        <v>13</v>
      </c>
      <c r="C19" s="222">
        <f t="shared" si="9"/>
        <v>2035</v>
      </c>
      <c r="D19" s="224"/>
      <c r="E19" s="275">
        <v>95.27</v>
      </c>
      <c r="G19" s="227">
        <f t="shared" si="0"/>
        <v>95.27</v>
      </c>
      <c r="H19" s="226">
        <f t="shared" si="0"/>
        <v>16.95806</v>
      </c>
      <c r="I19" s="229">
        <f t="shared" si="0"/>
        <v>3.8108</v>
      </c>
      <c r="K19" s="209">
        <f t="shared" si="1"/>
        <v>2035</v>
      </c>
      <c r="L19" s="210">
        <v>8760</v>
      </c>
      <c r="M19" s="219"/>
      <c r="N19" s="212">
        <f t="shared" si="2"/>
        <v>8760</v>
      </c>
      <c r="O19" s="213">
        <f t="shared" si="7"/>
        <v>10.875570776255708</v>
      </c>
      <c r="P19" s="212">
        <f t="shared" si="5"/>
        <v>3214.92</v>
      </c>
      <c r="Q19" s="213">
        <f t="shared" si="6"/>
        <v>5.274799995023205</v>
      </c>
      <c r="R19" s="231">
        <f t="shared" si="3"/>
        <v>2119.92</v>
      </c>
      <c r="S19" s="213">
        <f t="shared" si="8"/>
        <v>1.7976150043397865</v>
      </c>
    </row>
    <row r="20" spans="1:19" x14ac:dyDescent="0.25">
      <c r="A20" s="221"/>
      <c r="B20" s="281">
        <f t="shared" si="4"/>
        <v>14</v>
      </c>
      <c r="C20" s="222">
        <f t="shared" si="9"/>
        <v>2036</v>
      </c>
      <c r="D20" s="224"/>
      <c r="E20" s="275">
        <v>95.27</v>
      </c>
      <c r="G20" s="227">
        <f t="shared" si="0"/>
        <v>95.27</v>
      </c>
      <c r="H20" s="226">
        <f t="shared" si="0"/>
        <v>16.95806</v>
      </c>
      <c r="I20" s="229">
        <f t="shared" si="0"/>
        <v>3.8108</v>
      </c>
      <c r="K20" s="209">
        <f t="shared" si="1"/>
        <v>2036</v>
      </c>
      <c r="L20" s="210">
        <v>8784</v>
      </c>
      <c r="M20" s="219"/>
      <c r="N20" s="212">
        <f t="shared" si="2"/>
        <v>8784</v>
      </c>
      <c r="O20" s="213">
        <f t="shared" si="7"/>
        <v>10.845856102003642</v>
      </c>
      <c r="P20" s="212">
        <f t="shared" si="5"/>
        <v>3223.7280000000001</v>
      </c>
      <c r="Q20" s="213">
        <f t="shared" si="6"/>
        <v>5.2603879731788785</v>
      </c>
      <c r="R20" s="231">
        <f t="shared" si="3"/>
        <v>2125.7280000000001</v>
      </c>
      <c r="S20" s="213">
        <f t="shared" si="8"/>
        <v>1.7927034879344865</v>
      </c>
    </row>
    <row r="21" spans="1:19" x14ac:dyDescent="0.25">
      <c r="A21" s="221"/>
      <c r="B21" s="281">
        <f t="shared" si="4"/>
        <v>15</v>
      </c>
      <c r="C21" s="222">
        <f t="shared" si="9"/>
        <v>2037</v>
      </c>
      <c r="D21" s="224"/>
      <c r="E21" s="275">
        <v>95.27</v>
      </c>
      <c r="G21" s="227">
        <f t="shared" si="0"/>
        <v>95.27</v>
      </c>
      <c r="H21" s="226">
        <f t="shared" si="0"/>
        <v>16.95806</v>
      </c>
      <c r="I21" s="229">
        <f t="shared" si="0"/>
        <v>3.8108</v>
      </c>
      <c r="K21" s="209">
        <f t="shared" si="1"/>
        <v>2037</v>
      </c>
      <c r="L21" s="210">
        <v>8760</v>
      </c>
      <c r="M21" s="219"/>
      <c r="N21" s="212">
        <f t="shared" si="2"/>
        <v>8760</v>
      </c>
      <c r="O21" s="213">
        <f t="shared" si="7"/>
        <v>10.875570776255708</v>
      </c>
      <c r="P21" s="212">
        <f t="shared" si="5"/>
        <v>3214.92</v>
      </c>
      <c r="Q21" s="213">
        <f t="shared" si="6"/>
        <v>5.274799995023205</v>
      </c>
      <c r="R21" s="231">
        <f t="shared" si="3"/>
        <v>2119.92</v>
      </c>
      <c r="S21" s="213">
        <f t="shared" si="8"/>
        <v>1.7976150043397865</v>
      </c>
    </row>
    <row r="22" spans="1:19" x14ac:dyDescent="0.25">
      <c r="A22" s="221"/>
      <c r="B22" s="281">
        <f t="shared" si="4"/>
        <v>16</v>
      </c>
      <c r="C22" s="222">
        <f t="shared" si="9"/>
        <v>2038</v>
      </c>
      <c r="D22" s="224"/>
      <c r="E22" s="275">
        <v>95.27</v>
      </c>
      <c r="G22" s="227">
        <f t="shared" si="0"/>
        <v>95.27</v>
      </c>
      <c r="H22" s="226">
        <f t="shared" si="0"/>
        <v>16.95806</v>
      </c>
      <c r="I22" s="229">
        <f t="shared" si="0"/>
        <v>3.8108</v>
      </c>
      <c r="K22" s="209">
        <f t="shared" si="1"/>
        <v>2038</v>
      </c>
      <c r="L22" s="210">
        <v>8760</v>
      </c>
      <c r="M22" s="219"/>
      <c r="N22" s="212">
        <f t="shared" si="2"/>
        <v>8760</v>
      </c>
      <c r="O22" s="213">
        <f t="shared" si="7"/>
        <v>10.875570776255708</v>
      </c>
      <c r="P22" s="212">
        <f t="shared" si="5"/>
        <v>3214.92</v>
      </c>
      <c r="Q22" s="213">
        <f t="shared" si="6"/>
        <v>5.274799995023205</v>
      </c>
      <c r="R22" s="231">
        <f t="shared" si="3"/>
        <v>2119.92</v>
      </c>
      <c r="S22" s="213">
        <f t="shared" si="8"/>
        <v>1.7976150043397865</v>
      </c>
    </row>
    <row r="23" spans="1:19" x14ac:dyDescent="0.25">
      <c r="A23" s="221"/>
      <c r="B23" s="281">
        <f t="shared" si="4"/>
        <v>17</v>
      </c>
      <c r="C23" s="222">
        <f t="shared" si="9"/>
        <v>2039</v>
      </c>
      <c r="D23" s="224"/>
      <c r="E23" s="275">
        <v>95.27</v>
      </c>
      <c r="G23" s="227">
        <f t="shared" si="0"/>
        <v>95.27</v>
      </c>
      <c r="H23" s="226">
        <f t="shared" si="0"/>
        <v>16.95806</v>
      </c>
      <c r="I23" s="229">
        <f t="shared" si="0"/>
        <v>3.8108</v>
      </c>
      <c r="K23" s="209">
        <f t="shared" si="1"/>
        <v>2039</v>
      </c>
      <c r="L23" s="210">
        <v>8760</v>
      </c>
      <c r="M23" s="219"/>
      <c r="N23" s="212">
        <f t="shared" si="2"/>
        <v>8760</v>
      </c>
      <c r="O23" s="213">
        <f t="shared" si="7"/>
        <v>10.875570776255708</v>
      </c>
      <c r="P23" s="212">
        <f t="shared" si="5"/>
        <v>3214.92</v>
      </c>
      <c r="Q23" s="213">
        <f t="shared" si="6"/>
        <v>5.274799995023205</v>
      </c>
      <c r="R23" s="231">
        <f t="shared" si="3"/>
        <v>2119.92</v>
      </c>
      <c r="S23" s="213">
        <f t="shared" si="8"/>
        <v>1.7976150043397865</v>
      </c>
    </row>
    <row r="24" spans="1:19" x14ac:dyDescent="0.25">
      <c r="A24" s="221"/>
      <c r="B24" s="281">
        <f t="shared" si="4"/>
        <v>18</v>
      </c>
      <c r="C24" s="222">
        <f t="shared" si="9"/>
        <v>2040</v>
      </c>
      <c r="D24" s="224" t="s">
        <v>45</v>
      </c>
      <c r="E24" s="276">
        <v>95.27</v>
      </c>
      <c r="G24" s="227">
        <f t="shared" si="0"/>
        <v>95.27</v>
      </c>
      <c r="H24" s="226">
        <f t="shared" si="0"/>
        <v>16.95806</v>
      </c>
      <c r="I24" s="229">
        <f t="shared" si="0"/>
        <v>3.8108</v>
      </c>
      <c r="K24" s="209">
        <f t="shared" si="1"/>
        <v>2040</v>
      </c>
      <c r="L24" s="210">
        <v>8784</v>
      </c>
      <c r="M24" s="219"/>
      <c r="N24" s="212">
        <f t="shared" si="2"/>
        <v>8784</v>
      </c>
      <c r="O24" s="213">
        <f t="shared" si="7"/>
        <v>10.845856102003642</v>
      </c>
      <c r="P24" s="212">
        <f t="shared" si="5"/>
        <v>3223.7280000000001</v>
      </c>
      <c r="Q24" s="213">
        <f t="shared" si="6"/>
        <v>5.2603879731788785</v>
      </c>
      <c r="R24" s="231">
        <f t="shared" si="3"/>
        <v>2125.7280000000001</v>
      </c>
      <c r="S24" s="213">
        <f t="shared" si="8"/>
        <v>1.7927034879344865</v>
      </c>
    </row>
    <row r="25" spans="1:19" x14ac:dyDescent="0.25">
      <c r="A25" s="221"/>
      <c r="B25" s="281">
        <f t="shared" si="4"/>
        <v>19</v>
      </c>
      <c r="C25" s="222">
        <f t="shared" si="9"/>
        <v>2041</v>
      </c>
      <c r="D25" s="224"/>
      <c r="E25" s="276">
        <v>95.27</v>
      </c>
      <c r="G25" s="227">
        <f t="shared" si="0"/>
        <v>95.27</v>
      </c>
      <c r="H25" s="226">
        <f t="shared" si="0"/>
        <v>16.95806</v>
      </c>
      <c r="I25" s="229">
        <f t="shared" si="0"/>
        <v>3.8108</v>
      </c>
      <c r="K25" s="209">
        <f t="shared" si="1"/>
        <v>2041</v>
      </c>
      <c r="L25" s="210">
        <v>8760</v>
      </c>
      <c r="M25" s="219"/>
      <c r="N25" s="212">
        <f t="shared" si="2"/>
        <v>8760</v>
      </c>
      <c r="O25" s="213">
        <f t="shared" si="7"/>
        <v>10.875570776255708</v>
      </c>
      <c r="P25" s="212">
        <f t="shared" si="5"/>
        <v>3214.92</v>
      </c>
      <c r="Q25" s="213">
        <f t="shared" si="6"/>
        <v>5.274799995023205</v>
      </c>
      <c r="R25" s="231">
        <f t="shared" si="3"/>
        <v>2119.92</v>
      </c>
      <c r="S25" s="213">
        <f t="shared" si="8"/>
        <v>1.7976150043397865</v>
      </c>
    </row>
    <row r="26" spans="1:19" x14ac:dyDescent="0.25">
      <c r="A26" s="221"/>
      <c r="B26" s="281">
        <f t="shared" si="4"/>
        <v>20</v>
      </c>
      <c r="C26" s="222">
        <f t="shared" si="9"/>
        <v>2042</v>
      </c>
      <c r="D26" s="224"/>
      <c r="E26" s="276">
        <v>95.27</v>
      </c>
      <c r="G26" s="227">
        <f t="shared" si="0"/>
        <v>95.27</v>
      </c>
      <c r="H26" s="226">
        <f t="shared" si="0"/>
        <v>16.95806</v>
      </c>
      <c r="I26" s="229">
        <f t="shared" si="0"/>
        <v>3.8108</v>
      </c>
      <c r="K26" s="209">
        <f t="shared" si="1"/>
        <v>2042</v>
      </c>
      <c r="L26" s="210">
        <v>8760</v>
      </c>
      <c r="M26" s="219"/>
      <c r="N26" s="212">
        <f t="shared" si="2"/>
        <v>8760</v>
      </c>
      <c r="O26" s="213">
        <f t="shared" si="7"/>
        <v>10.875570776255708</v>
      </c>
      <c r="P26" s="212">
        <f t="shared" si="5"/>
        <v>3214.92</v>
      </c>
      <c r="Q26" s="213">
        <f t="shared" si="6"/>
        <v>5.274799995023205</v>
      </c>
      <c r="R26" s="231">
        <f t="shared" si="3"/>
        <v>2119.92</v>
      </c>
      <c r="S26" s="213">
        <f t="shared" si="8"/>
        <v>1.7976150043397865</v>
      </c>
    </row>
    <row r="27" spans="1:19" x14ac:dyDescent="0.25">
      <c r="A27" s="221"/>
      <c r="B27" s="281">
        <f t="shared" si="4"/>
        <v>21</v>
      </c>
      <c r="C27" s="222">
        <f t="shared" si="9"/>
        <v>2043</v>
      </c>
      <c r="D27" s="224"/>
      <c r="E27" s="276">
        <v>95.27</v>
      </c>
      <c r="G27" s="227">
        <f t="shared" si="0"/>
        <v>95.27</v>
      </c>
      <c r="H27" s="226">
        <f t="shared" si="0"/>
        <v>16.95806</v>
      </c>
      <c r="I27" s="229">
        <f t="shared" si="0"/>
        <v>3.8108</v>
      </c>
      <c r="K27" s="209">
        <f t="shared" si="1"/>
        <v>2043</v>
      </c>
      <c r="L27" s="210">
        <v>8760</v>
      </c>
      <c r="M27" s="219"/>
      <c r="N27" s="212">
        <f t="shared" si="2"/>
        <v>8760</v>
      </c>
      <c r="O27" s="213">
        <f t="shared" si="7"/>
        <v>10.875570776255708</v>
      </c>
      <c r="P27" s="212">
        <f t="shared" si="5"/>
        <v>3214.92</v>
      </c>
      <c r="Q27" s="213">
        <f t="shared" si="6"/>
        <v>5.274799995023205</v>
      </c>
      <c r="R27" s="231">
        <f t="shared" si="3"/>
        <v>2119.92</v>
      </c>
      <c r="S27" s="213">
        <f t="shared" si="8"/>
        <v>1.7976150043397865</v>
      </c>
    </row>
    <row r="28" spans="1:19" ht="13.8" thickBot="1" x14ac:dyDescent="0.3">
      <c r="A28" s="221"/>
      <c r="B28" s="282">
        <f t="shared" si="4"/>
        <v>22</v>
      </c>
      <c r="C28" s="250">
        <f t="shared" si="9"/>
        <v>2044</v>
      </c>
      <c r="D28" s="277"/>
      <c r="E28" s="278">
        <v>95.27</v>
      </c>
      <c r="G28" s="251">
        <f>G27</f>
        <v>95.27</v>
      </c>
      <c r="H28" s="252">
        <f>H27</f>
        <v>16.95806</v>
      </c>
      <c r="I28" s="253">
        <f>I27</f>
        <v>3.8108</v>
      </c>
      <c r="J28" s="220"/>
      <c r="K28" s="207">
        <f t="shared" si="1"/>
        <v>2044</v>
      </c>
      <c r="L28" s="211">
        <v>8784</v>
      </c>
      <c r="M28" s="220"/>
      <c r="N28" s="214">
        <f t="shared" si="2"/>
        <v>8784</v>
      </c>
      <c r="O28" s="215">
        <f t="shared" si="7"/>
        <v>10.845856102003642</v>
      </c>
      <c r="P28" s="214">
        <f t="shared" si="5"/>
        <v>3223.7280000000001</v>
      </c>
      <c r="Q28" s="215">
        <f t="shared" si="6"/>
        <v>5.2603879731788785</v>
      </c>
      <c r="R28" s="232">
        <f t="shared" si="3"/>
        <v>2125.7280000000001</v>
      </c>
      <c r="S28" s="215">
        <f t="shared" si="8"/>
        <v>1.7927034879344865</v>
      </c>
    </row>
    <row r="29" spans="1:19" x14ac:dyDescent="0.25">
      <c r="B29" s="221"/>
      <c r="C29" s="221"/>
      <c r="D29" s="221"/>
      <c r="E29" s="221"/>
      <c r="G29" s="221"/>
      <c r="H29" s="221"/>
      <c r="I29" s="221"/>
    </row>
    <row r="30" spans="1:19" x14ac:dyDescent="0.25">
      <c r="B30" s="314" t="s">
        <v>122</v>
      </c>
      <c r="F30" s="218"/>
      <c r="J30" s="218"/>
      <c r="M30" s="218"/>
    </row>
    <row r="31" spans="1:19" x14ac:dyDescent="0.25">
      <c r="B31" s="312"/>
      <c r="F31" s="218"/>
      <c r="J31" s="218"/>
      <c r="M31" s="218"/>
    </row>
    <row r="32" spans="1:19" x14ac:dyDescent="0.25">
      <c r="C32" s="312" t="s">
        <v>123</v>
      </c>
      <c r="D32" s="223"/>
    </row>
    <row r="33" spans="3:19" x14ac:dyDescent="0.25">
      <c r="C33" s="312"/>
      <c r="D33" s="223"/>
    </row>
    <row r="34" spans="3:19" x14ac:dyDescent="0.25">
      <c r="C34" s="312" t="s">
        <v>124</v>
      </c>
      <c r="D34" s="223"/>
    </row>
    <row r="35" spans="3:19" x14ac:dyDescent="0.25">
      <c r="D35" s="313" t="s">
        <v>126</v>
      </c>
    </row>
    <row r="36" spans="3:19" x14ac:dyDescent="0.25">
      <c r="D36" s="223"/>
    </row>
    <row r="37" spans="3:19" x14ac:dyDescent="0.25">
      <c r="C37" s="353" t="s">
        <v>96</v>
      </c>
      <c r="D37" s="353"/>
      <c r="E37" s="353"/>
      <c r="F37" s="353"/>
      <c r="G37" s="353"/>
      <c r="H37" s="353"/>
      <c r="I37" s="353"/>
      <c r="J37" s="353"/>
      <c r="K37" s="353"/>
      <c r="L37" s="353"/>
      <c r="M37" s="353"/>
      <c r="N37" s="353"/>
      <c r="O37" s="353"/>
      <c r="P37" s="353"/>
      <c r="Q37" s="353"/>
      <c r="R37" s="353"/>
      <c r="S37" s="353"/>
    </row>
    <row r="38" spans="3:19" x14ac:dyDescent="0.25">
      <c r="D38" s="223"/>
    </row>
    <row r="39" spans="3:19" x14ac:dyDescent="0.25">
      <c r="C39" s="354" t="s">
        <v>125</v>
      </c>
      <c r="D39" s="354"/>
      <c r="E39" s="354"/>
      <c r="F39" s="354"/>
      <c r="G39" s="354"/>
      <c r="H39" s="354"/>
      <c r="I39" s="354"/>
      <c r="J39" s="354"/>
      <c r="K39" s="354"/>
      <c r="L39" s="354"/>
      <c r="M39" s="354"/>
      <c r="N39" s="354"/>
      <c r="O39" s="354"/>
      <c r="P39" s="354"/>
      <c r="Q39" s="354"/>
    </row>
    <row r="40" spans="3:19" x14ac:dyDescent="0.25">
      <c r="C40" s="354"/>
      <c r="D40" s="354"/>
      <c r="E40" s="354"/>
      <c r="F40" s="354"/>
      <c r="G40" s="354"/>
      <c r="H40" s="354"/>
      <c r="I40" s="354"/>
      <c r="J40" s="354"/>
      <c r="K40" s="354"/>
      <c r="L40" s="354"/>
      <c r="M40" s="354"/>
      <c r="N40" s="354"/>
      <c r="O40" s="354"/>
      <c r="P40" s="354"/>
      <c r="Q40" s="354"/>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G14" sqref="G14"/>
    </sheetView>
  </sheetViews>
  <sheetFormatPr defaultColWidth="9.109375" defaultRowHeight="14.4" x14ac:dyDescent="0.3"/>
  <cols>
    <col min="1" max="1" width="2.6640625" style="72" customWidth="1"/>
    <col min="2" max="2" width="41.33203125" style="72" bestFit="1" customWidth="1"/>
    <col min="3" max="3" width="32.88671875" style="72" bestFit="1" customWidth="1"/>
    <col min="4" max="4" width="11.5546875" style="72" bestFit="1" customWidth="1"/>
    <col min="5" max="5" width="7.5546875" style="72" bestFit="1" customWidth="1"/>
    <col min="6" max="6" width="19.88671875" style="72" bestFit="1" customWidth="1"/>
    <col min="7" max="16384" width="9.109375" style="72"/>
  </cols>
  <sheetData>
    <row r="1" spans="2:6" ht="15" thickBot="1" x14ac:dyDescent="0.35"/>
    <row r="2" spans="2:6" x14ac:dyDescent="0.3">
      <c r="B2" s="73"/>
      <c r="C2" s="74"/>
      <c r="D2" s="74"/>
      <c r="E2" s="74"/>
      <c r="F2" s="75" t="s">
        <v>110</v>
      </c>
    </row>
    <row r="3" spans="2:6" x14ac:dyDescent="0.3">
      <c r="B3" s="76"/>
      <c r="C3" s="77"/>
      <c r="D3" s="77"/>
      <c r="E3" s="77"/>
      <c r="F3" s="78"/>
    </row>
    <row r="4" spans="2:6" x14ac:dyDescent="0.3">
      <c r="B4" s="363" t="s">
        <v>61</v>
      </c>
      <c r="C4" s="364"/>
      <c r="D4" s="364"/>
      <c r="E4" s="364"/>
      <c r="F4" s="366"/>
    </row>
    <row r="5" spans="2:6" x14ac:dyDescent="0.3">
      <c r="B5" s="363" t="s">
        <v>111</v>
      </c>
      <c r="C5" s="364"/>
      <c r="D5" s="364"/>
      <c r="E5" s="364"/>
      <c r="F5" s="366"/>
    </row>
    <row r="6" spans="2:6" x14ac:dyDescent="0.3">
      <c r="B6" s="363" t="s">
        <v>112</v>
      </c>
      <c r="C6" s="364"/>
      <c r="D6" s="364"/>
      <c r="E6" s="364"/>
      <c r="F6" s="365"/>
    </row>
    <row r="7" spans="2:6" x14ac:dyDescent="0.3">
      <c r="B7" s="363"/>
      <c r="C7" s="364"/>
      <c r="D7" s="364"/>
      <c r="E7" s="364"/>
      <c r="F7" s="365"/>
    </row>
    <row r="8" spans="2:6" x14ac:dyDescent="0.3">
      <c r="B8" s="80"/>
      <c r="C8" s="77"/>
      <c r="D8" s="77"/>
      <c r="E8" s="77"/>
      <c r="F8" s="81"/>
    </row>
    <row r="9" spans="2:6" x14ac:dyDescent="0.3">
      <c r="B9" s="80"/>
      <c r="C9" s="77"/>
      <c r="D9" s="77"/>
      <c r="E9" s="77"/>
      <c r="F9" s="81"/>
    </row>
    <row r="10" spans="2:6" x14ac:dyDescent="0.3">
      <c r="B10" s="79"/>
      <c r="C10" s="77"/>
      <c r="D10" s="77"/>
      <c r="E10" s="77"/>
      <c r="F10" s="82"/>
    </row>
    <row r="11" spans="2:6" x14ac:dyDescent="0.3">
      <c r="B11" s="80" t="s">
        <v>62</v>
      </c>
      <c r="C11" s="77"/>
      <c r="D11" s="83" t="s">
        <v>63</v>
      </c>
      <c r="E11" s="77"/>
      <c r="F11" s="84" t="s">
        <v>64</v>
      </c>
    </row>
    <row r="12" spans="2:6" ht="15" thickBot="1" x14ac:dyDescent="0.35">
      <c r="B12" s="85" t="s">
        <v>65</v>
      </c>
      <c r="C12" s="86" t="s">
        <v>66</v>
      </c>
      <c r="D12" s="87" t="s">
        <v>67</v>
      </c>
      <c r="E12" s="87" t="s">
        <v>68</v>
      </c>
      <c r="F12" s="88" t="s">
        <v>69</v>
      </c>
    </row>
    <row r="13" spans="2:6" x14ac:dyDescent="0.3">
      <c r="B13" s="79"/>
      <c r="C13" s="77"/>
      <c r="D13" s="77"/>
      <c r="E13" s="77"/>
      <c r="F13" s="82"/>
    </row>
    <row r="14" spans="2:6" x14ac:dyDescent="0.3">
      <c r="B14" s="89">
        <v>1</v>
      </c>
      <c r="C14" s="90" t="s">
        <v>70</v>
      </c>
      <c r="D14" s="91">
        <v>0.51500000000000001</v>
      </c>
      <c r="E14" s="91">
        <v>5.5E-2</v>
      </c>
      <c r="F14" s="92">
        <f>ROUND(D14*E14,4)</f>
        <v>2.8299999999999999E-2</v>
      </c>
    </row>
    <row r="15" spans="2:6" ht="15" thickBot="1" x14ac:dyDescent="0.35">
      <c r="B15" s="89">
        <v>2</v>
      </c>
      <c r="C15" s="90" t="s">
        <v>71</v>
      </c>
      <c r="D15" s="91">
        <v>0.48499999999999999</v>
      </c>
      <c r="E15" s="93">
        <v>9.4E-2</v>
      </c>
      <c r="F15" s="92">
        <f>ROUND(D15*E15,4)</f>
        <v>4.5600000000000002E-2</v>
      </c>
    </row>
    <row r="16" spans="2:6" x14ac:dyDescent="0.3">
      <c r="B16" s="89">
        <v>3</v>
      </c>
      <c r="C16" s="90" t="s">
        <v>72</v>
      </c>
      <c r="D16" s="94">
        <v>1</v>
      </c>
      <c r="E16" s="95"/>
      <c r="F16" s="105">
        <f>SUM(F14:F15)</f>
        <v>7.3899999999999993E-2</v>
      </c>
    </row>
    <row r="17" spans="2:7" x14ac:dyDescent="0.3">
      <c r="B17" s="89">
        <v>4</v>
      </c>
      <c r="C17" s="77"/>
      <c r="D17" s="77"/>
      <c r="E17" s="77"/>
      <c r="F17" s="82"/>
    </row>
    <row r="18" spans="2:7" x14ac:dyDescent="0.3">
      <c r="B18" s="89">
        <v>5</v>
      </c>
      <c r="C18" s="90" t="s">
        <v>73</v>
      </c>
      <c r="D18" s="96">
        <v>0.51500000000000001</v>
      </c>
      <c r="E18" s="96">
        <f>E14</f>
        <v>5.5E-2</v>
      </c>
      <c r="F18" s="97">
        <f>ROUND(D18*E18*0.79,4)</f>
        <v>2.24E-2</v>
      </c>
      <c r="G18" s="98"/>
    </row>
    <row r="19" spans="2:7" ht="15" thickBot="1" x14ac:dyDescent="0.35">
      <c r="B19" s="89">
        <v>6</v>
      </c>
      <c r="C19" s="90" t="s">
        <v>71</v>
      </c>
      <c r="D19" s="96">
        <v>0.48499999999999999</v>
      </c>
      <c r="E19" s="99">
        <f>E15</f>
        <v>9.4E-2</v>
      </c>
      <c r="F19" s="97">
        <f>ROUND(D19*E19,4)</f>
        <v>4.5600000000000002E-2</v>
      </c>
    </row>
    <row r="20" spans="2:7" x14ac:dyDescent="0.3">
      <c r="B20" s="89">
        <v>7</v>
      </c>
      <c r="C20" s="90" t="s">
        <v>74</v>
      </c>
      <c r="D20" s="100">
        <v>1</v>
      </c>
      <c r="E20" s="77"/>
      <c r="F20" s="101">
        <f>SUM(F18:F19)</f>
        <v>6.8000000000000005E-2</v>
      </c>
    </row>
    <row r="21" spans="2:7" ht="15" thickBot="1" x14ac:dyDescent="0.35">
      <c r="B21" s="102"/>
      <c r="C21" s="103"/>
      <c r="D21" s="103"/>
      <c r="E21" s="103"/>
      <c r="F21" s="104"/>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topLeftCell="A61" workbookViewId="0">
      <selection activeCell="E28" sqref="E28"/>
    </sheetView>
  </sheetViews>
  <sheetFormatPr defaultColWidth="9.109375" defaultRowHeight="15" x14ac:dyDescent="0.25"/>
  <cols>
    <col min="1" max="1" width="30.5546875" style="53" bestFit="1" customWidth="1"/>
    <col min="2" max="2" width="11.6640625" style="53" customWidth="1"/>
    <col min="3" max="3" width="9.109375" style="53"/>
    <col min="4" max="4" width="11.5546875" style="53" bestFit="1" customWidth="1"/>
    <col min="5" max="5" width="11.6640625" style="53" customWidth="1"/>
    <col min="6" max="16384" width="9.109375" style="53"/>
  </cols>
  <sheetData>
    <row r="1" spans="1:5" ht="15.6" x14ac:dyDescent="0.3">
      <c r="A1" s="5" t="s">
        <v>164</v>
      </c>
    </row>
    <row r="3" spans="1:5" ht="15.6" x14ac:dyDescent="0.3">
      <c r="A3" s="5" t="s">
        <v>127</v>
      </c>
    </row>
    <row r="5" spans="1:5" ht="31.2" x14ac:dyDescent="0.3">
      <c r="B5" s="3" t="s">
        <v>141</v>
      </c>
      <c r="E5" s="3" t="s">
        <v>142</v>
      </c>
    </row>
    <row r="7" spans="1:5" x14ac:dyDescent="0.25">
      <c r="A7" s="53">
        <v>2023</v>
      </c>
      <c r="B7" s="126">
        <f>'Energy Prices'!P6</f>
        <v>37.003749653633584</v>
      </c>
      <c r="D7" s="53">
        <v>2021</v>
      </c>
      <c r="E7" s="126">
        <v>22.85</v>
      </c>
    </row>
    <row r="8" spans="1:5" x14ac:dyDescent="0.25">
      <c r="A8" s="53">
        <f>A7+1</f>
        <v>2024</v>
      </c>
      <c r="B8" s="126">
        <f>'Energy Prices'!P7</f>
        <v>34.596454546131412</v>
      </c>
      <c r="D8" s="53">
        <v>2022</v>
      </c>
      <c r="E8" s="126">
        <v>21.19</v>
      </c>
    </row>
    <row r="9" spans="1:5" x14ac:dyDescent="0.25">
      <c r="A9" s="53">
        <f t="shared" ref="A9:A27" si="0">A8+1</f>
        <v>2025</v>
      </c>
      <c r="B9" s="126">
        <f>'Energy Prices'!P8</f>
        <v>35.070436061334384</v>
      </c>
      <c r="D9" s="53">
        <v>2023</v>
      </c>
      <c r="E9" s="126">
        <v>20.53</v>
      </c>
    </row>
    <row r="10" spans="1:5" x14ac:dyDescent="0.25">
      <c r="A10" s="53">
        <f t="shared" si="0"/>
        <v>2026</v>
      </c>
      <c r="B10" s="126">
        <f>'Energy Prices'!P9</f>
        <v>37.540151969641975</v>
      </c>
      <c r="D10" s="53">
        <v>2024</v>
      </c>
      <c r="E10" s="126">
        <v>19.79</v>
      </c>
    </row>
    <row r="11" spans="1:5" x14ac:dyDescent="0.25">
      <c r="A11" s="53">
        <f t="shared" si="0"/>
        <v>2027</v>
      </c>
      <c r="B11" s="126">
        <f>'Energy Prices'!P10</f>
        <v>42.001204945392658</v>
      </c>
      <c r="D11" s="53">
        <v>2025</v>
      </c>
      <c r="E11" s="126">
        <v>19.75</v>
      </c>
    </row>
    <row r="12" spans="1:5" x14ac:dyDescent="0.25">
      <c r="A12" s="53">
        <f t="shared" si="0"/>
        <v>2028</v>
      </c>
      <c r="B12" s="126">
        <f>'Energy Prices'!P11</f>
        <v>43.420310196516546</v>
      </c>
      <c r="D12" s="53">
        <v>2026</v>
      </c>
      <c r="E12" s="126">
        <v>19.97</v>
      </c>
    </row>
    <row r="13" spans="1:5" x14ac:dyDescent="0.25">
      <c r="A13" s="53">
        <f t="shared" si="0"/>
        <v>2029</v>
      </c>
      <c r="B13" s="126">
        <f>'Energy Prices'!P12</f>
        <v>43.621537398628909</v>
      </c>
      <c r="D13" s="53">
        <v>2027</v>
      </c>
      <c r="E13" s="126">
        <v>23.19</v>
      </c>
    </row>
    <row r="14" spans="1:5" x14ac:dyDescent="0.25">
      <c r="A14" s="53">
        <f t="shared" si="0"/>
        <v>2030</v>
      </c>
      <c r="B14" s="126">
        <f>'Energy Prices'!P13</f>
        <v>43.106352287817842</v>
      </c>
      <c r="D14" s="53">
        <v>2028</v>
      </c>
      <c r="E14" s="126">
        <v>24.42</v>
      </c>
    </row>
    <row r="15" spans="1:5" x14ac:dyDescent="0.25">
      <c r="A15" s="53">
        <f t="shared" si="0"/>
        <v>2031</v>
      </c>
      <c r="B15" s="126">
        <f>'Energy Prices'!P14</f>
        <v>43.347656803115463</v>
      </c>
      <c r="D15" s="53">
        <v>2029</v>
      </c>
      <c r="E15" s="126">
        <v>25.44</v>
      </c>
    </row>
    <row r="16" spans="1:5" x14ac:dyDescent="0.25">
      <c r="A16" s="53">
        <f t="shared" si="0"/>
        <v>2032</v>
      </c>
      <c r="B16" s="126">
        <f>'Energy Prices'!P15</f>
        <v>44.050031525100842</v>
      </c>
      <c r="D16" s="53">
        <v>2030</v>
      </c>
      <c r="E16" s="126">
        <v>25.05</v>
      </c>
    </row>
    <row r="17" spans="1:5" x14ac:dyDescent="0.25">
      <c r="A17" s="53">
        <f t="shared" si="0"/>
        <v>2033</v>
      </c>
      <c r="B17" s="126">
        <f>'Energy Prices'!P16</f>
        <v>46.076699024393896</v>
      </c>
      <c r="D17" s="53">
        <v>2031</v>
      </c>
      <c r="E17" s="126">
        <v>24.78</v>
      </c>
    </row>
    <row r="18" spans="1:5" x14ac:dyDescent="0.25">
      <c r="A18" s="53">
        <f t="shared" si="0"/>
        <v>2034</v>
      </c>
      <c r="B18" s="126">
        <f>'Energy Prices'!P17</f>
        <v>46.842809324336052</v>
      </c>
      <c r="D18" s="53">
        <v>2032</v>
      </c>
      <c r="E18" s="126">
        <v>25.38</v>
      </c>
    </row>
    <row r="19" spans="1:5" x14ac:dyDescent="0.25">
      <c r="A19" s="53">
        <f t="shared" si="0"/>
        <v>2035</v>
      </c>
      <c r="B19" s="126">
        <f>'Energy Prices'!P18</f>
        <v>49.568788266486955</v>
      </c>
      <c r="D19" s="53">
        <v>2033</v>
      </c>
      <c r="E19" s="126">
        <v>26.69</v>
      </c>
    </row>
    <row r="20" spans="1:5" x14ac:dyDescent="0.25">
      <c r="A20" s="53">
        <f t="shared" si="0"/>
        <v>2036</v>
      </c>
      <c r="B20" s="126">
        <f>'Energy Prices'!P19</f>
        <v>50.045797038450637</v>
      </c>
      <c r="D20" s="53">
        <v>2034</v>
      </c>
      <c r="E20" s="126">
        <v>27.4</v>
      </c>
    </row>
    <row r="21" spans="1:5" x14ac:dyDescent="0.25">
      <c r="A21" s="53">
        <f t="shared" si="0"/>
        <v>2037</v>
      </c>
      <c r="B21" s="126">
        <f>'Energy Prices'!P20</f>
        <v>51.45092858290873</v>
      </c>
      <c r="D21" s="53">
        <v>2035</v>
      </c>
      <c r="E21" s="126">
        <v>28.25</v>
      </c>
    </row>
    <row r="22" spans="1:5" x14ac:dyDescent="0.25">
      <c r="A22" s="53">
        <f t="shared" si="0"/>
        <v>2038</v>
      </c>
      <c r="B22" s="126">
        <f>'Energy Prices'!P21</f>
        <v>51.929505413253892</v>
      </c>
      <c r="D22" s="53">
        <v>2036</v>
      </c>
      <c r="E22" s="126">
        <v>29.71</v>
      </c>
    </row>
    <row r="23" spans="1:5" x14ac:dyDescent="0.25">
      <c r="A23" s="53">
        <f t="shared" si="0"/>
        <v>2039</v>
      </c>
      <c r="B23" s="126">
        <f>'Energy Prices'!P22</f>
        <v>53.736573937015542</v>
      </c>
      <c r="D23" s="53">
        <v>2037</v>
      </c>
      <c r="E23" s="126">
        <v>29.43</v>
      </c>
    </row>
    <row r="24" spans="1:5" x14ac:dyDescent="0.25">
      <c r="A24" s="53">
        <f t="shared" si="0"/>
        <v>2040</v>
      </c>
      <c r="B24" s="126">
        <f>'Energy Prices'!P23</f>
        <v>54.445913760881787</v>
      </c>
      <c r="D24" s="53">
        <v>2038</v>
      </c>
      <c r="E24" s="126">
        <v>29.33</v>
      </c>
    </row>
    <row r="25" spans="1:5" x14ac:dyDescent="0.25">
      <c r="A25" s="53">
        <f t="shared" si="0"/>
        <v>2041</v>
      </c>
      <c r="B25" s="126">
        <f>'Energy Prices'!P24</f>
        <v>57.113433817802267</v>
      </c>
      <c r="D25" s="53">
        <v>2039</v>
      </c>
      <c r="E25" s="126">
        <v>29.12</v>
      </c>
    </row>
    <row r="26" spans="1:5" x14ac:dyDescent="0.25">
      <c r="A26" s="53">
        <f t="shared" si="0"/>
        <v>2042</v>
      </c>
      <c r="B26" s="126">
        <f>'Energy Prices'!P25</f>
        <v>59.272512208452937</v>
      </c>
      <c r="D26" s="53">
        <v>2040</v>
      </c>
      <c r="E26" s="126">
        <v>29.38</v>
      </c>
    </row>
    <row r="27" spans="1:5" ht="15.6" thickBot="1" x14ac:dyDescent="0.3">
      <c r="A27" s="53">
        <f t="shared" si="0"/>
        <v>2043</v>
      </c>
      <c r="B27" s="126">
        <f>'Energy Prices'!P26</f>
        <v>61.160414269182276</v>
      </c>
      <c r="D27" s="53">
        <v>2041</v>
      </c>
      <c r="E27" s="126">
        <v>30.39487115211346</v>
      </c>
    </row>
    <row r="28" spans="1:5" ht="16.2" thickBot="1" x14ac:dyDescent="0.35">
      <c r="A28" s="5" t="s">
        <v>128</v>
      </c>
      <c r="B28" s="319">
        <f>-PMT(Rate_of_Return,20,NPV(Rate_of_Return,B7:B26))</f>
        <v>43.50960268263379</v>
      </c>
      <c r="E28" s="319">
        <f>-PMT(Rate_of_Return,20,NPV(Rate_of_Return,E7:E26))</f>
        <v>23.824071369256131</v>
      </c>
    </row>
    <row r="31" spans="1:5" ht="15.6" x14ac:dyDescent="0.3">
      <c r="A31" s="5" t="s">
        <v>129</v>
      </c>
    </row>
    <row r="32" spans="1:5" x14ac:dyDescent="0.25">
      <c r="A32" s="53" t="s">
        <v>130</v>
      </c>
      <c r="B32" s="123">
        <f>'Capacity Delivered'!G5</f>
        <v>1</v>
      </c>
      <c r="E32" s="123">
        <v>1</v>
      </c>
    </row>
    <row r="33" spans="1:5" x14ac:dyDescent="0.25">
      <c r="A33" s="53" t="s">
        <v>46</v>
      </c>
      <c r="B33" s="320">
        <f>'Capacity Delivered'!H5</f>
        <v>0.17799999999999999</v>
      </c>
      <c r="E33" s="320">
        <v>0.17799999999999999</v>
      </c>
    </row>
    <row r="34" spans="1:5" x14ac:dyDescent="0.25">
      <c r="A34" s="53" t="s">
        <v>47</v>
      </c>
      <c r="B34" s="321">
        <f>'Capacity Delivered'!I5</f>
        <v>0.04</v>
      </c>
      <c r="E34" s="321">
        <v>0.04</v>
      </c>
    </row>
    <row r="35" spans="1:5" x14ac:dyDescent="0.25">
      <c r="B35" s="321"/>
      <c r="E35" s="321"/>
    </row>
    <row r="36" spans="1:5" ht="15.6" x14ac:dyDescent="0.3">
      <c r="A36" s="5" t="s">
        <v>131</v>
      </c>
    </row>
    <row r="37" spans="1:5" x14ac:dyDescent="0.25">
      <c r="A37" s="53" t="s">
        <v>46</v>
      </c>
      <c r="B37" s="320">
        <f>'Capacity Delivered'!P5</f>
        <v>0.36699999999999999</v>
      </c>
      <c r="E37" s="320">
        <v>0.36699999999999999</v>
      </c>
    </row>
    <row r="38" spans="1:5" x14ac:dyDescent="0.25">
      <c r="A38" s="53" t="s">
        <v>47</v>
      </c>
      <c r="B38" s="321">
        <f>'Capacity Delivered'!R5</f>
        <v>0.24199999999999999</v>
      </c>
      <c r="E38" s="321">
        <v>0.24199999999999999</v>
      </c>
    </row>
    <row r="39" spans="1:5" x14ac:dyDescent="0.25">
      <c r="B39" s="321"/>
      <c r="E39" s="321"/>
    </row>
    <row r="40" spans="1:5" ht="15.6" x14ac:dyDescent="0.3">
      <c r="A40" s="5" t="s">
        <v>132</v>
      </c>
    </row>
    <row r="41" spans="1:5" x14ac:dyDescent="0.25">
      <c r="A41" s="53">
        <v>2021</v>
      </c>
      <c r="B41" s="109">
        <f>'Capacity Delivered'!E7</f>
        <v>95.27</v>
      </c>
      <c r="D41" s="53">
        <v>2020</v>
      </c>
      <c r="E41" s="109">
        <v>95.27</v>
      </c>
    </row>
    <row r="42" spans="1:5" x14ac:dyDescent="0.25">
      <c r="A42" s="53">
        <v>2022</v>
      </c>
      <c r="B42" s="109">
        <f>'Capacity Delivered'!E8</f>
        <v>95.27</v>
      </c>
      <c r="D42" s="53">
        <v>2021</v>
      </c>
      <c r="E42" s="109">
        <v>95.27</v>
      </c>
    </row>
    <row r="43" spans="1:5" x14ac:dyDescent="0.25">
      <c r="A43" s="53">
        <v>2023</v>
      </c>
      <c r="B43" s="109">
        <f>'Capacity Delivered'!E9</f>
        <v>95.27</v>
      </c>
      <c r="D43" s="53">
        <v>2022</v>
      </c>
      <c r="E43" s="109">
        <v>95.27</v>
      </c>
    </row>
    <row r="44" spans="1:5" x14ac:dyDescent="0.25">
      <c r="A44" s="53">
        <v>2024</v>
      </c>
      <c r="B44" s="109">
        <f>'Capacity Delivered'!E10</f>
        <v>95.27</v>
      </c>
      <c r="D44" s="53">
        <v>2023</v>
      </c>
      <c r="E44" s="109">
        <v>95.27</v>
      </c>
    </row>
    <row r="45" spans="1:5" x14ac:dyDescent="0.25">
      <c r="A45" s="53">
        <v>2025</v>
      </c>
      <c r="B45" s="109">
        <f>'Capacity Delivered'!E11</f>
        <v>95.27</v>
      </c>
      <c r="D45" s="53">
        <v>2024</v>
      </c>
      <c r="E45" s="109">
        <v>95.27</v>
      </c>
    </row>
    <row r="46" spans="1:5" x14ac:dyDescent="0.25">
      <c r="A46" s="53">
        <v>2026</v>
      </c>
      <c r="B46" s="109">
        <f>'Capacity Delivered'!E12</f>
        <v>95.27</v>
      </c>
      <c r="D46" s="53">
        <v>2025</v>
      </c>
      <c r="E46" s="109">
        <v>95.27</v>
      </c>
    </row>
    <row r="47" spans="1:5" x14ac:dyDescent="0.25">
      <c r="A47" s="53">
        <v>2027</v>
      </c>
      <c r="B47" s="109">
        <f>'Capacity Delivered'!E13</f>
        <v>95.27</v>
      </c>
      <c r="D47" s="53">
        <v>2026</v>
      </c>
      <c r="E47" s="109">
        <v>95.27</v>
      </c>
    </row>
    <row r="48" spans="1:5" x14ac:dyDescent="0.25">
      <c r="A48" s="53">
        <v>2028</v>
      </c>
      <c r="B48" s="109">
        <f>'Capacity Delivered'!E14</f>
        <v>95.27</v>
      </c>
      <c r="D48" s="53">
        <v>2027</v>
      </c>
      <c r="E48" s="109">
        <v>95.27</v>
      </c>
    </row>
    <row r="49" spans="1:7" x14ac:dyDescent="0.25">
      <c r="A49" s="53">
        <v>2029</v>
      </c>
      <c r="B49" s="109">
        <f>'Capacity Delivered'!E15</f>
        <v>95.27</v>
      </c>
      <c r="D49" s="53">
        <v>2028</v>
      </c>
      <c r="E49" s="109">
        <v>95.27</v>
      </c>
    </row>
    <row r="50" spans="1:7" x14ac:dyDescent="0.25">
      <c r="A50" s="53">
        <v>2030</v>
      </c>
      <c r="B50" s="109">
        <f>'Capacity Delivered'!E16</f>
        <v>95.27</v>
      </c>
      <c r="D50" s="53">
        <v>2029</v>
      </c>
      <c r="E50" s="109">
        <v>95.27</v>
      </c>
    </row>
    <row r="51" spans="1:7" x14ac:dyDescent="0.25">
      <c r="A51" s="53">
        <v>2031</v>
      </c>
      <c r="B51" s="109">
        <f>'Capacity Delivered'!E17</f>
        <v>95.27</v>
      </c>
      <c r="D51" s="53">
        <v>2030</v>
      </c>
      <c r="E51" s="109">
        <v>95.27</v>
      </c>
    </row>
    <row r="52" spans="1:7" x14ac:dyDescent="0.25">
      <c r="A52" s="53">
        <v>2032</v>
      </c>
      <c r="B52" s="109">
        <f>'Capacity Delivered'!E18</f>
        <v>95.27</v>
      </c>
      <c r="D52" s="53">
        <v>2031</v>
      </c>
      <c r="E52" s="109">
        <v>95.27</v>
      </c>
    </row>
    <row r="53" spans="1:7" x14ac:dyDescent="0.25">
      <c r="A53" s="53">
        <v>2033</v>
      </c>
      <c r="B53" s="109">
        <f>'Capacity Delivered'!E19</f>
        <v>95.27</v>
      </c>
      <c r="D53" s="53">
        <v>2032</v>
      </c>
      <c r="E53" s="109">
        <v>95.27</v>
      </c>
    </row>
    <row r="54" spans="1:7" x14ac:dyDescent="0.25">
      <c r="A54" s="53">
        <v>2034</v>
      </c>
      <c r="B54" s="109">
        <f>'Capacity Delivered'!E20</f>
        <v>95.27</v>
      </c>
      <c r="D54" s="53">
        <v>2033</v>
      </c>
      <c r="E54" s="109">
        <v>95.27</v>
      </c>
    </row>
    <row r="55" spans="1:7" x14ac:dyDescent="0.25">
      <c r="A55" s="53">
        <v>2035</v>
      </c>
      <c r="B55" s="109">
        <f>'Capacity Delivered'!E21</f>
        <v>95.27</v>
      </c>
      <c r="D55" s="53">
        <v>2034</v>
      </c>
      <c r="E55" s="109">
        <v>95.27</v>
      </c>
    </row>
    <row r="56" spans="1:7" x14ac:dyDescent="0.25">
      <c r="A56" s="53">
        <v>2036</v>
      </c>
      <c r="B56" s="109">
        <f>'Capacity Delivered'!E22</f>
        <v>95.27</v>
      </c>
      <c r="D56" s="53">
        <v>2035</v>
      </c>
      <c r="E56" s="109">
        <v>95.27</v>
      </c>
    </row>
    <row r="57" spans="1:7" x14ac:dyDescent="0.25">
      <c r="A57" s="53">
        <v>2037</v>
      </c>
      <c r="B57" s="109">
        <f>'Capacity Delivered'!E23</f>
        <v>95.27</v>
      </c>
      <c r="D57" s="53">
        <v>2036</v>
      </c>
      <c r="E57" s="109">
        <v>95.27</v>
      </c>
    </row>
    <row r="58" spans="1:7" x14ac:dyDescent="0.25">
      <c r="A58" s="53">
        <v>2038</v>
      </c>
      <c r="B58" s="109">
        <f>'Capacity Delivered'!E24</f>
        <v>95.27</v>
      </c>
      <c r="D58" s="53">
        <v>2037</v>
      </c>
      <c r="E58" s="109">
        <v>95.27</v>
      </c>
    </row>
    <row r="59" spans="1:7" x14ac:dyDescent="0.25">
      <c r="A59" s="53">
        <v>2039</v>
      </c>
      <c r="B59" s="109">
        <f>'Capacity Delivered'!E25</f>
        <v>95.27</v>
      </c>
      <c r="D59" s="53">
        <v>2038</v>
      </c>
      <c r="E59" s="109">
        <v>95.27</v>
      </c>
    </row>
    <row r="60" spans="1:7" x14ac:dyDescent="0.25">
      <c r="A60" s="53">
        <v>2040</v>
      </c>
      <c r="B60" s="109">
        <f>'Capacity Delivered'!E26</f>
        <v>95.27</v>
      </c>
      <c r="D60" s="53">
        <v>2039</v>
      </c>
      <c r="E60" s="109">
        <v>95.27</v>
      </c>
    </row>
    <row r="61" spans="1:7" x14ac:dyDescent="0.25">
      <c r="A61" s="53">
        <v>2041</v>
      </c>
      <c r="B61" s="109">
        <f>'Capacity Delivered'!E27</f>
        <v>95.27</v>
      </c>
      <c r="D61" s="53">
        <v>2040</v>
      </c>
      <c r="E61" s="109">
        <v>95.27</v>
      </c>
    </row>
    <row r="63" spans="1:7" ht="15.6" x14ac:dyDescent="0.3">
      <c r="A63" s="5" t="s">
        <v>133</v>
      </c>
      <c r="B63" s="109">
        <f>'Baseload Avoided Capacity Calcs'!D6</f>
        <v>13.579590781249998</v>
      </c>
      <c r="E63" s="109">
        <v>12.93</v>
      </c>
      <c r="G63" s="53" t="s">
        <v>166</v>
      </c>
    </row>
    <row r="65" spans="1:7" ht="15.6" x14ac:dyDescent="0.3">
      <c r="A65" s="5" t="s">
        <v>134</v>
      </c>
    </row>
    <row r="66" spans="1:7" x14ac:dyDescent="0.25">
      <c r="G66" s="109"/>
    </row>
    <row r="67" spans="1:7" ht="15.6" x14ac:dyDescent="0.3">
      <c r="A67" s="5"/>
    </row>
    <row r="68" spans="1:7" x14ac:dyDescent="0.25">
      <c r="A68" s="121"/>
      <c r="B68" s="322" t="s">
        <v>105</v>
      </c>
      <c r="C68" s="121"/>
      <c r="D68" s="125"/>
      <c r="E68" s="322" t="s">
        <v>105</v>
      </c>
    </row>
    <row r="69" spans="1:7" x14ac:dyDescent="0.25">
      <c r="A69" s="323" t="s">
        <v>99</v>
      </c>
      <c r="B69" s="324">
        <f>'Output - Summary'!F6</f>
        <v>49.04958811491538</v>
      </c>
      <c r="C69" s="125"/>
      <c r="D69" s="125"/>
      <c r="E69" s="324">
        <v>30.853090393012806</v>
      </c>
    </row>
    <row r="70" spans="1:7" x14ac:dyDescent="0.25">
      <c r="A70" s="323" t="s">
        <v>100</v>
      </c>
      <c r="B70" s="324">
        <f>'Output - Summary'!F7</f>
        <v>51.739218355908768</v>
      </c>
      <c r="C70" s="125"/>
      <c r="D70" s="125"/>
      <c r="E70" s="324">
        <v>31.852497669631205</v>
      </c>
    </row>
    <row r="71" spans="1:7" x14ac:dyDescent="0.25">
      <c r="A71" s="323" t="s">
        <v>98</v>
      </c>
      <c r="B71" s="324">
        <f>'Output - Summary'!F8</f>
        <v>53.832852265475175</v>
      </c>
      <c r="C71" s="125"/>
      <c r="D71" s="125"/>
      <c r="E71" s="324">
        <v>32.809924344311149</v>
      </c>
    </row>
    <row r="72" spans="1:7" x14ac:dyDescent="0.25">
      <c r="A72" s="121"/>
      <c r="B72" s="122"/>
      <c r="C72" s="325"/>
      <c r="D72" s="125"/>
      <c r="E72" s="122"/>
    </row>
    <row r="73" spans="1:7" x14ac:dyDescent="0.25">
      <c r="A73" s="125"/>
      <c r="B73" s="122"/>
      <c r="C73" s="325"/>
      <c r="D73" s="125"/>
      <c r="E73" s="122"/>
    </row>
    <row r="74" spans="1:7" x14ac:dyDescent="0.25">
      <c r="A74" s="125"/>
      <c r="B74" s="326"/>
      <c r="C74" s="125"/>
      <c r="D74" s="125"/>
      <c r="E74" s="326"/>
    </row>
    <row r="75" spans="1:7" x14ac:dyDescent="0.25">
      <c r="A75" s="121"/>
      <c r="B75" s="322" t="s">
        <v>105</v>
      </c>
      <c r="C75" s="121"/>
      <c r="D75" s="125"/>
      <c r="E75" s="322" t="s">
        <v>105</v>
      </c>
    </row>
    <row r="76" spans="1:7" x14ac:dyDescent="0.25">
      <c r="A76" s="323" t="s">
        <v>101</v>
      </c>
      <c r="B76" s="324">
        <f>'Output - Summary'!F13</f>
        <v>46.321314270948747</v>
      </c>
      <c r="C76" s="125"/>
      <c r="D76" s="125"/>
      <c r="E76" s="324">
        <v>26.419750011835681</v>
      </c>
    </row>
    <row r="77" spans="1:7" x14ac:dyDescent="0.25">
      <c r="A77" s="323" t="s">
        <v>102</v>
      </c>
      <c r="B77" s="324">
        <f>'Output - Summary'!F14</f>
        <v>48.400104607679644</v>
      </c>
      <c r="C77" s="125"/>
      <c r="D77" s="125"/>
      <c r="E77" s="324">
        <v>27.377176686515622</v>
      </c>
    </row>
    <row r="78" spans="1:7" x14ac:dyDescent="0.25">
      <c r="A78" s="125"/>
      <c r="B78" s="125"/>
      <c r="C78" s="125"/>
      <c r="D78" s="125"/>
      <c r="E78" s="125"/>
    </row>
    <row r="79" spans="1:7" x14ac:dyDescent="0.25">
      <c r="A79" s="125"/>
      <c r="B79" s="125"/>
      <c r="C79" s="125"/>
      <c r="D79" s="125"/>
      <c r="E79" s="125"/>
    </row>
    <row r="80" spans="1:7" x14ac:dyDescent="0.25">
      <c r="A80" s="125"/>
      <c r="B80" s="326"/>
      <c r="C80" s="125"/>
      <c r="D80" s="125"/>
      <c r="E80" s="326"/>
    </row>
    <row r="81" spans="1:5" x14ac:dyDescent="0.25">
      <c r="A81" s="121"/>
      <c r="B81" s="322" t="s">
        <v>105</v>
      </c>
      <c r="C81" s="121"/>
      <c r="D81" s="125"/>
      <c r="E81" s="322" t="s">
        <v>105</v>
      </c>
    </row>
    <row r="82" spans="1:5" x14ac:dyDescent="0.25">
      <c r="A82" s="323" t="s">
        <v>103</v>
      </c>
      <c r="B82" s="324">
        <f>'Output - Summary'!F19</f>
        <v>42.957660320261688</v>
      </c>
      <c r="C82" s="125"/>
      <c r="D82" s="125"/>
      <c r="E82" s="324">
        <v>23.046880570872766</v>
      </c>
    </row>
    <row r="83" spans="1:5" x14ac:dyDescent="0.25">
      <c r="A83" s="323" t="s">
        <v>104</v>
      </c>
      <c r="B83" s="324">
        <f>'Output - Summary'!F20</f>
        <v>45.027235166716736</v>
      </c>
      <c r="C83" s="125"/>
      <c r="D83" s="125"/>
      <c r="E83" s="324">
        <v>24.004307245552706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H8" workbookViewId="0">
      <selection activeCell="C2" sqref="C2:V41"/>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06" t="s">
        <v>109</v>
      </c>
      <c r="D2" s="206"/>
      <c r="E2" s="206"/>
      <c r="F2" s="206"/>
      <c r="G2" s="206"/>
      <c r="H2" s="206"/>
      <c r="I2" s="206"/>
      <c r="J2" s="206"/>
      <c r="K2" s="206"/>
      <c r="L2" s="206"/>
    </row>
    <row r="3" spans="2:29" ht="15.6" x14ac:dyDescent="0.3">
      <c r="C3" s="42"/>
    </row>
    <row r="4" spans="2:29" ht="15.6" x14ac:dyDescent="0.3">
      <c r="C4" s="5" t="s">
        <v>107</v>
      </c>
      <c r="W4" s="40"/>
      <c r="X4" s="40"/>
      <c r="Y4" s="40"/>
      <c r="Z4" s="40"/>
    </row>
    <row r="5" spans="2:29" x14ac:dyDescent="0.25">
      <c r="B5" s="110"/>
      <c r="C5" s="110"/>
      <c r="D5" s="108"/>
      <c r="E5" s="110"/>
      <c r="F5" s="120" t="s">
        <v>105</v>
      </c>
      <c r="Y5" s="122"/>
      <c r="Z5" s="122"/>
      <c r="AC5" s="123"/>
    </row>
    <row r="6" spans="2:29" x14ac:dyDescent="0.25">
      <c r="B6" s="110"/>
      <c r="C6" s="202" t="s">
        <v>99</v>
      </c>
      <c r="D6" s="110"/>
      <c r="F6" s="152">
        <f>'Output - 5yr Baseload'!F9</f>
        <v>49.04958811491538</v>
      </c>
      <c r="H6" s="303"/>
      <c r="Y6" s="122"/>
      <c r="Z6" s="122"/>
      <c r="AC6" s="123"/>
    </row>
    <row r="7" spans="2:29" x14ac:dyDescent="0.25">
      <c r="B7" s="110"/>
      <c r="C7" s="202" t="s">
        <v>100</v>
      </c>
      <c r="D7" s="110"/>
      <c r="F7" s="152">
        <f>'Output - 10yr Baseload'!F9</f>
        <v>51.739218355908768</v>
      </c>
      <c r="H7" s="303"/>
      <c r="Y7" s="122"/>
      <c r="Z7" s="122"/>
      <c r="AC7" s="123"/>
    </row>
    <row r="8" spans="2:29" x14ac:dyDescent="0.25">
      <c r="C8" s="202" t="s">
        <v>98</v>
      </c>
      <c r="D8" s="110"/>
      <c r="F8" s="152">
        <f>'Output - 15yr Baseload'!F9</f>
        <v>53.832852265475175</v>
      </c>
      <c r="H8" s="303"/>
      <c r="Y8" s="116"/>
      <c r="Z8" s="116"/>
      <c r="AA8" s="115"/>
      <c r="AB8" s="110"/>
    </row>
    <row r="9" spans="2:29" x14ac:dyDescent="0.25">
      <c r="C9" s="121"/>
      <c r="E9" s="124"/>
      <c r="F9" s="122"/>
      <c r="H9" s="303"/>
      <c r="Y9" s="116"/>
      <c r="Z9" s="116"/>
      <c r="AA9" s="116"/>
    </row>
    <row r="10" spans="2:29" x14ac:dyDescent="0.25">
      <c r="C10" s="125"/>
      <c r="E10" s="124"/>
      <c r="F10" s="122"/>
      <c r="H10" s="303"/>
    </row>
    <row r="11" spans="2:29" x14ac:dyDescent="0.25">
      <c r="F11" s="201"/>
      <c r="H11" s="303"/>
    </row>
    <row r="12" spans="2:29" x14ac:dyDescent="0.25">
      <c r="C12" s="110"/>
      <c r="D12" s="108"/>
      <c r="E12" s="110"/>
      <c r="F12" s="120" t="s">
        <v>105</v>
      </c>
      <c r="H12" s="303"/>
    </row>
    <row r="13" spans="2:29" x14ac:dyDescent="0.25">
      <c r="C13" s="202" t="s">
        <v>101</v>
      </c>
      <c r="D13" s="110"/>
      <c r="F13" s="152">
        <f>'Output - 10yr Wind'!F9</f>
        <v>46.321314270948747</v>
      </c>
      <c r="H13" s="303"/>
    </row>
    <row r="14" spans="2:29" x14ac:dyDescent="0.25">
      <c r="C14" s="202" t="s">
        <v>102</v>
      </c>
      <c r="D14" s="110"/>
      <c r="F14" s="152">
        <f>'Output - 15yr Wind'!F9</f>
        <v>48.400104607679644</v>
      </c>
      <c r="H14" s="303"/>
    </row>
    <row r="15" spans="2:29" x14ac:dyDescent="0.25">
      <c r="H15" s="303"/>
    </row>
    <row r="16" spans="2:29" x14ac:dyDescent="0.25">
      <c r="H16" s="303"/>
    </row>
    <row r="17" spans="3:22" x14ac:dyDescent="0.25">
      <c r="F17" s="201"/>
      <c r="H17" s="303"/>
    </row>
    <row r="18" spans="3:22" x14ac:dyDescent="0.25">
      <c r="C18" s="110"/>
      <c r="D18" s="108"/>
      <c r="E18" s="110"/>
      <c r="F18" s="120" t="s">
        <v>105</v>
      </c>
      <c r="H18" s="303"/>
    </row>
    <row r="19" spans="3:22" x14ac:dyDescent="0.25">
      <c r="C19" s="202" t="s">
        <v>103</v>
      </c>
      <c r="D19" s="110"/>
      <c r="F19" s="152">
        <f>'Output - 10yr Solar'!F9</f>
        <v>42.957660320261688</v>
      </c>
      <c r="H19" s="303"/>
    </row>
    <row r="20" spans="3:22" x14ac:dyDescent="0.25">
      <c r="C20" s="202" t="s">
        <v>104</v>
      </c>
      <c r="D20" s="110"/>
      <c r="F20" s="152">
        <f>'Output - 15yr Solar'!F9</f>
        <v>45.027235166716736</v>
      </c>
      <c r="H20" s="303"/>
    </row>
    <row r="24" spans="3:22" ht="15.6" x14ac:dyDescent="0.3">
      <c r="C24" s="5" t="s">
        <v>106</v>
      </c>
    </row>
    <row r="25" spans="3:22" x14ac:dyDescent="0.25">
      <c r="F25" s="201">
        <v>1</v>
      </c>
      <c r="G25" s="201">
        <v>2</v>
      </c>
      <c r="H25" s="201">
        <v>3</v>
      </c>
      <c r="I25" s="201">
        <v>4</v>
      </c>
      <c r="J25" s="201">
        <v>5</v>
      </c>
      <c r="K25" s="201">
        <v>6</v>
      </c>
      <c r="L25" s="201">
        <v>7</v>
      </c>
      <c r="M25" s="201">
        <v>8</v>
      </c>
      <c r="N25" s="201">
        <v>9</v>
      </c>
      <c r="O25" s="201">
        <v>10</v>
      </c>
      <c r="P25" s="201">
        <v>11</v>
      </c>
      <c r="Q25" s="201">
        <v>12</v>
      </c>
      <c r="R25" s="201">
        <v>13</v>
      </c>
      <c r="S25" s="201">
        <v>14</v>
      </c>
      <c r="T25" s="201">
        <v>15</v>
      </c>
      <c r="U25" s="201">
        <v>16</v>
      </c>
      <c r="V25" s="201">
        <v>17</v>
      </c>
    </row>
    <row r="26" spans="3:22" x14ac:dyDescent="0.25">
      <c r="C26" s="110"/>
      <c r="D26" s="108"/>
      <c r="E26" s="110"/>
      <c r="F26" s="120">
        <f>'Energy Prices'!$C$6</f>
        <v>2023</v>
      </c>
      <c r="G26" s="120">
        <f>F26+1</f>
        <v>2024</v>
      </c>
      <c r="H26" s="120">
        <f>G26+1</f>
        <v>2025</v>
      </c>
      <c r="I26" s="120">
        <f t="shared" ref="I26:T26" si="0">H26+1</f>
        <v>2026</v>
      </c>
      <c r="J26" s="120">
        <f t="shared" si="0"/>
        <v>2027</v>
      </c>
      <c r="K26" s="120">
        <f t="shared" si="0"/>
        <v>2028</v>
      </c>
      <c r="L26" s="120">
        <f t="shared" si="0"/>
        <v>2029</v>
      </c>
      <c r="M26" s="120">
        <f t="shared" si="0"/>
        <v>2030</v>
      </c>
      <c r="N26" s="120">
        <f t="shared" si="0"/>
        <v>2031</v>
      </c>
      <c r="O26" s="120">
        <f t="shared" si="0"/>
        <v>2032</v>
      </c>
      <c r="P26" s="120">
        <f t="shared" si="0"/>
        <v>2033</v>
      </c>
      <c r="Q26" s="120">
        <f t="shared" si="0"/>
        <v>2034</v>
      </c>
      <c r="R26" s="120">
        <f t="shared" si="0"/>
        <v>2035</v>
      </c>
      <c r="S26" s="120">
        <f t="shared" si="0"/>
        <v>2036</v>
      </c>
      <c r="T26" s="120">
        <f t="shared" si="0"/>
        <v>2037</v>
      </c>
      <c r="U26" s="120">
        <f>T26+1</f>
        <v>2038</v>
      </c>
      <c r="V26" s="120">
        <f>U26+1</f>
        <v>2039</v>
      </c>
    </row>
    <row r="27" spans="3:22" x14ac:dyDescent="0.25">
      <c r="C27" s="202" t="s">
        <v>99</v>
      </c>
      <c r="D27" s="110"/>
      <c r="F27" s="152">
        <f>'Output - 5yr Baseload'!F13</f>
        <v>46.822005011380064</v>
      </c>
      <c r="G27" s="152">
        <f>'Output - 5yr Baseload'!G13</f>
        <v>47.992555136664564</v>
      </c>
      <c r="H27" s="152">
        <f>'Output - 5yr Baseload'!H13</f>
        <v>49.192369015081169</v>
      </c>
      <c r="I27" s="152">
        <f>'Output - 5yr Baseload'!I13</f>
        <v>50.422178240458194</v>
      </c>
      <c r="J27" s="152">
        <f>'Output - 5yr Baseload'!J13</f>
        <v>51.68273269646965</v>
      </c>
      <c r="K27" s="198">
        <f>'Output - 5yr Baseload'!K13</f>
        <v>52.97480101388139</v>
      </c>
      <c r="L27" s="198">
        <f>'Output - 5yr Baseload'!L13</f>
        <v>54.299171039228419</v>
      </c>
      <c r="M27" s="198"/>
      <c r="N27" s="198"/>
      <c r="O27" s="198"/>
      <c r="P27" s="198"/>
      <c r="Q27" s="198"/>
      <c r="R27" s="198"/>
      <c r="S27" s="198"/>
      <c r="T27" s="198"/>
      <c r="U27" s="198"/>
      <c r="V27" s="198"/>
    </row>
    <row r="28" spans="3:22" x14ac:dyDescent="0.25">
      <c r="C28" s="202" t="s">
        <v>100</v>
      </c>
      <c r="D28" s="110"/>
      <c r="F28" s="152">
        <f>'Output - 10yr Baseload'!F13</f>
        <v>46.853968027863004</v>
      </c>
      <c r="G28" s="152">
        <f>'Output - 10yr Baseload'!G13</f>
        <v>48.025317228559572</v>
      </c>
      <c r="H28" s="152">
        <f>'Output - 10yr Baseload'!H13</f>
        <v>49.225950159273552</v>
      </c>
      <c r="I28" s="152">
        <f>'Output - 10yr Baseload'!I13</f>
        <v>50.456598913255391</v>
      </c>
      <c r="J28" s="152">
        <f>'Output - 10yr Baseload'!J13</f>
        <v>51.718013886086773</v>
      </c>
      <c r="K28" s="152">
        <f>'Output - 10yr Baseload'!K13</f>
        <v>53.010964233238937</v>
      </c>
      <c r="L28" s="152">
        <f>'Output - 10yr Baseload'!L13</f>
        <v>54.336238339069908</v>
      </c>
      <c r="M28" s="152">
        <f>'Output - 10yr Baseload'!M13</f>
        <v>55.694644297546638</v>
      </c>
      <c r="N28" s="152">
        <f>'Output - 10yr Baseload'!N13</f>
        <v>57.087010404985307</v>
      </c>
      <c r="O28" s="152">
        <f>'Output - 10yr Baseload'!O13</f>
        <v>58.514185665109927</v>
      </c>
      <c r="P28" s="198">
        <f>'Output - 10yr Baseload'!P13</f>
        <v>59.977040306737671</v>
      </c>
      <c r="Q28" s="198">
        <f>'Output - 10yr Baseload'!Q13</f>
        <v>61.47646631440611</v>
      </c>
      <c r="R28" s="198"/>
      <c r="S28" s="198"/>
      <c r="T28" s="198"/>
      <c r="U28" s="198"/>
      <c r="V28" s="198"/>
    </row>
    <row r="29" spans="3:22" x14ac:dyDescent="0.25">
      <c r="C29" s="202" t="s">
        <v>98</v>
      </c>
      <c r="D29" s="110"/>
      <c r="F29" s="152">
        <f>'Output - 15yr Baseload'!F13</f>
        <v>46.518207910501985</v>
      </c>
      <c r="G29" s="153">
        <f>'Output - 15yr Baseload'!G13</f>
        <v>47.681163108264528</v>
      </c>
      <c r="H29" s="154">
        <f>'Output - 15yr Baseload'!H13</f>
        <v>48.873192185971135</v>
      </c>
      <c r="I29" s="154">
        <f>'Output - 15yr Baseload'!I13</f>
        <v>50.09502199062041</v>
      </c>
      <c r="J29" s="154">
        <f>'Output - 15yr Baseload'!J13</f>
        <v>51.34739754038592</v>
      </c>
      <c r="K29" s="154">
        <f>'Output - 15yr Baseload'!K13</f>
        <v>52.631082478895557</v>
      </c>
      <c r="L29" s="154">
        <f>'Output - 15yr Baseload'!L13</f>
        <v>53.946859540867941</v>
      </c>
      <c r="M29" s="154">
        <f>'Output - 15yr Baseload'!M13</f>
        <v>55.295531029389636</v>
      </c>
      <c r="N29" s="154">
        <f>'Output - 15yr Baseload'!N13</f>
        <v>56.677919305124369</v>
      </c>
      <c r="O29" s="154">
        <f>'Output - 15yr Baseload'!O13</f>
        <v>58.094867287752479</v>
      </c>
      <c r="P29" s="154">
        <f>'Output - 15yr Baseload'!P13</f>
        <v>59.547238969946278</v>
      </c>
      <c r="Q29" s="154">
        <f>'Output - 15yr Baseload'!Q13</f>
        <v>61.035919944194923</v>
      </c>
      <c r="R29" s="154">
        <f>'Output - 15yr Baseload'!R13</f>
        <v>62.561817942799792</v>
      </c>
      <c r="S29" s="154">
        <f>'Output - 15yr Baseload'!S13</f>
        <v>64.125863391369776</v>
      </c>
      <c r="T29" s="154">
        <f>'Output - 15yr Baseload'!T13</f>
        <v>65.729009976154018</v>
      </c>
      <c r="U29" s="198">
        <f>'Output - 15yr Baseload'!U13</f>
        <v>67.372235225557858</v>
      </c>
      <c r="V29" s="198">
        <f>'Output - 15yr Baseload'!V13</f>
        <v>69.056541106196804</v>
      </c>
    </row>
    <row r="30" spans="3:22" x14ac:dyDescent="0.25">
      <c r="C30" s="121"/>
      <c r="E30" s="124"/>
      <c r="F30" s="122"/>
      <c r="G30" s="122"/>
      <c r="H30" s="122"/>
      <c r="I30" s="122"/>
      <c r="J30" s="122"/>
      <c r="K30" s="122"/>
      <c r="L30" s="122"/>
      <c r="M30" s="122"/>
      <c r="N30" s="122"/>
      <c r="O30" s="122"/>
      <c r="P30" s="122"/>
      <c r="Q30" s="122"/>
      <c r="R30" s="122"/>
      <c r="S30" s="122"/>
      <c r="T30" s="122"/>
      <c r="U30" s="122"/>
      <c r="V30" s="122"/>
    </row>
    <row r="31" spans="3:22" x14ac:dyDescent="0.25">
      <c r="C31" s="125"/>
      <c r="E31" s="124"/>
      <c r="F31" s="122"/>
      <c r="G31" s="122"/>
      <c r="H31" s="122"/>
      <c r="I31" s="122"/>
      <c r="J31" s="122"/>
      <c r="K31" s="122"/>
      <c r="L31" s="122"/>
      <c r="M31" s="122"/>
      <c r="N31" s="122"/>
      <c r="O31" s="122"/>
      <c r="P31" s="122"/>
      <c r="Q31" s="122"/>
      <c r="R31" s="122"/>
      <c r="S31" s="122"/>
      <c r="T31" s="122"/>
      <c r="U31" s="122"/>
      <c r="V31" s="122"/>
    </row>
    <row r="32" spans="3:22" x14ac:dyDescent="0.25">
      <c r="F32" s="201">
        <v>1</v>
      </c>
      <c r="G32" s="201">
        <v>2</v>
      </c>
      <c r="H32" s="201">
        <v>3</v>
      </c>
      <c r="I32" s="201">
        <v>4</v>
      </c>
      <c r="J32" s="201">
        <v>5</v>
      </c>
      <c r="K32" s="201">
        <v>6</v>
      </c>
      <c r="L32" s="201">
        <v>7</v>
      </c>
      <c r="M32" s="201">
        <v>8</v>
      </c>
      <c r="N32" s="201">
        <v>9</v>
      </c>
      <c r="O32" s="201">
        <v>10</v>
      </c>
      <c r="P32" s="201">
        <v>11</v>
      </c>
      <c r="Q32" s="201">
        <v>12</v>
      </c>
      <c r="R32" s="201">
        <v>13</v>
      </c>
      <c r="S32" s="201">
        <v>14</v>
      </c>
      <c r="T32" s="201">
        <v>15</v>
      </c>
      <c r="U32" s="201">
        <v>16</v>
      </c>
      <c r="V32" s="201">
        <v>17</v>
      </c>
    </row>
    <row r="33" spans="3:22" x14ac:dyDescent="0.25">
      <c r="C33" s="110"/>
      <c r="D33" s="108"/>
      <c r="E33" s="110"/>
      <c r="F33" s="120">
        <f>'Energy Prices'!$C$6</f>
        <v>2023</v>
      </c>
      <c r="G33" s="120">
        <f>F33+1</f>
        <v>2024</v>
      </c>
      <c r="H33" s="120">
        <f>G33+1</f>
        <v>2025</v>
      </c>
      <c r="I33" s="120">
        <f t="shared" ref="I33" si="1">H33+1</f>
        <v>2026</v>
      </c>
      <c r="J33" s="120">
        <f t="shared" ref="J33" si="2">I33+1</f>
        <v>2027</v>
      </c>
      <c r="K33" s="120">
        <f t="shared" ref="K33" si="3">J33+1</f>
        <v>2028</v>
      </c>
      <c r="L33" s="120">
        <f t="shared" ref="L33" si="4">K33+1</f>
        <v>2029</v>
      </c>
      <c r="M33" s="120">
        <f t="shared" ref="M33" si="5">L33+1</f>
        <v>2030</v>
      </c>
      <c r="N33" s="120">
        <f t="shared" ref="N33" si="6">M33+1</f>
        <v>2031</v>
      </c>
      <c r="O33" s="120">
        <f t="shared" ref="O33" si="7">N33+1</f>
        <v>2032</v>
      </c>
      <c r="P33" s="120">
        <f t="shared" ref="P33" si="8">O33+1</f>
        <v>2033</v>
      </c>
      <c r="Q33" s="120">
        <f t="shared" ref="Q33" si="9">P33+1</f>
        <v>2034</v>
      </c>
      <c r="R33" s="120">
        <f t="shared" ref="R33" si="10">Q33+1</f>
        <v>2035</v>
      </c>
      <c r="S33" s="120">
        <f t="shared" ref="S33" si="11">R33+1</f>
        <v>2036</v>
      </c>
      <c r="T33" s="120">
        <f t="shared" ref="T33" si="12">S33+1</f>
        <v>2037</v>
      </c>
      <c r="U33" s="120">
        <f>T33+1</f>
        <v>2038</v>
      </c>
      <c r="V33" s="120">
        <f>U33+1</f>
        <v>2039</v>
      </c>
    </row>
    <row r="34" spans="3:22" x14ac:dyDescent="0.25">
      <c r="C34" s="202" t="s">
        <v>101</v>
      </c>
      <c r="D34" s="110"/>
      <c r="F34" s="152">
        <f>'Output - 10yr Wind'!F13</f>
        <v>41.947625936868604</v>
      </c>
      <c r="G34" s="152">
        <f>'Output - 10yr Wind'!G13</f>
        <v>42.996316585290316</v>
      </c>
      <c r="H34" s="152">
        <f>'Output - 10yr Wind'!H13</f>
        <v>44.071224499922565</v>
      </c>
      <c r="I34" s="152">
        <f>'Output - 10yr Wind'!I13</f>
        <v>45.173005112420626</v>
      </c>
      <c r="J34" s="152">
        <f>'Output - 10yr Wind'!J13</f>
        <v>46.302330240231143</v>
      </c>
      <c r="K34" s="152">
        <f>'Output - 10yr Wind'!K13</f>
        <v>47.459888496236914</v>
      </c>
      <c r="L34" s="152">
        <f>'Output - 10yr Wind'!L13</f>
        <v>48.646385708642832</v>
      </c>
      <c r="M34" s="152">
        <f>'Output - 10yr Wind'!M13</f>
        <v>49.862545351358889</v>
      </c>
      <c r="N34" s="152">
        <f>'Output - 10yr Wind'!N13</f>
        <v>51.109108985142861</v>
      </c>
      <c r="O34" s="152">
        <f>'Output - 10yr Wind'!O13</f>
        <v>52.38683670977143</v>
      </c>
      <c r="P34" s="198">
        <f>'Output - 10yr Wind'!P13</f>
        <v>53.696507627515707</v>
      </c>
      <c r="Q34" s="198">
        <f>'Output - 10yr Wind'!Q13</f>
        <v>55.038920318203594</v>
      </c>
      <c r="R34" s="198"/>
      <c r="S34" s="198"/>
      <c r="T34" s="198"/>
      <c r="U34" s="198"/>
      <c r="V34" s="198"/>
    </row>
    <row r="35" spans="3:22" x14ac:dyDescent="0.25">
      <c r="C35" s="202" t="s">
        <v>102</v>
      </c>
      <c r="D35" s="110"/>
      <c r="F35" s="152">
        <f>'Output - 15yr Wind'!F13</f>
        <v>41.823645493033638</v>
      </c>
      <c r="G35" s="153">
        <f>'Output - 15yr Wind'!G13</f>
        <v>42.869236630359481</v>
      </c>
      <c r="H35" s="154">
        <f>'Output - 15yr Wind'!H13</f>
        <v>43.940967546118458</v>
      </c>
      <c r="I35" s="154">
        <f>'Output - 15yr Wind'!I13</f>
        <v>45.039491734771417</v>
      </c>
      <c r="J35" s="154">
        <f>'Output - 15yr Wind'!J13</f>
        <v>46.165479028140702</v>
      </c>
      <c r="K35" s="154">
        <f>'Output - 15yr Wind'!K13</f>
        <v>47.319616003844217</v>
      </c>
      <c r="L35" s="154">
        <f>'Output - 15yr Wind'!L13</f>
        <v>48.502606403940312</v>
      </c>
      <c r="M35" s="154">
        <f>'Output - 15yr Wind'!M13</f>
        <v>49.715171564038819</v>
      </c>
      <c r="N35" s="154">
        <f>'Output - 15yr Wind'!N13</f>
        <v>50.958050853139781</v>
      </c>
      <c r="O35" s="154">
        <f>'Output - 15yr Wind'!O13</f>
        <v>52.232002124468274</v>
      </c>
      <c r="P35" s="154">
        <f>'Output - 15yr Wind'!P13</f>
        <v>53.537802177579977</v>
      </c>
      <c r="Q35" s="154">
        <f>'Output - 15yr Wind'!Q13</f>
        <v>54.876247232019459</v>
      </c>
      <c r="R35" s="154">
        <f>'Output - 15yr Wind'!R13</f>
        <v>56.248153412819946</v>
      </c>
      <c r="S35" s="154">
        <f>'Output - 15yr Wind'!S13</f>
        <v>57.654357248140435</v>
      </c>
      <c r="T35" s="154">
        <f>'Output - 15yr Wind'!T13</f>
        <v>59.095716179343938</v>
      </c>
      <c r="U35" s="198">
        <f>'Output - 15yr Wind'!U13</f>
        <v>60.573109083827532</v>
      </c>
      <c r="V35" s="198">
        <f>'Output - 15yr Wind'!V13</f>
        <v>62.087436810923215</v>
      </c>
    </row>
    <row r="38" spans="3:22" x14ac:dyDescent="0.25">
      <c r="F38" s="201">
        <v>1</v>
      </c>
      <c r="G38" s="201">
        <v>2</v>
      </c>
      <c r="H38" s="201">
        <v>3</v>
      </c>
      <c r="I38" s="201">
        <v>4</v>
      </c>
      <c r="J38" s="201">
        <v>5</v>
      </c>
      <c r="K38" s="201">
        <v>6</v>
      </c>
      <c r="L38" s="201">
        <v>7</v>
      </c>
      <c r="M38" s="201">
        <v>8</v>
      </c>
      <c r="N38" s="201">
        <v>9</v>
      </c>
      <c r="O38" s="201">
        <v>10</v>
      </c>
      <c r="P38" s="201">
        <v>11</v>
      </c>
      <c r="Q38" s="201">
        <v>12</v>
      </c>
      <c r="R38" s="201">
        <v>13</v>
      </c>
      <c r="S38" s="201">
        <v>14</v>
      </c>
      <c r="T38" s="201">
        <v>15</v>
      </c>
      <c r="U38" s="201">
        <v>16</v>
      </c>
      <c r="V38" s="201">
        <v>17</v>
      </c>
    </row>
    <row r="39" spans="3:22" x14ac:dyDescent="0.25">
      <c r="C39" s="110"/>
      <c r="D39" s="108"/>
      <c r="E39" s="110"/>
      <c r="F39" s="120">
        <f>'Energy Prices'!$C$6</f>
        <v>2023</v>
      </c>
      <c r="G39" s="120">
        <f>F39+1</f>
        <v>2024</v>
      </c>
      <c r="H39" s="120">
        <f>G39+1</f>
        <v>2025</v>
      </c>
      <c r="I39" s="120">
        <f t="shared" ref="I39" si="13">H39+1</f>
        <v>2026</v>
      </c>
      <c r="J39" s="120">
        <f t="shared" ref="J39" si="14">I39+1</f>
        <v>2027</v>
      </c>
      <c r="K39" s="120">
        <f t="shared" ref="K39" si="15">J39+1</f>
        <v>2028</v>
      </c>
      <c r="L39" s="120">
        <f t="shared" ref="L39" si="16">K39+1</f>
        <v>2029</v>
      </c>
      <c r="M39" s="120">
        <f t="shared" ref="M39" si="17">L39+1</f>
        <v>2030</v>
      </c>
      <c r="N39" s="120">
        <f t="shared" ref="N39" si="18">M39+1</f>
        <v>2031</v>
      </c>
      <c r="O39" s="120">
        <f t="shared" ref="O39" si="19">N39+1</f>
        <v>2032</v>
      </c>
      <c r="P39" s="120">
        <f t="shared" ref="P39" si="20">O39+1</f>
        <v>2033</v>
      </c>
      <c r="Q39" s="120">
        <f t="shared" ref="Q39" si="21">P39+1</f>
        <v>2034</v>
      </c>
      <c r="R39" s="120">
        <f t="shared" ref="R39" si="22">Q39+1</f>
        <v>2035</v>
      </c>
      <c r="S39" s="120">
        <f t="shared" ref="S39" si="23">R39+1</f>
        <v>2036</v>
      </c>
      <c r="T39" s="120">
        <f t="shared" ref="T39" si="24">S39+1</f>
        <v>2037</v>
      </c>
      <c r="U39" s="120">
        <f>T39+1</f>
        <v>2038</v>
      </c>
      <c r="V39" s="120">
        <f>U39+1</f>
        <v>2039</v>
      </c>
    </row>
    <row r="40" spans="3:22" x14ac:dyDescent="0.25">
      <c r="C40" s="202" t="s">
        <v>103</v>
      </c>
      <c r="D40" s="110"/>
      <c r="F40" s="152">
        <f>'Output - 10yr Solar'!F13</f>
        <v>38.901570359102266</v>
      </c>
      <c r="G40" s="152">
        <f>'Output - 10yr Solar'!G13</f>
        <v>39.874109618079814</v>
      </c>
      <c r="H40" s="152">
        <f>'Output - 10yr Solar'!H13</f>
        <v>40.870962358531806</v>
      </c>
      <c r="I40" s="152">
        <f>'Output - 10yr Solar'!I13</f>
        <v>41.892736417495094</v>
      </c>
      <c r="J40" s="152">
        <f>'Output - 10yr Solar'!J13</f>
        <v>42.940054827932471</v>
      </c>
      <c r="K40" s="152">
        <f>'Output - 10yr Solar'!K13</f>
        <v>44.013556198630781</v>
      </c>
      <c r="L40" s="152">
        <f>'Output - 10yr Solar'!L13</f>
        <v>45.113895103596548</v>
      </c>
      <c r="M40" s="152">
        <f>'Output - 10yr Solar'!M13</f>
        <v>46.241742481186449</v>
      </c>
      <c r="N40" s="152">
        <f>'Output - 10yr Solar'!N13</f>
        <v>47.397786043216108</v>
      </c>
      <c r="O40" s="152">
        <f>'Output - 10yr Solar'!O13</f>
        <v>48.582730694296508</v>
      </c>
      <c r="P40" s="198">
        <f>'Output - 10yr Solar'!P13</f>
        <v>49.797298961653915</v>
      </c>
      <c r="Q40" s="198">
        <f>'Output - 10yr Solar'!Q13</f>
        <v>51.042231435695257</v>
      </c>
      <c r="R40" s="198"/>
      <c r="S40" s="198"/>
      <c r="T40" s="198"/>
      <c r="U40" s="198"/>
      <c r="V40" s="198"/>
    </row>
    <row r="41" spans="3:22" x14ac:dyDescent="0.25">
      <c r="C41" s="202" t="s">
        <v>104</v>
      </c>
      <c r="D41" s="110"/>
      <c r="F41" s="152">
        <f>'Output - 15yr Solar'!F13</f>
        <v>38.909071300755215</v>
      </c>
      <c r="G41" s="153">
        <f>'Output - 15yr Solar'!G13</f>
        <v>39.881798083274091</v>
      </c>
      <c r="H41" s="154">
        <f>'Output - 15yr Solar'!H13</f>
        <v>40.878843035355935</v>
      </c>
      <c r="I41" s="154">
        <f>'Output - 15yr Solar'!I13</f>
        <v>41.900814111239832</v>
      </c>
      <c r="J41" s="154">
        <f>'Output - 15yr Solar'!J13</f>
        <v>42.948334464020832</v>
      </c>
      <c r="K41" s="154">
        <f>'Output - 15yr Solar'!K13</f>
        <v>44.022042825621341</v>
      </c>
      <c r="L41" s="154">
        <f>'Output - 15yr Solar'!L13</f>
        <v>45.122593896261868</v>
      </c>
      <c r="M41" s="154">
        <f>'Output - 15yr Solar'!M13</f>
        <v>46.250658743668417</v>
      </c>
      <c r="N41" s="154">
        <f>'Output - 15yr Solar'!N13</f>
        <v>47.40692521226012</v>
      </c>
      <c r="O41" s="154">
        <f>'Output - 15yr Solar'!O13</f>
        <v>48.592098342566622</v>
      </c>
      <c r="P41" s="154">
        <f>'Output - 15yr Solar'!P13</f>
        <v>49.80690080113078</v>
      </c>
      <c r="Q41" s="154">
        <f>'Output - 15yr Solar'!Q13</f>
        <v>51.052073321159035</v>
      </c>
      <c r="R41" s="154">
        <f>'Output - 15yr Solar'!R13</f>
        <v>52.328375154188009</v>
      </c>
      <c r="S41" s="154">
        <f>'Output - 15yr Solar'!S13</f>
        <v>53.636584533042701</v>
      </c>
      <c r="T41" s="154">
        <f>'Output - 15yr Solar'!T13</f>
        <v>54.977499146368764</v>
      </c>
      <c r="U41" s="198">
        <f>'Output - 15yr Solar'!U13</f>
        <v>56.351936625027982</v>
      </c>
      <c r="V41" s="198">
        <f>'Output - 15yr Solar'!V13</f>
        <v>57.760735040653678</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3"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06" t="s">
        <v>89</v>
      </c>
      <c r="D2" s="206"/>
      <c r="E2" s="206"/>
      <c r="F2" s="206"/>
      <c r="G2" s="206"/>
      <c r="H2" s="206"/>
      <c r="I2" s="206"/>
      <c r="J2" s="206"/>
      <c r="K2" s="206"/>
      <c r="L2" s="206"/>
    </row>
    <row r="3" spans="2:29" ht="15.6" x14ac:dyDescent="0.3">
      <c r="C3" s="42" t="s">
        <v>90</v>
      </c>
    </row>
    <row r="4" spans="2:29" s="107" customFormat="1" ht="45" x14ac:dyDescent="0.25">
      <c r="B4" s="106"/>
      <c r="C4" s="141" t="s">
        <v>0</v>
      </c>
      <c r="D4" s="141"/>
      <c r="E4" s="141" t="s">
        <v>1</v>
      </c>
      <c r="F4" s="141" t="s">
        <v>2</v>
      </c>
      <c r="G4" s="141" t="s">
        <v>3</v>
      </c>
      <c r="H4" s="141" t="s">
        <v>4</v>
      </c>
      <c r="I4" s="141" t="s">
        <v>5</v>
      </c>
      <c r="J4" s="141" t="s">
        <v>6</v>
      </c>
      <c r="K4" s="141" t="s">
        <v>7</v>
      </c>
      <c r="L4" s="142" t="s">
        <v>14</v>
      </c>
      <c r="M4" s="142"/>
    </row>
    <row r="5" spans="2:29" x14ac:dyDescent="0.25">
      <c r="C5" s="144"/>
      <c r="D5" s="145"/>
      <c r="E5" s="146">
        <v>5</v>
      </c>
      <c r="F5" s="286">
        <f>+'Capacity Delivered'!$G$5</f>
        <v>1</v>
      </c>
      <c r="G5" s="147" t="s">
        <v>8</v>
      </c>
      <c r="H5" s="148">
        <f>'Electric EES CE Std Energy'!D13</f>
        <v>3.8067082555830287E-2</v>
      </c>
      <c r="I5" s="149">
        <f>'Baseload Avoided Capacity Calcs'!X11</f>
        <v>1.2499503129649488E-2</v>
      </c>
      <c r="J5" s="149">
        <f>H5+I5</f>
        <v>5.0566585685479774E-2</v>
      </c>
      <c r="K5" s="150">
        <f>J5</f>
        <v>5.0566585685479774E-2</v>
      </c>
      <c r="L5" s="151">
        <f>K5*1000</f>
        <v>50.566585685479772</v>
      </c>
      <c r="M5" s="135"/>
    </row>
    <row r="6" spans="2:29" ht="15.6" x14ac:dyDescent="0.3">
      <c r="C6" s="143"/>
      <c r="D6" s="143"/>
      <c r="E6" s="110"/>
      <c r="F6" s="110"/>
      <c r="G6" s="110"/>
      <c r="H6" s="32">
        <f>H5*1000</f>
        <v>38.067082555830289</v>
      </c>
      <c r="I6" s="32">
        <f t="shared" ref="I6:K6" si="0">I5*1000</f>
        <v>12.499503129649488</v>
      </c>
      <c r="J6" s="32">
        <f t="shared" si="0"/>
        <v>50.566585685479772</v>
      </c>
      <c r="K6" s="32">
        <f t="shared" si="0"/>
        <v>50.566585685479772</v>
      </c>
      <c r="L6" s="112">
        <f>L5*(1-M6)</f>
        <v>49.04958811491538</v>
      </c>
      <c r="M6" s="233">
        <v>0.03</v>
      </c>
      <c r="N6" s="113" t="s">
        <v>40</v>
      </c>
    </row>
    <row r="7" spans="2:29" x14ac:dyDescent="0.25">
      <c r="C7" s="114"/>
      <c r="D7" s="111"/>
      <c r="H7" s="40"/>
      <c r="I7" s="109"/>
      <c r="J7" s="40"/>
      <c r="K7" s="109"/>
      <c r="L7" s="109"/>
      <c r="M7" s="110"/>
    </row>
    <row r="8" spans="2:29" ht="15.6" x14ac:dyDescent="0.3">
      <c r="C8" s="110"/>
      <c r="D8" s="110"/>
      <c r="E8" s="110"/>
      <c r="F8" s="110"/>
      <c r="G8" s="110"/>
      <c r="H8" s="115"/>
      <c r="I8" s="115"/>
      <c r="J8" s="115"/>
      <c r="K8" s="115"/>
      <c r="L8" s="115"/>
      <c r="M8" s="115"/>
      <c r="N8" s="115"/>
      <c r="O8" s="115"/>
      <c r="P8" s="115"/>
      <c r="S8" s="115"/>
      <c r="T8" s="115"/>
      <c r="U8" s="116"/>
      <c r="V8" s="116"/>
      <c r="X8" s="197" t="s">
        <v>79</v>
      </c>
      <c r="Y8" s="115"/>
      <c r="Z8" s="116"/>
      <c r="AA8" s="116"/>
      <c r="AB8" s="115"/>
      <c r="AC8" s="110"/>
    </row>
    <row r="9" spans="2:29" x14ac:dyDescent="0.25">
      <c r="C9" s="117" t="s">
        <v>9</v>
      </c>
      <c r="D9" s="117"/>
      <c r="E9" s="117"/>
      <c r="F9" s="118">
        <f>+L6</f>
        <v>49.04958811491538</v>
      </c>
      <c r="G9" s="118">
        <f t="shared" ref="G9:J9" si="1">F9</f>
        <v>49.04958811491538</v>
      </c>
      <c r="H9" s="118">
        <f t="shared" si="1"/>
        <v>49.04958811491538</v>
      </c>
      <c r="I9" s="118">
        <f t="shared" si="1"/>
        <v>49.04958811491538</v>
      </c>
      <c r="J9" s="118">
        <f t="shared" si="1"/>
        <v>49.04958811491538</v>
      </c>
      <c r="K9" s="115"/>
      <c r="L9" s="115"/>
      <c r="M9" s="115"/>
      <c r="N9" s="115"/>
      <c r="O9" s="116"/>
      <c r="P9" s="40"/>
      <c r="S9" s="40"/>
      <c r="T9" s="40"/>
      <c r="U9" s="40"/>
      <c r="X9" s="196">
        <f>NPV(Rate_of_Return,F9:J9)</f>
        <v>199.03022818806673</v>
      </c>
      <c r="Y9" s="196">
        <f>-PMT(Rate_of_Return,E5,X9)</f>
        <v>49.04958811491538</v>
      </c>
    </row>
    <row r="10" spans="2:29" x14ac:dyDescent="0.25">
      <c r="C10" s="110"/>
      <c r="D10" s="110"/>
      <c r="E10" s="110"/>
      <c r="F10" s="119"/>
      <c r="G10" s="119"/>
      <c r="H10" s="119"/>
      <c r="I10" s="119"/>
      <c r="J10" s="119"/>
      <c r="K10" s="115"/>
      <c r="L10" s="115"/>
      <c r="M10" s="115"/>
      <c r="N10" s="115"/>
      <c r="O10" s="116"/>
      <c r="P10" s="40"/>
      <c r="S10" s="40"/>
      <c r="T10" s="40"/>
      <c r="U10" s="40"/>
      <c r="X10" s="32"/>
      <c r="Y10" s="32"/>
    </row>
    <row r="11" spans="2:29" x14ac:dyDescent="0.25">
      <c r="C11" s="53" t="s">
        <v>59</v>
      </c>
      <c r="F11" s="201">
        <v>1</v>
      </c>
      <c r="G11" s="201">
        <v>2</v>
      </c>
      <c r="H11" s="201">
        <v>3</v>
      </c>
      <c r="I11" s="201">
        <v>4</v>
      </c>
      <c r="J11" s="201">
        <v>5</v>
      </c>
      <c r="K11" s="201">
        <v>6</v>
      </c>
      <c r="L11" s="201">
        <v>7</v>
      </c>
      <c r="M11" s="115"/>
      <c r="N11" s="115"/>
      <c r="O11" s="116"/>
      <c r="P11" s="40"/>
      <c r="S11" s="40"/>
      <c r="T11" s="40"/>
      <c r="U11" s="40"/>
      <c r="X11" s="40"/>
      <c r="Y11" s="40"/>
    </row>
    <row r="12" spans="2:29" ht="15.6" x14ac:dyDescent="0.3">
      <c r="C12" s="110"/>
      <c r="D12" s="108"/>
      <c r="E12" s="110"/>
      <c r="F12" s="120">
        <f>'Energy Prices'!$C$6</f>
        <v>2023</v>
      </c>
      <c r="G12" s="120">
        <f>F12+1</f>
        <v>2024</v>
      </c>
      <c r="H12" s="120">
        <f>G12+1</f>
        <v>2025</v>
      </c>
      <c r="I12" s="120">
        <f t="shared" ref="I12:L12" si="2">H12+1</f>
        <v>2026</v>
      </c>
      <c r="J12" s="120">
        <f t="shared" si="2"/>
        <v>2027</v>
      </c>
      <c r="K12" s="120">
        <f t="shared" si="2"/>
        <v>2028</v>
      </c>
      <c r="L12" s="120">
        <f t="shared" si="2"/>
        <v>2029</v>
      </c>
      <c r="M12" s="115"/>
      <c r="N12" s="115"/>
      <c r="O12" s="116"/>
      <c r="P12" s="199"/>
      <c r="S12" s="116"/>
      <c r="T12" s="116"/>
      <c r="U12" s="116"/>
      <c r="X12" s="197" t="s">
        <v>79</v>
      </c>
      <c r="Y12" s="32"/>
    </row>
    <row r="13" spans="2:29" ht="52.95" customHeight="1" x14ac:dyDescent="0.25">
      <c r="B13" s="110"/>
      <c r="C13" s="202" t="s">
        <v>97</v>
      </c>
      <c r="D13" s="110"/>
      <c r="F13" s="152">
        <f>F$9*F$20</f>
        <v>46.822005011380064</v>
      </c>
      <c r="G13" s="153">
        <f t="shared" ref="G13:J13" si="3">G$9*G$20</f>
        <v>47.992555136664564</v>
      </c>
      <c r="H13" s="154">
        <f t="shared" si="3"/>
        <v>49.192369015081169</v>
      </c>
      <c r="I13" s="154">
        <f t="shared" si="3"/>
        <v>50.422178240458194</v>
      </c>
      <c r="J13" s="154">
        <f t="shared" si="3"/>
        <v>51.68273269646965</v>
      </c>
      <c r="K13" s="198">
        <f>J13*1.025</f>
        <v>52.97480101388139</v>
      </c>
      <c r="L13" s="198">
        <f>K13*1.025</f>
        <v>54.299171039228419</v>
      </c>
      <c r="M13" s="115"/>
      <c r="N13" s="115"/>
      <c r="O13" s="116"/>
      <c r="P13" s="122"/>
      <c r="S13" s="122"/>
      <c r="T13" s="122"/>
      <c r="U13" s="122"/>
      <c r="X13" s="196">
        <f>NPV(Rate_of_Return,F13:J13)</f>
        <v>199.03022818806676</v>
      </c>
      <c r="Y13" s="196">
        <f>-PMT(Rate_of_Return,E5,X13)</f>
        <v>49.049588114915387</v>
      </c>
    </row>
    <row r="14" spans="2:29" x14ac:dyDescent="0.25">
      <c r="C14" s="121"/>
      <c r="E14" s="124"/>
      <c r="F14" s="122"/>
      <c r="G14" s="122"/>
      <c r="H14" s="122"/>
      <c r="I14" s="122"/>
      <c r="J14" s="122"/>
      <c r="K14" s="115"/>
      <c r="L14" s="115"/>
      <c r="M14" s="115"/>
      <c r="N14" s="115"/>
      <c r="O14" s="116"/>
      <c r="P14" s="122"/>
      <c r="S14" s="116"/>
      <c r="T14" s="116"/>
      <c r="U14" s="116"/>
      <c r="V14" s="115"/>
      <c r="W14" s="110"/>
      <c r="X14" s="116"/>
      <c r="Y14" s="116"/>
    </row>
    <row r="15" spans="2:29" x14ac:dyDescent="0.25">
      <c r="C15" s="125"/>
      <c r="E15" s="124"/>
      <c r="F15" s="122"/>
      <c r="G15" s="122"/>
      <c r="H15" s="122"/>
      <c r="I15" s="122"/>
      <c r="J15" s="122"/>
      <c r="K15" s="115"/>
      <c r="L15" s="115"/>
      <c r="M15" s="115"/>
      <c r="N15" s="115"/>
      <c r="O15" s="116"/>
      <c r="P15" s="122"/>
      <c r="S15" s="116"/>
      <c r="T15" s="116"/>
      <c r="U15" s="116"/>
      <c r="V15" s="116"/>
      <c r="X15" s="116"/>
      <c r="Y15" s="116"/>
    </row>
    <row r="16" spans="2:29" x14ac:dyDescent="0.25">
      <c r="C16" s="53" t="s">
        <v>10</v>
      </c>
      <c r="K16" s="115"/>
      <c r="L16" s="115"/>
      <c r="M16" s="115"/>
      <c r="N16" s="115"/>
      <c r="O16" s="116"/>
    </row>
    <row r="17" spans="2:25" x14ac:dyDescent="0.25">
      <c r="K17" s="115"/>
      <c r="L17" s="115"/>
      <c r="M17" s="115"/>
      <c r="N17" s="115"/>
      <c r="O17" s="116"/>
    </row>
    <row r="18" spans="2:25" ht="15.6" x14ac:dyDescent="0.3">
      <c r="C18" s="110"/>
      <c r="D18" s="110"/>
      <c r="E18" s="110"/>
      <c r="F18" s="110"/>
      <c r="G18" s="110"/>
      <c r="H18" s="110"/>
      <c r="I18" s="110"/>
      <c r="J18" s="110"/>
      <c r="K18" s="115"/>
      <c r="L18" s="115"/>
      <c r="M18" s="115"/>
      <c r="N18" s="115"/>
      <c r="O18" s="116"/>
      <c r="X18" s="197" t="s">
        <v>79</v>
      </c>
      <c r="Y18" s="110"/>
    </row>
    <row r="19" spans="2:25" x14ac:dyDescent="0.25">
      <c r="C19" s="117" t="s">
        <v>11</v>
      </c>
      <c r="D19" s="117"/>
      <c r="E19" s="117"/>
      <c r="F19" s="136">
        <v>100</v>
      </c>
      <c r="G19" s="136">
        <f t="shared" ref="G19:J19" si="4">F19*1.025</f>
        <v>102.49999999999999</v>
      </c>
      <c r="H19" s="136">
        <f t="shared" si="4"/>
        <v>105.06249999999997</v>
      </c>
      <c r="I19" s="136">
        <f t="shared" si="4"/>
        <v>107.68906249999996</v>
      </c>
      <c r="J19" s="136">
        <f t="shared" si="4"/>
        <v>110.38128906249996</v>
      </c>
      <c r="K19" s="115"/>
      <c r="L19" s="115"/>
      <c r="M19" s="115"/>
      <c r="N19" s="115"/>
      <c r="O19" s="116"/>
      <c r="P19" s="126"/>
      <c r="S19" s="116"/>
      <c r="T19" s="116"/>
      <c r="U19" s="116"/>
      <c r="X19" s="156">
        <f>NPV(Rate_of_Return,F19:J19)</f>
        <v>425.07839666347598</v>
      </c>
      <c r="Y19" s="156">
        <f>-PMT(Rate_of_Return,E5,X19)</f>
        <v>104.75755598888578</v>
      </c>
    </row>
    <row r="20" spans="2:25" x14ac:dyDescent="0.25">
      <c r="C20" s="139" t="s">
        <v>12</v>
      </c>
      <c r="D20" s="139"/>
      <c r="E20" s="139"/>
      <c r="F20" s="140">
        <f>F19/$Y$19</f>
        <v>0.95458508034121625</v>
      </c>
      <c r="G20" s="140">
        <f>G19/$Y$19</f>
        <v>0.97844970734974657</v>
      </c>
      <c r="H20" s="140">
        <f>H19/$Y$19</f>
        <v>1.0029109500334901</v>
      </c>
      <c r="I20" s="140">
        <f>I19/$Y$19</f>
        <v>1.0279837237843272</v>
      </c>
      <c r="J20" s="140">
        <f>J19/$Y$19</f>
        <v>1.0536833168789355</v>
      </c>
      <c r="K20" s="115"/>
      <c r="L20" s="115"/>
      <c r="M20" s="115"/>
      <c r="N20" s="115"/>
      <c r="O20" s="116"/>
      <c r="P20" s="127"/>
      <c r="S20" s="116"/>
      <c r="T20" s="116"/>
      <c r="U20" s="116"/>
      <c r="X20" s="155">
        <f>NPV(Rate_of_Return,F20:J20)</f>
        <v>4.0577349543031964</v>
      </c>
      <c r="Y20" s="155">
        <f>-PMT(Rate_of_Return,E5,X20)</f>
        <v>1</v>
      </c>
    </row>
    <row r="21" spans="2:25" x14ac:dyDescent="0.25">
      <c r="C21" s="110"/>
      <c r="D21" s="110"/>
      <c r="E21" s="137"/>
      <c r="F21" s="137"/>
      <c r="G21" s="137"/>
      <c r="H21" s="137"/>
      <c r="I21" s="137"/>
      <c r="J21" s="137"/>
      <c r="K21" s="137"/>
      <c r="L21" s="137"/>
      <c r="M21" s="138"/>
      <c r="N21" s="138"/>
      <c r="O21" s="138"/>
      <c r="P21" s="115"/>
      <c r="S21" s="115"/>
      <c r="T21" s="115"/>
      <c r="U21" s="116"/>
      <c r="W21" s="110"/>
      <c r="X21" s="115"/>
      <c r="Y21" s="115"/>
    </row>
    <row r="22" spans="2:25" x14ac:dyDescent="0.25">
      <c r="B22" s="128" t="s">
        <v>13</v>
      </c>
      <c r="C22" s="129"/>
      <c r="D22" s="130"/>
      <c r="E22" s="130"/>
      <c r="F22" s="130"/>
      <c r="G22" s="130"/>
      <c r="H22" s="130"/>
      <c r="I22" s="130"/>
      <c r="J22" s="130"/>
      <c r="K22" s="130"/>
      <c r="L22" s="130"/>
      <c r="M22" s="130"/>
      <c r="N22" s="130"/>
      <c r="O22" s="130"/>
      <c r="Y22" s="125"/>
    </row>
    <row r="23" spans="2:25" x14ac:dyDescent="0.25">
      <c r="B23" s="131">
        <v>1</v>
      </c>
      <c r="C23" s="283" t="s">
        <v>119</v>
      </c>
      <c r="D23" s="130"/>
      <c r="E23" s="130"/>
      <c r="F23" s="130"/>
      <c r="G23" s="130"/>
      <c r="H23" s="130"/>
      <c r="I23" s="130"/>
      <c r="J23" s="130"/>
      <c r="K23" s="130"/>
      <c r="L23" s="130"/>
      <c r="M23" s="130"/>
      <c r="N23" s="130"/>
      <c r="O23" s="130"/>
      <c r="Y23" s="121"/>
    </row>
    <row r="24" spans="2:25" x14ac:dyDescent="0.25">
      <c r="B24" s="131">
        <v>2</v>
      </c>
      <c r="C24" s="130" t="s">
        <v>181</v>
      </c>
      <c r="D24" s="130"/>
      <c r="E24" s="130"/>
      <c r="F24" s="130"/>
      <c r="G24" s="130"/>
      <c r="H24" s="130"/>
      <c r="I24" s="130"/>
      <c r="J24" s="130"/>
      <c r="K24" s="130"/>
      <c r="L24" s="130"/>
      <c r="M24" s="130"/>
      <c r="N24" s="130"/>
      <c r="O24" s="130"/>
      <c r="Y24" s="122"/>
    </row>
    <row r="25" spans="2:25" x14ac:dyDescent="0.25">
      <c r="B25" s="131">
        <v>3</v>
      </c>
      <c r="C25" s="130" t="s">
        <v>48</v>
      </c>
      <c r="D25" s="130"/>
      <c r="E25" s="130"/>
      <c r="F25" s="130"/>
      <c r="G25" s="130"/>
      <c r="H25" s="130"/>
      <c r="I25" s="130"/>
      <c r="J25" s="130"/>
      <c r="K25" s="130"/>
      <c r="L25" s="130"/>
      <c r="M25" s="130"/>
      <c r="N25" s="130"/>
      <c r="O25" s="130"/>
      <c r="Y25" s="132"/>
    </row>
    <row r="26" spans="2:25" x14ac:dyDescent="0.25">
      <c r="B26" s="131">
        <v>4</v>
      </c>
      <c r="C26" s="130" t="s">
        <v>143</v>
      </c>
      <c r="D26" s="130"/>
      <c r="E26" s="130"/>
      <c r="F26" s="130"/>
      <c r="G26" s="130"/>
      <c r="H26" s="130"/>
      <c r="I26" s="130"/>
      <c r="J26" s="130"/>
      <c r="K26" s="130"/>
      <c r="L26" s="130"/>
      <c r="M26" s="130"/>
      <c r="N26" s="130"/>
      <c r="O26" s="130"/>
      <c r="Y26" s="132"/>
    </row>
    <row r="27" spans="2:25" x14ac:dyDescent="0.25">
      <c r="B27" s="131">
        <v>5</v>
      </c>
      <c r="C27" s="130" t="s">
        <v>84</v>
      </c>
      <c r="D27" s="130"/>
      <c r="E27" s="130"/>
      <c r="F27" s="130"/>
      <c r="G27" s="130"/>
      <c r="H27" s="130"/>
      <c r="I27" s="130"/>
      <c r="J27" s="130"/>
      <c r="K27" s="130"/>
      <c r="L27" s="130"/>
      <c r="M27" s="130"/>
      <c r="N27" s="130"/>
      <c r="O27" s="130"/>
      <c r="Y27" s="121"/>
    </row>
    <row r="28" spans="2:25" x14ac:dyDescent="0.25">
      <c r="B28" s="131">
        <v>6</v>
      </c>
      <c r="C28" s="130" t="s">
        <v>85</v>
      </c>
      <c r="D28" s="130"/>
      <c r="E28" s="130"/>
      <c r="F28" s="130"/>
      <c r="G28" s="130"/>
      <c r="H28" s="130"/>
      <c r="I28" s="130"/>
      <c r="J28" s="130"/>
      <c r="K28" s="130"/>
      <c r="L28" s="130"/>
      <c r="M28" s="130"/>
      <c r="N28" s="130"/>
      <c r="O28" s="130"/>
      <c r="Y28" s="122"/>
    </row>
    <row r="29" spans="2:25" x14ac:dyDescent="0.25">
      <c r="B29" s="131">
        <v>7</v>
      </c>
      <c r="C29" s="130" t="s">
        <v>86</v>
      </c>
      <c r="D29" s="130"/>
      <c r="E29" s="130"/>
      <c r="F29" s="130"/>
      <c r="G29" s="130"/>
      <c r="H29" s="130"/>
      <c r="I29" s="130"/>
      <c r="J29" s="130"/>
      <c r="K29" s="130"/>
      <c r="L29" s="130"/>
      <c r="M29" s="130"/>
      <c r="N29" s="130"/>
      <c r="O29" s="130"/>
      <c r="P29" s="130"/>
      <c r="Q29" s="130"/>
    </row>
    <row r="30" spans="2:25" x14ac:dyDescent="0.25">
      <c r="B30" s="131">
        <v>8</v>
      </c>
      <c r="C30" s="130" t="s">
        <v>54</v>
      </c>
      <c r="D30" s="130"/>
      <c r="E30" s="130"/>
      <c r="F30" s="130"/>
      <c r="G30" s="130"/>
      <c r="H30" s="130"/>
      <c r="I30" s="130"/>
      <c r="J30" s="130"/>
      <c r="K30" s="130"/>
      <c r="L30" s="130"/>
      <c r="M30" s="130"/>
      <c r="N30" s="130"/>
      <c r="O30" s="130"/>
      <c r="P30" s="130"/>
      <c r="Q30" s="130"/>
    </row>
    <row r="31" spans="2:25" x14ac:dyDescent="0.25">
      <c r="B31" s="131">
        <v>9</v>
      </c>
      <c r="C31" s="130" t="s">
        <v>87</v>
      </c>
      <c r="D31" s="130"/>
      <c r="E31" s="130"/>
      <c r="F31" s="130"/>
      <c r="G31" s="130"/>
      <c r="H31" s="130"/>
      <c r="I31" s="130"/>
      <c r="J31" s="130"/>
      <c r="K31" s="130"/>
      <c r="L31" s="130"/>
      <c r="M31" s="130"/>
      <c r="N31" s="130"/>
      <c r="O31" s="130"/>
      <c r="P31" s="130"/>
      <c r="Q31" s="130"/>
    </row>
    <row r="32" spans="2:25"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3"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6" t="s">
        <v>89</v>
      </c>
      <c r="D2" s="206"/>
      <c r="E2" s="206"/>
      <c r="F2" s="206"/>
      <c r="G2" s="206"/>
      <c r="H2" s="206"/>
      <c r="I2" s="206"/>
      <c r="J2" s="206"/>
      <c r="K2" s="206"/>
      <c r="L2" s="206"/>
    </row>
    <row r="3" spans="2:30" ht="15.6" x14ac:dyDescent="0.3">
      <c r="C3" s="42" t="s">
        <v>90</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6">
        <f>+'Capacity Delivered'!$G$5</f>
        <v>1</v>
      </c>
      <c r="G5" s="147" t="s">
        <v>8</v>
      </c>
      <c r="H5" s="148">
        <f>'Electric EES CE Std Energy'!D18</f>
        <v>4.0786409360273043E-2</v>
      </c>
      <c r="I5" s="149">
        <f>'Baseload Avoided Capacity Calcs'!X16</f>
        <v>1.2552991006643217E-2</v>
      </c>
      <c r="J5" s="149">
        <f>H5+I5</f>
        <v>5.3339400366916256E-2</v>
      </c>
      <c r="K5" s="150">
        <f>J5</f>
        <v>5.3339400366916256E-2</v>
      </c>
      <c r="L5" s="151">
        <f>K5*1000</f>
        <v>53.339400366916259</v>
      </c>
      <c r="M5" s="135"/>
    </row>
    <row r="6" spans="2:30" ht="15.6" x14ac:dyDescent="0.3">
      <c r="C6" s="143"/>
      <c r="D6" s="143"/>
      <c r="E6" s="110"/>
      <c r="F6" s="110"/>
      <c r="G6" s="110"/>
      <c r="H6" s="32">
        <f>H5*1000</f>
        <v>40.786409360273041</v>
      </c>
      <c r="I6" s="32">
        <f t="shared" ref="I6:K6" si="0">I5*1000</f>
        <v>12.552991006643216</v>
      </c>
      <c r="J6" s="32">
        <f t="shared" si="0"/>
        <v>53.339400366916259</v>
      </c>
      <c r="K6" s="32">
        <f t="shared" si="0"/>
        <v>53.339400366916259</v>
      </c>
      <c r="L6" s="112">
        <f>L5*(1-M6)</f>
        <v>51.739218355908768</v>
      </c>
      <c r="M6" s="233">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R8" s="115"/>
      <c r="U8" s="116"/>
      <c r="V8" s="116"/>
      <c r="X8" s="197" t="s">
        <v>79</v>
      </c>
      <c r="Y8" s="116"/>
      <c r="Z8" s="116"/>
      <c r="AA8" s="116"/>
      <c r="AB8" s="115"/>
      <c r="AC8" s="110"/>
    </row>
    <row r="9" spans="2:30" x14ac:dyDescent="0.25">
      <c r="C9" s="117" t="s">
        <v>9</v>
      </c>
      <c r="D9" s="117"/>
      <c r="E9" s="117"/>
      <c r="F9" s="118">
        <f>+L6</f>
        <v>51.739218355908768</v>
      </c>
      <c r="G9" s="118">
        <f t="shared" ref="G9:O9" si="1">F9</f>
        <v>51.739218355908768</v>
      </c>
      <c r="H9" s="118">
        <f t="shared" si="1"/>
        <v>51.739218355908768</v>
      </c>
      <c r="I9" s="118">
        <f t="shared" si="1"/>
        <v>51.739218355908768</v>
      </c>
      <c r="J9" s="118">
        <f t="shared" si="1"/>
        <v>51.739218355908768</v>
      </c>
      <c r="K9" s="118">
        <f t="shared" si="1"/>
        <v>51.739218355908768</v>
      </c>
      <c r="L9" s="118">
        <f t="shared" si="1"/>
        <v>51.739218355908768</v>
      </c>
      <c r="M9" s="118">
        <f t="shared" si="1"/>
        <v>51.739218355908768</v>
      </c>
      <c r="N9" s="118">
        <f t="shared" si="1"/>
        <v>51.739218355908768</v>
      </c>
      <c r="O9" s="118">
        <f t="shared" si="1"/>
        <v>51.739218355908768</v>
      </c>
      <c r="P9" s="115"/>
      <c r="Q9" s="115"/>
      <c r="R9" s="115"/>
      <c r="U9" s="116"/>
      <c r="V9" s="40"/>
      <c r="X9" s="196">
        <f>NPV(Rate_of_Return,F9:O9)</f>
        <v>356.93286299201361</v>
      </c>
      <c r="Y9" s="196">
        <f>-PMT(Rate_of_Return,10,X9)</f>
        <v>51.739218355908754</v>
      </c>
      <c r="Z9" s="40"/>
      <c r="AA9" s="40"/>
    </row>
    <row r="10" spans="2:30" x14ac:dyDescent="0.25">
      <c r="C10" s="110"/>
      <c r="D10" s="110"/>
      <c r="E10" s="110"/>
      <c r="F10" s="119"/>
      <c r="G10" s="119"/>
      <c r="H10" s="119"/>
      <c r="I10" s="119"/>
      <c r="J10" s="119"/>
      <c r="K10" s="119"/>
      <c r="L10" s="119"/>
      <c r="M10" s="119"/>
      <c r="N10" s="119"/>
      <c r="O10" s="119"/>
      <c r="P10" s="115"/>
      <c r="Q10" s="115"/>
      <c r="R10" s="115"/>
      <c r="U10" s="116"/>
      <c r="V10" s="40"/>
      <c r="X10" s="32"/>
      <c r="Y10" s="32"/>
      <c r="Z10" s="40"/>
      <c r="AA10" s="40"/>
    </row>
    <row r="11" spans="2:30" x14ac:dyDescent="0.25">
      <c r="C11" s="53" t="s">
        <v>59</v>
      </c>
      <c r="F11" s="201">
        <v>1</v>
      </c>
      <c r="G11" s="201">
        <v>2</v>
      </c>
      <c r="H11" s="201">
        <v>3</v>
      </c>
      <c r="I11" s="201">
        <v>4</v>
      </c>
      <c r="J11" s="201">
        <v>5</v>
      </c>
      <c r="K11" s="201">
        <v>6</v>
      </c>
      <c r="L11" s="201">
        <v>7</v>
      </c>
      <c r="M11" s="201">
        <v>8</v>
      </c>
      <c r="N11" s="201">
        <v>9</v>
      </c>
      <c r="O11" s="201">
        <v>10</v>
      </c>
      <c r="P11" s="201">
        <v>11</v>
      </c>
      <c r="Q11" s="201">
        <v>12</v>
      </c>
      <c r="R11" s="115"/>
      <c r="U11" s="116"/>
      <c r="V11" s="40"/>
      <c r="X11" s="40"/>
      <c r="Y11" s="40"/>
      <c r="Z11" s="40"/>
      <c r="AA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 t="shared" ref="P12:Q12" si="3">O12+1</f>
        <v>2033</v>
      </c>
      <c r="Q12" s="120">
        <f t="shared" si="3"/>
        <v>2034</v>
      </c>
      <c r="R12" s="115"/>
      <c r="U12" s="116"/>
      <c r="V12" s="199"/>
      <c r="X12" s="197" t="s">
        <v>79</v>
      </c>
      <c r="Y12" s="32"/>
      <c r="Z12" s="116"/>
      <c r="AA12" s="116"/>
    </row>
    <row r="13" spans="2:30" ht="52.95" customHeight="1" x14ac:dyDescent="0.25">
      <c r="B13" s="110"/>
      <c r="C13" s="202" t="s">
        <v>97</v>
      </c>
      <c r="D13" s="110"/>
      <c r="F13" s="152">
        <f>F$9*F$20</f>
        <v>46.853968027863004</v>
      </c>
      <c r="G13" s="153">
        <f t="shared" ref="G13:O13" si="4">G$9*G$20</f>
        <v>48.025317228559572</v>
      </c>
      <c r="H13" s="154">
        <f t="shared" si="4"/>
        <v>49.225950159273552</v>
      </c>
      <c r="I13" s="154">
        <f t="shared" si="4"/>
        <v>50.456598913255391</v>
      </c>
      <c r="J13" s="154">
        <f t="shared" si="4"/>
        <v>51.718013886086773</v>
      </c>
      <c r="K13" s="154">
        <f t="shared" si="4"/>
        <v>53.010964233238937</v>
      </c>
      <c r="L13" s="154">
        <f t="shared" si="4"/>
        <v>54.336238339069908</v>
      </c>
      <c r="M13" s="154">
        <f t="shared" si="4"/>
        <v>55.694644297546638</v>
      </c>
      <c r="N13" s="154">
        <f t="shared" si="4"/>
        <v>57.087010404985307</v>
      </c>
      <c r="O13" s="154">
        <f t="shared" si="4"/>
        <v>58.514185665109927</v>
      </c>
      <c r="P13" s="198">
        <f>O13*1.025</f>
        <v>59.977040306737671</v>
      </c>
      <c r="Q13" s="198">
        <f>P13*1.025</f>
        <v>61.47646631440611</v>
      </c>
      <c r="R13" s="115"/>
      <c r="U13" s="116"/>
      <c r="V13" s="122"/>
      <c r="X13" s="196">
        <f>NPV(Rate_of_Return,F13:O13)</f>
        <v>356.93286299201378</v>
      </c>
      <c r="Y13" s="196">
        <f>-PMT(Rate_of_Return,10,X13)</f>
        <v>51.739218355908783</v>
      </c>
      <c r="Z13" s="122"/>
      <c r="AA13" s="122"/>
      <c r="AD13" s="123"/>
    </row>
    <row r="14" spans="2:30" x14ac:dyDescent="0.25">
      <c r="C14" s="121"/>
      <c r="E14" s="124"/>
      <c r="F14" s="122"/>
      <c r="G14" s="122"/>
      <c r="H14" s="122"/>
      <c r="I14" s="122"/>
      <c r="J14" s="122"/>
      <c r="K14" s="122"/>
      <c r="L14" s="122"/>
      <c r="M14" s="122"/>
      <c r="N14" s="122"/>
      <c r="O14" s="122"/>
      <c r="P14" s="115"/>
      <c r="Q14" s="115"/>
      <c r="R14" s="115"/>
      <c r="U14" s="116"/>
      <c r="V14" s="122"/>
      <c r="X14" s="116"/>
      <c r="Y14" s="116"/>
      <c r="Z14" s="116"/>
      <c r="AA14" s="116"/>
      <c r="AB14" s="115"/>
      <c r="AC14" s="110"/>
    </row>
    <row r="15" spans="2:30" x14ac:dyDescent="0.25">
      <c r="C15" s="125"/>
      <c r="E15" s="124"/>
      <c r="F15" s="122"/>
      <c r="G15" s="122"/>
      <c r="H15" s="122"/>
      <c r="I15" s="122"/>
      <c r="J15" s="122"/>
      <c r="K15" s="122"/>
      <c r="L15" s="122"/>
      <c r="M15" s="122"/>
      <c r="N15" s="122"/>
      <c r="O15" s="122"/>
      <c r="P15" s="115"/>
      <c r="Q15" s="115"/>
      <c r="R15" s="115"/>
      <c r="U15" s="116"/>
      <c r="V15" s="122"/>
      <c r="X15" s="116"/>
      <c r="Y15" s="116"/>
      <c r="Z15" s="116"/>
      <c r="AA15" s="116"/>
      <c r="AB15" s="116"/>
    </row>
    <row r="16" spans="2:30" x14ac:dyDescent="0.25">
      <c r="C16" s="53" t="s">
        <v>10</v>
      </c>
      <c r="P16" s="115"/>
      <c r="Q16" s="115"/>
      <c r="R16" s="115"/>
      <c r="U16" s="116"/>
    </row>
    <row r="17" spans="2:27" x14ac:dyDescent="0.25">
      <c r="P17" s="115"/>
      <c r="Q17" s="115"/>
      <c r="R17" s="115"/>
      <c r="U17" s="116"/>
    </row>
    <row r="18" spans="2:27" ht="15.6" x14ac:dyDescent="0.3">
      <c r="C18" s="110"/>
      <c r="D18" s="110"/>
      <c r="E18" s="110"/>
      <c r="F18" s="110"/>
      <c r="G18" s="110"/>
      <c r="H18" s="110"/>
      <c r="I18" s="110"/>
      <c r="J18" s="110"/>
      <c r="K18" s="110"/>
      <c r="L18" s="110"/>
      <c r="M18" s="110"/>
      <c r="N18" s="110"/>
      <c r="O18" s="110"/>
      <c r="P18" s="115"/>
      <c r="Q18" s="115"/>
      <c r="R18" s="115"/>
      <c r="U18" s="116"/>
      <c r="X18" s="197" t="s">
        <v>79</v>
      </c>
      <c r="Y18" s="110"/>
    </row>
    <row r="19" spans="2:27" x14ac:dyDescent="0.25">
      <c r="C19" s="117" t="s">
        <v>11</v>
      </c>
      <c r="D19" s="117"/>
      <c r="E19" s="117"/>
      <c r="F19" s="136">
        <v>100</v>
      </c>
      <c r="G19" s="136">
        <f t="shared" ref="G19:O19" si="5">F19*1.025</f>
        <v>102.49999999999999</v>
      </c>
      <c r="H19" s="136">
        <f t="shared" si="5"/>
        <v>105.06249999999997</v>
      </c>
      <c r="I19" s="136">
        <f t="shared" si="5"/>
        <v>107.68906249999996</v>
      </c>
      <c r="J19" s="136">
        <f t="shared" si="5"/>
        <v>110.38128906249996</v>
      </c>
      <c r="K19" s="136">
        <f t="shared" si="5"/>
        <v>113.14082128906244</v>
      </c>
      <c r="L19" s="136">
        <f t="shared" si="5"/>
        <v>115.96934182128899</v>
      </c>
      <c r="M19" s="136">
        <f t="shared" si="5"/>
        <v>118.8685753668212</v>
      </c>
      <c r="N19" s="136">
        <f t="shared" si="5"/>
        <v>121.84028975099173</v>
      </c>
      <c r="O19" s="136">
        <f t="shared" si="5"/>
        <v>124.88629699476651</v>
      </c>
      <c r="P19" s="115"/>
      <c r="Q19" s="115"/>
      <c r="R19" s="115"/>
      <c r="U19" s="116"/>
      <c r="V19" s="126"/>
      <c r="X19" s="156">
        <f>NPV(Rate_of_Return,F19:O19)</f>
        <v>761.7985797483658</v>
      </c>
      <c r="Y19" s="156">
        <f>-PMT(Rate_of_Return,10,X19)</f>
        <v>110.42654557057071</v>
      </c>
      <c r="Z19" s="116"/>
      <c r="AA19" s="116"/>
    </row>
    <row r="20" spans="2:27" x14ac:dyDescent="0.25">
      <c r="C20" s="139" t="s">
        <v>12</v>
      </c>
      <c r="D20" s="139"/>
      <c r="E20" s="139"/>
      <c r="F20" s="140">
        <f t="shared" ref="F20:O20" si="6">F19/$Y$19</f>
        <v>0.90557935579079241</v>
      </c>
      <c r="G20" s="140">
        <f t="shared" si="6"/>
        <v>0.92821883968556207</v>
      </c>
      <c r="H20" s="140">
        <f t="shared" si="6"/>
        <v>0.95142431067770095</v>
      </c>
      <c r="I20" s="140">
        <f t="shared" si="6"/>
        <v>0.97520991844464344</v>
      </c>
      <c r="J20" s="140">
        <f t="shared" si="6"/>
        <v>0.99959016640575948</v>
      </c>
      <c r="K20" s="140">
        <f t="shared" si="6"/>
        <v>1.0245799205659034</v>
      </c>
      <c r="L20" s="140">
        <f t="shared" si="6"/>
        <v>1.0501944185800509</v>
      </c>
      <c r="M20" s="140">
        <f t="shared" si="6"/>
        <v>1.0764492790445519</v>
      </c>
      <c r="N20" s="140">
        <f t="shared" si="6"/>
        <v>1.1033605110206657</v>
      </c>
      <c r="O20" s="140">
        <f t="shared" si="6"/>
        <v>1.1309445237961822</v>
      </c>
      <c r="P20" s="115"/>
      <c r="Q20" s="115"/>
      <c r="R20" s="115"/>
      <c r="U20" s="116"/>
      <c r="V20" s="127"/>
      <c r="X20" s="155">
        <f>NPV(Rate_of_Return,F20:O20)</f>
        <v>6.8986906709086568</v>
      </c>
      <c r="Y20" s="155">
        <f>-PMT(Rate_of_Return,10,X20)</f>
        <v>1.0000000000000002</v>
      </c>
      <c r="Z20" s="116"/>
      <c r="AA20" s="116"/>
    </row>
    <row r="21" spans="2:27" x14ac:dyDescent="0.25">
      <c r="C21" s="110"/>
      <c r="D21" s="110"/>
      <c r="E21" s="137"/>
      <c r="F21" s="137"/>
      <c r="G21" s="137"/>
      <c r="H21" s="137"/>
      <c r="I21" s="137"/>
      <c r="J21" s="137"/>
      <c r="K21" s="137"/>
      <c r="L21" s="137"/>
      <c r="M21" s="138"/>
      <c r="N21" s="138"/>
      <c r="O21" s="138"/>
      <c r="P21" s="115"/>
      <c r="Q21" s="115"/>
      <c r="R21" s="115"/>
      <c r="S21" s="115"/>
      <c r="T21" s="115"/>
      <c r="U21" s="116"/>
      <c r="W21" s="110"/>
      <c r="X21" s="110"/>
    </row>
    <row r="22" spans="2:27" x14ac:dyDescent="0.25">
      <c r="B22" s="128" t="s">
        <v>13</v>
      </c>
      <c r="C22" s="129"/>
      <c r="D22" s="130"/>
      <c r="E22" s="130"/>
      <c r="F22" s="130"/>
      <c r="G22" s="130"/>
      <c r="H22" s="130"/>
      <c r="I22" s="130"/>
      <c r="J22" s="130"/>
      <c r="K22" s="130"/>
      <c r="L22" s="130"/>
      <c r="M22" s="130"/>
      <c r="N22" s="130"/>
      <c r="O22" s="130"/>
      <c r="Y22" s="125"/>
    </row>
    <row r="23" spans="2:27" x14ac:dyDescent="0.25">
      <c r="B23" s="131">
        <v>1</v>
      </c>
      <c r="C23" s="283" t="s">
        <v>119</v>
      </c>
      <c r="D23" s="130"/>
      <c r="E23" s="130"/>
      <c r="F23" s="130"/>
      <c r="G23" s="130"/>
      <c r="H23" s="130"/>
      <c r="I23" s="130"/>
      <c r="J23" s="130"/>
      <c r="K23" s="130"/>
      <c r="L23" s="130"/>
      <c r="M23" s="130"/>
      <c r="N23" s="130"/>
      <c r="O23" s="130"/>
      <c r="Y23" s="121"/>
    </row>
    <row r="24" spans="2:27" x14ac:dyDescent="0.25">
      <c r="B24" s="131">
        <v>2</v>
      </c>
      <c r="C24" s="130" t="s">
        <v>181</v>
      </c>
      <c r="D24" s="130"/>
      <c r="E24" s="130"/>
      <c r="F24" s="130"/>
      <c r="G24" s="130"/>
      <c r="H24" s="130"/>
      <c r="I24" s="130"/>
      <c r="J24" s="130"/>
      <c r="K24" s="130"/>
      <c r="L24" s="130"/>
      <c r="M24" s="130"/>
      <c r="N24" s="130"/>
      <c r="O24" s="130"/>
      <c r="Y24" s="122"/>
    </row>
    <row r="25" spans="2:27" x14ac:dyDescent="0.25">
      <c r="B25" s="131">
        <v>3</v>
      </c>
      <c r="C25" s="130" t="s">
        <v>48</v>
      </c>
      <c r="D25" s="130"/>
      <c r="E25" s="130"/>
      <c r="F25" s="130"/>
      <c r="G25" s="130"/>
      <c r="H25" s="130"/>
      <c r="I25" s="130"/>
      <c r="J25" s="130"/>
      <c r="K25" s="130"/>
      <c r="L25" s="130"/>
      <c r="M25" s="130"/>
      <c r="N25" s="130"/>
      <c r="O25" s="130"/>
      <c r="Y25" s="132"/>
    </row>
    <row r="26" spans="2:27" x14ac:dyDescent="0.25">
      <c r="B26" s="131">
        <v>4</v>
      </c>
      <c r="C26" s="130" t="s">
        <v>143</v>
      </c>
      <c r="D26" s="130"/>
      <c r="E26" s="130"/>
      <c r="F26" s="130"/>
      <c r="G26" s="130"/>
      <c r="H26" s="130"/>
      <c r="I26" s="130"/>
      <c r="J26" s="130"/>
      <c r="K26" s="130"/>
      <c r="L26" s="130"/>
      <c r="M26" s="130"/>
      <c r="N26" s="130"/>
      <c r="O26" s="130"/>
      <c r="Y26" s="132"/>
    </row>
    <row r="27" spans="2:27" x14ac:dyDescent="0.25">
      <c r="B27" s="131">
        <v>5</v>
      </c>
      <c r="C27" s="130" t="s">
        <v>84</v>
      </c>
      <c r="D27" s="130"/>
      <c r="E27" s="130"/>
      <c r="F27" s="130"/>
      <c r="G27" s="130"/>
      <c r="H27" s="130"/>
      <c r="I27" s="130"/>
      <c r="J27" s="130"/>
      <c r="K27" s="130"/>
      <c r="L27" s="130"/>
      <c r="M27" s="130"/>
      <c r="N27" s="130"/>
      <c r="O27" s="130"/>
      <c r="Y27" s="121"/>
    </row>
    <row r="28" spans="2:27" x14ac:dyDescent="0.25">
      <c r="B28" s="131">
        <v>6</v>
      </c>
      <c r="C28" s="130" t="s">
        <v>85</v>
      </c>
      <c r="D28" s="130"/>
      <c r="E28" s="130"/>
      <c r="F28" s="130"/>
      <c r="G28" s="130"/>
      <c r="H28" s="130"/>
      <c r="I28" s="130"/>
      <c r="J28" s="130"/>
      <c r="K28" s="130"/>
      <c r="L28" s="130"/>
      <c r="M28" s="130"/>
      <c r="N28" s="130"/>
      <c r="O28" s="130"/>
      <c r="Y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abSelected="1"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6" t="s">
        <v>89</v>
      </c>
      <c r="D2" s="206"/>
      <c r="E2" s="206"/>
      <c r="F2" s="206"/>
      <c r="G2" s="206"/>
      <c r="H2" s="206"/>
      <c r="I2" s="206"/>
      <c r="J2" s="206"/>
      <c r="K2" s="206"/>
      <c r="L2" s="206"/>
    </row>
    <row r="3" spans="2:31" ht="15.6" x14ac:dyDescent="0.3">
      <c r="C3" s="42" t="s">
        <v>90</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6">
        <f>+'Capacity Delivered'!$G$5</f>
        <v>1</v>
      </c>
      <c r="G5" s="147" t="s">
        <v>8</v>
      </c>
      <c r="H5" s="148">
        <f>'Electric EES CE Std Energy'!D23</f>
        <v>4.2828278870585629E-2</v>
      </c>
      <c r="I5" s="149">
        <f>'Baseload Avoided Capacity Calcs'!X21</f>
        <v>1.266950697011043E-2</v>
      </c>
      <c r="J5" s="149">
        <f>H5+I5</f>
        <v>5.5497785840696062E-2</v>
      </c>
      <c r="K5" s="150">
        <f>J5</f>
        <v>5.5497785840696062E-2</v>
      </c>
      <c r="L5" s="151">
        <f>K5*1000</f>
        <v>55.497785840696061</v>
      </c>
      <c r="M5" s="135"/>
    </row>
    <row r="6" spans="2:31" ht="15.6" x14ac:dyDescent="0.3">
      <c r="C6" s="143"/>
      <c r="D6" s="143"/>
      <c r="E6" s="110"/>
      <c r="F6" s="110"/>
      <c r="G6" s="110"/>
      <c r="H6" s="32">
        <f>H5*1000</f>
        <v>42.828278870585628</v>
      </c>
      <c r="I6" s="32">
        <f t="shared" ref="I6:K6" si="0">I5*1000</f>
        <v>12.669506970110429</v>
      </c>
      <c r="J6" s="32">
        <f t="shared" si="0"/>
        <v>55.497785840696061</v>
      </c>
      <c r="K6" s="32">
        <f t="shared" si="0"/>
        <v>55.497785840696061</v>
      </c>
      <c r="L6" s="112">
        <f>L5*(1-M6)</f>
        <v>53.832852265475175</v>
      </c>
      <c r="M6" s="233">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7" t="s">
        <v>79</v>
      </c>
      <c r="Y8" s="116"/>
      <c r="Z8" s="116"/>
      <c r="AA8" s="116"/>
      <c r="AB8" s="116"/>
      <c r="AC8" s="115"/>
      <c r="AD8" s="110"/>
    </row>
    <row r="9" spans="2:31" x14ac:dyDescent="0.25">
      <c r="C9" s="117" t="s">
        <v>9</v>
      </c>
      <c r="D9" s="117"/>
      <c r="E9" s="117"/>
      <c r="F9" s="118">
        <f>+L6</f>
        <v>53.832852265475175</v>
      </c>
      <c r="G9" s="118">
        <f t="shared" ref="G9:T9" si="1">F9</f>
        <v>53.832852265475175</v>
      </c>
      <c r="H9" s="118">
        <f t="shared" si="1"/>
        <v>53.832852265475175</v>
      </c>
      <c r="I9" s="118">
        <f t="shared" si="1"/>
        <v>53.832852265475175</v>
      </c>
      <c r="J9" s="118">
        <f t="shared" si="1"/>
        <v>53.832852265475175</v>
      </c>
      <c r="K9" s="118">
        <f t="shared" si="1"/>
        <v>53.832852265475175</v>
      </c>
      <c r="L9" s="118">
        <f t="shared" si="1"/>
        <v>53.832852265475175</v>
      </c>
      <c r="M9" s="118">
        <f t="shared" si="1"/>
        <v>53.832852265475175</v>
      </c>
      <c r="N9" s="118">
        <f t="shared" si="1"/>
        <v>53.832852265475175</v>
      </c>
      <c r="O9" s="118">
        <f t="shared" si="1"/>
        <v>53.832852265475175</v>
      </c>
      <c r="P9" s="118">
        <f t="shared" si="1"/>
        <v>53.832852265475175</v>
      </c>
      <c r="Q9" s="118">
        <f t="shared" si="1"/>
        <v>53.832852265475175</v>
      </c>
      <c r="R9" s="118">
        <f t="shared" si="1"/>
        <v>53.832852265475175</v>
      </c>
      <c r="S9" s="118">
        <f t="shared" si="1"/>
        <v>53.832852265475175</v>
      </c>
      <c r="T9" s="118">
        <f t="shared" si="1"/>
        <v>53.832852265475175</v>
      </c>
      <c r="U9" s="40"/>
      <c r="V9" s="40"/>
      <c r="W9" s="40"/>
      <c r="X9" s="196">
        <f>NPV(Rate_of_Return,F9:T9)</f>
        <v>478.45232003696043</v>
      </c>
      <c r="Y9" s="196">
        <f>-PMT(Rate_of_Return,15,X9)</f>
        <v>53.832852265475132</v>
      </c>
      <c r="Z9" s="40"/>
      <c r="AA9" s="40"/>
      <c r="AB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c r="AB10" s="40"/>
    </row>
    <row r="11" spans="2:31" x14ac:dyDescent="0.25">
      <c r="C11" s="53" t="s">
        <v>59</v>
      </c>
      <c r="F11" s="201">
        <v>1</v>
      </c>
      <c r="G11" s="201">
        <v>2</v>
      </c>
      <c r="H11" s="201">
        <v>3</v>
      </c>
      <c r="I11" s="201">
        <v>4</v>
      </c>
      <c r="J11" s="201">
        <v>5</v>
      </c>
      <c r="K11" s="201">
        <v>6</v>
      </c>
      <c r="L11" s="201">
        <v>7</v>
      </c>
      <c r="M11" s="201">
        <v>8</v>
      </c>
      <c r="N11" s="201">
        <v>9</v>
      </c>
      <c r="O11" s="201">
        <v>10</v>
      </c>
      <c r="P11" s="201">
        <v>11</v>
      </c>
      <c r="Q11" s="201">
        <v>12</v>
      </c>
      <c r="R11" s="201">
        <v>13</v>
      </c>
      <c r="S11" s="201">
        <v>14</v>
      </c>
      <c r="T11" s="201">
        <v>15</v>
      </c>
      <c r="U11" s="201">
        <v>16</v>
      </c>
      <c r="V11" s="201">
        <v>17</v>
      </c>
      <c r="W11" s="40"/>
      <c r="X11" s="40"/>
      <c r="Y11" s="40"/>
      <c r="Z11" s="40"/>
      <c r="AA11" s="40"/>
      <c r="AB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9"/>
      <c r="X12" s="197" t="s">
        <v>79</v>
      </c>
      <c r="Y12" s="32"/>
      <c r="Z12" s="116"/>
      <c r="AA12" s="116"/>
      <c r="AB12" s="116"/>
    </row>
    <row r="13" spans="2:31" ht="52.5" customHeight="1" x14ac:dyDescent="0.25">
      <c r="B13" s="110"/>
      <c r="C13" s="202" t="s">
        <v>97</v>
      </c>
      <c r="D13" s="110"/>
      <c r="F13" s="152">
        <f>F$9*F$20</f>
        <v>46.518207910501985</v>
      </c>
      <c r="G13" s="153">
        <f t="shared" ref="G13:T13" si="3">G$9*G$20</f>
        <v>47.681163108264528</v>
      </c>
      <c r="H13" s="154">
        <f t="shared" si="3"/>
        <v>48.873192185971135</v>
      </c>
      <c r="I13" s="154">
        <f t="shared" si="3"/>
        <v>50.09502199062041</v>
      </c>
      <c r="J13" s="154">
        <f t="shared" si="3"/>
        <v>51.34739754038592</v>
      </c>
      <c r="K13" s="154">
        <f t="shared" si="3"/>
        <v>52.631082478895557</v>
      </c>
      <c r="L13" s="154">
        <f t="shared" si="3"/>
        <v>53.946859540867941</v>
      </c>
      <c r="M13" s="154">
        <f t="shared" si="3"/>
        <v>55.295531029389636</v>
      </c>
      <c r="N13" s="154">
        <f t="shared" si="3"/>
        <v>56.677919305124369</v>
      </c>
      <c r="O13" s="154">
        <f t="shared" si="3"/>
        <v>58.094867287752479</v>
      </c>
      <c r="P13" s="154">
        <f t="shared" si="3"/>
        <v>59.547238969946278</v>
      </c>
      <c r="Q13" s="154">
        <f t="shared" si="3"/>
        <v>61.035919944194923</v>
      </c>
      <c r="R13" s="154">
        <f t="shared" si="3"/>
        <v>62.561817942799792</v>
      </c>
      <c r="S13" s="154">
        <f t="shared" si="3"/>
        <v>64.125863391369776</v>
      </c>
      <c r="T13" s="154">
        <f t="shared" si="3"/>
        <v>65.729009976154018</v>
      </c>
      <c r="U13" s="198">
        <f>T13*1.025</f>
        <v>67.372235225557858</v>
      </c>
      <c r="V13" s="198">
        <f>U13*1.025</f>
        <v>69.056541106196804</v>
      </c>
      <c r="W13" s="122"/>
      <c r="X13" s="196">
        <f>NPV(Rate_of_Return,F13:T13)</f>
        <v>478.45232003696083</v>
      </c>
      <c r="Y13" s="196">
        <f>-PMT(Rate_of_Return,15,X13)</f>
        <v>53.832852265475182</v>
      </c>
      <c r="Z13" s="122"/>
      <c r="AA13" s="122"/>
      <c r="AB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c r="AB14" s="116"/>
      <c r="AC14" s="115"/>
      <c r="AD14" s="110"/>
    </row>
    <row r="15" spans="2:31" x14ac:dyDescent="0.25">
      <c r="C15" s="125"/>
      <c r="E15" s="124"/>
      <c r="F15" s="122"/>
      <c r="G15" s="122"/>
      <c r="H15" s="122"/>
      <c r="I15" s="122"/>
      <c r="J15" s="122"/>
      <c r="K15" s="122"/>
      <c r="L15" s="122"/>
      <c r="M15" s="122"/>
      <c r="N15" s="122"/>
      <c r="O15" s="122"/>
      <c r="P15" s="122"/>
      <c r="Q15" s="122"/>
      <c r="R15" s="122"/>
      <c r="S15" s="122"/>
      <c r="T15" s="122"/>
      <c r="U15" s="122"/>
      <c r="V15" s="122"/>
      <c r="W15" s="122"/>
      <c r="X15" s="116"/>
      <c r="Y15" s="116"/>
      <c r="Z15" s="116"/>
      <c r="AA15" s="116"/>
      <c r="AB15" s="116"/>
      <c r="AC15" s="116"/>
    </row>
    <row r="16" spans="2:31" x14ac:dyDescent="0.25">
      <c r="C16" s="53" t="s">
        <v>10</v>
      </c>
      <c r="Q16" s="116"/>
      <c r="R16" s="116"/>
    </row>
    <row r="17" spans="2:28" x14ac:dyDescent="0.25">
      <c r="Q17" s="116"/>
      <c r="R17" s="116"/>
    </row>
    <row r="18" spans="2:28" ht="15.6" x14ac:dyDescent="0.3">
      <c r="C18" s="110"/>
      <c r="D18" s="110"/>
      <c r="E18" s="110"/>
      <c r="F18" s="110"/>
      <c r="G18" s="110"/>
      <c r="H18" s="110"/>
      <c r="I18" s="110"/>
      <c r="J18" s="110"/>
      <c r="K18" s="110"/>
      <c r="L18" s="110"/>
      <c r="M18" s="110"/>
      <c r="N18" s="110"/>
      <c r="O18" s="110"/>
      <c r="P18" s="110"/>
      <c r="Q18" s="115"/>
      <c r="R18" s="115"/>
      <c r="S18" s="110"/>
      <c r="T18" s="110"/>
      <c r="X18" s="197" t="s">
        <v>79</v>
      </c>
      <c r="Y18" s="110"/>
    </row>
    <row r="19" spans="2:28"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c r="AB19" s="116"/>
    </row>
    <row r="20" spans="2:28"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c r="AB20" s="116"/>
    </row>
    <row r="21" spans="2:28" x14ac:dyDescent="0.25">
      <c r="C21" s="110"/>
      <c r="D21" s="110"/>
      <c r="E21" s="137"/>
      <c r="F21" s="137"/>
      <c r="G21" s="137"/>
      <c r="H21" s="137"/>
      <c r="I21" s="137"/>
      <c r="J21" s="137"/>
      <c r="K21" s="137"/>
      <c r="L21" s="137"/>
      <c r="M21" s="138"/>
      <c r="N21" s="138"/>
      <c r="O21" s="138"/>
      <c r="P21" s="138"/>
      <c r="Q21" s="138"/>
      <c r="R21" s="138"/>
      <c r="S21" s="138"/>
      <c r="T21" s="138"/>
      <c r="X21" s="110"/>
      <c r="Y21" s="110"/>
    </row>
    <row r="22" spans="2:28" x14ac:dyDescent="0.25">
      <c r="B22" s="128" t="s">
        <v>13</v>
      </c>
      <c r="C22" s="129"/>
      <c r="D22" s="130"/>
      <c r="E22" s="130"/>
      <c r="F22" s="130"/>
      <c r="G22" s="130"/>
      <c r="H22" s="130"/>
      <c r="I22" s="130"/>
      <c r="J22" s="130"/>
      <c r="K22" s="130"/>
      <c r="L22" s="130"/>
      <c r="M22" s="130"/>
      <c r="N22" s="130"/>
      <c r="O22" s="130"/>
      <c r="Z22" s="125"/>
    </row>
    <row r="23" spans="2:28" x14ac:dyDescent="0.25">
      <c r="B23" s="131">
        <v>1</v>
      </c>
      <c r="C23" s="283" t="s">
        <v>119</v>
      </c>
      <c r="D23" s="130"/>
      <c r="E23" s="130"/>
      <c r="F23" s="130"/>
      <c r="G23" s="130"/>
      <c r="H23" s="130"/>
      <c r="I23" s="130"/>
      <c r="J23" s="130"/>
      <c r="K23" s="130"/>
      <c r="L23" s="130"/>
      <c r="M23" s="130"/>
      <c r="N23" s="130"/>
      <c r="O23" s="130"/>
      <c r="Z23" s="121"/>
    </row>
    <row r="24" spans="2:28" x14ac:dyDescent="0.25">
      <c r="B24" s="131">
        <v>2</v>
      </c>
      <c r="C24" s="130" t="s">
        <v>181</v>
      </c>
      <c r="D24" s="130"/>
      <c r="E24" s="130"/>
      <c r="F24" s="130"/>
      <c r="G24" s="130"/>
      <c r="H24" s="130"/>
      <c r="I24" s="130"/>
      <c r="J24" s="130"/>
      <c r="K24" s="130"/>
      <c r="L24" s="130"/>
      <c r="M24" s="130"/>
      <c r="N24" s="130"/>
      <c r="O24" s="130"/>
      <c r="Z24" s="122"/>
    </row>
    <row r="25" spans="2:28" x14ac:dyDescent="0.25">
      <c r="B25" s="131">
        <v>3</v>
      </c>
      <c r="C25" s="130" t="s">
        <v>48</v>
      </c>
      <c r="D25" s="130"/>
      <c r="E25" s="130"/>
      <c r="F25" s="130"/>
      <c r="G25" s="130"/>
      <c r="H25" s="130"/>
      <c r="I25" s="130"/>
      <c r="J25" s="130"/>
      <c r="K25" s="130"/>
      <c r="L25" s="130"/>
      <c r="M25" s="130"/>
      <c r="N25" s="130"/>
      <c r="O25" s="130"/>
      <c r="Z25" s="132"/>
    </row>
    <row r="26" spans="2:28" x14ac:dyDescent="0.25">
      <c r="B26" s="131">
        <v>4</v>
      </c>
      <c r="C26" s="130" t="s">
        <v>143</v>
      </c>
      <c r="D26" s="130"/>
      <c r="E26" s="130"/>
      <c r="F26" s="130"/>
      <c r="G26" s="130"/>
      <c r="H26" s="130"/>
      <c r="I26" s="130"/>
      <c r="J26" s="130"/>
      <c r="K26" s="130"/>
      <c r="L26" s="130"/>
      <c r="M26" s="130"/>
      <c r="N26" s="130"/>
      <c r="O26" s="130"/>
      <c r="Z26" s="132"/>
    </row>
    <row r="27" spans="2:28" x14ac:dyDescent="0.25">
      <c r="B27" s="131">
        <v>5</v>
      </c>
      <c r="C27" s="130" t="s">
        <v>84</v>
      </c>
      <c r="D27" s="130"/>
      <c r="E27" s="130"/>
      <c r="F27" s="130"/>
      <c r="G27" s="130"/>
      <c r="H27" s="130"/>
      <c r="I27" s="130"/>
      <c r="J27" s="130"/>
      <c r="K27" s="130"/>
      <c r="L27" s="130"/>
      <c r="M27" s="130"/>
      <c r="N27" s="130"/>
      <c r="O27" s="130"/>
      <c r="Z27" s="121"/>
    </row>
    <row r="28" spans="2:28" x14ac:dyDescent="0.25">
      <c r="B28" s="131">
        <v>6</v>
      </c>
      <c r="C28" s="130" t="s">
        <v>85</v>
      </c>
      <c r="D28" s="130"/>
      <c r="E28" s="130"/>
      <c r="F28" s="130"/>
      <c r="G28" s="130"/>
      <c r="H28" s="130"/>
      <c r="I28" s="130"/>
      <c r="J28" s="130"/>
      <c r="K28" s="130"/>
      <c r="L28" s="130"/>
      <c r="M28" s="130"/>
      <c r="N28" s="130"/>
      <c r="O28" s="130"/>
      <c r="Z28" s="122"/>
    </row>
    <row r="29" spans="2:28" x14ac:dyDescent="0.25">
      <c r="B29" s="131">
        <v>7</v>
      </c>
      <c r="C29" s="130" t="s">
        <v>86</v>
      </c>
      <c r="D29" s="130"/>
      <c r="E29" s="130"/>
      <c r="F29" s="130"/>
      <c r="G29" s="130"/>
      <c r="H29" s="130"/>
      <c r="I29" s="130"/>
      <c r="J29" s="130"/>
      <c r="K29" s="130"/>
      <c r="L29" s="130"/>
      <c r="M29" s="130"/>
      <c r="N29" s="130"/>
      <c r="O29" s="130"/>
      <c r="P29" s="130"/>
      <c r="Q29" s="130"/>
    </row>
    <row r="30" spans="2:28" x14ac:dyDescent="0.25">
      <c r="B30" s="131">
        <v>8</v>
      </c>
      <c r="C30" s="130" t="s">
        <v>54</v>
      </c>
      <c r="D30" s="130"/>
      <c r="E30" s="130"/>
      <c r="F30" s="130"/>
      <c r="G30" s="130"/>
      <c r="H30" s="130"/>
      <c r="I30" s="130"/>
      <c r="J30" s="130"/>
      <c r="K30" s="130"/>
      <c r="L30" s="130"/>
      <c r="M30" s="130"/>
      <c r="N30" s="130"/>
      <c r="O30" s="130"/>
      <c r="P30" s="130"/>
      <c r="Q30" s="130"/>
    </row>
    <row r="31" spans="2:28" x14ac:dyDescent="0.25">
      <c r="B31" s="131">
        <v>9</v>
      </c>
      <c r="C31" s="130" t="s">
        <v>87</v>
      </c>
      <c r="D31" s="130"/>
      <c r="E31" s="130"/>
      <c r="F31" s="130"/>
      <c r="G31" s="130"/>
      <c r="H31" s="130"/>
      <c r="I31" s="130"/>
      <c r="J31" s="130"/>
      <c r="K31" s="130"/>
      <c r="L31" s="130"/>
      <c r="M31" s="130"/>
      <c r="N31" s="130"/>
      <c r="O31" s="130"/>
      <c r="P31" s="130"/>
      <c r="Q31" s="130"/>
    </row>
    <row r="32" spans="2:28"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3"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6" t="s">
        <v>89</v>
      </c>
      <c r="D2" s="206"/>
      <c r="E2" s="206"/>
      <c r="F2" s="206"/>
      <c r="G2" s="206"/>
      <c r="H2" s="206"/>
      <c r="I2" s="206"/>
      <c r="J2" s="206"/>
      <c r="K2" s="206"/>
      <c r="L2" s="206"/>
    </row>
    <row r="3" spans="2:30" ht="15.6" x14ac:dyDescent="0.3">
      <c r="C3" s="42" t="s">
        <v>46</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6">
        <f>+'Capacity Delivered'!$H$5</f>
        <v>0.17799999999999999</v>
      </c>
      <c r="G5" s="147" t="s">
        <v>8</v>
      </c>
      <c r="H5" s="148">
        <f>'Electric EES CE Std Energy'!D18</f>
        <v>4.0786409360273043E-2</v>
      </c>
      <c r="I5" s="149">
        <f>'Wind Avoided Capacity Calcs'!X16</f>
        <v>6.9675228778184554E-3</v>
      </c>
      <c r="J5" s="149">
        <f>H5+I5</f>
        <v>4.7753932238091497E-2</v>
      </c>
      <c r="K5" s="150">
        <f>J5</f>
        <v>4.7753932238091497E-2</v>
      </c>
      <c r="L5" s="151">
        <f>K5*1000</f>
        <v>47.753932238091494</v>
      </c>
      <c r="M5" s="135"/>
    </row>
    <row r="6" spans="2:30" ht="15.6" x14ac:dyDescent="0.3">
      <c r="C6" s="143"/>
      <c r="D6" s="143"/>
      <c r="E6" s="110"/>
      <c r="F6" s="110"/>
      <c r="G6" s="110"/>
      <c r="H6" s="32">
        <f>H5*1000</f>
        <v>40.786409360273041</v>
      </c>
      <c r="I6" s="32">
        <f t="shared" ref="I6:K6" si="0">I5*1000</f>
        <v>6.967522877818455</v>
      </c>
      <c r="J6" s="32">
        <f t="shared" si="0"/>
        <v>47.753932238091494</v>
      </c>
      <c r="K6" s="32">
        <f t="shared" si="0"/>
        <v>47.753932238091494</v>
      </c>
      <c r="L6" s="112">
        <f>L5*(1-M6)</f>
        <v>46.321314270948747</v>
      </c>
      <c r="M6" s="233">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R8" s="115"/>
      <c r="U8" s="116"/>
      <c r="V8" s="116"/>
      <c r="X8" s="197" t="s">
        <v>79</v>
      </c>
      <c r="Y8" s="116"/>
      <c r="Z8" s="116"/>
      <c r="AA8" s="116"/>
      <c r="AB8" s="116"/>
    </row>
    <row r="9" spans="2:30" x14ac:dyDescent="0.25">
      <c r="C9" s="117" t="s">
        <v>9</v>
      </c>
      <c r="D9" s="117"/>
      <c r="E9" s="117"/>
      <c r="F9" s="118">
        <f>+L6</f>
        <v>46.321314270948747</v>
      </c>
      <c r="G9" s="118">
        <f t="shared" ref="G9:O9" si="1">F9</f>
        <v>46.321314270948747</v>
      </c>
      <c r="H9" s="118">
        <f t="shared" si="1"/>
        <v>46.321314270948747</v>
      </c>
      <c r="I9" s="118">
        <f t="shared" si="1"/>
        <v>46.321314270948747</v>
      </c>
      <c r="J9" s="118">
        <f t="shared" si="1"/>
        <v>46.321314270948747</v>
      </c>
      <c r="K9" s="118">
        <f t="shared" si="1"/>
        <v>46.321314270948747</v>
      </c>
      <c r="L9" s="118">
        <f t="shared" si="1"/>
        <v>46.321314270948747</v>
      </c>
      <c r="M9" s="118">
        <f t="shared" si="1"/>
        <v>46.321314270948747</v>
      </c>
      <c r="N9" s="118">
        <f t="shared" si="1"/>
        <v>46.321314270948747</v>
      </c>
      <c r="O9" s="118">
        <f t="shared" si="1"/>
        <v>46.321314270948747</v>
      </c>
      <c r="P9" s="115"/>
      <c r="Q9" s="115"/>
      <c r="R9" s="115"/>
      <c r="U9" s="116"/>
      <c r="V9" s="40"/>
      <c r="X9" s="196">
        <f>NPV(Rate_of_Return,F9:O9)</f>
        <v>319.55641862522202</v>
      </c>
      <c r="Y9" s="196">
        <f>-PMT(Rate_of_Return,$E$5,X9)</f>
        <v>46.321314270948733</v>
      </c>
      <c r="Z9" s="40"/>
      <c r="AA9" s="40"/>
    </row>
    <row r="10" spans="2:30" x14ac:dyDescent="0.25">
      <c r="C10" s="110"/>
      <c r="D10" s="110"/>
      <c r="E10" s="110"/>
      <c r="F10" s="119"/>
      <c r="G10" s="119"/>
      <c r="H10" s="119"/>
      <c r="I10" s="119"/>
      <c r="J10" s="119"/>
      <c r="K10" s="119"/>
      <c r="L10" s="119"/>
      <c r="M10" s="119"/>
      <c r="N10" s="119"/>
      <c r="O10" s="119"/>
      <c r="P10" s="115"/>
      <c r="Q10" s="115"/>
      <c r="R10" s="115"/>
      <c r="U10" s="116"/>
      <c r="V10" s="40"/>
      <c r="X10" s="32"/>
      <c r="Y10" s="32"/>
      <c r="Z10" s="40"/>
      <c r="AA10" s="40"/>
    </row>
    <row r="11" spans="2:30" x14ac:dyDescent="0.25">
      <c r="C11" s="53" t="s">
        <v>59</v>
      </c>
      <c r="F11" s="201">
        <v>1</v>
      </c>
      <c r="G11" s="201">
        <v>2</v>
      </c>
      <c r="H11" s="201">
        <v>3</v>
      </c>
      <c r="I11" s="201">
        <v>4</v>
      </c>
      <c r="J11" s="201">
        <v>5</v>
      </c>
      <c r="K11" s="201">
        <v>6</v>
      </c>
      <c r="L11" s="201">
        <v>7</v>
      </c>
      <c r="M11" s="201">
        <v>8</v>
      </c>
      <c r="N11" s="201">
        <v>9</v>
      </c>
      <c r="O11" s="201">
        <v>10</v>
      </c>
      <c r="P11" s="201">
        <v>11</v>
      </c>
      <c r="Q11" s="201">
        <v>12</v>
      </c>
      <c r="R11" s="115"/>
      <c r="U11" s="116"/>
      <c r="V11" s="40"/>
      <c r="X11" s="40"/>
      <c r="Y11" s="40"/>
      <c r="Z11" s="40"/>
      <c r="AA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O12+1</f>
        <v>2033</v>
      </c>
      <c r="Q12" s="120">
        <f>P12+1</f>
        <v>2034</v>
      </c>
      <c r="R12" s="115"/>
      <c r="U12" s="116"/>
      <c r="V12" s="199"/>
      <c r="X12" s="197" t="s">
        <v>79</v>
      </c>
      <c r="Y12" s="32"/>
      <c r="Z12" s="116"/>
      <c r="AA12" s="116"/>
    </row>
    <row r="13" spans="2:30" ht="52.95" customHeight="1" x14ac:dyDescent="0.25">
      <c r="B13" s="110"/>
      <c r="C13" s="203" t="s">
        <v>82</v>
      </c>
      <c r="D13" s="110"/>
      <c r="F13" s="152">
        <f t="shared" ref="F13:O13" si="3">F$9*F$20</f>
        <v>41.947625936868604</v>
      </c>
      <c r="G13" s="153">
        <f t="shared" si="3"/>
        <v>42.996316585290316</v>
      </c>
      <c r="H13" s="154">
        <f t="shared" si="3"/>
        <v>44.071224499922565</v>
      </c>
      <c r="I13" s="154">
        <f t="shared" si="3"/>
        <v>45.173005112420626</v>
      </c>
      <c r="J13" s="154">
        <f t="shared" si="3"/>
        <v>46.302330240231143</v>
      </c>
      <c r="K13" s="154">
        <f t="shared" si="3"/>
        <v>47.459888496236914</v>
      </c>
      <c r="L13" s="154">
        <f t="shared" si="3"/>
        <v>48.646385708642832</v>
      </c>
      <c r="M13" s="154">
        <f t="shared" si="3"/>
        <v>49.862545351358889</v>
      </c>
      <c r="N13" s="154">
        <f t="shared" si="3"/>
        <v>51.109108985142861</v>
      </c>
      <c r="O13" s="154">
        <f t="shared" si="3"/>
        <v>52.38683670977143</v>
      </c>
      <c r="P13" s="198">
        <f>O13*1.025</f>
        <v>53.696507627515707</v>
      </c>
      <c r="Q13" s="198">
        <f>P13*1.025</f>
        <v>55.038920318203594</v>
      </c>
      <c r="R13" s="115"/>
      <c r="U13" s="116"/>
      <c r="V13" s="122"/>
      <c r="X13" s="196">
        <f>NPV(Rate_of_Return,F13:O13)</f>
        <v>319.55641862522225</v>
      </c>
      <c r="Y13" s="196">
        <f>-PMT(Rate_of_Return,$E$5,X13)</f>
        <v>46.321314270948761</v>
      </c>
      <c r="Z13" s="122"/>
      <c r="AA13" s="122"/>
      <c r="AD13" s="123"/>
    </row>
    <row r="14" spans="2:30" x14ac:dyDescent="0.25">
      <c r="C14" s="121"/>
      <c r="E14" s="124"/>
      <c r="F14" s="122"/>
      <c r="G14" s="122"/>
      <c r="H14" s="122"/>
      <c r="I14" s="122"/>
      <c r="J14" s="122"/>
      <c r="K14" s="122"/>
      <c r="L14" s="122"/>
      <c r="M14" s="122"/>
      <c r="N14" s="122"/>
      <c r="O14" s="122"/>
      <c r="P14" s="115"/>
      <c r="Q14" s="115"/>
      <c r="R14" s="115"/>
      <c r="U14" s="116"/>
      <c r="V14" s="122"/>
      <c r="X14" s="116"/>
      <c r="Y14" s="116"/>
      <c r="Z14" s="116"/>
      <c r="AA14" s="116"/>
      <c r="AB14" s="116"/>
    </row>
    <row r="15" spans="2:30" x14ac:dyDescent="0.25">
      <c r="C15" s="125"/>
      <c r="E15" s="124"/>
      <c r="F15" s="122"/>
      <c r="G15" s="122"/>
      <c r="H15" s="122"/>
      <c r="I15" s="122"/>
      <c r="J15" s="122"/>
      <c r="K15" s="122"/>
      <c r="L15" s="122"/>
      <c r="M15" s="122"/>
      <c r="N15" s="122"/>
      <c r="O15" s="122"/>
      <c r="P15" s="115"/>
      <c r="Q15" s="115"/>
      <c r="R15" s="115"/>
      <c r="U15" s="116"/>
      <c r="V15" s="122"/>
      <c r="X15" s="116"/>
      <c r="Y15" s="116"/>
      <c r="Z15" s="116"/>
      <c r="AA15" s="116"/>
      <c r="AB15" s="116"/>
    </row>
    <row r="16" spans="2:30" x14ac:dyDescent="0.25">
      <c r="C16" s="53" t="s">
        <v>10</v>
      </c>
      <c r="P16" s="115"/>
      <c r="Q16" s="115"/>
      <c r="R16" s="115"/>
      <c r="U16" s="116"/>
    </row>
    <row r="17" spans="2:27" x14ac:dyDescent="0.25">
      <c r="P17" s="115"/>
      <c r="Q17" s="115"/>
      <c r="R17" s="115"/>
      <c r="U17" s="116"/>
    </row>
    <row r="18" spans="2:27" ht="15.6" x14ac:dyDescent="0.3">
      <c r="C18" s="110"/>
      <c r="D18" s="110"/>
      <c r="E18" s="110"/>
      <c r="F18" s="110"/>
      <c r="G18" s="110"/>
      <c r="H18" s="110"/>
      <c r="I18" s="110"/>
      <c r="J18" s="110"/>
      <c r="K18" s="110"/>
      <c r="L18" s="110"/>
      <c r="M18" s="110"/>
      <c r="N18" s="110"/>
      <c r="O18" s="110"/>
      <c r="P18" s="115"/>
      <c r="Q18" s="115"/>
      <c r="R18" s="115"/>
      <c r="U18" s="116"/>
      <c r="X18" s="197" t="s">
        <v>79</v>
      </c>
      <c r="Y18" s="110"/>
    </row>
    <row r="19" spans="2:27" x14ac:dyDescent="0.25">
      <c r="C19" s="117" t="s">
        <v>11</v>
      </c>
      <c r="D19" s="117"/>
      <c r="E19" s="117"/>
      <c r="F19" s="136">
        <v>100</v>
      </c>
      <c r="G19" s="136">
        <f t="shared" ref="G19:O19" si="4">F19*1.025</f>
        <v>102.49999999999999</v>
      </c>
      <c r="H19" s="136">
        <f t="shared" si="4"/>
        <v>105.06249999999997</v>
      </c>
      <c r="I19" s="136">
        <f t="shared" si="4"/>
        <v>107.68906249999996</v>
      </c>
      <c r="J19" s="136">
        <f t="shared" si="4"/>
        <v>110.38128906249996</v>
      </c>
      <c r="K19" s="136">
        <f t="shared" si="4"/>
        <v>113.14082128906244</v>
      </c>
      <c r="L19" s="136">
        <f>K19*1.025</f>
        <v>115.96934182128899</v>
      </c>
      <c r="M19" s="136">
        <f t="shared" si="4"/>
        <v>118.8685753668212</v>
      </c>
      <c r="N19" s="136">
        <f t="shared" si="4"/>
        <v>121.84028975099173</v>
      </c>
      <c r="O19" s="136">
        <f t="shared" si="4"/>
        <v>124.88629699476651</v>
      </c>
      <c r="P19" s="115"/>
      <c r="Q19" s="115"/>
      <c r="R19" s="115"/>
      <c r="U19" s="116"/>
      <c r="V19" s="126"/>
      <c r="X19" s="196">
        <f>NPV(Rate_of_Return,F19:O19)</f>
        <v>761.7985797483658</v>
      </c>
      <c r="Y19" s="196">
        <f>-PMT(Rate_of_Return,$E$5,X19)</f>
        <v>110.42654557057071</v>
      </c>
      <c r="Z19" s="116"/>
      <c r="AA19" s="116"/>
    </row>
    <row r="20" spans="2:27" x14ac:dyDescent="0.25">
      <c r="C20" s="139" t="s">
        <v>12</v>
      </c>
      <c r="D20" s="139"/>
      <c r="E20" s="139"/>
      <c r="F20" s="140">
        <f t="shared" ref="F20:O20" si="5">F19/$Y$19</f>
        <v>0.90557935579079241</v>
      </c>
      <c r="G20" s="140">
        <f t="shared" si="5"/>
        <v>0.92821883968556207</v>
      </c>
      <c r="H20" s="140">
        <f t="shared" si="5"/>
        <v>0.95142431067770095</v>
      </c>
      <c r="I20" s="140">
        <f t="shared" si="5"/>
        <v>0.97520991844464344</v>
      </c>
      <c r="J20" s="140">
        <f t="shared" si="5"/>
        <v>0.99959016640575948</v>
      </c>
      <c r="K20" s="140">
        <f t="shared" si="5"/>
        <v>1.0245799205659034</v>
      </c>
      <c r="L20" s="140">
        <f t="shared" si="5"/>
        <v>1.0501944185800509</v>
      </c>
      <c r="M20" s="140">
        <f t="shared" si="5"/>
        <v>1.0764492790445519</v>
      </c>
      <c r="N20" s="140">
        <f t="shared" si="5"/>
        <v>1.1033605110206657</v>
      </c>
      <c r="O20" s="140">
        <f t="shared" si="5"/>
        <v>1.1309445237961822</v>
      </c>
      <c r="P20" s="115"/>
      <c r="Q20" s="115"/>
      <c r="R20" s="115"/>
      <c r="U20" s="116"/>
      <c r="V20" s="127"/>
      <c r="X20" s="196">
        <f>NPV(Rate_of_Return,F20:O20)</f>
        <v>6.8986906709086568</v>
      </c>
      <c r="Y20" s="196">
        <f>-PMT(Rate_of_Return,$E$5,X20)</f>
        <v>1.0000000000000002</v>
      </c>
      <c r="Z20" s="116"/>
      <c r="AA20" s="116"/>
    </row>
    <row r="21" spans="2:27" x14ac:dyDescent="0.25">
      <c r="C21" s="110"/>
      <c r="D21" s="110"/>
      <c r="E21" s="137"/>
      <c r="F21" s="137"/>
      <c r="G21" s="137"/>
      <c r="H21" s="137"/>
      <c r="I21" s="137"/>
      <c r="J21" s="137"/>
      <c r="K21" s="137"/>
      <c r="L21" s="137"/>
      <c r="M21" s="138"/>
      <c r="N21" s="138"/>
      <c r="O21" s="138"/>
      <c r="P21" s="138"/>
      <c r="Q21" s="138"/>
      <c r="R21" s="138"/>
      <c r="S21" s="138"/>
      <c r="T21" s="138"/>
      <c r="W21" s="110"/>
      <c r="X21" s="110"/>
    </row>
    <row r="22" spans="2:27" x14ac:dyDescent="0.25">
      <c r="B22" s="128" t="s">
        <v>13</v>
      </c>
      <c r="C22" s="129"/>
      <c r="D22" s="130"/>
      <c r="E22" s="130"/>
      <c r="F22" s="130"/>
      <c r="G22" s="130"/>
      <c r="H22" s="130"/>
      <c r="I22" s="130"/>
      <c r="J22" s="130"/>
      <c r="K22" s="130"/>
      <c r="L22" s="130"/>
      <c r="M22" s="130"/>
      <c r="N22" s="130"/>
      <c r="O22" s="130"/>
      <c r="Y22" s="125"/>
    </row>
    <row r="23" spans="2:27" x14ac:dyDescent="0.25">
      <c r="B23" s="131">
        <v>1</v>
      </c>
      <c r="C23" s="283" t="s">
        <v>119</v>
      </c>
      <c r="D23" s="130"/>
      <c r="E23" s="130"/>
      <c r="F23" s="130"/>
      <c r="G23" s="130"/>
      <c r="H23" s="130"/>
      <c r="I23" s="130"/>
      <c r="J23" s="130"/>
      <c r="K23" s="130"/>
      <c r="L23" s="130"/>
      <c r="M23" s="130"/>
      <c r="N23" s="130"/>
      <c r="O23" s="130"/>
      <c r="Y23" s="121"/>
    </row>
    <row r="24" spans="2:27" x14ac:dyDescent="0.25">
      <c r="B24" s="131">
        <v>2</v>
      </c>
      <c r="C24" s="130" t="s">
        <v>181</v>
      </c>
      <c r="D24" s="130"/>
      <c r="E24" s="130"/>
      <c r="F24" s="130"/>
      <c r="G24" s="130"/>
      <c r="H24" s="130"/>
      <c r="I24" s="130"/>
      <c r="J24" s="130"/>
      <c r="K24" s="130"/>
      <c r="L24" s="130"/>
      <c r="M24" s="130"/>
      <c r="N24" s="130"/>
      <c r="O24" s="130"/>
      <c r="Y24" s="122"/>
    </row>
    <row r="25" spans="2:27" x14ac:dyDescent="0.25">
      <c r="B25" s="131">
        <v>3</v>
      </c>
      <c r="C25" s="130" t="s">
        <v>48</v>
      </c>
      <c r="D25" s="130"/>
      <c r="E25" s="130"/>
      <c r="F25" s="130"/>
      <c r="G25" s="130"/>
      <c r="H25" s="130"/>
      <c r="I25" s="130"/>
      <c r="J25" s="130"/>
      <c r="K25" s="130"/>
      <c r="L25" s="130"/>
      <c r="M25" s="130"/>
      <c r="N25" s="130"/>
      <c r="O25" s="130"/>
      <c r="Y25" s="132"/>
    </row>
    <row r="26" spans="2:27" x14ac:dyDescent="0.25">
      <c r="B26" s="131">
        <v>4</v>
      </c>
      <c r="C26" s="130" t="s">
        <v>140</v>
      </c>
      <c r="D26" s="130"/>
      <c r="E26" s="130"/>
      <c r="F26" s="130"/>
      <c r="G26" s="130"/>
      <c r="H26" s="130"/>
      <c r="I26" s="130"/>
      <c r="J26" s="130"/>
      <c r="K26" s="130"/>
      <c r="L26" s="130"/>
      <c r="M26" s="130"/>
      <c r="N26" s="130"/>
      <c r="O26" s="130"/>
      <c r="Y26" s="132"/>
    </row>
    <row r="27" spans="2:27" x14ac:dyDescent="0.25">
      <c r="B27" s="131">
        <v>5</v>
      </c>
      <c r="C27" s="130" t="s">
        <v>84</v>
      </c>
      <c r="D27" s="130"/>
      <c r="E27" s="130"/>
      <c r="F27" s="130"/>
      <c r="G27" s="130"/>
      <c r="H27" s="130"/>
      <c r="I27" s="130"/>
      <c r="J27" s="130"/>
      <c r="K27" s="130"/>
      <c r="L27" s="130"/>
      <c r="M27" s="130"/>
      <c r="N27" s="130"/>
      <c r="O27" s="130"/>
      <c r="Y27" s="121"/>
    </row>
    <row r="28" spans="2:27" x14ac:dyDescent="0.25">
      <c r="B28" s="131">
        <v>6</v>
      </c>
      <c r="C28" s="130" t="s">
        <v>85</v>
      </c>
      <c r="D28" s="130"/>
      <c r="E28" s="130"/>
      <c r="F28" s="130"/>
      <c r="G28" s="130"/>
      <c r="H28" s="130"/>
      <c r="I28" s="130"/>
      <c r="J28" s="130"/>
      <c r="K28" s="130"/>
      <c r="L28" s="130"/>
      <c r="M28" s="130"/>
      <c r="N28" s="130"/>
      <c r="O28" s="130"/>
      <c r="Y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200"/>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0"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6" t="s">
        <v>89</v>
      </c>
      <c r="D2" s="206"/>
      <c r="E2" s="206"/>
      <c r="F2" s="206"/>
      <c r="G2" s="206"/>
      <c r="H2" s="206"/>
      <c r="I2" s="206"/>
      <c r="J2" s="206"/>
      <c r="K2" s="206"/>
      <c r="L2" s="206"/>
    </row>
    <row r="3" spans="2:31" ht="15.6" x14ac:dyDescent="0.3">
      <c r="C3" s="42" t="s">
        <v>46</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6">
        <f>+'Capacity Delivered'!$H$5</f>
        <v>0.17799999999999999</v>
      </c>
      <c r="G5" s="147" t="s">
        <v>8</v>
      </c>
      <c r="H5" s="148">
        <f>'Electric EES CE Std Energy'!D23</f>
        <v>4.2828278870585629E-2</v>
      </c>
      <c r="I5" s="149">
        <f>'Wind Avoided Capacity Calcs'!X21</f>
        <v>7.0687361888779271E-3</v>
      </c>
      <c r="J5" s="149">
        <f>H5+I5</f>
        <v>4.9897015059463555E-2</v>
      </c>
      <c r="K5" s="150">
        <f>J5</f>
        <v>4.9897015059463555E-2</v>
      </c>
      <c r="L5" s="151">
        <f>K5*1000</f>
        <v>49.897015059463556</v>
      </c>
      <c r="M5" s="135"/>
    </row>
    <row r="6" spans="2:31" ht="15.6" x14ac:dyDescent="0.3">
      <c r="C6" s="143"/>
      <c r="D6" s="143"/>
      <c r="E6" s="110"/>
      <c r="F6" s="110"/>
      <c r="G6" s="110"/>
      <c r="H6" s="32">
        <f>H5*1000</f>
        <v>42.828278870585628</v>
      </c>
      <c r="I6" s="32">
        <f t="shared" ref="I6:K6" si="0">I5*1000</f>
        <v>7.068736188877927</v>
      </c>
      <c r="J6" s="32">
        <f t="shared" si="0"/>
        <v>49.897015059463556</v>
      </c>
      <c r="K6" s="32">
        <f t="shared" si="0"/>
        <v>49.897015059463556</v>
      </c>
      <c r="L6" s="112">
        <f>L5*(1-M6)</f>
        <v>48.400104607679644</v>
      </c>
      <c r="M6" s="233">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7" t="s">
        <v>79</v>
      </c>
      <c r="Y8" s="116"/>
      <c r="Z8" s="116"/>
      <c r="AA8" s="116"/>
      <c r="AB8" s="116"/>
      <c r="AC8" s="116"/>
    </row>
    <row r="9" spans="2:31" x14ac:dyDescent="0.25">
      <c r="C9" s="117" t="s">
        <v>9</v>
      </c>
      <c r="D9" s="117"/>
      <c r="E9" s="117"/>
      <c r="F9" s="118">
        <f>+L6</f>
        <v>48.400104607679644</v>
      </c>
      <c r="G9" s="118">
        <f t="shared" ref="G9:T9" si="1">F9</f>
        <v>48.400104607679644</v>
      </c>
      <c r="H9" s="118">
        <f t="shared" si="1"/>
        <v>48.400104607679644</v>
      </c>
      <c r="I9" s="118">
        <f t="shared" si="1"/>
        <v>48.400104607679644</v>
      </c>
      <c r="J9" s="118">
        <f t="shared" si="1"/>
        <v>48.400104607679644</v>
      </c>
      <c r="K9" s="118">
        <f t="shared" si="1"/>
        <v>48.400104607679644</v>
      </c>
      <c r="L9" s="118">
        <f t="shared" si="1"/>
        <v>48.400104607679644</v>
      </c>
      <c r="M9" s="118">
        <f t="shared" si="1"/>
        <v>48.400104607679644</v>
      </c>
      <c r="N9" s="118">
        <f t="shared" si="1"/>
        <v>48.400104607679644</v>
      </c>
      <c r="O9" s="118">
        <f t="shared" si="1"/>
        <v>48.400104607679644</v>
      </c>
      <c r="P9" s="118">
        <f t="shared" si="1"/>
        <v>48.400104607679644</v>
      </c>
      <c r="Q9" s="118">
        <f t="shared" si="1"/>
        <v>48.400104607679644</v>
      </c>
      <c r="R9" s="118">
        <f t="shared" si="1"/>
        <v>48.400104607679644</v>
      </c>
      <c r="S9" s="118">
        <f t="shared" si="1"/>
        <v>48.400104607679644</v>
      </c>
      <c r="T9" s="118">
        <f t="shared" si="1"/>
        <v>48.400104607679644</v>
      </c>
      <c r="U9" s="40"/>
      <c r="V9" s="40"/>
      <c r="W9" s="40"/>
      <c r="X9" s="196">
        <f>NPV(Rate_of_Return,F9:T9)</f>
        <v>430.16747887288454</v>
      </c>
      <c r="Y9" s="196">
        <f>-PMT(Rate_of_Return,15,X9)</f>
        <v>48.400104607679616</v>
      </c>
      <c r="Z9" s="40"/>
      <c r="AA9" s="40"/>
      <c r="AB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c r="AB10" s="40"/>
    </row>
    <row r="11" spans="2:31" x14ac:dyDescent="0.25">
      <c r="C11" s="53" t="s">
        <v>59</v>
      </c>
      <c r="F11" s="201">
        <v>1</v>
      </c>
      <c r="G11" s="201">
        <v>2</v>
      </c>
      <c r="H11" s="201">
        <v>3</v>
      </c>
      <c r="I11" s="201">
        <v>4</v>
      </c>
      <c r="J11" s="201">
        <v>5</v>
      </c>
      <c r="K11" s="201">
        <v>6</v>
      </c>
      <c r="L11" s="201">
        <v>7</v>
      </c>
      <c r="M11" s="201">
        <v>8</v>
      </c>
      <c r="N11" s="201">
        <v>9</v>
      </c>
      <c r="O11" s="201">
        <v>10</v>
      </c>
      <c r="P11" s="201">
        <v>11</v>
      </c>
      <c r="Q11" s="201">
        <v>12</v>
      </c>
      <c r="R11" s="201">
        <v>13</v>
      </c>
      <c r="S11" s="201">
        <v>14</v>
      </c>
      <c r="T11" s="201">
        <v>15</v>
      </c>
      <c r="U11" s="201">
        <v>16</v>
      </c>
      <c r="V11" s="201">
        <v>17</v>
      </c>
      <c r="W11" s="40"/>
      <c r="X11" s="40"/>
      <c r="Y11" s="40"/>
      <c r="Z11" s="40"/>
      <c r="AA11" s="40"/>
      <c r="AB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9"/>
      <c r="X12" s="197" t="s">
        <v>79</v>
      </c>
      <c r="Y12" s="32"/>
      <c r="Z12" s="116"/>
      <c r="AA12" s="116"/>
      <c r="AB12" s="116"/>
    </row>
    <row r="13" spans="2:31" ht="52.95" customHeight="1" x14ac:dyDescent="0.25">
      <c r="B13" s="110"/>
      <c r="C13" s="203" t="s">
        <v>82</v>
      </c>
      <c r="D13" s="110"/>
      <c r="F13" s="152">
        <f t="shared" ref="F13:T13" si="3">F$9*F$20</f>
        <v>41.823645493033638</v>
      </c>
      <c r="G13" s="153">
        <f t="shared" si="3"/>
        <v>42.869236630359481</v>
      </c>
      <c r="H13" s="154">
        <f t="shared" si="3"/>
        <v>43.940967546118458</v>
      </c>
      <c r="I13" s="154">
        <f t="shared" si="3"/>
        <v>45.039491734771417</v>
      </c>
      <c r="J13" s="154">
        <f t="shared" si="3"/>
        <v>46.165479028140702</v>
      </c>
      <c r="K13" s="154">
        <f t="shared" si="3"/>
        <v>47.319616003844217</v>
      </c>
      <c r="L13" s="154">
        <f t="shared" si="3"/>
        <v>48.502606403940312</v>
      </c>
      <c r="M13" s="154">
        <f t="shared" si="3"/>
        <v>49.715171564038819</v>
      </c>
      <c r="N13" s="154">
        <f t="shared" si="3"/>
        <v>50.958050853139781</v>
      </c>
      <c r="O13" s="154">
        <f t="shared" si="3"/>
        <v>52.232002124468274</v>
      </c>
      <c r="P13" s="154">
        <f t="shared" si="3"/>
        <v>53.537802177579977</v>
      </c>
      <c r="Q13" s="154">
        <f t="shared" si="3"/>
        <v>54.876247232019459</v>
      </c>
      <c r="R13" s="154">
        <f t="shared" si="3"/>
        <v>56.248153412819946</v>
      </c>
      <c r="S13" s="154">
        <f t="shared" si="3"/>
        <v>57.654357248140435</v>
      </c>
      <c r="T13" s="154">
        <f t="shared" si="3"/>
        <v>59.095716179343938</v>
      </c>
      <c r="U13" s="198">
        <f>T13*1.025</f>
        <v>60.573109083827532</v>
      </c>
      <c r="V13" s="198">
        <f>U13*1.025</f>
        <v>62.087436810923215</v>
      </c>
      <c r="W13" s="122"/>
      <c r="X13" s="196">
        <f>NPV(Rate_of_Return,F13:T13)</f>
        <v>430.16747887288483</v>
      </c>
      <c r="Y13" s="196">
        <f>-PMT(Rate_of_Return,15,X13)</f>
        <v>48.400104607679644</v>
      </c>
      <c r="Z13" s="122"/>
      <c r="AA13" s="122"/>
      <c r="AB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c r="AB14" s="116"/>
      <c r="AC14" s="116"/>
    </row>
    <row r="15" spans="2:31" x14ac:dyDescent="0.25">
      <c r="C15" s="125"/>
      <c r="E15" s="124"/>
      <c r="F15" s="122"/>
      <c r="G15" s="122"/>
      <c r="H15" s="122"/>
      <c r="I15" s="122"/>
      <c r="J15" s="122"/>
      <c r="K15" s="122"/>
      <c r="L15" s="122"/>
      <c r="M15" s="122"/>
      <c r="N15" s="122"/>
      <c r="O15" s="122"/>
      <c r="P15" s="122"/>
      <c r="Q15" s="122"/>
      <c r="R15" s="122"/>
      <c r="S15" s="122"/>
      <c r="T15" s="122"/>
      <c r="U15" s="122"/>
      <c r="V15" s="122"/>
      <c r="W15" s="122"/>
      <c r="X15" s="116"/>
      <c r="Y15" s="116"/>
      <c r="Z15" s="116"/>
      <c r="AA15" s="116"/>
      <c r="AB15" s="116"/>
      <c r="AC15" s="116"/>
    </row>
    <row r="16" spans="2:31" x14ac:dyDescent="0.25">
      <c r="C16" s="53" t="s">
        <v>10</v>
      </c>
      <c r="Q16" s="116"/>
      <c r="R16" s="116"/>
    </row>
    <row r="17" spans="2:28" x14ac:dyDescent="0.25">
      <c r="Q17" s="116"/>
      <c r="R17" s="116"/>
    </row>
    <row r="18" spans="2:28" ht="15.6" x14ac:dyDescent="0.3">
      <c r="C18" s="110"/>
      <c r="D18" s="110"/>
      <c r="E18" s="110"/>
      <c r="F18" s="110"/>
      <c r="G18" s="110"/>
      <c r="H18" s="110"/>
      <c r="I18" s="110"/>
      <c r="J18" s="110"/>
      <c r="K18" s="110"/>
      <c r="L18" s="110"/>
      <c r="M18" s="110"/>
      <c r="N18" s="110"/>
      <c r="O18" s="110"/>
      <c r="P18" s="110"/>
      <c r="Q18" s="115"/>
      <c r="R18" s="115"/>
      <c r="S18" s="110"/>
      <c r="T18" s="110"/>
      <c r="X18" s="197" t="s">
        <v>79</v>
      </c>
      <c r="Y18" s="110"/>
    </row>
    <row r="19" spans="2:28"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K19*1.025</f>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c r="AB19" s="116"/>
    </row>
    <row r="20" spans="2:28"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c r="AB20" s="116"/>
    </row>
    <row r="21" spans="2:28" x14ac:dyDescent="0.25">
      <c r="C21" s="110"/>
      <c r="D21" s="110"/>
      <c r="E21" s="137"/>
      <c r="F21" s="137"/>
      <c r="G21" s="137"/>
      <c r="H21" s="137"/>
      <c r="I21" s="137"/>
      <c r="J21" s="137"/>
      <c r="K21" s="137"/>
      <c r="L21" s="137"/>
      <c r="M21" s="138"/>
      <c r="N21" s="138"/>
      <c r="O21" s="138"/>
      <c r="P21" s="138"/>
      <c r="Q21" s="138"/>
      <c r="R21" s="138"/>
      <c r="S21" s="138"/>
      <c r="T21" s="138"/>
      <c r="X21" s="110"/>
      <c r="Y21" s="110"/>
    </row>
    <row r="22" spans="2:28" x14ac:dyDescent="0.25">
      <c r="B22" s="128" t="s">
        <v>13</v>
      </c>
      <c r="C22" s="129"/>
      <c r="D22" s="130"/>
      <c r="E22" s="130"/>
      <c r="F22" s="130"/>
      <c r="G22" s="130"/>
      <c r="H22" s="130"/>
      <c r="I22" s="130"/>
      <c r="J22" s="130"/>
      <c r="K22" s="130"/>
      <c r="L22" s="130"/>
      <c r="M22" s="130"/>
      <c r="N22" s="130"/>
      <c r="O22" s="130"/>
      <c r="Z22" s="125"/>
    </row>
    <row r="23" spans="2:28" x14ac:dyDescent="0.25">
      <c r="B23" s="131">
        <v>1</v>
      </c>
      <c r="C23" s="283" t="s">
        <v>119</v>
      </c>
      <c r="D23" s="130"/>
      <c r="E23" s="130"/>
      <c r="F23" s="130"/>
      <c r="G23" s="130"/>
      <c r="H23" s="130"/>
      <c r="I23" s="130"/>
      <c r="J23" s="130"/>
      <c r="K23" s="130"/>
      <c r="L23" s="130"/>
      <c r="M23" s="130"/>
      <c r="N23" s="130"/>
      <c r="O23" s="130"/>
      <c r="Z23" s="121"/>
    </row>
    <row r="24" spans="2:28" x14ac:dyDescent="0.25">
      <c r="B24" s="131">
        <v>2</v>
      </c>
      <c r="C24" s="130" t="s">
        <v>181</v>
      </c>
      <c r="D24" s="130"/>
      <c r="E24" s="130"/>
      <c r="F24" s="130"/>
      <c r="G24" s="130"/>
      <c r="H24" s="130"/>
      <c r="I24" s="130"/>
      <c r="J24" s="130"/>
      <c r="K24" s="130"/>
      <c r="L24" s="130"/>
      <c r="M24" s="130"/>
      <c r="N24" s="130"/>
      <c r="O24" s="130"/>
      <c r="Z24" s="122"/>
    </row>
    <row r="25" spans="2:28" x14ac:dyDescent="0.25">
      <c r="B25" s="131">
        <v>3</v>
      </c>
      <c r="C25" s="130" t="s">
        <v>48</v>
      </c>
      <c r="D25" s="130"/>
      <c r="E25" s="130"/>
      <c r="F25" s="130"/>
      <c r="G25" s="130"/>
      <c r="H25" s="130"/>
      <c r="I25" s="130"/>
      <c r="J25" s="130"/>
      <c r="K25" s="130"/>
      <c r="L25" s="130"/>
      <c r="M25" s="130"/>
      <c r="N25" s="130"/>
      <c r="O25" s="130"/>
      <c r="Z25" s="132"/>
    </row>
    <row r="26" spans="2:28" x14ac:dyDescent="0.25">
      <c r="B26" s="131">
        <v>4</v>
      </c>
      <c r="C26" s="130" t="s">
        <v>140</v>
      </c>
      <c r="D26" s="130"/>
      <c r="E26" s="130"/>
      <c r="F26" s="130"/>
      <c r="G26" s="130"/>
      <c r="H26" s="130"/>
      <c r="I26" s="130"/>
      <c r="J26" s="130"/>
      <c r="K26" s="130"/>
      <c r="L26" s="130"/>
      <c r="M26" s="130"/>
      <c r="N26" s="130"/>
      <c r="O26" s="130"/>
      <c r="Z26" s="132"/>
    </row>
    <row r="27" spans="2:28" x14ac:dyDescent="0.25">
      <c r="B27" s="131">
        <v>5</v>
      </c>
      <c r="C27" s="130" t="s">
        <v>84</v>
      </c>
      <c r="D27" s="130"/>
      <c r="E27" s="130"/>
      <c r="F27" s="130"/>
      <c r="G27" s="130"/>
      <c r="H27" s="130"/>
      <c r="I27" s="130"/>
      <c r="J27" s="130"/>
      <c r="K27" s="130"/>
      <c r="L27" s="130"/>
      <c r="M27" s="130"/>
      <c r="N27" s="130"/>
      <c r="O27" s="130"/>
      <c r="Z27" s="121"/>
    </row>
    <row r="28" spans="2:28" x14ac:dyDescent="0.25">
      <c r="B28" s="131">
        <v>6</v>
      </c>
      <c r="C28" s="130" t="s">
        <v>85</v>
      </c>
      <c r="D28" s="130"/>
      <c r="E28" s="130"/>
      <c r="F28" s="130"/>
      <c r="G28" s="130"/>
      <c r="H28" s="130"/>
      <c r="I28" s="130"/>
      <c r="J28" s="130"/>
      <c r="K28" s="130"/>
      <c r="L28" s="130"/>
      <c r="M28" s="130"/>
      <c r="N28" s="130"/>
      <c r="O28" s="130"/>
      <c r="Z28" s="122"/>
    </row>
    <row r="29" spans="2:28" x14ac:dyDescent="0.25">
      <c r="B29" s="131">
        <v>7</v>
      </c>
      <c r="C29" s="130" t="s">
        <v>86</v>
      </c>
      <c r="D29" s="130"/>
      <c r="E29" s="130"/>
      <c r="F29" s="130"/>
      <c r="G29" s="130"/>
      <c r="H29" s="130"/>
      <c r="I29" s="130"/>
      <c r="J29" s="130"/>
      <c r="K29" s="130"/>
      <c r="L29" s="130"/>
      <c r="M29" s="130"/>
      <c r="N29" s="130"/>
      <c r="O29" s="130"/>
      <c r="P29" s="130"/>
      <c r="Q29" s="130"/>
    </row>
    <row r="30" spans="2:28" x14ac:dyDescent="0.25">
      <c r="B30" s="131">
        <v>8</v>
      </c>
      <c r="C30" s="130" t="s">
        <v>54</v>
      </c>
      <c r="D30" s="130"/>
      <c r="E30" s="130"/>
      <c r="F30" s="130"/>
      <c r="G30" s="130"/>
      <c r="H30" s="130"/>
      <c r="I30" s="130"/>
      <c r="J30" s="130"/>
      <c r="K30" s="130"/>
      <c r="L30" s="130"/>
      <c r="M30" s="130"/>
      <c r="N30" s="130"/>
      <c r="O30" s="130"/>
      <c r="P30" s="130"/>
      <c r="Q30" s="130"/>
    </row>
    <row r="31" spans="2:28" x14ac:dyDescent="0.25">
      <c r="B31" s="131">
        <v>9</v>
      </c>
      <c r="C31" s="130" t="s">
        <v>87</v>
      </c>
      <c r="D31" s="130"/>
      <c r="E31" s="130"/>
      <c r="F31" s="130"/>
      <c r="G31" s="130"/>
      <c r="H31" s="130"/>
      <c r="I31" s="130"/>
      <c r="J31" s="130"/>
      <c r="K31" s="130"/>
      <c r="L31" s="130"/>
      <c r="M31" s="130"/>
      <c r="N31" s="130"/>
      <c r="O31" s="130"/>
      <c r="P31" s="130"/>
      <c r="Q31" s="130"/>
    </row>
    <row r="32" spans="2:28"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200"/>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6" t="s">
        <v>89</v>
      </c>
      <c r="D2" s="206"/>
      <c r="E2" s="206"/>
      <c r="F2" s="206"/>
      <c r="G2" s="206"/>
      <c r="H2" s="206"/>
      <c r="I2" s="206"/>
      <c r="J2" s="206"/>
      <c r="K2" s="206"/>
      <c r="L2" s="206"/>
    </row>
    <row r="3" spans="2:30" ht="15.6" x14ac:dyDescent="0.3">
      <c r="C3" s="42" t="s">
        <v>47</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6">
        <f>+'Capacity Delivered'!$I$5</f>
        <v>0.04</v>
      </c>
      <c r="G5" s="147" t="s">
        <v>8</v>
      </c>
      <c r="H5" s="148">
        <f>'Electric EES CE Std Energy'!D18</f>
        <v>4.0786409360273043E-2</v>
      </c>
      <c r="I5" s="149">
        <f>'Solar Avoided Capacity Calcs'!X16</f>
        <v>3.4998383925740643E-3</v>
      </c>
      <c r="J5" s="149">
        <f>H5+I5</f>
        <v>4.4286247752847105E-2</v>
      </c>
      <c r="K5" s="150">
        <f>J5</f>
        <v>4.4286247752847105E-2</v>
      </c>
      <c r="L5" s="151">
        <f>K5*1000</f>
        <v>44.286247752847103</v>
      </c>
      <c r="M5" s="135"/>
    </row>
    <row r="6" spans="2:30" ht="15.6" x14ac:dyDescent="0.3">
      <c r="C6" s="143"/>
      <c r="D6" s="143"/>
      <c r="E6" s="110"/>
      <c r="F6" s="110"/>
      <c r="G6" s="110"/>
      <c r="H6" s="32">
        <f>H5*1000</f>
        <v>40.786409360273041</v>
      </c>
      <c r="I6" s="32">
        <f t="shared" ref="I6:K6" si="0">I5*1000</f>
        <v>3.4998383925740644</v>
      </c>
      <c r="J6" s="32">
        <f t="shared" si="0"/>
        <v>44.286247752847103</v>
      </c>
      <c r="K6" s="32">
        <f t="shared" si="0"/>
        <v>44.286247752847103</v>
      </c>
      <c r="L6" s="112">
        <f>L5*(1-M6)</f>
        <v>42.957660320261688</v>
      </c>
      <c r="M6" s="233">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U8" s="116"/>
      <c r="V8" s="116"/>
      <c r="W8" s="115"/>
      <c r="X8" s="197" t="s">
        <v>79</v>
      </c>
      <c r="Y8" s="116"/>
      <c r="Z8" s="116"/>
    </row>
    <row r="9" spans="2:30" x14ac:dyDescent="0.25">
      <c r="C9" s="117" t="s">
        <v>9</v>
      </c>
      <c r="D9" s="117"/>
      <c r="E9" s="117"/>
      <c r="F9" s="118">
        <f>+L6</f>
        <v>42.957660320261688</v>
      </c>
      <c r="G9" s="118">
        <f t="shared" ref="G9:O9" si="1">F9</f>
        <v>42.957660320261688</v>
      </c>
      <c r="H9" s="118">
        <f t="shared" si="1"/>
        <v>42.957660320261688</v>
      </c>
      <c r="I9" s="118">
        <f t="shared" si="1"/>
        <v>42.957660320261688</v>
      </c>
      <c r="J9" s="118">
        <f t="shared" si="1"/>
        <v>42.957660320261688</v>
      </c>
      <c r="K9" s="118">
        <f t="shared" si="1"/>
        <v>42.957660320261688</v>
      </c>
      <c r="L9" s="118">
        <f t="shared" si="1"/>
        <v>42.957660320261688</v>
      </c>
      <c r="M9" s="118">
        <f t="shared" si="1"/>
        <v>42.957660320261688</v>
      </c>
      <c r="N9" s="118">
        <f t="shared" si="1"/>
        <v>42.957660320261688</v>
      </c>
      <c r="O9" s="118">
        <f t="shared" si="1"/>
        <v>42.957660320261688</v>
      </c>
      <c r="V9" s="40"/>
      <c r="X9" s="196">
        <f>NPV(Rate_of_Return,F9:O9)</f>
        <v>296.35161049545212</v>
      </c>
      <c r="Y9" s="196">
        <f>-PMT(Rate_of_Return,$E$5,X9)</f>
        <v>42.957660320261667</v>
      </c>
      <c r="Z9" s="40"/>
    </row>
    <row r="10" spans="2:30" x14ac:dyDescent="0.25">
      <c r="C10" s="110"/>
      <c r="D10" s="110"/>
      <c r="E10" s="110"/>
      <c r="F10" s="119"/>
      <c r="G10" s="119"/>
      <c r="H10" s="119"/>
      <c r="I10" s="119"/>
      <c r="J10" s="119"/>
      <c r="K10" s="119"/>
      <c r="L10" s="119"/>
      <c r="M10" s="119"/>
      <c r="N10" s="119"/>
      <c r="O10" s="119"/>
      <c r="P10" s="115"/>
      <c r="Q10" s="115"/>
      <c r="U10" s="116"/>
      <c r="V10" s="40"/>
      <c r="W10" s="115"/>
      <c r="X10" s="32"/>
      <c r="Y10" s="32"/>
      <c r="Z10" s="40"/>
    </row>
    <row r="11" spans="2:30" x14ac:dyDescent="0.25">
      <c r="C11" s="53" t="s">
        <v>59</v>
      </c>
      <c r="F11" s="201">
        <v>1</v>
      </c>
      <c r="G11" s="201">
        <v>2</v>
      </c>
      <c r="H11" s="201">
        <v>3</v>
      </c>
      <c r="I11" s="201">
        <v>4</v>
      </c>
      <c r="J11" s="201">
        <v>5</v>
      </c>
      <c r="K11" s="201">
        <v>6</v>
      </c>
      <c r="L11" s="201">
        <v>7</v>
      </c>
      <c r="M11" s="201">
        <v>8</v>
      </c>
      <c r="N11" s="201">
        <v>9</v>
      </c>
      <c r="O11" s="201">
        <v>10</v>
      </c>
      <c r="P11" s="201">
        <v>11</v>
      </c>
      <c r="Q11" s="201">
        <v>12</v>
      </c>
      <c r="V11" s="40"/>
      <c r="X11" s="40"/>
      <c r="Y11" s="40"/>
      <c r="Z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O12+1</f>
        <v>2033</v>
      </c>
      <c r="Q12" s="120">
        <f>P12+1</f>
        <v>2034</v>
      </c>
      <c r="U12" s="116"/>
      <c r="V12" s="199"/>
      <c r="W12" s="115"/>
      <c r="X12" s="197" t="s">
        <v>79</v>
      </c>
      <c r="Y12" s="32"/>
      <c r="Z12" s="116"/>
    </row>
    <row r="13" spans="2:30" ht="52.95" customHeight="1" x14ac:dyDescent="0.25">
      <c r="B13" s="110"/>
      <c r="C13" s="202" t="s">
        <v>83</v>
      </c>
      <c r="D13" s="110"/>
      <c r="F13" s="152">
        <f t="shared" ref="F13:O13" si="3">F$9*F$20</f>
        <v>38.901570359102266</v>
      </c>
      <c r="G13" s="153">
        <f t="shared" si="3"/>
        <v>39.874109618079814</v>
      </c>
      <c r="H13" s="154">
        <f t="shared" si="3"/>
        <v>40.870962358531806</v>
      </c>
      <c r="I13" s="154">
        <f t="shared" si="3"/>
        <v>41.892736417495094</v>
      </c>
      <c r="J13" s="154">
        <f t="shared" si="3"/>
        <v>42.940054827932471</v>
      </c>
      <c r="K13" s="154">
        <f t="shared" si="3"/>
        <v>44.013556198630781</v>
      </c>
      <c r="L13" s="154">
        <f t="shared" si="3"/>
        <v>45.113895103596548</v>
      </c>
      <c r="M13" s="154">
        <f t="shared" si="3"/>
        <v>46.241742481186449</v>
      </c>
      <c r="N13" s="154">
        <f t="shared" si="3"/>
        <v>47.397786043216108</v>
      </c>
      <c r="O13" s="154">
        <f t="shared" si="3"/>
        <v>48.582730694296508</v>
      </c>
      <c r="P13" s="198">
        <f>O13*1.025</f>
        <v>49.797298961653915</v>
      </c>
      <c r="Q13" s="198">
        <f>P13*1.025</f>
        <v>51.042231435695257</v>
      </c>
      <c r="V13" s="122"/>
      <c r="X13" s="196">
        <f>NPV(Rate_of_Return,F13:O13)</f>
        <v>296.35161049545229</v>
      </c>
      <c r="Y13" s="196">
        <f>-PMT(Rate_of_Return,$E$5,X13)</f>
        <v>42.957660320261695</v>
      </c>
      <c r="Z13" s="122"/>
      <c r="AD13" s="123"/>
    </row>
    <row r="14" spans="2:30" x14ac:dyDescent="0.25">
      <c r="C14" s="121"/>
      <c r="E14" s="124"/>
      <c r="F14" s="122"/>
      <c r="G14" s="122"/>
      <c r="H14" s="122"/>
      <c r="I14" s="122"/>
      <c r="J14" s="122"/>
      <c r="K14" s="122"/>
      <c r="L14" s="122"/>
      <c r="M14" s="122"/>
      <c r="N14" s="122"/>
      <c r="O14" s="122"/>
      <c r="P14" s="115"/>
      <c r="Q14" s="115"/>
      <c r="U14" s="116"/>
      <c r="V14" s="122"/>
      <c r="W14" s="115"/>
      <c r="X14" s="116"/>
      <c r="Y14" s="116"/>
      <c r="Z14" s="116"/>
    </row>
    <row r="15" spans="2:30" x14ac:dyDescent="0.25">
      <c r="C15" s="125"/>
      <c r="E15" s="124"/>
      <c r="F15" s="122"/>
      <c r="G15" s="122"/>
      <c r="H15" s="122"/>
      <c r="I15" s="122"/>
      <c r="J15" s="122"/>
      <c r="K15" s="122"/>
      <c r="L15" s="122"/>
      <c r="M15" s="122"/>
      <c r="N15" s="122"/>
      <c r="O15" s="122"/>
      <c r="V15" s="122"/>
      <c r="X15" s="116"/>
      <c r="Y15" s="116"/>
      <c r="Z15" s="116"/>
    </row>
    <row r="16" spans="2:30" x14ac:dyDescent="0.25">
      <c r="C16" s="53" t="s">
        <v>10</v>
      </c>
      <c r="P16" s="115"/>
      <c r="Q16" s="115"/>
      <c r="U16" s="116"/>
      <c r="W16" s="115"/>
    </row>
    <row r="18" spans="2:26" ht="15.6" x14ac:dyDescent="0.3">
      <c r="C18" s="110"/>
      <c r="D18" s="110"/>
      <c r="E18" s="110"/>
      <c r="F18" s="110"/>
      <c r="G18" s="110"/>
      <c r="H18" s="110"/>
      <c r="I18" s="110"/>
      <c r="J18" s="110"/>
      <c r="K18" s="110"/>
      <c r="L18" s="110"/>
      <c r="M18" s="110"/>
      <c r="N18" s="110"/>
      <c r="O18" s="110"/>
      <c r="P18" s="115"/>
      <c r="Q18" s="115"/>
      <c r="U18" s="116"/>
      <c r="W18" s="115"/>
      <c r="X18" s="197" t="s">
        <v>79</v>
      </c>
      <c r="Y18" s="110"/>
    </row>
    <row r="19" spans="2:26" x14ac:dyDescent="0.25">
      <c r="C19" s="117" t="s">
        <v>11</v>
      </c>
      <c r="D19" s="117"/>
      <c r="E19" s="117"/>
      <c r="F19" s="136">
        <v>100</v>
      </c>
      <c r="G19" s="136">
        <f t="shared" ref="G19:O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V19" s="126"/>
      <c r="X19" s="196">
        <f>NPV(Rate_of_Return,F19:O19)</f>
        <v>761.7985797483658</v>
      </c>
      <c r="Y19" s="196">
        <f>-PMT(Rate_of_Return,$E$5,X19)</f>
        <v>110.42654557057071</v>
      </c>
      <c r="Z19" s="116"/>
    </row>
    <row r="20" spans="2:26" x14ac:dyDescent="0.25">
      <c r="C20" s="139" t="s">
        <v>12</v>
      </c>
      <c r="D20" s="139"/>
      <c r="E20" s="139"/>
      <c r="F20" s="140">
        <f t="shared" ref="F20:O20" si="5">F19/$Y$19</f>
        <v>0.90557935579079241</v>
      </c>
      <c r="G20" s="140">
        <f t="shared" si="5"/>
        <v>0.92821883968556207</v>
      </c>
      <c r="H20" s="140">
        <f t="shared" si="5"/>
        <v>0.95142431067770095</v>
      </c>
      <c r="I20" s="140">
        <f t="shared" si="5"/>
        <v>0.97520991844464344</v>
      </c>
      <c r="J20" s="140">
        <f t="shared" si="5"/>
        <v>0.99959016640575948</v>
      </c>
      <c r="K20" s="140">
        <f t="shared" si="5"/>
        <v>1.0245799205659034</v>
      </c>
      <c r="L20" s="140">
        <f t="shared" si="5"/>
        <v>1.0501944185800509</v>
      </c>
      <c r="M20" s="140">
        <f t="shared" si="5"/>
        <v>1.0764492790445519</v>
      </c>
      <c r="N20" s="140">
        <f t="shared" si="5"/>
        <v>1.1033605110206657</v>
      </c>
      <c r="O20" s="140">
        <f t="shared" si="5"/>
        <v>1.1309445237961822</v>
      </c>
      <c r="P20" s="115"/>
      <c r="Q20" s="115"/>
      <c r="U20" s="116"/>
      <c r="V20" s="127"/>
      <c r="W20" s="115"/>
      <c r="X20" s="196">
        <f>NPV(Rate_of_Return,F20:O20)</f>
        <v>6.8986906709086568</v>
      </c>
      <c r="Y20" s="196">
        <f>-PMT(Rate_of_Return,$E$5,X20)</f>
        <v>1.0000000000000002</v>
      </c>
      <c r="Z20" s="116"/>
    </row>
    <row r="21" spans="2:26" x14ac:dyDescent="0.25">
      <c r="C21" s="110"/>
      <c r="D21" s="110"/>
      <c r="E21" s="137"/>
      <c r="F21" s="137"/>
      <c r="G21" s="137"/>
      <c r="H21" s="137"/>
      <c r="I21" s="137"/>
      <c r="J21" s="137"/>
      <c r="K21" s="137"/>
      <c r="L21" s="137"/>
      <c r="M21" s="138"/>
      <c r="N21" s="138"/>
      <c r="O21" s="138"/>
      <c r="P21" s="138"/>
      <c r="Q21" s="138"/>
      <c r="W21" s="138"/>
      <c r="X21" s="138"/>
      <c r="Y21" s="138"/>
    </row>
    <row r="22" spans="2:26" x14ac:dyDescent="0.25">
      <c r="B22" s="128" t="s">
        <v>13</v>
      </c>
      <c r="C22" s="129"/>
      <c r="D22" s="130"/>
      <c r="E22" s="130"/>
      <c r="F22" s="130"/>
      <c r="G22" s="130"/>
      <c r="H22" s="130"/>
      <c r="I22" s="130"/>
      <c r="J22" s="130"/>
      <c r="K22" s="130"/>
      <c r="L22" s="130"/>
      <c r="M22" s="130"/>
      <c r="N22" s="130"/>
      <c r="O22" s="130"/>
    </row>
    <row r="23" spans="2:26" x14ac:dyDescent="0.25">
      <c r="B23" s="131">
        <v>1</v>
      </c>
      <c r="C23" s="283" t="s">
        <v>119</v>
      </c>
      <c r="D23" s="130"/>
      <c r="E23" s="130"/>
      <c r="F23" s="130"/>
      <c r="G23" s="130"/>
      <c r="H23" s="130"/>
      <c r="I23" s="130"/>
      <c r="J23" s="130"/>
      <c r="K23" s="130"/>
      <c r="L23" s="130"/>
      <c r="M23" s="130"/>
      <c r="N23" s="130"/>
      <c r="O23" s="130"/>
    </row>
    <row r="24" spans="2:26" x14ac:dyDescent="0.25">
      <c r="B24" s="131">
        <v>2</v>
      </c>
      <c r="C24" s="130" t="s">
        <v>181</v>
      </c>
      <c r="D24" s="130"/>
      <c r="E24" s="130"/>
      <c r="F24" s="130"/>
      <c r="G24" s="130"/>
      <c r="H24" s="130"/>
      <c r="I24" s="130"/>
      <c r="J24" s="130"/>
      <c r="K24" s="130"/>
      <c r="L24" s="130"/>
      <c r="M24" s="130"/>
      <c r="N24" s="130"/>
      <c r="O24" s="130"/>
    </row>
    <row r="25" spans="2:26" x14ac:dyDescent="0.25">
      <c r="B25" s="131">
        <v>3</v>
      </c>
      <c r="C25" s="130" t="s">
        <v>48</v>
      </c>
      <c r="D25" s="130"/>
      <c r="E25" s="130"/>
      <c r="F25" s="130"/>
      <c r="G25" s="130"/>
      <c r="H25" s="130"/>
      <c r="I25" s="130"/>
      <c r="J25" s="130"/>
      <c r="K25" s="130"/>
      <c r="L25" s="130"/>
      <c r="M25" s="130"/>
      <c r="N25" s="130"/>
      <c r="O25" s="130"/>
    </row>
    <row r="26" spans="2:26" x14ac:dyDescent="0.25">
      <c r="B26" s="131">
        <v>4</v>
      </c>
      <c r="C26" s="130" t="s">
        <v>139</v>
      </c>
      <c r="D26" s="130"/>
      <c r="E26" s="130"/>
      <c r="F26" s="130"/>
      <c r="G26" s="130"/>
      <c r="H26" s="130"/>
      <c r="I26" s="130"/>
      <c r="J26" s="130"/>
      <c r="K26" s="130"/>
      <c r="L26" s="130"/>
      <c r="M26" s="130"/>
      <c r="N26" s="130"/>
      <c r="O26" s="130"/>
    </row>
    <row r="27" spans="2:26" x14ac:dyDescent="0.25">
      <c r="B27" s="131">
        <v>5</v>
      </c>
      <c r="C27" s="130" t="s">
        <v>84</v>
      </c>
      <c r="D27" s="130"/>
      <c r="E27" s="130"/>
      <c r="F27" s="130"/>
      <c r="G27" s="130"/>
      <c r="H27" s="130"/>
      <c r="I27" s="130"/>
      <c r="J27" s="130"/>
      <c r="K27" s="130"/>
      <c r="L27" s="130"/>
      <c r="M27" s="130"/>
      <c r="N27" s="130"/>
      <c r="O27" s="130"/>
    </row>
    <row r="28" spans="2:26" x14ac:dyDescent="0.25">
      <c r="B28" s="131">
        <v>6</v>
      </c>
      <c r="C28" s="130" t="s">
        <v>85</v>
      </c>
      <c r="D28" s="130"/>
      <c r="E28" s="130"/>
      <c r="F28" s="130"/>
      <c r="G28" s="130"/>
      <c r="H28" s="130"/>
      <c r="I28" s="130"/>
      <c r="J28" s="130"/>
      <c r="K28" s="130"/>
      <c r="L28" s="130"/>
      <c r="M28" s="130"/>
      <c r="N28" s="130"/>
      <c r="O28" s="130"/>
    </row>
    <row r="29" spans="2:26" x14ac:dyDescent="0.25">
      <c r="B29" s="131">
        <v>7</v>
      </c>
      <c r="C29" s="130" t="s">
        <v>86</v>
      </c>
      <c r="D29" s="130"/>
      <c r="E29" s="130"/>
      <c r="F29" s="130"/>
      <c r="G29" s="130"/>
      <c r="H29" s="130"/>
      <c r="I29" s="130"/>
      <c r="J29" s="130"/>
      <c r="K29" s="130"/>
      <c r="L29" s="130"/>
      <c r="M29" s="130"/>
      <c r="N29" s="130"/>
      <c r="O29" s="130"/>
      <c r="P29" s="130"/>
      <c r="Q29" s="130"/>
    </row>
    <row r="30" spans="2:26" x14ac:dyDescent="0.25">
      <c r="B30" s="131">
        <v>8</v>
      </c>
      <c r="C30" s="130" t="s">
        <v>54</v>
      </c>
      <c r="D30" s="130"/>
      <c r="E30" s="130"/>
      <c r="F30" s="130"/>
      <c r="G30" s="130"/>
      <c r="H30" s="130"/>
      <c r="I30" s="130"/>
      <c r="J30" s="130"/>
      <c r="K30" s="130"/>
      <c r="L30" s="130"/>
      <c r="M30" s="130"/>
      <c r="N30" s="130"/>
      <c r="O30" s="130"/>
      <c r="P30" s="130"/>
      <c r="Q30" s="130"/>
    </row>
    <row r="31" spans="2:26" x14ac:dyDescent="0.25">
      <c r="B31" s="131">
        <v>9</v>
      </c>
      <c r="C31" s="130" t="s">
        <v>87</v>
      </c>
      <c r="D31" s="130"/>
      <c r="E31" s="130"/>
      <c r="F31" s="130"/>
      <c r="G31" s="130"/>
      <c r="H31" s="130"/>
      <c r="I31" s="130"/>
      <c r="J31" s="130"/>
      <c r="K31" s="130"/>
      <c r="L31" s="130"/>
      <c r="M31" s="130"/>
      <c r="N31" s="130"/>
      <c r="O31" s="130"/>
      <c r="P31" s="130"/>
      <c r="Q31" s="130"/>
    </row>
    <row r="32" spans="2:26" x14ac:dyDescent="0.25">
      <c r="B32" s="131">
        <v>10</v>
      </c>
      <c r="C32" s="53" t="s">
        <v>88</v>
      </c>
    </row>
    <row r="33" spans="2:25" x14ac:dyDescent="0.25">
      <c r="B33" s="131">
        <v>11</v>
      </c>
      <c r="C33" s="53" t="s">
        <v>108</v>
      </c>
    </row>
    <row r="34" spans="2:25" ht="15.6" x14ac:dyDescent="0.3">
      <c r="B34" s="133"/>
      <c r="C34" s="5"/>
      <c r="D34" s="5"/>
      <c r="E34" s="5"/>
      <c r="F34" s="5"/>
    </row>
    <row r="35" spans="2:25" ht="15.6" x14ac:dyDescent="0.3">
      <c r="B35" s="133"/>
      <c r="C35" s="5"/>
      <c r="D35" s="5"/>
      <c r="E35" s="5"/>
      <c r="F35" s="5"/>
    </row>
    <row r="37" spans="2:25" x14ac:dyDescent="0.25">
      <c r="F37" s="116"/>
      <c r="G37" s="134"/>
      <c r="H37" s="134"/>
      <c r="I37" s="134"/>
      <c r="J37" s="134"/>
      <c r="K37" s="134"/>
      <c r="L37" s="134"/>
      <c r="M37" s="134"/>
      <c r="N37" s="134"/>
      <c r="O37" s="134"/>
      <c r="P37" s="134"/>
      <c r="Q37" s="134"/>
      <c r="W37" s="134"/>
      <c r="X37" s="134"/>
      <c r="Y37" s="134"/>
    </row>
    <row r="38" spans="2:25" x14ac:dyDescent="0.25">
      <c r="G38" s="134"/>
      <c r="H38" s="134"/>
      <c r="I38" s="134"/>
      <c r="J38" s="134"/>
      <c r="K38" s="134"/>
      <c r="L38" s="134"/>
      <c r="M38" s="134"/>
      <c r="N38" s="134"/>
      <c r="O38" s="134"/>
      <c r="P38" s="134"/>
      <c r="Q38" s="134"/>
      <c r="W38" s="134"/>
      <c r="X38" s="134"/>
      <c r="Y38" s="134"/>
    </row>
    <row r="39" spans="2:25" x14ac:dyDescent="0.25">
      <c r="F39" s="116"/>
      <c r="G39" s="116"/>
      <c r="H39" s="116"/>
      <c r="I39" s="116"/>
      <c r="J39" s="116"/>
      <c r="K39" s="116"/>
      <c r="L39" s="116"/>
      <c r="M39" s="116"/>
      <c r="N39" s="116"/>
      <c r="O39" s="116"/>
      <c r="P39" s="116"/>
      <c r="Q39" s="116"/>
      <c r="W39" s="116"/>
      <c r="X39" s="116"/>
      <c r="Y39" s="116"/>
    </row>
    <row r="40" spans="2:25"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55B316744552D49AA59A6B0EB83D939" ma:contentTypeVersion="28" ma:contentTypeDescription="" ma:contentTypeScope="" ma:versionID="87653b9c5ee46acc02f40d8dac8f102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2022-10-27T07:00:00+00:00</OpenedDate>
    <SignificantOrder xmlns="dc463f71-b30c-4ab2-9473-d307f9d35888">false</SignificantOrder>
    <Date1 xmlns="dc463f71-b30c-4ab2-9473-d307f9d35888">2022-10-27T07:00:00+00:00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220786</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A0538E8-5B65-4C12-81F9-472B97A73918}"/>
</file>

<file path=customXml/itemProps2.xml><?xml version="1.0" encoding="utf-8"?>
<ds:datastoreItem xmlns:ds="http://schemas.openxmlformats.org/officeDocument/2006/customXml" ds:itemID="{03E0F919-B37F-4217-AEE8-BC978C1FFF4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4.xml><?xml version="1.0" encoding="utf-8"?>
<ds:datastoreItem xmlns:ds="http://schemas.openxmlformats.org/officeDocument/2006/customXml" ds:itemID="{1EDE1015-4B21-4982-BEAE-A49EDC35C5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2022-10-21T16:51:50Z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0x0101006E56B4D1795A2E4DB2F0B01679ED314A00355B316744552D49AA59A6B0EB83D939</vt:lpwstr>
  </property>
  <property fmtid="{D5CDD505-2E9C-101B-9397-08002B2CF9AE}" pid="3" name="_docset_NoMedatataSyncRequired">
    <vt:lpwstr>False</vt:lpwstr>
  </property>
  <property fmtid="{D5CDD505-2E9C-101B-9397-08002B2CF9AE}" pid="4" name="IsEFSEC">
    <vt:bool>false</vt:bool>
  </property>
</Properties>
</file>