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xl/comments3.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Z:\Division\Accounting II\WUTC Filings\Commodity Credits\Filing June 2022\SeaTac\"/>
    </mc:Choice>
  </mc:AlternateContent>
  <xr:revisionPtr revIDLastSave="0" documentId="13_ncr:1_{5C17D872-506C-4201-8AE3-F9BD61009CCC}" xr6:coauthVersionLast="47" xr6:coauthVersionMax="47" xr10:uidLastSave="{00000000-0000-0000-0000-000000000000}"/>
  <bookViews>
    <workbookView xWindow="5070" yWindow="1965" windowWidth="21600" windowHeight="11385" firstSheet="1" activeTab="1" xr2:uid="{00000000-000D-0000-FFFF-FFFF00000000}"/>
  </bookViews>
  <sheets>
    <sheet name="WUTC_LYNNWOOD_SF" sheetId="5" state="hidden" r:id="rId1"/>
    <sheet name="WUTC_AW of Kent (SeaTac)_SF" sheetId="11" r:id="rId2"/>
    <sheet name="Value" sheetId="4" r:id="rId3"/>
    <sheet name="Commodity Tonnages" sheetId="2" r:id="rId4"/>
    <sheet name="Pricing" sheetId="3" r:id="rId5"/>
    <sheet name="Single Family" sheetId="6" r:id="rId6"/>
    <sheet name="RSA" sheetId="12" r:id="rId7"/>
    <sheet name="Recap" sheetId="13" r:id="rId8"/>
  </sheets>
  <externalReferences>
    <externalReference r:id="rId9"/>
    <externalReference r:id="rId10"/>
  </externalReferences>
  <definedNames>
    <definedName name="color" localSheetId="7">#REF!</definedName>
    <definedName name="color">#REF!</definedName>
    <definedName name="_xlnm.Print_Area" localSheetId="4">Pricing!$A$1:$L$19</definedName>
    <definedName name="_xlnm.Print_Area" localSheetId="5">'Single Family'!$A$7:$N$102</definedName>
    <definedName name="_xlnm.Print_Area" localSheetId="1">'WUTC_AW of Kent (SeaTac)_SF'!$A$1:$I$65</definedName>
    <definedName name="_xlnm.Print_Area" localSheetId="0">WUTC_LYNNWOOD_SF!$A$1:$K$82</definedName>
    <definedName name="_xlnm.Print_Titles" localSheetId="5">'Single Family'!$A:$B,'Single Family'!$1:$6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42" i="13" l="1"/>
  <c r="L42" i="13"/>
  <c r="S42" i="13" s="1"/>
  <c r="S41" i="13"/>
  <c r="S40" i="13"/>
  <c r="N40" i="13"/>
  <c r="J40" i="13"/>
  <c r="S39" i="13"/>
  <c r="N39" i="13"/>
  <c r="J39" i="13"/>
  <c r="S38" i="13"/>
  <c r="S37" i="13"/>
  <c r="N37" i="13"/>
  <c r="J37" i="13"/>
  <c r="S36" i="13"/>
  <c r="N36" i="13"/>
  <c r="J36" i="13"/>
  <c r="S35" i="13"/>
  <c r="S34" i="13"/>
  <c r="N34" i="13"/>
  <c r="J34" i="13"/>
  <c r="S33" i="13"/>
  <c r="N33" i="13"/>
  <c r="J33" i="13"/>
  <c r="J42" i="13" s="1"/>
  <c r="I30" i="13"/>
  <c r="B29" i="13"/>
  <c r="Q28" i="13"/>
  <c r="S28" i="13" s="1"/>
  <c r="L28" i="13"/>
  <c r="N28" i="13" s="1"/>
  <c r="S27" i="13"/>
  <c r="S26" i="13"/>
  <c r="N26" i="13"/>
  <c r="J26" i="13"/>
  <c r="S25" i="13"/>
  <c r="N25" i="13"/>
  <c r="J25" i="13"/>
  <c r="S24" i="13"/>
  <c r="S23" i="13"/>
  <c r="N23" i="13"/>
  <c r="J23" i="13"/>
  <c r="S22" i="13"/>
  <c r="N22" i="13"/>
  <c r="J22" i="13"/>
  <c r="C22" i="13"/>
  <c r="B22" i="13"/>
  <c r="D22" i="13" s="1"/>
  <c r="S21" i="13"/>
  <c r="C21" i="13"/>
  <c r="B21" i="13"/>
  <c r="S20" i="13"/>
  <c r="N20" i="13"/>
  <c r="J20" i="13"/>
  <c r="C20" i="13"/>
  <c r="B20" i="13"/>
  <c r="B23" i="13" s="1"/>
  <c r="S19" i="13"/>
  <c r="N19" i="13"/>
  <c r="J19" i="13"/>
  <c r="J28" i="13" s="1"/>
  <c r="I16" i="13"/>
  <c r="Q14" i="13"/>
  <c r="S13" i="13"/>
  <c r="C13" i="13"/>
  <c r="E31" i="13" s="1"/>
  <c r="B13" i="13"/>
  <c r="D13" i="13" s="1"/>
  <c r="S12" i="13"/>
  <c r="Q12" i="13"/>
  <c r="L12" i="13"/>
  <c r="N12" i="13" s="1"/>
  <c r="J12" i="13"/>
  <c r="Q11" i="13"/>
  <c r="L11" i="13"/>
  <c r="S11" i="13" s="1"/>
  <c r="S10" i="13"/>
  <c r="Q9" i="13"/>
  <c r="S9" i="13" s="1"/>
  <c r="N9" i="13"/>
  <c r="L9" i="13"/>
  <c r="J9" i="13"/>
  <c r="Q8" i="13"/>
  <c r="S8" i="13" s="1"/>
  <c r="N8" i="13"/>
  <c r="L8" i="13"/>
  <c r="J8" i="13"/>
  <c r="C8" i="13"/>
  <c r="D8" i="13" s="1"/>
  <c r="B8" i="13"/>
  <c r="S7" i="13"/>
  <c r="D7" i="13"/>
  <c r="S6" i="13"/>
  <c r="Q6" i="13"/>
  <c r="L6" i="13"/>
  <c r="N6" i="13" s="1"/>
  <c r="J6" i="13"/>
  <c r="C6" i="13"/>
  <c r="B6" i="13"/>
  <c r="B9" i="13" s="1"/>
  <c r="B10" i="13" s="1"/>
  <c r="S5" i="13"/>
  <c r="Q5" i="13"/>
  <c r="L5" i="13"/>
  <c r="L14" i="13" s="1"/>
  <c r="J5" i="13"/>
  <c r="I2" i="13"/>
  <c r="L23" i="6"/>
  <c r="M23" i="6" s="1"/>
  <c r="N23" i="6" s="1"/>
  <c r="F23" i="6"/>
  <c r="G23" i="6" s="1"/>
  <c r="H23" i="6" s="1"/>
  <c r="I23" i="6" s="1"/>
  <c r="J23" i="6" s="1"/>
  <c r="D23" i="6"/>
  <c r="L22" i="6"/>
  <c r="M22" i="6" s="1"/>
  <c r="N22" i="6" s="1"/>
  <c r="G22" i="6"/>
  <c r="H22" i="6" s="1"/>
  <c r="I22" i="6" s="1"/>
  <c r="J22" i="6" s="1"/>
  <c r="F22" i="6"/>
  <c r="D22" i="6"/>
  <c r="M21" i="6"/>
  <c r="N21" i="6" s="1"/>
  <c r="L21" i="6"/>
  <c r="H21" i="6"/>
  <c r="I21" i="6" s="1"/>
  <c r="J21" i="6" s="1"/>
  <c r="G21" i="6"/>
  <c r="F21" i="6"/>
  <c r="D21" i="6"/>
  <c r="N20" i="6"/>
  <c r="M20" i="6"/>
  <c r="L20" i="6"/>
  <c r="F20" i="6"/>
  <c r="G20" i="6" s="1"/>
  <c r="H20" i="6" s="1"/>
  <c r="I20" i="6" s="1"/>
  <c r="J20" i="6" s="1"/>
  <c r="D20" i="6"/>
  <c r="L19" i="6"/>
  <c r="M19" i="6" s="1"/>
  <c r="N19" i="6" s="1"/>
  <c r="F19" i="6"/>
  <c r="G19" i="6" s="1"/>
  <c r="H19" i="6" s="1"/>
  <c r="I19" i="6" s="1"/>
  <c r="J19" i="6" s="1"/>
  <c r="D19" i="6"/>
  <c r="L18" i="6"/>
  <c r="M18" i="6" s="1"/>
  <c r="N18" i="6" s="1"/>
  <c r="G18" i="6"/>
  <c r="H18" i="6" s="1"/>
  <c r="I18" i="6" s="1"/>
  <c r="J18" i="6" s="1"/>
  <c r="F18" i="6"/>
  <c r="D18" i="6"/>
  <c r="M17" i="6"/>
  <c r="N17" i="6" s="1"/>
  <c r="L17" i="6"/>
  <c r="H17" i="6"/>
  <c r="I17" i="6" s="1"/>
  <c r="J17" i="6" s="1"/>
  <c r="G17" i="6"/>
  <c r="F17" i="6"/>
  <c r="D17" i="6"/>
  <c r="N16" i="6"/>
  <c r="M16" i="6"/>
  <c r="L16" i="6"/>
  <c r="F16" i="6"/>
  <c r="G16" i="6" s="1"/>
  <c r="H16" i="6" s="1"/>
  <c r="I16" i="6" s="1"/>
  <c r="J16" i="6" s="1"/>
  <c r="D16" i="6"/>
  <c r="L15" i="6"/>
  <c r="M15" i="6" s="1"/>
  <c r="N15" i="6" s="1"/>
  <c r="F15" i="6"/>
  <c r="G15" i="6" s="1"/>
  <c r="H15" i="6" s="1"/>
  <c r="I15" i="6" s="1"/>
  <c r="J15" i="6" s="1"/>
  <c r="D15" i="6"/>
  <c r="L14" i="6"/>
  <c r="M14" i="6" s="1"/>
  <c r="N14" i="6" s="1"/>
  <c r="G14" i="6"/>
  <c r="H14" i="6" s="1"/>
  <c r="I14" i="6" s="1"/>
  <c r="J14" i="6" s="1"/>
  <c r="F14" i="6"/>
  <c r="D14" i="6"/>
  <c r="L13" i="6"/>
  <c r="M13" i="6" s="1"/>
  <c r="G13" i="6"/>
  <c r="H13" i="6" s="1"/>
  <c r="I13" i="6" s="1"/>
  <c r="J13" i="6" s="1"/>
  <c r="F13" i="6"/>
  <c r="D13" i="6"/>
  <c r="B24" i="11"/>
  <c r="F39" i="11" s="1"/>
  <c r="B12" i="11"/>
  <c r="F35" i="11" s="1"/>
  <c r="D20" i="13" l="1"/>
  <c r="D23" i="13" s="1"/>
  <c r="D21" i="13"/>
  <c r="B31" i="13"/>
  <c r="E32" i="13"/>
  <c r="E34" i="13" s="1"/>
  <c r="N14" i="13"/>
  <c r="S14" i="13"/>
  <c r="D16" i="13"/>
  <c r="C9" i="13"/>
  <c r="C10" i="13" s="1"/>
  <c r="C23" i="13"/>
  <c r="N11" i="13"/>
  <c r="N42" i="13"/>
  <c r="N5" i="13"/>
  <c r="B32" i="13"/>
  <c r="B33" i="13" s="1"/>
  <c r="D6" i="13"/>
  <c r="D9" i="13" s="1"/>
  <c r="J11" i="13"/>
  <c r="J14" i="13" s="1"/>
  <c r="B26" i="11"/>
  <c r="D12" i="12"/>
  <c r="F12" i="12" s="1"/>
  <c r="D10" i="13" l="1"/>
  <c r="E12" i="12"/>
  <c r="D13" i="12"/>
  <c r="E13" i="12" s="1"/>
  <c r="D14" i="12"/>
  <c r="F14" i="12" s="1"/>
  <c r="O79" i="6"/>
  <c r="D15" i="12" l="1"/>
  <c r="C7" i="12" s="1"/>
  <c r="F7" i="12" s="1"/>
  <c r="E14" i="12"/>
  <c r="F13" i="12"/>
  <c r="C9" i="12" l="1"/>
  <c r="C8" i="12"/>
  <c r="E8" i="12" s="1"/>
  <c r="E7" i="12"/>
  <c r="F8" i="12"/>
  <c r="F9" i="12"/>
  <c r="E9" i="12"/>
  <c r="E20" i="12" s="1"/>
  <c r="E24" i="12" l="1"/>
  <c r="G65" i="11"/>
  <c r="G17" i="3" l="1"/>
  <c r="G16" i="3"/>
  <c r="G15" i="3"/>
  <c r="G14" i="3"/>
  <c r="G13" i="3"/>
  <c r="G12" i="3"/>
  <c r="G11" i="3"/>
  <c r="G10" i="3"/>
  <c r="G9" i="3"/>
  <c r="G8" i="3"/>
  <c r="G7" i="3"/>
  <c r="G6" i="3"/>
  <c r="F40" i="11" l="1"/>
  <c r="E9" i="6"/>
  <c r="E10" i="6" s="1"/>
  <c r="E34" i="6" s="1"/>
  <c r="N56" i="11"/>
  <c r="F36" i="11"/>
  <c r="O7" i="11"/>
  <c r="O6" i="11"/>
  <c r="O5" i="11"/>
  <c r="H14" i="3"/>
  <c r="H12" i="3"/>
  <c r="H11" i="3"/>
  <c r="H6" i="3"/>
  <c r="D14" i="3"/>
  <c r="D12" i="3"/>
  <c r="D11" i="3"/>
  <c r="D6" i="3"/>
  <c r="C14" i="3"/>
  <c r="C12" i="3"/>
  <c r="C10" i="3"/>
  <c r="C9" i="3"/>
  <c r="C8" i="3"/>
  <c r="I10" i="3"/>
  <c r="J8" i="3"/>
  <c r="J7" i="3"/>
  <c r="F12" i="3"/>
  <c r="K14" i="3"/>
  <c r="K13" i="3"/>
  <c r="K10" i="3"/>
  <c r="K9" i="3"/>
  <c r="K7" i="3"/>
  <c r="K6" i="3"/>
  <c r="C9" i="6"/>
  <c r="C10" i="6" s="1"/>
  <c r="A8" i="11"/>
  <c r="A6" i="3"/>
  <c r="A6" i="4" s="1"/>
  <c r="A6" i="2"/>
  <c r="A7" i="2" s="1"/>
  <c r="C7" i="3"/>
  <c r="F7" i="3"/>
  <c r="I8" i="3"/>
  <c r="D9" i="3"/>
  <c r="F9" i="3"/>
  <c r="H9" i="3"/>
  <c r="C11" i="3"/>
  <c r="K11" i="3"/>
  <c r="I12" i="3"/>
  <c r="J12" i="3"/>
  <c r="H13" i="3"/>
  <c r="D9" i="6"/>
  <c r="D10" i="6" s="1"/>
  <c r="F9" i="6"/>
  <c r="F10" i="6" s="1"/>
  <c r="G9" i="6"/>
  <c r="G10" i="6" s="1"/>
  <c r="G28" i="6" s="1"/>
  <c r="H9" i="6"/>
  <c r="H10" i="6" s="1"/>
  <c r="H27" i="6" s="1"/>
  <c r="I9" i="6"/>
  <c r="I10" i="6" s="1"/>
  <c r="I30" i="6" s="1"/>
  <c r="J9" i="6"/>
  <c r="J10" i="6" s="1"/>
  <c r="J33" i="6" s="1"/>
  <c r="K9" i="6"/>
  <c r="K10" i="6" s="1"/>
  <c r="K30" i="6" s="1"/>
  <c r="L9" i="6"/>
  <c r="L10" i="6" s="1"/>
  <c r="L32" i="6" s="1"/>
  <c r="M9" i="6"/>
  <c r="M10" i="6" s="1"/>
  <c r="N9" i="6"/>
  <c r="N10" i="6" s="1"/>
  <c r="A2" i="2"/>
  <c r="A2" i="4"/>
  <c r="A2" i="3" s="1"/>
  <c r="D6" i="6"/>
  <c r="E6" i="6" s="1"/>
  <c r="F6" i="6" s="1"/>
  <c r="G6" i="6" s="1"/>
  <c r="H6" i="6" s="1"/>
  <c r="I6" i="6" s="1"/>
  <c r="J6" i="6" s="1"/>
  <c r="K6" i="6" s="1"/>
  <c r="L6" i="6" s="1"/>
  <c r="M6" i="6" s="1"/>
  <c r="N6" i="6" s="1"/>
  <c r="B105" i="6"/>
  <c r="J8" i="11"/>
  <c r="J9" i="11"/>
  <c r="J10" i="11"/>
  <c r="J22" i="11"/>
  <c r="O27" i="11" s="1"/>
  <c r="J14" i="11"/>
  <c r="J15" i="11"/>
  <c r="J16" i="11"/>
  <c r="J17" i="11"/>
  <c r="J18" i="11"/>
  <c r="J19" i="11"/>
  <c r="J20" i="11"/>
  <c r="J21" i="11"/>
  <c r="B11" i="5"/>
  <c r="F34" i="5" s="1"/>
  <c r="F35" i="5" s="1"/>
  <c r="B24" i="5"/>
  <c r="F38" i="5" s="1"/>
  <c r="F39" i="5" s="1"/>
  <c r="D11" i="5"/>
  <c r="D24" i="5"/>
  <c r="J14" i="5"/>
  <c r="F14" i="5"/>
  <c r="J8" i="5"/>
  <c r="J9" i="5"/>
  <c r="J22" i="5"/>
  <c r="J13" i="5"/>
  <c r="J15" i="5"/>
  <c r="J16" i="5"/>
  <c r="J17" i="5"/>
  <c r="J18" i="5"/>
  <c r="J19" i="5"/>
  <c r="J20" i="5"/>
  <c r="J21" i="5"/>
  <c r="F22" i="5"/>
  <c r="F19" i="5"/>
  <c r="F20" i="5"/>
  <c r="F21" i="5"/>
  <c r="F8" i="5"/>
  <c r="F9" i="5"/>
  <c r="F13" i="5"/>
  <c r="F15" i="5"/>
  <c r="F16" i="5"/>
  <c r="F17" i="5"/>
  <c r="F18" i="5"/>
  <c r="I7" i="3"/>
  <c r="F11" i="3"/>
  <c r="H8" i="3"/>
  <c r="I15" i="3"/>
  <c r="J10" i="3"/>
  <c r="D10" i="3"/>
  <c r="J6" i="3"/>
  <c r="I6" i="3"/>
  <c r="K16" i="3"/>
  <c r="F16" i="3"/>
  <c r="K15" i="3"/>
  <c r="J15" i="3"/>
  <c r="H17" i="3"/>
  <c r="H16" i="3"/>
  <c r="C17" i="3"/>
  <c r="C16" i="3"/>
  <c r="K17" i="3"/>
  <c r="J14" i="3"/>
  <c r="C15" i="3"/>
  <c r="F6" i="3"/>
  <c r="K8" i="3"/>
  <c r="J9" i="3"/>
  <c r="I9" i="3"/>
  <c r="I11" i="3"/>
  <c r="K12" i="3"/>
  <c r="I13" i="3"/>
  <c r="D8" i="3"/>
  <c r="F17" i="3"/>
  <c r="F8" i="3"/>
  <c r="C13" i="3"/>
  <c r="E6" i="3"/>
  <c r="H10" i="3"/>
  <c r="L6" i="3"/>
  <c r="D16" i="3"/>
  <c r="D15" i="3"/>
  <c r="J13" i="3"/>
  <c r="D13" i="3"/>
  <c r="H7" i="3"/>
  <c r="H15" i="3"/>
  <c r="F10" i="3"/>
  <c r="F13" i="3"/>
  <c r="I14" i="3"/>
  <c r="D7" i="3"/>
  <c r="J17" i="3"/>
  <c r="I17" i="3"/>
  <c r="D17" i="3"/>
  <c r="I16" i="3"/>
  <c r="J16" i="3"/>
  <c r="F15" i="3"/>
  <c r="F14" i="3"/>
  <c r="J11" i="3"/>
  <c r="C6" i="3"/>
  <c r="L17" i="3"/>
  <c r="E17" i="3"/>
  <c r="C35" i="11" l="1"/>
  <c r="K8" i="11"/>
  <c r="F41" i="5"/>
  <c r="G41" i="5" s="1"/>
  <c r="D26" i="5"/>
  <c r="G31" i="5" s="1"/>
  <c r="G44" i="5" s="1"/>
  <c r="G51" i="5" s="1"/>
  <c r="J61" i="6"/>
  <c r="J88" i="6" s="1"/>
  <c r="G13" i="2"/>
  <c r="A9" i="11"/>
  <c r="A10" i="11" s="1"/>
  <c r="F42" i="11"/>
  <c r="G42" i="11" s="1"/>
  <c r="E27" i="6"/>
  <c r="E55" i="6" s="1"/>
  <c r="E82" i="6" s="1"/>
  <c r="H33" i="6"/>
  <c r="I36" i="6"/>
  <c r="I64" i="6" s="1"/>
  <c r="G33" i="6"/>
  <c r="A7" i="3"/>
  <c r="A7" i="4" s="1"/>
  <c r="A8" i="2"/>
  <c r="G56" i="6"/>
  <c r="G83" i="6" s="1"/>
  <c r="K10" i="2"/>
  <c r="K10" i="4" s="1"/>
  <c r="F14" i="2"/>
  <c r="F14" i="4" s="1"/>
  <c r="K58" i="6"/>
  <c r="K85" i="6" s="1"/>
  <c r="C37" i="6"/>
  <c r="H6" i="2" s="1"/>
  <c r="H6" i="4" s="1"/>
  <c r="C34" i="6"/>
  <c r="C27" i="6"/>
  <c r="C35" i="6"/>
  <c r="C33" i="6"/>
  <c r="C36" i="6"/>
  <c r="C64" i="6" s="1"/>
  <c r="C91" i="6" s="1"/>
  <c r="L30" i="6"/>
  <c r="L58" i="6" s="1"/>
  <c r="L85" i="6" s="1"/>
  <c r="K27" i="6"/>
  <c r="J30" i="6"/>
  <c r="F13" i="2" s="1"/>
  <c r="F13" i="4" s="1"/>
  <c r="F12" i="2"/>
  <c r="F12" i="4" s="1"/>
  <c r="I58" i="6"/>
  <c r="I85" i="6" s="1"/>
  <c r="M30" i="6"/>
  <c r="M27" i="6"/>
  <c r="M32" i="6"/>
  <c r="C15" i="2"/>
  <c r="C15" i="4" s="1"/>
  <c r="L60" i="6"/>
  <c r="L87" i="6" s="1"/>
  <c r="N32" i="6"/>
  <c r="N27" i="6"/>
  <c r="N30" i="6"/>
  <c r="K32" i="6"/>
  <c r="F32" i="6"/>
  <c r="F33" i="6"/>
  <c r="F37" i="6"/>
  <c r="H9" i="2" s="1"/>
  <c r="H9" i="4" s="1"/>
  <c r="E35" i="6"/>
  <c r="E8" i="2" s="1"/>
  <c r="D8" i="2"/>
  <c r="D8" i="4" s="1"/>
  <c r="E62" i="6"/>
  <c r="E89" i="6" s="1"/>
  <c r="D35" i="6"/>
  <c r="D34" i="6"/>
  <c r="D7" i="2" s="1"/>
  <c r="D30" i="6"/>
  <c r="F7" i="2" s="1"/>
  <c r="D37" i="6"/>
  <c r="H7" i="2" s="1"/>
  <c r="H7" i="4" s="1"/>
  <c r="D32" i="6"/>
  <c r="D36" i="6"/>
  <c r="D27" i="6"/>
  <c r="D28" i="6"/>
  <c r="D56" i="6" s="1"/>
  <c r="D83" i="6" s="1"/>
  <c r="D33" i="6"/>
  <c r="E36" i="6"/>
  <c r="C30" i="6"/>
  <c r="C28" i="6"/>
  <c r="C31" i="6"/>
  <c r="I6" i="2" s="1"/>
  <c r="C32" i="6"/>
  <c r="C29" i="6"/>
  <c r="C57" i="6" s="1"/>
  <c r="C84" i="6" s="1"/>
  <c r="F35" i="6"/>
  <c r="H55" i="6"/>
  <c r="H28" i="6"/>
  <c r="K36" i="6"/>
  <c r="J32" i="6"/>
  <c r="J36" i="6"/>
  <c r="J27" i="6"/>
  <c r="F36" i="6"/>
  <c r="F28" i="6"/>
  <c r="F34" i="6"/>
  <c r="F27" i="6"/>
  <c r="F30" i="6"/>
  <c r="K33" i="6"/>
  <c r="J26" i="11"/>
  <c r="G51" i="11" s="1"/>
  <c r="L27" i="6"/>
  <c r="L36" i="6"/>
  <c r="I27" i="6"/>
  <c r="I32" i="6"/>
  <c r="I33" i="6"/>
  <c r="D31" i="6"/>
  <c r="G34" i="6"/>
  <c r="G37" i="6"/>
  <c r="H10" i="2" s="1"/>
  <c r="H10" i="4" s="1"/>
  <c r="J26" i="5"/>
  <c r="G50" i="5" s="1"/>
  <c r="G53" i="5" s="1"/>
  <c r="I53" i="5" s="1"/>
  <c r="E7" i="3"/>
  <c r="G27" i="6"/>
  <c r="H32" i="6"/>
  <c r="H30" i="6"/>
  <c r="H36" i="6"/>
  <c r="D29" i="6"/>
  <c r="L7" i="3"/>
  <c r="G30" i="6"/>
  <c r="G32" i="6"/>
  <c r="G36" i="6"/>
  <c r="E30" i="6"/>
  <c r="E28" i="6"/>
  <c r="E37" i="6"/>
  <c r="H8" i="2" s="1"/>
  <c r="E33" i="6"/>
  <c r="E32" i="6"/>
  <c r="B26" i="5"/>
  <c r="F26" i="5" s="1"/>
  <c r="G56" i="5" s="1"/>
  <c r="I56" i="5" s="1"/>
  <c r="C61" i="6" l="1"/>
  <c r="C88" i="6" s="1"/>
  <c r="G6" i="2"/>
  <c r="G6" i="4" s="1"/>
  <c r="H61" i="6"/>
  <c r="H88" i="6" s="1"/>
  <c r="G11" i="2"/>
  <c r="G11" i="4" s="1"/>
  <c r="I61" i="6"/>
  <c r="I88" i="6" s="1"/>
  <c r="G12" i="2"/>
  <c r="G12" i="4" s="1"/>
  <c r="K61" i="6"/>
  <c r="K88" i="6" s="1"/>
  <c r="G14" i="2"/>
  <c r="G14" i="4" s="1"/>
  <c r="D61" i="6"/>
  <c r="D88" i="6" s="1"/>
  <c r="G7" i="2"/>
  <c r="E61" i="6"/>
  <c r="E88" i="6" s="1"/>
  <c r="G8" i="2"/>
  <c r="G8" i="4" s="1"/>
  <c r="F61" i="6"/>
  <c r="F88" i="6" s="1"/>
  <c r="G9" i="2"/>
  <c r="G61" i="6"/>
  <c r="G88" i="6" s="1"/>
  <c r="G10" i="2"/>
  <c r="G10" i="4" s="1"/>
  <c r="A14" i="11"/>
  <c r="K10" i="11"/>
  <c r="K9" i="11"/>
  <c r="K55" i="6"/>
  <c r="K82" i="6" s="1"/>
  <c r="L12" i="2"/>
  <c r="J58" i="6"/>
  <c r="J85" i="6" s="1"/>
  <c r="A8" i="3"/>
  <c r="A8" i="4" s="1"/>
  <c r="A9" i="2"/>
  <c r="D58" i="6"/>
  <c r="D85" i="6" s="1"/>
  <c r="L6" i="2"/>
  <c r="L6" i="4" s="1"/>
  <c r="J6" i="2"/>
  <c r="C38" i="6"/>
  <c r="C55" i="6"/>
  <c r="C82" i="6" s="1"/>
  <c r="D62" i="6"/>
  <c r="D89" i="6" s="1"/>
  <c r="C59" i="6"/>
  <c r="C86" i="6" s="1"/>
  <c r="D6" i="2"/>
  <c r="D6" i="4" s="1"/>
  <c r="C62" i="6"/>
  <c r="C89" i="6" s="1"/>
  <c r="C63" i="6"/>
  <c r="C90" i="6" s="1"/>
  <c r="E6" i="2"/>
  <c r="E6" i="4" s="1"/>
  <c r="F15" i="2"/>
  <c r="F15" i="4" s="1"/>
  <c r="N60" i="6"/>
  <c r="N87" i="6" s="1"/>
  <c r="C17" i="2"/>
  <c r="C17" i="4" s="1"/>
  <c r="M55" i="6"/>
  <c r="M82" i="6" s="1"/>
  <c r="C14" i="2"/>
  <c r="C14" i="4" s="1"/>
  <c r="K60" i="6"/>
  <c r="K87" i="6" s="1"/>
  <c r="F16" i="2"/>
  <c r="F16" i="4" s="1"/>
  <c r="M58" i="6"/>
  <c r="M85" i="6" s="1"/>
  <c r="N58" i="6"/>
  <c r="N85" i="6" s="1"/>
  <c r="F17" i="2"/>
  <c r="F17" i="4" s="1"/>
  <c r="N55" i="6"/>
  <c r="N82" i="6" s="1"/>
  <c r="M60" i="6"/>
  <c r="M87" i="6" s="1"/>
  <c r="C16" i="2"/>
  <c r="C16" i="4" s="1"/>
  <c r="C9" i="2"/>
  <c r="C9" i="4" s="1"/>
  <c r="F60" i="6"/>
  <c r="F87" i="6" s="1"/>
  <c r="E63" i="6"/>
  <c r="E90" i="6" s="1"/>
  <c r="G7" i="4"/>
  <c r="D55" i="6"/>
  <c r="D82" i="6" s="1"/>
  <c r="E64" i="6"/>
  <c r="E91" i="6" s="1"/>
  <c r="L8" i="2"/>
  <c r="D64" i="6"/>
  <c r="D91" i="6" s="1"/>
  <c r="L7" i="2"/>
  <c r="L7" i="4" s="1"/>
  <c r="K7" i="2"/>
  <c r="K7" i="4" s="1"/>
  <c r="D60" i="6"/>
  <c r="D87" i="6" s="1"/>
  <c r="C7" i="2"/>
  <c r="C7" i="4" s="1"/>
  <c r="E7" i="2"/>
  <c r="E7" i="4" s="1"/>
  <c r="D63" i="6"/>
  <c r="D90" i="6" s="1"/>
  <c r="F6" i="2"/>
  <c r="F6" i="4" s="1"/>
  <c r="C58" i="6"/>
  <c r="C85" i="6" s="1"/>
  <c r="C6" i="2"/>
  <c r="C6" i="4" s="1"/>
  <c r="C60" i="6"/>
  <c r="C87" i="6" s="1"/>
  <c r="C56" i="6"/>
  <c r="K6" i="2"/>
  <c r="K6" i="4" s="1"/>
  <c r="I58" i="5"/>
  <c r="F64" i="6"/>
  <c r="L9" i="2"/>
  <c r="C13" i="2"/>
  <c r="J60" i="6"/>
  <c r="J87" i="6" s="1"/>
  <c r="I6" i="4"/>
  <c r="K28" i="6"/>
  <c r="H8" i="4"/>
  <c r="L10" i="2"/>
  <c r="G64" i="6"/>
  <c r="L8" i="3"/>
  <c r="H37" i="6"/>
  <c r="H11" i="2" s="1"/>
  <c r="H11" i="4" s="1"/>
  <c r="G62" i="6"/>
  <c r="G89" i="6" s="1"/>
  <c r="D10" i="2"/>
  <c r="D10" i="4" s="1"/>
  <c r="I28" i="6"/>
  <c r="L33" i="6"/>
  <c r="F62" i="6"/>
  <c r="F89" i="6" s="1"/>
  <c r="D9" i="2"/>
  <c r="J28" i="6"/>
  <c r="L14" i="2"/>
  <c r="K64" i="6"/>
  <c r="H82" i="6"/>
  <c r="E9" i="2"/>
  <c r="F63" i="6"/>
  <c r="F8" i="2"/>
  <c r="F8" i="4" s="1"/>
  <c r="E58" i="6"/>
  <c r="E85" i="6" s="1"/>
  <c r="F10" i="2"/>
  <c r="F10" i="4" s="1"/>
  <c r="G58" i="6"/>
  <c r="G85" i="6" s="1"/>
  <c r="F31" i="6"/>
  <c r="L64" i="6"/>
  <c r="L15" i="2"/>
  <c r="K8" i="2"/>
  <c r="K8" i="4" s="1"/>
  <c r="E56" i="6"/>
  <c r="G60" i="6"/>
  <c r="G87" i="6" s="1"/>
  <c r="C10" i="2"/>
  <c r="E29" i="6"/>
  <c r="E57" i="6" s="1"/>
  <c r="E84" i="6" s="1"/>
  <c r="H60" i="6"/>
  <c r="H87" i="6" s="1"/>
  <c r="C11" i="2"/>
  <c r="E8" i="3"/>
  <c r="H34" i="6"/>
  <c r="C12" i="2"/>
  <c r="I60" i="6"/>
  <c r="I87" i="6" s="1"/>
  <c r="J55" i="6"/>
  <c r="G13" i="4"/>
  <c r="N36" i="6"/>
  <c r="M36" i="6"/>
  <c r="J6" i="4"/>
  <c r="G35" i="6"/>
  <c r="H58" i="6"/>
  <c r="H85" i="6" s="1"/>
  <c r="F11" i="2"/>
  <c r="F11" i="4" s="1"/>
  <c r="J37" i="6"/>
  <c r="H13" i="2" s="1"/>
  <c r="H13" i="4" s="1"/>
  <c r="F55" i="6"/>
  <c r="F82" i="6" s="1"/>
  <c r="F7" i="4"/>
  <c r="C8" i="2"/>
  <c r="E60" i="6"/>
  <c r="E87" i="6" s="1"/>
  <c r="E31" i="6"/>
  <c r="D7" i="4"/>
  <c r="D57" i="6"/>
  <c r="D38" i="6"/>
  <c r="H64" i="6"/>
  <c r="L11" i="2"/>
  <c r="G55" i="6"/>
  <c r="J7" i="2"/>
  <c r="J7" i="4" s="1"/>
  <c r="I7" i="2"/>
  <c r="I7" i="4" s="1"/>
  <c r="D59" i="6"/>
  <c r="D86" i="6" s="1"/>
  <c r="I37" i="6"/>
  <c r="H12" i="2" s="1"/>
  <c r="H12" i="4" s="1"/>
  <c r="I55" i="6"/>
  <c r="L55" i="6"/>
  <c r="F58" i="6"/>
  <c r="F85" i="6" s="1"/>
  <c r="F9" i="2"/>
  <c r="F9" i="4" s="1"/>
  <c r="F56" i="6"/>
  <c r="F83" i="6" s="1"/>
  <c r="K9" i="2"/>
  <c r="K9" i="4" s="1"/>
  <c r="L13" i="2"/>
  <c r="J64" i="6"/>
  <c r="K11" i="2"/>
  <c r="K11" i="4" s="1"/>
  <c r="H56" i="6"/>
  <c r="H83" i="6" s="1"/>
  <c r="K14" i="11" l="1"/>
  <c r="L61" i="6"/>
  <c r="L88" i="6" s="1"/>
  <c r="G15" i="2"/>
  <c r="G15" i="4" s="1"/>
  <c r="A15" i="11"/>
  <c r="K15" i="11" s="1"/>
  <c r="E8" i="4"/>
  <c r="A10" i="2"/>
  <c r="A9" i="3"/>
  <c r="A9" i="4" s="1"/>
  <c r="L8" i="4"/>
  <c r="N6" i="2"/>
  <c r="C83" i="6"/>
  <c r="C65" i="6"/>
  <c r="F18" i="4"/>
  <c r="D84" i="6"/>
  <c r="D65" i="6"/>
  <c r="D92" i="6" s="1"/>
  <c r="G31" i="6"/>
  <c r="K12" i="2"/>
  <c r="K12" i="4" s="1"/>
  <c r="I56" i="6"/>
  <c r="I83" i="6" s="1"/>
  <c r="M6" i="4"/>
  <c r="M7" i="4"/>
  <c r="O7" i="4" s="1"/>
  <c r="F18" i="2"/>
  <c r="H35" i="6"/>
  <c r="L17" i="2"/>
  <c r="L17" i="4" s="1"/>
  <c r="N64" i="6"/>
  <c r="N91" i="6" s="1"/>
  <c r="I34" i="6"/>
  <c r="E9" i="3"/>
  <c r="F90" i="6"/>
  <c r="F29" i="6"/>
  <c r="I9" i="2"/>
  <c r="I9" i="4" s="1"/>
  <c r="F59" i="6"/>
  <c r="F86" i="6" s="1"/>
  <c r="J9" i="2"/>
  <c r="J9" i="4" s="1"/>
  <c r="I82" i="6"/>
  <c r="K37" i="6"/>
  <c r="H14" i="2" s="1"/>
  <c r="H14" i="4" s="1"/>
  <c r="C12" i="4"/>
  <c r="K13" i="2"/>
  <c r="K13" i="4" s="1"/>
  <c r="J56" i="6"/>
  <c r="J83" i="6" s="1"/>
  <c r="N33" i="6"/>
  <c r="M33" i="6"/>
  <c r="K56" i="6"/>
  <c r="K14" i="2"/>
  <c r="K14" i="4" s="1"/>
  <c r="G82" i="6"/>
  <c r="I8" i="2"/>
  <c r="I8" i="4" s="1"/>
  <c r="E59" i="6"/>
  <c r="E86" i="6" s="1"/>
  <c r="J8" i="2"/>
  <c r="C11" i="4"/>
  <c r="C10" i="4"/>
  <c r="E38" i="6"/>
  <c r="L9" i="3"/>
  <c r="L9" i="4" s="1"/>
  <c r="F91" i="6"/>
  <c r="L82" i="6"/>
  <c r="N7" i="2"/>
  <c r="C8" i="4"/>
  <c r="C18" i="2"/>
  <c r="G9" i="4"/>
  <c r="E10" i="2"/>
  <c r="G63" i="6"/>
  <c r="L16" i="2"/>
  <c r="M64" i="6"/>
  <c r="J82" i="6"/>
  <c r="H62" i="6"/>
  <c r="H89" i="6" s="1"/>
  <c r="D11" i="2"/>
  <c r="E83" i="6"/>
  <c r="D9" i="4"/>
  <c r="L28" i="6"/>
  <c r="C13" i="4"/>
  <c r="M61" i="6" l="1"/>
  <c r="M88" i="6" s="1"/>
  <c r="G16" i="2"/>
  <c r="N61" i="6"/>
  <c r="N88" i="6" s="1"/>
  <c r="G17" i="2"/>
  <c r="G17" i="4" s="1"/>
  <c r="A16" i="11"/>
  <c r="K16" i="11" s="1"/>
  <c r="E9" i="4"/>
  <c r="M9" i="4" s="1"/>
  <c r="O9" i="4" s="1"/>
  <c r="L18" i="2"/>
  <c r="A11" i="2"/>
  <c r="A10" i="3"/>
  <c r="A10" i="4" s="1"/>
  <c r="E65" i="6"/>
  <c r="E92" i="6" s="1"/>
  <c r="E93" i="6" s="1"/>
  <c r="N9" i="2"/>
  <c r="C92" i="6"/>
  <c r="C93" i="6" s="1"/>
  <c r="C52" i="6"/>
  <c r="C66" i="6"/>
  <c r="N28" i="6"/>
  <c r="M28" i="6"/>
  <c r="J8" i="4"/>
  <c r="M8" i="4" s="1"/>
  <c r="O8" i="4" s="1"/>
  <c r="K83" i="6"/>
  <c r="J34" i="6"/>
  <c r="H63" i="6"/>
  <c r="E11" i="2"/>
  <c r="O9" i="11"/>
  <c r="O8" i="11"/>
  <c r="E10" i="3"/>
  <c r="E10" i="4" s="1"/>
  <c r="G90" i="6"/>
  <c r="I35" i="6"/>
  <c r="G59" i="6"/>
  <c r="G86" i="6" s="1"/>
  <c r="J10" i="2"/>
  <c r="J10" i="4" s="1"/>
  <c r="I10" i="2"/>
  <c r="D93" i="6"/>
  <c r="C18" i="4"/>
  <c r="L10" i="3"/>
  <c r="L10" i="4" s="1"/>
  <c r="G91" i="6"/>
  <c r="K15" i="2"/>
  <c r="K15" i="4" s="1"/>
  <c r="L56" i="6"/>
  <c r="D11" i="4"/>
  <c r="N8" i="2"/>
  <c r="L37" i="6"/>
  <c r="H15" i="2" s="1"/>
  <c r="F57" i="6"/>
  <c r="F38" i="6"/>
  <c r="H31" i="6"/>
  <c r="G29" i="6"/>
  <c r="D12" i="2"/>
  <c r="I62" i="6"/>
  <c r="I89" i="6" s="1"/>
  <c r="D66" i="6"/>
  <c r="G16" i="4" l="1"/>
  <c r="G18" i="4" s="1"/>
  <c r="G18" i="2"/>
  <c r="A17" i="11"/>
  <c r="A18" i="11" s="1"/>
  <c r="A19" i="11" s="1"/>
  <c r="D9" i="11"/>
  <c r="F9" i="11" s="1"/>
  <c r="C94" i="6"/>
  <c r="C97" i="6" s="1"/>
  <c r="A12" i="2"/>
  <c r="A11" i="3"/>
  <c r="A11" i="4" s="1"/>
  <c r="E66" i="6"/>
  <c r="E94" i="6" s="1"/>
  <c r="E97" i="6" s="1"/>
  <c r="J11" i="2"/>
  <c r="J11" i="4" s="1"/>
  <c r="H59" i="6"/>
  <c r="H86" i="6" s="1"/>
  <c r="I11" i="2"/>
  <c r="H15" i="4"/>
  <c r="J62" i="6"/>
  <c r="J89" i="6" s="1"/>
  <c r="D13" i="2"/>
  <c r="M56" i="6"/>
  <c r="K16" i="2"/>
  <c r="K16" i="4" s="1"/>
  <c r="D12" i="4"/>
  <c r="I31" i="6"/>
  <c r="N37" i="6"/>
  <c r="H17" i="2" s="1"/>
  <c r="H17" i="4" s="1"/>
  <c r="M37" i="6"/>
  <c r="H16" i="2" s="1"/>
  <c r="H16" i="4" s="1"/>
  <c r="O10" i="11"/>
  <c r="K34" i="6"/>
  <c r="K17" i="2"/>
  <c r="K17" i="4" s="1"/>
  <c r="N56" i="6"/>
  <c r="G57" i="6"/>
  <c r="G38" i="6"/>
  <c r="O14" i="11"/>
  <c r="D94" i="6"/>
  <c r="D97" i="6" s="1"/>
  <c r="E12" i="2"/>
  <c r="I63" i="6"/>
  <c r="E11" i="3"/>
  <c r="H90" i="6"/>
  <c r="H29" i="6"/>
  <c r="F84" i="6"/>
  <c r="F65" i="6"/>
  <c r="F92" i="6" s="1"/>
  <c r="L83" i="6"/>
  <c r="L11" i="3"/>
  <c r="L11" i="4" s="1"/>
  <c r="H91" i="6"/>
  <c r="I10" i="4"/>
  <c r="M10" i="4" s="1"/>
  <c r="O10" i="4" s="1"/>
  <c r="N10" i="2"/>
  <c r="J35" i="6"/>
  <c r="K18" i="11" l="1"/>
  <c r="K17" i="11"/>
  <c r="D14" i="11"/>
  <c r="D10" i="11"/>
  <c r="F10" i="11" s="1"/>
  <c r="E11" i="4"/>
  <c r="A12" i="3"/>
  <c r="A12" i="4" s="1"/>
  <c r="A13" i="2"/>
  <c r="F93" i="6"/>
  <c r="F66" i="6"/>
  <c r="K18" i="4"/>
  <c r="K18" i="2"/>
  <c r="E13" i="2"/>
  <c r="J63" i="6"/>
  <c r="K62" i="6"/>
  <c r="K89" i="6" s="1"/>
  <c r="D14" i="2"/>
  <c r="I59" i="6"/>
  <c r="I86" i="6" s="1"/>
  <c r="J12" i="2"/>
  <c r="I12" i="2"/>
  <c r="I12" i="4" s="1"/>
  <c r="D13" i="4"/>
  <c r="K35" i="6"/>
  <c r="L12" i="3"/>
  <c r="L12" i="4" s="1"/>
  <c r="I91" i="6"/>
  <c r="K19" i="11"/>
  <c r="A20" i="11"/>
  <c r="J31" i="6"/>
  <c r="I11" i="4"/>
  <c r="H57" i="6"/>
  <c r="H38" i="6"/>
  <c r="M83" i="6"/>
  <c r="N83" i="6"/>
  <c r="L34" i="6"/>
  <c r="O15" i="11"/>
  <c r="I29" i="6"/>
  <c r="N11" i="2"/>
  <c r="E12" i="3"/>
  <c r="I90" i="6"/>
  <c r="G84" i="6"/>
  <c r="G65" i="6"/>
  <c r="G92" i="6" s="1"/>
  <c r="H18" i="4"/>
  <c r="H18" i="2"/>
  <c r="D15" i="11" l="1"/>
  <c r="F15" i="11" s="1"/>
  <c r="M11" i="4"/>
  <c r="O11" i="4" s="1"/>
  <c r="E12" i="4"/>
  <c r="F94" i="6"/>
  <c r="F97" i="6" s="1"/>
  <c r="A13" i="3"/>
  <c r="A13" i="4" s="1"/>
  <c r="A14" i="2"/>
  <c r="G93" i="6"/>
  <c r="G66" i="6"/>
  <c r="I57" i="6"/>
  <c r="I38" i="6"/>
  <c r="A21" i="11"/>
  <c r="K20" i="11"/>
  <c r="E14" i="2"/>
  <c r="K63" i="6"/>
  <c r="J12" i="4"/>
  <c r="J29" i="6"/>
  <c r="L62" i="6"/>
  <c r="L89" i="6" s="1"/>
  <c r="D15" i="2"/>
  <c r="I13" i="2"/>
  <c r="J13" i="2"/>
  <c r="J13" i="4" s="1"/>
  <c r="J59" i="6"/>
  <c r="J86" i="6" s="1"/>
  <c r="L35" i="6"/>
  <c r="E13" i="3"/>
  <c r="J90" i="6"/>
  <c r="N34" i="6"/>
  <c r="M34" i="6"/>
  <c r="F14" i="11"/>
  <c r="H84" i="6"/>
  <c r="H65" i="6"/>
  <c r="H92" i="6" s="1"/>
  <c r="K31" i="6"/>
  <c r="L13" i="3"/>
  <c r="L13" i="4" s="1"/>
  <c r="J91" i="6"/>
  <c r="D14" i="4"/>
  <c r="N12" i="2"/>
  <c r="D16" i="11" l="1"/>
  <c r="O16" i="11"/>
  <c r="E13" i="4"/>
  <c r="G94" i="6"/>
  <c r="G97" i="6" s="1"/>
  <c r="A14" i="3"/>
  <c r="A14" i="4" s="1"/>
  <c r="A15" i="2"/>
  <c r="H66" i="6"/>
  <c r="L31" i="6"/>
  <c r="E14" i="3"/>
  <c r="E14" i="4" s="1"/>
  <c r="K90" i="6"/>
  <c r="K29" i="6"/>
  <c r="D15" i="4"/>
  <c r="N62" i="6"/>
  <c r="N89" i="6" s="1"/>
  <c r="D17" i="2"/>
  <c r="M35" i="6"/>
  <c r="N35" i="6"/>
  <c r="A22" i="11"/>
  <c r="C39" i="11" s="1"/>
  <c r="K21" i="11"/>
  <c r="K91" i="6"/>
  <c r="L14" i="3"/>
  <c r="L14" i="4" s="1"/>
  <c r="M12" i="4"/>
  <c r="O12" i="4" s="1"/>
  <c r="I65" i="6"/>
  <c r="I92" i="6" s="1"/>
  <c r="I14" i="2"/>
  <c r="K59" i="6"/>
  <c r="K86" i="6" s="1"/>
  <c r="J14" i="2"/>
  <c r="J14" i="4" s="1"/>
  <c r="H93" i="6"/>
  <c r="D16" i="2"/>
  <c r="M62" i="6"/>
  <c r="M89" i="6" s="1"/>
  <c r="E15" i="2"/>
  <c r="L63" i="6"/>
  <c r="I13" i="4"/>
  <c r="J57" i="6"/>
  <c r="J38" i="6"/>
  <c r="N13" i="2"/>
  <c r="M13" i="4" l="1"/>
  <c r="O13" i="4" s="1"/>
  <c r="A15" i="3"/>
  <c r="A15" i="4" s="1"/>
  <c r="A16" i="2"/>
  <c r="H94" i="6"/>
  <c r="H97" i="6" s="1"/>
  <c r="K22" i="11"/>
  <c r="A3" i="11"/>
  <c r="K57" i="6"/>
  <c r="K38" i="6"/>
  <c r="L90" i="6"/>
  <c r="E15" i="3"/>
  <c r="I93" i="6"/>
  <c r="N63" i="6"/>
  <c r="N90" i="6" s="1"/>
  <c r="E17" i="2"/>
  <c r="F16" i="11"/>
  <c r="L29" i="6"/>
  <c r="J15" i="2"/>
  <c r="J15" i="4" s="1"/>
  <c r="I15" i="2"/>
  <c r="I15" i="4" s="1"/>
  <c r="L59" i="6"/>
  <c r="L86" i="6" s="1"/>
  <c r="D17" i="4"/>
  <c r="D18" i="2"/>
  <c r="J84" i="6"/>
  <c r="J65" i="6"/>
  <c r="J92" i="6" s="1"/>
  <c r="I66" i="6"/>
  <c r="D16" i="4"/>
  <c r="I14" i="4"/>
  <c r="M14" i="4" s="1"/>
  <c r="O14" i="4" s="1"/>
  <c r="N14" i="2"/>
  <c r="O17" i="11"/>
  <c r="L91" i="6"/>
  <c r="L15" i="3"/>
  <c r="L15" i="4" s="1"/>
  <c r="M63" i="6"/>
  <c r="E16" i="2"/>
  <c r="M31" i="6"/>
  <c r="N31" i="6"/>
  <c r="D17" i="11" l="1"/>
  <c r="D18" i="11"/>
  <c r="F18" i="11" s="1"/>
  <c r="O18" i="11"/>
  <c r="E15" i="4"/>
  <c r="M15" i="4" s="1"/>
  <c r="O15" i="4" s="1"/>
  <c r="A17" i="2"/>
  <c r="A16" i="3"/>
  <c r="A16" i="4" s="1"/>
  <c r="O19" i="11"/>
  <c r="B48" i="11"/>
  <c r="J17" i="2"/>
  <c r="I17" i="2"/>
  <c r="N59" i="6"/>
  <c r="N86" i="6" s="1"/>
  <c r="M90" i="6"/>
  <c r="E16" i="3"/>
  <c r="N15" i="2"/>
  <c r="M91" i="6"/>
  <c r="L16" i="3"/>
  <c r="L16" i="4" s="1"/>
  <c r="L18" i="4" s="1"/>
  <c r="D18" i="4"/>
  <c r="L57" i="6"/>
  <c r="L38" i="6"/>
  <c r="K84" i="6"/>
  <c r="K65" i="6"/>
  <c r="K92" i="6" s="1"/>
  <c r="J93" i="6"/>
  <c r="N29" i="6"/>
  <c r="M29" i="6"/>
  <c r="E17" i="4"/>
  <c r="E18" i="2"/>
  <c r="J16" i="2"/>
  <c r="J16" i="4" s="1"/>
  <c r="M59" i="6"/>
  <c r="M86" i="6" s="1"/>
  <c r="I16" i="2"/>
  <c r="I16" i="4" s="1"/>
  <c r="J66" i="6"/>
  <c r="I94" i="6"/>
  <c r="I97" i="6" s="1"/>
  <c r="F17" i="11" l="1"/>
  <c r="D19" i="11"/>
  <c r="F19" i="11" s="1"/>
  <c r="D20" i="11"/>
  <c r="F20" i="11" s="1"/>
  <c r="E16" i="4"/>
  <c r="M16" i="4" s="1"/>
  <c r="O16" i="4" s="1"/>
  <c r="O20" i="11"/>
  <c r="A17" i="3"/>
  <c r="A1" i="2"/>
  <c r="N17" i="2"/>
  <c r="M57" i="6"/>
  <c r="M38" i="6"/>
  <c r="L84" i="6"/>
  <c r="L65" i="6"/>
  <c r="L92" i="6" s="1"/>
  <c r="J94" i="6"/>
  <c r="J97" i="6" s="1"/>
  <c r="K93" i="6"/>
  <c r="J17" i="4"/>
  <c r="J18" i="4" s="1"/>
  <c r="J18" i="2"/>
  <c r="N57" i="6"/>
  <c r="N38" i="6"/>
  <c r="K66" i="6"/>
  <c r="I17" i="4"/>
  <c r="I18" i="4" s="1"/>
  <c r="I18" i="2"/>
  <c r="N16" i="2"/>
  <c r="D21" i="11" l="1"/>
  <c r="F21" i="11" s="1"/>
  <c r="E18" i="4"/>
  <c r="M18" i="4" s="1"/>
  <c r="N18" i="2"/>
  <c r="L66" i="6"/>
  <c r="A1" i="3"/>
  <c r="A17" i="4"/>
  <c r="O21" i="11"/>
  <c r="M84" i="6"/>
  <c r="M65" i="6"/>
  <c r="M92" i="6" s="1"/>
  <c r="N84" i="6"/>
  <c r="N65" i="6"/>
  <c r="N92" i="6" s="1"/>
  <c r="L93" i="6"/>
  <c r="K94" i="6"/>
  <c r="K97" i="6" s="1"/>
  <c r="M17" i="4"/>
  <c r="O17" i="4" s="1"/>
  <c r="L94" i="6" l="1"/>
  <c r="L97" i="6" s="1"/>
  <c r="N66" i="6"/>
  <c r="N93" i="6"/>
  <c r="M66" i="6"/>
  <c r="O22" i="11"/>
  <c r="O25" i="11" s="1"/>
  <c r="O26" i="11" s="1"/>
  <c r="O33" i="11" s="1"/>
  <c r="M93" i="6"/>
  <c r="N94" i="6" l="1"/>
  <c r="N97" i="6" s="1"/>
  <c r="D22" i="11"/>
  <c r="D24" i="11" s="1"/>
  <c r="O93" i="6"/>
  <c r="P93" i="6" s="1"/>
  <c r="M94" i="6"/>
  <c r="M97" i="6" s="1"/>
  <c r="F22" i="11" l="1"/>
  <c r="O6" i="4"/>
  <c r="D8" i="11" s="1"/>
  <c r="D12" i="11" s="1"/>
  <c r="D26" i="11" s="1"/>
  <c r="O18" i="4" l="1"/>
  <c r="P18" i="4" s="1"/>
  <c r="O4" i="4" s="1"/>
  <c r="F8" i="11"/>
  <c r="G32" i="11"/>
  <c r="F26" i="11" l="1"/>
  <c r="G57" i="11" s="1"/>
  <c r="I57" i="11" s="1"/>
  <c r="G45" i="11"/>
  <c r="G52" i="11" l="1"/>
  <c r="G54" i="11" s="1"/>
  <c r="I54" i="11" s="1"/>
  <c r="I59" i="11" s="1"/>
  <c r="I65" i="11" s="1"/>
  <c r="F45" i="11"/>
  <c r="F52" i="11" s="1"/>
  <c r="O34" i="11"/>
  <c r="O35"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MG00005</author>
  </authors>
  <commentList>
    <comment ref="F33" authorId="0" shapeId="0" xr:uid="{00000000-0006-0000-0000-000001000000}">
      <text>
        <r>
          <rPr>
            <b/>
            <sz val="8"/>
            <color indexed="81"/>
            <rFont val="Tahoma"/>
            <family val="2"/>
          </rPr>
          <t>MG00005:</t>
        </r>
        <r>
          <rPr>
            <sz val="8"/>
            <color indexed="81"/>
            <rFont val="Tahoma"/>
            <family val="2"/>
          </rPr>
          <t xml:space="preserve">
blended rate - Lynnwood was $1.89 credit per cust per mo, Maltby was $0.44 debit per cust per mo.</t>
        </r>
      </text>
    </comment>
    <comment ref="F37" authorId="0" shapeId="0" xr:uid="{00000000-0006-0000-0000-000002000000}">
      <text>
        <r>
          <rPr>
            <b/>
            <sz val="8"/>
            <color indexed="81"/>
            <rFont val="Tahoma"/>
            <family val="2"/>
          </rPr>
          <t>MG00005:</t>
        </r>
        <r>
          <rPr>
            <sz val="8"/>
            <color indexed="81"/>
            <rFont val="Tahoma"/>
            <family val="2"/>
          </rPr>
          <t xml:space="preserve">
Base rate ("c") from prior year annual commodity credit calculation worksheet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Christensen, Abby Rose</author>
    <author>Johnson, Carla</author>
    <author>Alex Brenner</author>
  </authors>
  <commentList>
    <comment ref="B8" authorId="0" shapeId="0" xr:uid="{00000000-0006-0000-0100-000001000000}">
      <text>
        <r>
          <rPr>
            <b/>
            <sz val="9"/>
            <color indexed="81"/>
            <rFont val="Tahoma"/>
            <family val="2"/>
          </rPr>
          <t>Vander Zalm, Connor:</t>
        </r>
        <r>
          <rPr>
            <sz val="9"/>
            <color indexed="81"/>
            <rFont val="Tahoma"/>
            <family val="2"/>
          </rPr>
          <t xml:space="preserve">
We will continue to include Auburn-SeaTac and Renton-SeaTac (although they have annexed) until they have independent city contracts and are no longer to WUTC rates and commodity credits.
This timeline varies between the 2 areas and there is no actual hard date on which they convert. Will have to monitor this.</t>
        </r>
      </text>
    </comment>
    <comment ref="B9" authorId="1" shapeId="0" xr:uid="{00000000-0006-0000-0100-000002000000}">
      <text>
        <r>
          <rPr>
            <b/>
            <sz val="9"/>
            <color indexed="81"/>
            <rFont val="Tahoma"/>
            <family val="2"/>
          </rPr>
          <t>Johnson, Carla:</t>
        </r>
        <r>
          <rPr>
            <sz val="9"/>
            <color indexed="81"/>
            <rFont val="Tahoma"/>
            <family val="2"/>
          </rPr>
          <t xml:space="preserve">
RSA Workbook/Single Family/183 # of customers column R</t>
        </r>
      </text>
    </comment>
    <comment ref="F34" authorId="2" shapeId="0" xr:uid="{00000000-0006-0000-0100-000003000000}">
      <text>
        <r>
          <rPr>
            <b/>
            <sz val="8"/>
            <color indexed="81"/>
            <rFont val="Tahoma"/>
            <family val="2"/>
          </rPr>
          <t xml:space="preserve">Monthly Base Credit:
</t>
        </r>
        <r>
          <rPr>
            <sz val="8"/>
            <color indexed="81"/>
            <rFont val="Tahoma"/>
            <family val="2"/>
          </rPr>
          <t>This number will be the "12 month running average 'Base Credit'" from the first year of the review period. (eg if the review period covers Oct 2008 through Sept 2009 this number would be the base credit that was calculated for 2008)</t>
        </r>
        <r>
          <rPr>
            <sz val="8"/>
            <color indexed="81"/>
            <rFont val="Tahoma"/>
            <family val="2"/>
          </rPr>
          <t xml:space="preserve">
</t>
        </r>
      </text>
    </comment>
    <comment ref="F38" authorId="2" shapeId="0" xr:uid="{00000000-0006-0000-0100-000004000000}">
      <text>
        <r>
          <rPr>
            <b/>
            <sz val="8"/>
            <color indexed="81"/>
            <rFont val="Tahoma"/>
            <family val="2"/>
          </rPr>
          <t>Monthly Base Credit:</t>
        </r>
        <r>
          <rPr>
            <sz val="8"/>
            <color indexed="81"/>
            <rFont val="Tahoma"/>
            <family val="2"/>
          </rPr>
          <t xml:space="preserve">
This number will be the "12 month running average 'Base Credit'" from the second year of the review period. (eg if the review period covers Oct 2008 through Sept 2009 this number would be the base credit that was calculated for 2009)</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 Brenner</author>
    <author>Johnson, Carla</author>
  </authors>
  <commentList>
    <comment ref="A7" authorId="0" shapeId="0" xr:uid="{00000000-0006-0000-0500-000001000000}">
      <text>
        <r>
          <rPr>
            <b/>
            <sz val="8"/>
            <color indexed="81"/>
            <rFont val="Tahoma"/>
            <family val="2"/>
          </rPr>
          <t>Alex Brenner:</t>
        </r>
        <r>
          <rPr>
            <sz val="8"/>
            <color indexed="81"/>
            <rFont val="Tahoma"/>
            <family val="2"/>
          </rPr>
          <t xml:space="preserve">
From 'ESMMYYTONS' spreadsheet, 'ESMMYYTONS' tab (where MM=month, YY=Year)</t>
        </r>
      </text>
    </comment>
    <comment ref="C7" authorId="1" shapeId="0" xr:uid="{00000000-0006-0000-0500-000002000000}">
      <text>
        <r>
          <rPr>
            <b/>
            <sz val="9"/>
            <color indexed="81"/>
            <rFont val="Tahoma"/>
            <family val="2"/>
          </rPr>
          <t>Johnson, Carla:</t>
        </r>
        <r>
          <rPr>
            <sz val="9"/>
            <color indexed="81"/>
            <rFont val="Tahoma"/>
            <family val="2"/>
          </rPr>
          <t xml:space="preserve">
RSA Workbook/Single Family/183 Tons column S</t>
        </r>
      </text>
    </comment>
    <comment ref="A12" authorId="0" shapeId="0" xr:uid="{00000000-0006-0000-0500-000003000000}">
      <text>
        <r>
          <rPr>
            <b/>
            <sz val="8"/>
            <color indexed="81"/>
            <rFont val="Tahoma"/>
            <family val="2"/>
          </rPr>
          <t>Alex Brenner:</t>
        </r>
        <r>
          <rPr>
            <sz val="8"/>
            <color indexed="81"/>
            <rFont val="Tahoma"/>
            <family val="2"/>
          </rPr>
          <t xml:space="preserve">
From 'ESMMYYTONS' Spreadsheet, 'Prices' tab (where MM=month, YY=Year)</t>
        </r>
      </text>
    </comment>
    <comment ref="A68" authorId="0" shapeId="0" xr:uid="{00000000-0006-0000-0500-000004000000}">
      <text>
        <r>
          <rPr>
            <b/>
            <sz val="8"/>
            <color indexed="81"/>
            <rFont val="Tahoma"/>
            <family val="2"/>
          </rPr>
          <t>Alex Brenner:</t>
        </r>
        <r>
          <rPr>
            <sz val="8"/>
            <color indexed="81"/>
            <rFont val="Tahoma"/>
            <family val="2"/>
          </rPr>
          <t xml:space="preserve">
From 'Commodity Prices MMYY' spreadsheet. There is a different spreadsheet for each month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Jody Reid</author>
    <author>Johnson, Carla</author>
    <author>Cramer, Diane</author>
  </authors>
  <commentList>
    <comment ref="J4" authorId="0" shapeId="0" xr:uid="{D36888EB-E7B3-473E-A743-934A4EE7F3E9}">
      <text>
        <r>
          <rPr>
            <sz val="8"/>
            <color indexed="81"/>
            <rFont val="Tahoma"/>
            <family val="2"/>
          </rPr>
          <t>TTM Commodity value per customer x # of Customers x 12 months</t>
        </r>
      </text>
    </comment>
    <comment ref="L4" authorId="0" shapeId="0" xr:uid="{A0BFD5D0-6E38-465B-AB8A-72A4C0AB510A}">
      <text>
        <r>
          <rPr>
            <sz val="8"/>
            <color indexed="81"/>
            <rFont val="Tahoma"/>
            <family val="2"/>
          </rPr>
          <t xml:space="preserve">Customer Count Today x 12 months x Base Pass Back Rate
</t>
        </r>
      </text>
    </comment>
    <comment ref="D13" authorId="1" shapeId="0" xr:uid="{0E8DC030-3EF4-46FD-A525-DA552320CEA9}">
      <text>
        <r>
          <rPr>
            <b/>
            <sz val="9"/>
            <color indexed="81"/>
            <rFont val="Tahoma"/>
            <family val="2"/>
          </rPr>
          <t>Johnson, Carla:</t>
        </r>
        <r>
          <rPr>
            <sz val="9"/>
            <color indexed="81"/>
            <rFont val="Tahoma"/>
            <family val="2"/>
          </rPr>
          <t xml:space="preserve">
Total 2 yr Plan based on 50% of revenue from customers and tons</t>
        </r>
      </text>
    </comment>
    <comment ref="D16" authorId="1" shapeId="0" xr:uid="{E73EACA2-8146-4BFA-96EA-1A105E207D4A}">
      <text>
        <r>
          <rPr>
            <b/>
            <sz val="9"/>
            <color indexed="81"/>
            <rFont val="Tahoma"/>
            <family val="2"/>
          </rPr>
          <t>Johnson, Carla:</t>
        </r>
        <r>
          <rPr>
            <sz val="9"/>
            <color indexed="81"/>
            <rFont val="Tahoma"/>
            <family val="2"/>
          </rPr>
          <t xml:space="preserve">
= Plan Spend subtracted from Plan Value.</t>
        </r>
      </text>
    </comment>
    <comment ref="J18" authorId="0" shapeId="0" xr:uid="{04B1D440-770E-420A-92B8-1FBB0633C9B5}">
      <text>
        <r>
          <rPr>
            <sz val="8"/>
            <color indexed="81"/>
            <rFont val="Tahoma"/>
            <family val="2"/>
          </rPr>
          <t>TTM Commodity value per customer x # of Customers x 12 months</t>
        </r>
      </text>
    </comment>
    <comment ref="L18" authorId="0" shapeId="0" xr:uid="{560CABDE-DEA7-4161-97C5-906DB88A9908}">
      <text>
        <r>
          <rPr>
            <sz val="8"/>
            <color indexed="81"/>
            <rFont val="Tahoma"/>
            <family val="2"/>
          </rPr>
          <t xml:space="preserve">Customer Count Today x 12 months x Base Pass Back Rate
</t>
        </r>
      </text>
    </comment>
    <comment ref="B28" authorId="1" shapeId="0" xr:uid="{D70B42EC-B1B7-4FAC-A164-418235E99CBE}">
      <text>
        <r>
          <rPr>
            <b/>
            <sz val="9"/>
            <color indexed="81"/>
            <rFont val="Tahoma"/>
            <family val="2"/>
          </rPr>
          <t>Johnson, Carla:</t>
        </r>
        <r>
          <rPr>
            <sz val="9"/>
            <color indexed="81"/>
            <rFont val="Tahoma"/>
            <family val="2"/>
          </rPr>
          <t xml:space="preserve">
50% value of 172, 176, 183 averge</t>
        </r>
      </text>
    </comment>
    <comment ref="B29" authorId="2" shapeId="0" xr:uid="{752098C3-83A6-4430-92BC-4972040649D0}">
      <text>
        <r>
          <rPr>
            <b/>
            <sz val="9"/>
            <color indexed="81"/>
            <rFont val="Tahoma"/>
            <family val="2"/>
          </rPr>
          <t>Cramer, Diane:</t>
        </r>
        <r>
          <rPr>
            <sz val="9"/>
            <color indexed="81"/>
            <rFont val="Tahoma"/>
            <family val="2"/>
          </rPr>
          <t xml:space="preserve">
Change formula to calculate # of actual months to get avg tons</t>
        </r>
      </text>
    </comment>
    <comment ref="E29" authorId="2" shapeId="0" xr:uid="{E30CFA2D-B304-4F24-ACC8-006456F96FA4}">
      <text>
        <r>
          <rPr>
            <b/>
            <sz val="9"/>
            <color indexed="81"/>
            <rFont val="Tahoma"/>
            <family val="2"/>
          </rPr>
          <t>Cramer, Diane:</t>
        </r>
        <r>
          <rPr>
            <sz val="9"/>
            <color indexed="81"/>
            <rFont val="Tahoma"/>
            <family val="2"/>
          </rPr>
          <t xml:space="preserve">
Change formula to calculate # of actual months to get avg tons</t>
        </r>
      </text>
    </comment>
    <comment ref="B30" authorId="1" shapeId="0" xr:uid="{5239BCC8-EDA0-4A10-AA16-3D9E0329FE84}">
      <text>
        <r>
          <rPr>
            <b/>
            <sz val="9"/>
            <color indexed="81"/>
            <rFont val="Tahoma"/>
            <family val="2"/>
          </rPr>
          <t>Johnson, Carla:</t>
        </r>
        <r>
          <rPr>
            <sz val="9"/>
            <color indexed="81"/>
            <rFont val="Tahoma"/>
            <family val="2"/>
          </rPr>
          <t xml:space="preserve">
# of months left in yr</t>
        </r>
      </text>
    </comment>
    <comment ref="E30" authorId="1" shapeId="0" xr:uid="{EDE88B32-7478-4F6F-8DF1-26A73894C14B}">
      <text>
        <r>
          <rPr>
            <b/>
            <sz val="9"/>
            <color indexed="81"/>
            <rFont val="Tahoma"/>
            <family val="2"/>
          </rPr>
          <t>Johnson, Carla:</t>
        </r>
        <r>
          <rPr>
            <sz val="9"/>
            <color indexed="81"/>
            <rFont val="Tahoma"/>
            <family val="2"/>
          </rPr>
          <t xml:space="preserve">
# of months left in yr</t>
        </r>
      </text>
    </comment>
    <comment ref="E31" authorId="1" shapeId="0" xr:uid="{DC5DB5A6-61E0-450E-90F5-8E228304B2EC}">
      <text>
        <r>
          <rPr>
            <b/>
            <sz val="9"/>
            <color indexed="81"/>
            <rFont val="Tahoma"/>
            <family val="2"/>
          </rPr>
          <t>Johnson, Carla:</t>
        </r>
        <r>
          <rPr>
            <sz val="9"/>
            <color indexed="81"/>
            <rFont val="Tahoma"/>
            <family val="2"/>
          </rPr>
          <t xml:space="preserve">
Forecast of expected total budget at end of  for 2 yr plan less expenses already entered.</t>
        </r>
      </text>
    </comment>
    <comment ref="J32" authorId="0" shapeId="0" xr:uid="{B4D1242D-1BAB-4AF8-ABD2-25668425B9BF}">
      <text>
        <r>
          <rPr>
            <sz val="8"/>
            <color indexed="81"/>
            <rFont val="Tahoma"/>
            <family val="2"/>
          </rPr>
          <t>TTM Commodity value per customer x # of Customers x 12 months</t>
        </r>
      </text>
    </comment>
    <comment ref="L32" authorId="0" shapeId="0" xr:uid="{B368E382-0AFC-4B57-B7DA-0DA01E6A6E14}">
      <text>
        <r>
          <rPr>
            <sz val="8"/>
            <color indexed="81"/>
            <rFont val="Tahoma"/>
            <family val="2"/>
          </rPr>
          <t xml:space="preserve">Customer Count Today x 12 months x Base Pass Back Rate
</t>
        </r>
      </text>
    </comment>
  </commentList>
</comments>
</file>

<file path=xl/sharedStrings.xml><?xml version="1.0" encoding="utf-8"?>
<sst xmlns="http://schemas.openxmlformats.org/spreadsheetml/2006/main" count="325" uniqueCount="154">
  <si>
    <t>Deferred Accounting Methodology</t>
  </si>
  <si>
    <t>Single Family</t>
  </si>
  <si>
    <t>Commodity</t>
  </si>
  <si>
    <t>Revenue</t>
  </si>
  <si>
    <t>Annual</t>
  </si>
  <si>
    <t>Month</t>
  </si>
  <si>
    <t>Customers</t>
  </si>
  <si>
    <t>per Customer</t>
  </si>
  <si>
    <t>(b1)</t>
  </si>
  <si>
    <t>(b2)</t>
  </si>
  <si>
    <t>(a)</t>
  </si>
  <si>
    <t>(c)</t>
  </si>
  <si>
    <t>(d)</t>
  </si>
  <si>
    <t>Commodity Gain/Loss Calculation</t>
  </si>
  <si>
    <t>Actual Commodity Revenues</t>
  </si>
  <si>
    <t>Monthly Base Credit per customer</t>
  </si>
  <si>
    <t xml:space="preserve">   Base Credits Billed</t>
  </si>
  <si>
    <t xml:space="preserve">      Total Base Credits Billed</t>
  </si>
  <si>
    <t>Excess Commodity Credits</t>
  </si>
  <si>
    <t>2007 True-up Computation</t>
  </si>
  <si>
    <t>Total Annual Customers</t>
  </si>
  <si>
    <t>Alum</t>
  </si>
  <si>
    <t>Glass</t>
  </si>
  <si>
    <t>ONP</t>
  </si>
  <si>
    <t>MWP</t>
  </si>
  <si>
    <t>Pet</t>
  </si>
  <si>
    <t>HDPE</t>
  </si>
  <si>
    <t>OCC</t>
  </si>
  <si>
    <t>Other</t>
  </si>
  <si>
    <t>Total</t>
  </si>
  <si>
    <t xml:space="preserve">Total </t>
  </si>
  <si>
    <t>Lynnwood Disposal</t>
  </si>
  <si>
    <t>TG-06______</t>
  </si>
  <si>
    <t>For the Year Ended August 31, 2006</t>
  </si>
  <si>
    <t>July-Aug 07</t>
  </si>
  <si>
    <t>Sept 05 - June 06</t>
  </si>
  <si>
    <t>Customers from 7/05 - 8/05</t>
  </si>
  <si>
    <t>Customers from 9/05 - 6/06</t>
  </si>
  <si>
    <t>Sept 1, 2006 Recycle Adjustment Calculation</t>
  </si>
  <si>
    <t>2006 Monthly True-up Charge</t>
  </si>
  <si>
    <t>12 month running average "BASE CREDIT" adjusted for 2 mos of 2005</t>
  </si>
  <si>
    <t>2007-2008 Projected Credit</t>
  </si>
  <si>
    <t>2007 Adjusted Credit</t>
  </si>
  <si>
    <t>Commodity Value Timeframe:  October - September</t>
  </si>
  <si>
    <t>Total Tons</t>
  </si>
  <si>
    <t>Sorted Glass Percentage</t>
  </si>
  <si>
    <t>Sorted Glass</t>
  </si>
  <si>
    <t>Sampled Tons</t>
  </si>
  <si>
    <t>Sampling Percentages</t>
  </si>
  <si>
    <t>Magazines</t>
  </si>
  <si>
    <t>Tin</t>
  </si>
  <si>
    <t>Plastic</t>
  </si>
  <si>
    <t>Aluminum</t>
  </si>
  <si>
    <t>Ferris Metal</t>
  </si>
  <si>
    <t>Trash</t>
  </si>
  <si>
    <t>Mixed Paper</t>
  </si>
  <si>
    <t>Sampled Tonnage</t>
  </si>
  <si>
    <t>Recovery Percentages</t>
  </si>
  <si>
    <t>Recovered Tonnages</t>
  </si>
  <si>
    <t xml:space="preserve">Product Sales Rates </t>
  </si>
  <si>
    <t>Product Value</t>
  </si>
  <si>
    <t>Total Value</t>
  </si>
  <si>
    <t>Value per Ton</t>
  </si>
  <si>
    <t>C</t>
  </si>
  <si>
    <t>D</t>
  </si>
  <si>
    <t>E</t>
  </si>
  <si>
    <t>F</t>
  </si>
  <si>
    <t>G</t>
  </si>
  <si>
    <t>H</t>
  </si>
  <si>
    <t>I</t>
  </si>
  <si>
    <t>J</t>
  </si>
  <si>
    <t>K</t>
  </si>
  <si>
    <t>L</t>
  </si>
  <si>
    <t>M</t>
  </si>
  <si>
    <t>N</t>
  </si>
  <si>
    <t>East Side</t>
  </si>
  <si>
    <t>TG-12______</t>
  </si>
  <si>
    <t>For use in Budget Calculation</t>
  </si>
  <si>
    <t>Total Trailing 12 Mo. Commodity Value / Customer</t>
  </si>
  <si>
    <t>Most recent Total # of Customers</t>
  </si>
  <si>
    <t>Budget total Revenue</t>
  </si>
  <si>
    <t>Budget Revenue Passed Back</t>
  </si>
  <si>
    <t>Current Plan Part A Total</t>
  </si>
  <si>
    <t>% of Revenue Passed Back</t>
  </si>
  <si>
    <t>% Passed Back</t>
  </si>
  <si>
    <t xml:space="preserve"> True-up Computation</t>
  </si>
  <si>
    <t xml:space="preserve"> Projected Debit</t>
  </si>
  <si>
    <t>Material Shrinkage</t>
  </si>
  <si>
    <t>Shrinkage</t>
  </si>
  <si>
    <t>Metal</t>
  </si>
  <si>
    <t>Underspent RSA per King County report</t>
  </si>
  <si>
    <t>Allocation to Divisions:</t>
  </si>
  <si>
    <t>SF portion</t>
  </si>
  <si>
    <t>MF portion</t>
  </si>
  <si>
    <t>Bellevue</t>
  </si>
  <si>
    <t>Kent</t>
  </si>
  <si>
    <t>SeaTac</t>
  </si>
  <si>
    <t>RSA Rev breakdown:</t>
  </si>
  <si>
    <t>SF $</t>
  </si>
  <si>
    <t>MF $</t>
  </si>
  <si>
    <t>SF %</t>
  </si>
  <si>
    <t>MF %</t>
  </si>
  <si>
    <t>Credit per customer</t>
  </si>
  <si>
    <t>Rabanco Ltd (dba Allied Waste of Seatac)</t>
  </si>
  <si>
    <t>Commodity Value versus Credits</t>
  </si>
  <si>
    <t>Unspent RSA dollars</t>
  </si>
  <si>
    <t xml:space="preserve">12 month running average "BASE CREDIT" </t>
  </si>
  <si>
    <t>2020/2021 Monthly True-up Amount</t>
  </si>
  <si>
    <t>Bellevue SF RSA Unspent</t>
  </si>
  <si>
    <t>Prior three months</t>
  </si>
  <si>
    <t>Total Passback at end of 2 year plan year 2023</t>
  </si>
  <si>
    <t>See King County letter requesting rollover into Plan Year #2</t>
  </si>
  <si>
    <t>King County RSA Plan Year 2021-2023</t>
  </si>
  <si>
    <t>Per RSA File</t>
  </si>
  <si>
    <t>Per UTC Filing</t>
  </si>
  <si>
    <t>Variance</t>
  </si>
  <si>
    <t>Current Month</t>
  </si>
  <si>
    <t>2021 - 2023</t>
  </si>
  <si>
    <t>Plan Spend</t>
  </si>
  <si>
    <t>50% RSA Retained</t>
  </si>
  <si>
    <t>50% Passed to Customers</t>
  </si>
  <si>
    <t>Commodity Revenue</t>
  </si>
  <si>
    <t>2021-2022</t>
  </si>
  <si>
    <t>2022-2023</t>
  </si>
  <si>
    <t xml:space="preserve">172 Eastside Single-Family Value </t>
  </si>
  <si>
    <t>Invoices</t>
  </si>
  <si>
    <t xml:space="preserve">Eastside Multi-Family Value </t>
  </si>
  <si>
    <t>Monthly Reporting</t>
  </si>
  <si>
    <t>Labor</t>
  </si>
  <si>
    <t xml:space="preserve">176 Kent-Meridian Single-Family Value </t>
  </si>
  <si>
    <t xml:space="preserve">Kent-Meridian Multi-Family Value </t>
  </si>
  <si>
    <t>5% Incentive</t>
  </si>
  <si>
    <t>Plan Value</t>
  </si>
  <si>
    <t xml:space="preserve">183 SeaTac Single-Family Value </t>
  </si>
  <si>
    <t>2022-2021</t>
  </si>
  <si>
    <t xml:space="preserve">SeaTac Multi-Family Value </t>
  </si>
  <si>
    <t>Total Revenue Retained</t>
  </si>
  <si>
    <t>Actual Available Spend</t>
  </si>
  <si>
    <t>Year 1</t>
  </si>
  <si>
    <t>Division Spend</t>
  </si>
  <si>
    <t>Forecasted Yr 1</t>
  </si>
  <si>
    <t>Forecast Yr 2 ($$ received)</t>
  </si>
  <si>
    <t>Commodity Value</t>
  </si>
  <si>
    <t>Avg Tons / month</t>
  </si>
  <si>
    <t># months forecast</t>
  </si>
  <si>
    <t>Year 2</t>
  </si>
  <si>
    <t>Forecasted Yr 1 Value</t>
  </si>
  <si>
    <t>Forecasted Yr2 Value</t>
  </si>
  <si>
    <t>Forecasted Yr 1 Spend</t>
  </si>
  <si>
    <t>Forecasted Yr2 Spend</t>
  </si>
  <si>
    <t>Potential Rollover Amount to Yr 2</t>
  </si>
  <si>
    <t>Rollover Amount from Yr 1</t>
  </si>
  <si>
    <t>Forecasted Available Spend</t>
  </si>
  <si>
    <t>8/1/22 - 7/31/23 Adjusted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</si>
</sst>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7" formatCode="&quot;$&quot;#,##0.00_);\(&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00%"/>
    <numFmt numFmtId="167" formatCode="_(* #,##0.00_);_(* \(#,##0.00\);_(* &quot;-&quot;_);_(@_)"/>
    <numFmt numFmtId="168" formatCode="_(* #,##0.000_);_(* \(#,##0.000\);_(* &quot;-&quot;_);_(@_)"/>
    <numFmt numFmtId="169" formatCode="mmmm"/>
    <numFmt numFmtId="170" formatCode="#,##0.000"/>
    <numFmt numFmtId="171" formatCode="#,##0.0000"/>
    <numFmt numFmtId="172" formatCode="mmmm\-yy"/>
    <numFmt numFmtId="173" formatCode="&quot;$&quot;#,##0.00"/>
    <numFmt numFmtId="174" formatCode="0.000"/>
    <numFmt numFmtId="175" formatCode="_(&quot;$&quot;* #,##0_);_(&quot;$&quot;* \(#,##0\);_(&quot;$&quot;* &quot;-&quot;??_);_(@_)"/>
    <numFmt numFmtId="176" formatCode="[$-409]mmm\-yy;@"/>
  </numFmts>
  <fonts count="29" x14ac:knownFonts="1">
    <font>
      <sz val="10"/>
      <name val="Arial"/>
    </font>
    <font>
      <sz val="11"/>
      <color theme="1"/>
      <name val="Calibri"/>
      <family val="2"/>
      <scheme val="minor"/>
    </font>
    <font>
      <sz val="10"/>
      <name val="Arial"/>
      <family val="2"/>
    </font>
    <font>
      <sz val="10"/>
      <name val="MS Sans Serif"/>
      <family val="2"/>
    </font>
    <font>
      <b/>
      <sz val="10"/>
      <name val="Arial"/>
      <family val="2"/>
    </font>
    <font>
      <sz val="8"/>
      <name val="Arial"/>
      <family val="2"/>
    </font>
    <font>
      <sz val="8"/>
      <name val="Helv"/>
    </font>
    <font>
      <b/>
      <sz val="8"/>
      <name val="Arial"/>
      <family val="2"/>
    </font>
    <font>
      <u/>
      <sz val="8"/>
      <name val="Arial"/>
      <family val="2"/>
    </font>
    <font>
      <b/>
      <u/>
      <sz val="8"/>
      <name val="Arial"/>
      <family val="2"/>
    </font>
    <font>
      <sz val="8"/>
      <color indexed="12"/>
      <name val="Arial"/>
      <family val="2"/>
    </font>
    <font>
      <i/>
      <sz val="8"/>
      <name val="Arial"/>
      <family val="2"/>
    </font>
    <font>
      <b/>
      <i/>
      <sz val="14"/>
      <name val="Arial"/>
      <family val="2"/>
    </font>
    <font>
      <b/>
      <sz val="8"/>
      <color indexed="81"/>
      <name val="Tahoma"/>
      <family val="2"/>
    </font>
    <font>
      <sz val="8"/>
      <color indexed="81"/>
      <name val="Tahoma"/>
      <family val="2"/>
    </font>
    <font>
      <b/>
      <sz val="8"/>
      <name val="Arial"/>
      <family val="2"/>
    </font>
    <font>
      <b/>
      <i/>
      <sz val="8"/>
      <name val="Arial"/>
      <family val="2"/>
    </font>
    <font>
      <i/>
      <sz val="8"/>
      <color indexed="12"/>
      <name val="Arial"/>
      <family val="2"/>
    </font>
    <font>
      <sz val="9"/>
      <color indexed="81"/>
      <name val="Tahoma"/>
      <family val="2"/>
    </font>
    <font>
      <b/>
      <sz val="9"/>
      <color indexed="81"/>
      <name val="Tahoma"/>
      <family val="2"/>
    </font>
    <font>
      <sz val="10"/>
      <color indexed="10"/>
      <name val="Arial"/>
      <family val="2"/>
    </font>
    <font>
      <sz val="11"/>
      <color theme="1"/>
      <name val="Calibri"/>
      <family val="2"/>
      <scheme val="minor"/>
    </font>
    <font>
      <sz val="8"/>
      <color rgb="FFFF0000"/>
      <name val="Arial"/>
      <family val="2"/>
    </font>
    <font>
      <sz val="10"/>
      <color rgb="FF0000FF"/>
      <name val="Arial"/>
      <family val="2"/>
    </font>
    <font>
      <sz val="10"/>
      <name val="Arial"/>
    </font>
    <font>
      <sz val="11"/>
      <color rgb="FF0000FF"/>
      <name val="Calibri"/>
      <family val="2"/>
      <scheme val="minor"/>
    </font>
    <font>
      <b/>
      <sz val="12"/>
      <name val="Arial"/>
      <family val="2"/>
    </font>
    <font>
      <sz val="11"/>
      <color theme="1" tint="0.34998626667073579"/>
      <name val="Calibri"/>
      <family val="2"/>
      <scheme val="minor"/>
    </font>
    <font>
      <sz val="10"/>
      <color theme="1" tint="0.34998626667073579"/>
      <name val="Arial"/>
      <family val="2"/>
    </font>
  </fonts>
  <fills count="13">
    <fill>
      <patternFill patternType="none"/>
    </fill>
    <fill>
      <patternFill patternType="gray125"/>
    </fill>
    <fill>
      <patternFill patternType="solid">
        <fgColor indexed="43"/>
        <bgColor indexed="43"/>
      </patternFill>
    </fill>
    <fill>
      <patternFill patternType="solid">
        <fgColor indexed="43"/>
        <bgColor indexed="64"/>
      </patternFill>
    </fill>
    <fill>
      <patternFill patternType="solid">
        <fgColor rgb="FFFFFFCC"/>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99"/>
        <bgColor indexed="64"/>
      </patternFill>
    </fill>
    <fill>
      <patternFill patternType="solid">
        <fgColor rgb="FFFFFFCC"/>
        <bgColor indexed="64"/>
      </patternFill>
    </fill>
    <fill>
      <patternFill patternType="solid">
        <fgColor indexed="22"/>
        <bgColor indexed="64"/>
      </patternFill>
    </fill>
    <fill>
      <patternFill patternType="solid">
        <fgColor theme="0" tint="-0.249977111117893"/>
        <bgColor indexed="64"/>
      </patternFill>
    </fill>
    <fill>
      <patternFill patternType="solid">
        <fgColor theme="4" tint="0.79998168889431442"/>
        <bgColor indexed="64"/>
      </patternFill>
    </fill>
  </fills>
  <borders count="33">
    <border>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right style="hair">
        <color indexed="64"/>
      </right>
      <top style="thin">
        <color indexed="64"/>
      </top>
      <bottom style="hair">
        <color indexed="64"/>
      </bottom>
      <diagonal/>
    </border>
    <border>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s>
  <cellStyleXfs count="14">
    <xf numFmtId="0" fontId="0" fillId="0" borderId="0"/>
    <xf numFmtId="43" fontId="2" fillId="0" borderId="0" applyFont="0" applyFill="0" applyBorder="0" applyAlignment="0" applyProtection="0"/>
    <xf numFmtId="43" fontId="21" fillId="0" borderId="0" applyFont="0" applyFill="0" applyBorder="0" applyAlignment="0" applyProtection="0"/>
    <xf numFmtId="44" fontId="2" fillId="0" borderId="0" applyFont="0" applyFill="0" applyBorder="0" applyAlignment="0" applyProtection="0"/>
    <xf numFmtId="0" fontId="21" fillId="0" borderId="0"/>
    <xf numFmtId="0" fontId="3" fillId="0" borderId="0"/>
    <xf numFmtId="0" fontId="2" fillId="4" borderId="11" applyNumberFormat="0" applyFont="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 fillId="0" borderId="0"/>
    <xf numFmtId="44" fontId="1" fillId="0" borderId="0" applyFont="0" applyFill="0" applyBorder="0" applyAlignment="0" applyProtection="0"/>
    <xf numFmtId="0" fontId="2" fillId="0" borderId="0"/>
  </cellStyleXfs>
  <cellXfs count="257">
    <xf numFmtId="0" fontId="0" fillId="0" borderId="0" xfId="0"/>
    <xf numFmtId="0" fontId="4" fillId="0" borderId="0" xfId="5" applyFont="1"/>
    <xf numFmtId="0" fontId="5" fillId="0" borderId="0" xfId="5" applyFont="1"/>
    <xf numFmtId="0" fontId="5" fillId="0" borderId="0" xfId="5" applyFont="1" applyAlignment="1">
      <alignment horizontal="center"/>
    </xf>
    <xf numFmtId="0" fontId="6" fillId="0" borderId="0" xfId="5" applyFont="1" applyAlignment="1">
      <alignment horizontal="center"/>
    </xf>
    <xf numFmtId="0" fontId="3" fillId="0" borderId="0" xfId="5"/>
    <xf numFmtId="0" fontId="7" fillId="0" borderId="0" xfId="5" applyFont="1"/>
    <xf numFmtId="14" fontId="5" fillId="0" borderId="0" xfId="5" applyNumberFormat="1" applyFont="1" applyAlignment="1">
      <alignment horizontal="center"/>
    </xf>
    <xf numFmtId="0" fontId="8" fillId="0" borderId="0" xfId="5" applyFont="1"/>
    <xf numFmtId="0" fontId="9" fillId="0" borderId="0" xfId="5" applyFont="1"/>
    <xf numFmtId="0" fontId="9" fillId="0" borderId="0" xfId="5" applyFont="1" applyAlignment="1">
      <alignment horizontal="center"/>
    </xf>
    <xf numFmtId="0" fontId="7" fillId="0" borderId="0" xfId="5" applyFont="1" applyAlignment="1">
      <alignment horizontal="center"/>
    </xf>
    <xf numFmtId="167" fontId="7" fillId="0" borderId="0" xfId="5" applyNumberFormat="1" applyFont="1" applyAlignment="1">
      <alignment horizontal="center"/>
    </xf>
    <xf numFmtId="1" fontId="5" fillId="0" borderId="0" xfId="5" applyNumberFormat="1" applyFont="1"/>
    <xf numFmtId="41" fontId="5" fillId="0" borderId="0" xfId="5" applyNumberFormat="1" applyFont="1"/>
    <xf numFmtId="167" fontId="7" fillId="0" borderId="0" xfId="5" applyNumberFormat="1" applyFont="1"/>
    <xf numFmtId="167" fontId="5" fillId="0" borderId="0" xfId="5" applyNumberFormat="1" applyFont="1"/>
    <xf numFmtId="169" fontId="5" fillId="0" borderId="0" xfId="5" applyNumberFormat="1" applyFont="1" applyAlignment="1">
      <alignment horizontal="right"/>
    </xf>
    <xf numFmtId="167" fontId="5" fillId="0" borderId="0" xfId="5" applyNumberFormat="1" applyFont="1" applyFill="1" applyAlignment="1">
      <alignment horizontal="center"/>
    </xf>
    <xf numFmtId="41" fontId="10" fillId="0" borderId="0" xfId="5" applyNumberFormat="1" applyFont="1"/>
    <xf numFmtId="41" fontId="11" fillId="0" borderId="0" xfId="5" applyNumberFormat="1" applyFont="1" applyAlignment="1">
      <alignment horizontal="left"/>
    </xf>
    <xf numFmtId="41" fontId="5" fillId="0" borderId="1" xfId="5" applyNumberFormat="1" applyFont="1" applyBorder="1"/>
    <xf numFmtId="167" fontId="5" fillId="0" borderId="1" xfId="5" applyNumberFormat="1" applyFont="1" applyBorder="1"/>
    <xf numFmtId="168" fontId="5" fillId="0" borderId="0" xfId="5" applyNumberFormat="1" applyFont="1"/>
    <xf numFmtId="17" fontId="5" fillId="0" borderId="0" xfId="5" applyNumberFormat="1" applyFont="1" applyAlignment="1">
      <alignment horizontal="right"/>
    </xf>
    <xf numFmtId="167" fontId="3" fillId="0" borderId="0" xfId="5" applyNumberFormat="1"/>
    <xf numFmtId="169" fontId="5" fillId="0" borderId="0" xfId="5" applyNumberFormat="1" applyFont="1"/>
    <xf numFmtId="41" fontId="5" fillId="0" borderId="2" xfId="5" applyNumberFormat="1" applyFont="1" applyBorder="1"/>
    <xf numFmtId="167" fontId="5" fillId="0" borderId="2" xfId="5" applyNumberFormat="1" applyFont="1" applyBorder="1"/>
    <xf numFmtId="41" fontId="7" fillId="0" borderId="3" xfId="5" applyNumberFormat="1" applyFont="1" applyBorder="1"/>
    <xf numFmtId="41" fontId="5" fillId="0" borderId="3" xfId="5" applyNumberFormat="1" applyFont="1" applyBorder="1"/>
    <xf numFmtId="41" fontId="8" fillId="0" borderId="0" xfId="5" applyNumberFormat="1" applyFont="1"/>
    <xf numFmtId="41" fontId="5" fillId="0" borderId="0" xfId="5" applyNumberFormat="1" applyFont="1" applyAlignment="1">
      <alignment horizontal="right"/>
    </xf>
    <xf numFmtId="1" fontId="8" fillId="0" borderId="0" xfId="5" applyNumberFormat="1" applyFont="1"/>
    <xf numFmtId="168" fontId="10" fillId="0" borderId="0" xfId="5" applyNumberFormat="1" applyFont="1"/>
    <xf numFmtId="41" fontId="5" fillId="0" borderId="0" xfId="5" applyNumberFormat="1" applyFont="1" applyBorder="1"/>
    <xf numFmtId="41" fontId="5" fillId="0" borderId="4" xfId="5" applyNumberFormat="1" applyFont="1" applyBorder="1"/>
    <xf numFmtId="41" fontId="5" fillId="0" borderId="5" xfId="5" applyNumberFormat="1" applyFont="1" applyBorder="1"/>
    <xf numFmtId="41" fontId="5" fillId="0" borderId="6" xfId="5" applyNumberFormat="1" applyFont="1" applyBorder="1"/>
    <xf numFmtId="168" fontId="5" fillId="0" borderId="2" xfId="5" applyNumberFormat="1" applyFont="1" applyBorder="1"/>
    <xf numFmtId="168" fontId="5" fillId="0" borderId="6" xfId="5" applyNumberFormat="1" applyFont="1" applyBorder="1"/>
    <xf numFmtId="167" fontId="5" fillId="0" borderId="0" xfId="5" applyNumberFormat="1" applyFont="1" applyFill="1" applyBorder="1"/>
    <xf numFmtId="167" fontId="12" fillId="0" borderId="0" xfId="5" applyNumberFormat="1" applyFont="1" applyFill="1" applyBorder="1" applyAlignment="1">
      <alignment horizontal="centerContinuous"/>
    </xf>
    <xf numFmtId="167" fontId="5" fillId="0" borderId="0" xfId="5" applyNumberFormat="1" applyFont="1" applyFill="1" applyBorder="1" applyAlignment="1">
      <alignment horizontal="centerContinuous"/>
    </xf>
    <xf numFmtId="167" fontId="5" fillId="0" borderId="0" xfId="5" applyNumberFormat="1" applyFont="1" applyAlignment="1">
      <alignment horizontal="centerContinuous"/>
    </xf>
    <xf numFmtId="169" fontId="5" fillId="0" borderId="0" xfId="5" applyNumberFormat="1" applyFont="1" applyFill="1" applyBorder="1" applyAlignment="1">
      <alignment horizontal="right"/>
    </xf>
    <xf numFmtId="41" fontId="10" fillId="0" borderId="0" xfId="5" applyNumberFormat="1" applyFont="1" applyFill="1" applyBorder="1" applyAlignment="1">
      <alignment horizontal="center"/>
    </xf>
    <xf numFmtId="167" fontId="5" fillId="0" borderId="0" xfId="5" applyNumberFormat="1" applyFont="1" applyFill="1" applyBorder="1" applyAlignment="1">
      <alignment horizontal="center"/>
    </xf>
    <xf numFmtId="41" fontId="11" fillId="0" borderId="0" xfId="5" applyNumberFormat="1" applyFont="1" applyFill="1" applyBorder="1" applyAlignment="1">
      <alignment horizontal="left"/>
    </xf>
    <xf numFmtId="41" fontId="5" fillId="0" borderId="0" xfId="5" applyNumberFormat="1" applyFont="1" applyFill="1" applyBorder="1"/>
    <xf numFmtId="41" fontId="10" fillId="0" borderId="0" xfId="5" applyNumberFormat="1" applyFont="1" applyFill="1" applyBorder="1"/>
    <xf numFmtId="1" fontId="5" fillId="0" borderId="0" xfId="5" applyNumberFormat="1" applyFont="1" applyFill="1" applyBorder="1"/>
    <xf numFmtId="0" fontId="3" fillId="0" borderId="0" xfId="5" applyFill="1" applyBorder="1"/>
    <xf numFmtId="167" fontId="3" fillId="0" borderId="0" xfId="5" applyNumberFormat="1" applyFill="1" applyBorder="1"/>
    <xf numFmtId="169" fontId="5" fillId="0" borderId="0" xfId="5" applyNumberFormat="1" applyFont="1" applyFill="1" applyBorder="1"/>
    <xf numFmtId="168" fontId="5" fillId="0" borderId="0" xfId="5" applyNumberFormat="1" applyFont="1" applyFill="1" applyBorder="1"/>
    <xf numFmtId="167" fontId="5" fillId="0" borderId="4" xfId="5" applyNumberFormat="1" applyFont="1" applyBorder="1"/>
    <xf numFmtId="167" fontId="5" fillId="0" borderId="6" xfId="5" applyNumberFormat="1" applyFont="1" applyBorder="1"/>
    <xf numFmtId="2" fontId="3" fillId="0" borderId="0" xfId="5" applyNumberFormat="1"/>
    <xf numFmtId="0" fontId="4" fillId="0" borderId="0" xfId="0" applyFont="1" applyBorder="1"/>
    <xf numFmtId="0" fontId="0" fillId="0" borderId="0" xfId="0" applyBorder="1"/>
    <xf numFmtId="0" fontId="4" fillId="0" borderId="0" xfId="0" applyFont="1" applyFill="1" applyBorder="1"/>
    <xf numFmtId="17" fontId="0" fillId="0" borderId="0" xfId="0" applyNumberFormat="1" applyBorder="1"/>
    <xf numFmtId="17" fontId="4" fillId="0" borderId="0" xfId="0" applyNumberFormat="1" applyFont="1" applyAlignment="1">
      <alignment horizontal="center"/>
    </xf>
    <xf numFmtId="170" fontId="0" fillId="0" borderId="0" xfId="0" applyNumberFormat="1"/>
    <xf numFmtId="17" fontId="5" fillId="0" borderId="0" xfId="0" applyNumberFormat="1" applyFont="1"/>
    <xf numFmtId="0" fontId="5" fillId="0" borderId="0" xfId="0" applyFont="1"/>
    <xf numFmtId="2" fontId="5" fillId="0" borderId="0" xfId="0" applyNumberFormat="1" applyFont="1"/>
    <xf numFmtId="2" fontId="0" fillId="0" borderId="0" xfId="0" applyNumberFormat="1"/>
    <xf numFmtId="0" fontId="5" fillId="0" borderId="0" xfId="0" applyFont="1" applyAlignment="1">
      <alignment horizontal="center"/>
    </xf>
    <xf numFmtId="17" fontId="0" fillId="0" borderId="0" xfId="0" applyNumberFormat="1"/>
    <xf numFmtId="4" fontId="5" fillId="0" borderId="0" xfId="0" applyNumberFormat="1" applyFont="1"/>
    <xf numFmtId="4" fontId="0" fillId="0" borderId="0" xfId="0" applyNumberFormat="1"/>
    <xf numFmtId="4" fontId="4" fillId="0" borderId="0" xfId="0" applyNumberFormat="1" applyFont="1" applyAlignment="1">
      <alignment horizontal="center"/>
    </xf>
    <xf numFmtId="40" fontId="5" fillId="0" borderId="0" xfId="0" applyNumberFormat="1" applyFont="1"/>
    <xf numFmtId="43" fontId="5" fillId="0" borderId="0" xfId="1" applyFont="1"/>
    <xf numFmtId="172" fontId="5" fillId="0" borderId="0" xfId="5" applyNumberFormat="1" applyFont="1" applyAlignment="1">
      <alignment horizontal="right"/>
    </xf>
    <xf numFmtId="169" fontId="5" fillId="0" borderId="0" xfId="5" applyNumberFormat="1" applyFont="1" applyAlignment="1">
      <alignment horizontal="right" wrapText="1"/>
    </xf>
    <xf numFmtId="17" fontId="5" fillId="0" borderId="0" xfId="5" applyNumberFormat="1" applyFont="1" applyFill="1" applyBorder="1" applyAlignment="1">
      <alignment horizontal="right"/>
    </xf>
    <xf numFmtId="169" fontId="5" fillId="0" borderId="0" xfId="5" applyNumberFormat="1" applyFont="1" applyFill="1" applyBorder="1" applyAlignment="1">
      <alignment horizontal="right" wrapText="1"/>
    </xf>
    <xf numFmtId="164" fontId="0" fillId="0" borderId="0" xfId="1" applyNumberFormat="1" applyFont="1"/>
    <xf numFmtId="171" fontId="0" fillId="0" borderId="0" xfId="0" applyNumberFormat="1"/>
    <xf numFmtId="166" fontId="0" fillId="0" borderId="0" xfId="7" applyNumberFormat="1" applyFont="1"/>
    <xf numFmtId="0" fontId="15" fillId="0" borderId="0" xfId="0" applyFont="1"/>
    <xf numFmtId="0" fontId="5" fillId="0" borderId="0" xfId="0" applyFont="1" applyFill="1" applyBorder="1" applyAlignment="1">
      <alignment horizontal="center"/>
    </xf>
    <xf numFmtId="0" fontId="15" fillId="0" borderId="0" xfId="0" applyFont="1" applyAlignment="1">
      <alignment horizontal="center"/>
    </xf>
    <xf numFmtId="0" fontId="15" fillId="0" borderId="0" xfId="0" applyFont="1" applyAlignment="1">
      <alignment horizontal="centerContinuous"/>
    </xf>
    <xf numFmtId="17" fontId="5" fillId="0" borderId="0" xfId="0" applyNumberFormat="1" applyFont="1" applyFill="1" applyBorder="1" applyAlignment="1">
      <alignment horizontal="center"/>
    </xf>
    <xf numFmtId="2" fontId="15" fillId="0" borderId="0" xfId="0" applyNumberFormat="1" applyFont="1"/>
    <xf numFmtId="9" fontId="5" fillId="0" borderId="0" xfId="7" applyFont="1" applyFill="1"/>
    <xf numFmtId="43" fontId="5" fillId="0" borderId="5" xfId="1" applyFont="1" applyBorder="1"/>
    <xf numFmtId="43" fontId="5" fillId="0" borderId="0" xfId="0" applyNumberFormat="1" applyFont="1"/>
    <xf numFmtId="0" fontId="5" fillId="0" borderId="0" xfId="0" applyFont="1" applyFill="1"/>
    <xf numFmtId="10" fontId="5" fillId="0" borderId="0" xfId="7" applyNumberFormat="1" applyFont="1"/>
    <xf numFmtId="10" fontId="15" fillId="2" borderId="0" xfId="7" applyNumberFormat="1" applyFont="1" applyFill="1"/>
    <xf numFmtId="9" fontId="5" fillId="0" borderId="0" xfId="7" applyFont="1"/>
    <xf numFmtId="43" fontId="5" fillId="0" borderId="0" xfId="1" applyNumberFormat="1" applyFont="1"/>
    <xf numFmtId="0" fontId="15" fillId="0" borderId="0" xfId="0" quotePrefix="1" applyFont="1" applyAlignment="1">
      <alignment horizontal="left"/>
    </xf>
    <xf numFmtId="44" fontId="5" fillId="0" borderId="0" xfId="3" applyFont="1"/>
    <xf numFmtId="44" fontId="5" fillId="0" borderId="5" xfId="3" applyFont="1" applyBorder="1"/>
    <xf numFmtId="44" fontId="15" fillId="0" borderId="0" xfId="3" applyFont="1" applyBorder="1"/>
    <xf numFmtId="43" fontId="15" fillId="0" borderId="0" xfId="1" applyFont="1" applyBorder="1"/>
    <xf numFmtId="44" fontId="5" fillId="0" borderId="0" xfId="3" applyFont="1" applyBorder="1"/>
    <xf numFmtId="0" fontId="5" fillId="0" borderId="0" xfId="0" applyFont="1" applyBorder="1"/>
    <xf numFmtId="44" fontId="15" fillId="0" borderId="0" xfId="0" applyNumberFormat="1" applyFont="1" applyBorder="1"/>
    <xf numFmtId="44" fontId="5" fillId="0" borderId="0" xfId="3" applyNumberFormat="1" applyFont="1" applyBorder="1"/>
    <xf numFmtId="4" fontId="5" fillId="0" borderId="0" xfId="0" quotePrefix="1" applyNumberFormat="1" applyFont="1"/>
    <xf numFmtId="40" fontId="5" fillId="0" borderId="0" xfId="0" quotePrefix="1" applyNumberFormat="1" applyFont="1"/>
    <xf numFmtId="43" fontId="5" fillId="0" borderId="0" xfId="1" quotePrefix="1" applyFont="1"/>
    <xf numFmtId="43" fontId="5" fillId="0" borderId="0" xfId="1" quotePrefix="1" applyNumberFormat="1" applyFont="1"/>
    <xf numFmtId="43" fontId="15" fillId="0" borderId="4" xfId="1" applyFont="1" applyBorder="1"/>
    <xf numFmtId="44" fontId="5" fillId="0" borderId="0" xfId="0" applyNumberFormat="1" applyFont="1"/>
    <xf numFmtId="167" fontId="5" fillId="0" borderId="0" xfId="5" applyNumberFormat="1" applyFont="1" applyBorder="1"/>
    <xf numFmtId="167" fontId="5" fillId="0" borderId="0" xfId="5" applyNumberFormat="1" applyFont="1" applyAlignment="1">
      <alignment horizontal="center"/>
    </xf>
    <xf numFmtId="167" fontId="10" fillId="0" borderId="0" xfId="5" applyNumberFormat="1" applyFont="1" applyFill="1" applyAlignment="1">
      <alignment horizontal="center"/>
    </xf>
    <xf numFmtId="169" fontId="5" fillId="0" borderId="0" xfId="5" applyNumberFormat="1" applyFont="1" applyBorder="1" applyAlignment="1">
      <alignment horizontal="right"/>
    </xf>
    <xf numFmtId="41" fontId="10" fillId="0" borderId="0" xfId="5" applyNumberFormat="1" applyFont="1" applyBorder="1"/>
    <xf numFmtId="41" fontId="11" fillId="0" borderId="0" xfId="5" applyNumberFormat="1" applyFont="1" applyBorder="1" applyAlignment="1">
      <alignment horizontal="left"/>
    </xf>
    <xf numFmtId="1" fontId="5" fillId="0" borderId="0" xfId="5" applyNumberFormat="1" applyFont="1" applyBorder="1"/>
    <xf numFmtId="0" fontId="3" fillId="0" borderId="0" xfId="5" applyBorder="1"/>
    <xf numFmtId="167" fontId="3" fillId="0" borderId="0" xfId="5" applyNumberFormat="1" applyBorder="1"/>
    <xf numFmtId="169" fontId="5" fillId="0" borderId="0" xfId="5" applyNumberFormat="1" applyFont="1" applyBorder="1"/>
    <xf numFmtId="168" fontId="5" fillId="0" borderId="0" xfId="5" applyNumberFormat="1" applyFont="1" applyBorder="1"/>
    <xf numFmtId="10" fontId="5" fillId="3" borderId="0" xfId="0" applyNumberFormat="1" applyFont="1" applyFill="1"/>
    <xf numFmtId="10" fontId="5" fillId="3" borderId="0" xfId="7" applyNumberFormat="1" applyFont="1" applyFill="1"/>
    <xf numFmtId="17" fontId="5" fillId="3" borderId="0" xfId="0" applyNumberFormat="1" applyFont="1" applyFill="1" applyBorder="1" applyAlignment="1">
      <alignment horizontal="center"/>
    </xf>
    <xf numFmtId="2" fontId="15" fillId="3" borderId="0" xfId="0" applyNumberFormat="1" applyFont="1" applyFill="1" applyBorder="1"/>
    <xf numFmtId="169" fontId="5" fillId="0" borderId="0" xfId="5" applyNumberFormat="1" applyFont="1" applyFill="1" applyAlignment="1">
      <alignment horizontal="right"/>
    </xf>
    <xf numFmtId="17" fontId="5" fillId="0" borderId="0" xfId="0" applyNumberFormat="1" applyFont="1" applyFill="1"/>
    <xf numFmtId="40" fontId="15" fillId="0" borderId="0" xfId="0" applyNumberFormat="1" applyFont="1"/>
    <xf numFmtId="9" fontId="2" fillId="0" borderId="0" xfId="7"/>
    <xf numFmtId="4" fontId="5" fillId="0" borderId="1" xfId="0" applyNumberFormat="1" applyFont="1" applyBorder="1"/>
    <xf numFmtId="40" fontId="5" fillId="0" borderId="1" xfId="0" applyNumberFormat="1" applyFont="1" applyBorder="1"/>
    <xf numFmtId="4" fontId="15" fillId="0" borderId="1" xfId="0" applyNumberFormat="1" applyFont="1" applyBorder="1"/>
    <xf numFmtId="43" fontId="15" fillId="0" borderId="0" xfId="1" applyFont="1"/>
    <xf numFmtId="43" fontId="5" fillId="0" borderId="1" xfId="1" applyFont="1" applyBorder="1"/>
    <xf numFmtId="43" fontId="15" fillId="0" borderId="1" xfId="1" applyFont="1" applyBorder="1"/>
    <xf numFmtId="165" fontId="4" fillId="0" borderId="0" xfId="7" applyNumberFormat="1" applyFont="1"/>
    <xf numFmtId="0" fontId="16" fillId="0" borderId="8" xfId="5" applyFont="1" applyBorder="1" applyAlignment="1">
      <alignment horizontal="center"/>
    </xf>
    <xf numFmtId="0" fontId="5" fillId="0" borderId="0" xfId="5" applyFont="1" applyBorder="1"/>
    <xf numFmtId="167" fontId="16" fillId="0" borderId="9" xfId="5" applyNumberFormat="1" applyFont="1" applyBorder="1" applyAlignment="1">
      <alignment horizontal="center"/>
    </xf>
    <xf numFmtId="167" fontId="17" fillId="0" borderId="9" xfId="5" applyNumberFormat="1" applyFont="1" applyFill="1" applyBorder="1" applyAlignment="1">
      <alignment horizontal="center"/>
    </xf>
    <xf numFmtId="41" fontId="11" fillId="0" borderId="9" xfId="5" applyNumberFormat="1" applyFont="1" applyBorder="1"/>
    <xf numFmtId="167" fontId="7" fillId="0" borderId="0" xfId="5" applyNumberFormat="1" applyFont="1" applyBorder="1"/>
    <xf numFmtId="168" fontId="7" fillId="0" borderId="9" xfId="5" applyNumberFormat="1" applyFont="1" applyBorder="1"/>
    <xf numFmtId="41" fontId="5" fillId="0" borderId="10" xfId="5" applyNumberFormat="1" applyFont="1" applyBorder="1"/>
    <xf numFmtId="165" fontId="5" fillId="0" borderId="0" xfId="7" applyNumberFormat="1" applyFont="1"/>
    <xf numFmtId="0" fontId="21" fillId="0" borderId="0" xfId="4"/>
    <xf numFmtId="43" fontId="21" fillId="0" borderId="0" xfId="2" applyNumberFormat="1" applyFont="1"/>
    <xf numFmtId="7" fontId="20" fillId="0" borderId="0" xfId="0" applyNumberFormat="1" applyFont="1" applyFill="1" applyBorder="1"/>
    <xf numFmtId="7" fontId="2" fillId="0" borderId="0" xfId="3" applyNumberFormat="1" applyBorder="1"/>
    <xf numFmtId="0" fontId="21" fillId="0" borderId="0" xfId="4" applyBorder="1"/>
    <xf numFmtId="43" fontId="5" fillId="0" borderId="5" xfId="1" applyNumberFormat="1" applyFont="1" applyBorder="1"/>
    <xf numFmtId="4" fontId="5" fillId="0" borderId="0" xfId="6" applyNumberFormat="1" applyFont="1" applyFill="1" applyBorder="1"/>
    <xf numFmtId="43" fontId="0" fillId="0" borderId="0" xfId="1" applyFont="1"/>
    <xf numFmtId="168" fontId="10" fillId="6" borderId="0" xfId="5" applyNumberFormat="1" applyFont="1" applyFill="1"/>
    <xf numFmtId="41" fontId="10" fillId="5" borderId="0" xfId="5" applyNumberFormat="1" applyFont="1" applyFill="1" applyAlignment="1">
      <alignment horizontal="center"/>
    </xf>
    <xf numFmtId="41" fontId="10" fillId="5" borderId="0" xfId="5" applyNumberFormat="1" applyFont="1" applyFill="1"/>
    <xf numFmtId="167" fontId="5" fillId="7" borderId="0" xfId="5" applyNumberFormat="1" applyFont="1" applyFill="1"/>
    <xf numFmtId="9" fontId="5" fillId="7" borderId="7" xfId="7" applyFont="1" applyFill="1" applyBorder="1"/>
    <xf numFmtId="165" fontId="23" fillId="8" borderId="12" xfId="7" applyNumberFormat="1" applyFont="1" applyFill="1" applyBorder="1"/>
    <xf numFmtId="39" fontId="5" fillId="5" borderId="2" xfId="5" applyNumberFormat="1" applyFont="1" applyFill="1" applyBorder="1"/>
    <xf numFmtId="37" fontId="5" fillId="0" borderId="0" xfId="5" applyNumberFormat="1" applyFont="1" applyFill="1" applyAlignment="1">
      <alignment horizontal="center"/>
    </xf>
    <xf numFmtId="168" fontId="5" fillId="0" borderId="6" xfId="5" applyNumberFormat="1" applyFont="1" applyFill="1" applyBorder="1"/>
    <xf numFmtId="0" fontId="4" fillId="0" borderId="13" xfId="0" applyFont="1" applyBorder="1"/>
    <xf numFmtId="0" fontId="4" fillId="0" borderId="14" xfId="0" applyFont="1" applyBorder="1"/>
    <xf numFmtId="173" fontId="4" fillId="0" borderId="15" xfId="0" applyNumberFormat="1" applyFont="1" applyBorder="1"/>
    <xf numFmtId="173" fontId="0" fillId="0" borderId="0" xfId="0" applyNumberFormat="1"/>
    <xf numFmtId="0" fontId="4" fillId="0" borderId="0" xfId="0" applyFont="1"/>
    <xf numFmtId="173" fontId="0" fillId="9" borderId="7" xfId="0" applyNumberFormat="1" applyFill="1" applyBorder="1"/>
    <xf numFmtId="173" fontId="0" fillId="0" borderId="7" xfId="0" applyNumberFormat="1" applyBorder="1"/>
    <xf numFmtId="0" fontId="2" fillId="0" borderId="0" xfId="0" applyFont="1"/>
    <xf numFmtId="10" fontId="0" fillId="0" borderId="0" xfId="0" applyNumberFormat="1"/>
    <xf numFmtId="41" fontId="0" fillId="0" borderId="0" xfId="0" applyNumberFormat="1"/>
    <xf numFmtId="44" fontId="5" fillId="3" borderId="7" xfId="3" applyFont="1" applyFill="1" applyBorder="1"/>
    <xf numFmtId="44" fontId="5" fillId="3" borderId="7" xfId="3" applyFont="1" applyFill="1" applyBorder="1" applyAlignment="1">
      <alignment horizontal="center"/>
    </xf>
    <xf numFmtId="44" fontId="22" fillId="3" borderId="7" xfId="3" applyFont="1" applyFill="1" applyBorder="1"/>
    <xf numFmtId="44" fontId="22" fillId="3" borderId="7" xfId="3" applyFont="1" applyFill="1" applyBorder="1" applyAlignment="1">
      <alignment horizontal="center"/>
    </xf>
    <xf numFmtId="167" fontId="5" fillId="0" borderId="0" xfId="5" applyNumberFormat="1" applyFont="1" applyAlignment="1">
      <alignment horizontal="right"/>
    </xf>
    <xf numFmtId="173" fontId="4" fillId="0" borderId="0" xfId="0" applyNumberFormat="1" applyFont="1"/>
    <xf numFmtId="44" fontId="0" fillId="0" borderId="7" xfId="3" applyFont="1" applyBorder="1"/>
    <xf numFmtId="10" fontId="0" fillId="0" borderId="7" xfId="0" applyNumberFormat="1" applyBorder="1"/>
    <xf numFmtId="44" fontId="0" fillId="0" borderId="7" xfId="0" applyNumberFormat="1" applyBorder="1"/>
    <xf numFmtId="44" fontId="0" fillId="0" borderId="0" xfId="0" applyNumberFormat="1"/>
    <xf numFmtId="174" fontId="0" fillId="0" borderId="0" xfId="0" applyNumberFormat="1"/>
    <xf numFmtId="175" fontId="23" fillId="0" borderId="0" xfId="9" applyNumberFormat="1" applyFont="1" applyFill="1" applyBorder="1"/>
    <xf numFmtId="0" fontId="0" fillId="0" borderId="0" xfId="0" applyAlignment="1">
      <alignment wrapText="1"/>
    </xf>
    <xf numFmtId="44" fontId="0" fillId="0" borderId="0" xfId="3" applyFont="1"/>
    <xf numFmtId="176" fontId="23" fillId="8" borderId="16" xfId="9" applyNumberFormat="1" applyFont="1" applyFill="1" applyBorder="1"/>
    <xf numFmtId="176" fontId="25" fillId="8" borderId="12" xfId="0" applyNumberFormat="1" applyFont="1" applyFill="1" applyBorder="1"/>
    <xf numFmtId="0" fontId="26" fillId="10" borderId="17" xfId="11" applyFont="1" applyFill="1" applyBorder="1"/>
    <xf numFmtId="175" fontId="2" fillId="10" borderId="1" xfId="11" applyNumberFormat="1" applyFont="1" applyFill="1" applyBorder="1"/>
    <xf numFmtId="0" fontId="2" fillId="10" borderId="1" xfId="11" applyFont="1" applyFill="1" applyBorder="1"/>
    <xf numFmtId="175" fontId="2" fillId="10" borderId="18" xfId="12" applyNumberFormat="1" applyFont="1" applyFill="1" applyBorder="1"/>
    <xf numFmtId="0" fontId="0" fillId="0" borderId="0" xfId="11" applyFont="1"/>
    <xf numFmtId="175" fontId="2" fillId="0" borderId="0" xfId="11" applyNumberFormat="1" applyFont="1"/>
    <xf numFmtId="0" fontId="2" fillId="0" borderId="0" xfId="11" applyFont="1"/>
    <xf numFmtId="175" fontId="2" fillId="0" borderId="0" xfId="12" applyNumberFormat="1" applyFont="1"/>
    <xf numFmtId="175" fontId="2" fillId="0" borderId="20" xfId="0" applyNumberFormat="1" applyFont="1" applyBorder="1" applyAlignment="1">
      <alignment horizontal="center"/>
    </xf>
    <xf numFmtId="175" fontId="0" fillId="0" borderId="20" xfId="0" applyNumberFormat="1" applyBorder="1"/>
    <xf numFmtId="175" fontId="0" fillId="0" borderId="20" xfId="3" applyNumberFormat="1" applyFont="1" applyBorder="1" applyAlignment="1">
      <alignment horizontal="center"/>
    </xf>
    <xf numFmtId="0" fontId="23" fillId="11" borderId="21" xfId="13" applyFont="1" applyFill="1" applyBorder="1" applyAlignment="1">
      <alignment horizontal="center"/>
    </xf>
    <xf numFmtId="0" fontId="23" fillId="0" borderId="0" xfId="13" applyFont="1" applyAlignment="1">
      <alignment horizontal="center"/>
    </xf>
    <xf numFmtId="44" fontId="2" fillId="0" borderId="0" xfId="0" applyNumberFormat="1" applyFont="1"/>
    <xf numFmtId="44" fontId="2" fillId="0" borderId="0" xfId="0" applyNumberFormat="1" applyFont="1" applyAlignment="1">
      <alignment horizontal="right"/>
    </xf>
    <xf numFmtId="175" fontId="23" fillId="0" borderId="7" xfId="9" applyNumberFormat="1" applyFont="1" applyFill="1" applyBorder="1"/>
    <xf numFmtId="0" fontId="0" fillId="0" borderId="0" xfId="0" applyAlignment="1">
      <alignment horizontal="center" wrapText="1"/>
    </xf>
    <xf numFmtId="175" fontId="23" fillId="11" borderId="21" xfId="12" applyNumberFormat="1" applyFont="1" applyFill="1" applyBorder="1" applyAlignment="1">
      <alignment horizontal="center"/>
    </xf>
    <xf numFmtId="0" fontId="23" fillId="11" borderId="0" xfId="13" applyFont="1" applyFill="1" applyAlignment="1">
      <alignment horizontal="center"/>
    </xf>
    <xf numFmtId="175" fontId="0" fillId="0" borderId="0" xfId="0" applyNumberFormat="1"/>
    <xf numFmtId="0" fontId="4" fillId="0" borderId="0" xfId="0" applyFont="1" applyAlignment="1">
      <alignment horizontal="left"/>
    </xf>
    <xf numFmtId="44" fontId="4" fillId="0" borderId="22" xfId="3" applyFont="1" applyBorder="1"/>
    <xf numFmtId="0" fontId="2" fillId="0" borderId="0" xfId="0" applyFont="1" applyAlignment="1">
      <alignment horizontal="right"/>
    </xf>
    <xf numFmtId="44" fontId="4" fillId="0" borderId="22" xfId="0" applyNumberFormat="1" applyFont="1" applyBorder="1" applyAlignment="1">
      <alignment horizontal="right"/>
    </xf>
    <xf numFmtId="0" fontId="0" fillId="11" borderId="7" xfId="0" applyFill="1" applyBorder="1"/>
    <xf numFmtId="0" fontId="27" fillId="0" borderId="0" xfId="0" applyFont="1"/>
    <xf numFmtId="0" fontId="28" fillId="12" borderId="23" xfId="13" applyFont="1" applyFill="1" applyBorder="1" applyAlignment="1">
      <alignment horizontal="center"/>
    </xf>
    <xf numFmtId="0" fontId="28" fillId="12" borderId="21" xfId="13" applyFont="1" applyFill="1" applyBorder="1" applyAlignment="1">
      <alignment horizontal="center"/>
    </xf>
    <xf numFmtId="0" fontId="28" fillId="12" borderId="24" xfId="13" applyFont="1" applyFill="1" applyBorder="1" applyAlignment="1">
      <alignment horizontal="center"/>
    </xf>
    <xf numFmtId="44" fontId="2" fillId="8" borderId="0" xfId="0" applyNumberFormat="1" applyFont="1" applyFill="1" applyAlignment="1">
      <alignment horizontal="right"/>
    </xf>
    <xf numFmtId="44" fontId="24" fillId="8" borderId="0" xfId="3" applyFont="1" applyFill="1"/>
    <xf numFmtId="0" fontId="28" fillId="12" borderId="1" xfId="13" applyFont="1" applyFill="1" applyBorder="1" applyAlignment="1">
      <alignment horizontal="center"/>
    </xf>
    <xf numFmtId="175" fontId="28" fillId="12" borderId="7" xfId="9" applyNumberFormat="1" applyFont="1" applyFill="1" applyBorder="1"/>
    <xf numFmtId="175" fontId="28" fillId="12" borderId="25" xfId="12" applyNumberFormat="1" applyFont="1" applyFill="1" applyBorder="1" applyAlignment="1">
      <alignment horizontal="center"/>
    </xf>
    <xf numFmtId="175" fontId="28" fillId="12" borderId="26" xfId="12" applyNumberFormat="1" applyFont="1" applyFill="1" applyBorder="1" applyAlignment="1">
      <alignment horizontal="center"/>
    </xf>
    <xf numFmtId="175" fontId="28" fillId="12" borderId="27" xfId="12" applyNumberFormat="1" applyFont="1" applyFill="1" applyBorder="1" applyAlignment="1">
      <alignment horizontal="center"/>
    </xf>
    <xf numFmtId="0" fontId="23" fillId="11" borderId="28" xfId="13" applyFont="1" applyFill="1" applyBorder="1"/>
    <xf numFmtId="0" fontId="23" fillId="11" borderId="29" xfId="13" applyFont="1" applyFill="1" applyBorder="1"/>
    <xf numFmtId="0" fontId="23" fillId="0" borderId="0" xfId="13" applyFont="1"/>
    <xf numFmtId="0" fontId="23" fillId="11" borderId="7" xfId="13" applyFont="1" applyFill="1" applyBorder="1"/>
    <xf numFmtId="0" fontId="23" fillId="11" borderId="7" xfId="13" applyFont="1" applyFill="1" applyBorder="1" applyAlignment="1">
      <alignment wrapText="1"/>
    </xf>
    <xf numFmtId="175" fontId="2" fillId="0" borderId="0" xfId="3" applyNumberFormat="1" applyFont="1" applyBorder="1"/>
    <xf numFmtId="0" fontId="23" fillId="11" borderId="17" xfId="13" applyFont="1" applyFill="1" applyBorder="1" applyAlignment="1">
      <alignment horizontal="center"/>
    </xf>
    <xf numFmtId="175" fontId="25" fillId="8" borderId="30" xfId="12" applyNumberFormat="1" applyFont="1" applyFill="1" applyBorder="1"/>
    <xf numFmtId="0" fontId="23" fillId="11" borderId="7" xfId="13" applyFont="1" applyFill="1" applyBorder="1" applyAlignment="1">
      <alignment horizontal="center"/>
    </xf>
    <xf numFmtId="175" fontId="25" fillId="8" borderId="7" xfId="12" applyNumberFormat="1" applyFont="1" applyFill="1" applyBorder="1" applyAlignment="1">
      <alignment wrapText="1"/>
    </xf>
    <xf numFmtId="0" fontId="23" fillId="11" borderId="25" xfId="13" applyFont="1" applyFill="1" applyBorder="1" applyAlignment="1">
      <alignment horizontal="center"/>
    </xf>
    <xf numFmtId="164" fontId="23" fillId="0" borderId="7" xfId="1" applyNumberFormat="1" applyFont="1" applyFill="1" applyBorder="1"/>
    <xf numFmtId="164" fontId="23" fillId="0" borderId="31" xfId="1" applyNumberFormat="1" applyFont="1" applyFill="1" applyBorder="1" applyAlignment="1">
      <alignment wrapText="1"/>
    </xf>
    <xf numFmtId="0" fontId="25" fillId="8" borderId="30" xfId="0" applyFont="1" applyFill="1" applyBorder="1"/>
    <xf numFmtId="0" fontId="25" fillId="8" borderId="7" xfId="0" applyFont="1" applyFill="1" applyBorder="1" applyAlignment="1">
      <alignment wrapText="1"/>
    </xf>
    <xf numFmtId="0" fontId="23" fillId="11" borderId="23" xfId="13" applyFont="1" applyFill="1" applyBorder="1" applyAlignment="1">
      <alignment horizontal="center"/>
    </xf>
    <xf numFmtId="175" fontId="23" fillId="11" borderId="18" xfId="12" applyNumberFormat="1" applyFont="1" applyFill="1" applyBorder="1" applyAlignment="1">
      <alignment horizontal="center"/>
    </xf>
    <xf numFmtId="175" fontId="23" fillId="11" borderId="7" xfId="12" applyNumberFormat="1" applyFont="1" applyFill="1" applyBorder="1" applyAlignment="1">
      <alignment horizontal="center" wrapText="1"/>
    </xf>
    <xf numFmtId="0" fontId="23" fillId="11" borderId="32" xfId="13" applyFont="1" applyFill="1" applyBorder="1" applyAlignment="1">
      <alignment horizontal="center"/>
    </xf>
    <xf numFmtId="0" fontId="25" fillId="11" borderId="9" xfId="13" applyFont="1" applyFill="1" applyBorder="1" applyAlignment="1">
      <alignment horizontal="center"/>
    </xf>
    <xf numFmtId="175" fontId="1" fillId="0" borderId="0" xfId="0" applyNumberFormat="1" applyFont="1" applyAlignment="1">
      <alignment wrapText="1"/>
    </xf>
    <xf numFmtId="0" fontId="23" fillId="11" borderId="32" xfId="13" applyFont="1" applyFill="1" applyBorder="1" applyAlignment="1">
      <alignment horizontal="center" wrapText="1"/>
    </xf>
    <xf numFmtId="0" fontId="25" fillId="11" borderId="0" xfId="13" applyFont="1" applyFill="1" applyAlignment="1">
      <alignment horizontal="center"/>
    </xf>
    <xf numFmtId="175" fontId="1" fillId="0" borderId="0" xfId="12" applyNumberFormat="1" applyFont="1" applyFill="1" applyBorder="1" applyAlignment="1">
      <alignment horizontal="center" wrapText="1"/>
    </xf>
    <xf numFmtId="175" fontId="23" fillId="0" borderId="0" xfId="12" applyNumberFormat="1" applyFont="1" applyFill="1" applyBorder="1" applyAlignment="1">
      <alignment horizontal="center" wrapText="1"/>
    </xf>
    <xf numFmtId="0" fontId="23" fillId="11" borderId="1" xfId="13" applyFont="1" applyFill="1" applyBorder="1" applyAlignment="1">
      <alignment horizontal="center"/>
    </xf>
    <xf numFmtId="0" fontId="23" fillId="11" borderId="19" xfId="13" applyFont="1" applyFill="1" applyBorder="1" applyAlignment="1">
      <alignment horizontal="center"/>
    </xf>
    <xf numFmtId="0" fontId="23" fillId="11" borderId="7" xfId="13" applyFont="1" applyFill="1" applyBorder="1" applyAlignment="1">
      <alignment horizontal="center"/>
    </xf>
    <xf numFmtId="0" fontId="28" fillId="12" borderId="17" xfId="13" applyFont="1" applyFill="1" applyBorder="1" applyAlignment="1">
      <alignment horizontal="center"/>
    </xf>
    <xf numFmtId="0" fontId="28" fillId="12" borderId="1" xfId="13" applyFont="1" applyFill="1" applyBorder="1" applyAlignment="1">
      <alignment horizontal="center"/>
    </xf>
    <xf numFmtId="0" fontId="28" fillId="12" borderId="18" xfId="13" applyFont="1" applyFill="1" applyBorder="1" applyAlignment="1">
      <alignment horizontal="center"/>
    </xf>
  </cellXfs>
  <cellStyles count="14">
    <cellStyle name="Comma" xfId="1" builtinId="3"/>
    <cellStyle name="Comma 2" xfId="2" xr:uid="{00000000-0005-0000-0000-000001000000}"/>
    <cellStyle name="Comma 27" xfId="10" xr:uid="{00000000-0005-0000-0000-000002000000}"/>
    <cellStyle name="Currency" xfId="3" builtinId="4"/>
    <cellStyle name="Currency 2" xfId="9" xr:uid="{00000000-0005-0000-0000-000004000000}"/>
    <cellStyle name="Currency 2 3" xfId="12" xr:uid="{A08D050E-E163-49C0-BBF4-82A5ABB5E150}"/>
    <cellStyle name="Normal" xfId="0" builtinId="0"/>
    <cellStyle name="Normal 13 2" xfId="13" xr:uid="{EFBA702B-7357-4E1D-A9A4-19994804D4D0}"/>
    <cellStyle name="Normal 2" xfId="4" xr:uid="{00000000-0005-0000-0000-000006000000}"/>
    <cellStyle name="Normal 2 3" xfId="11" xr:uid="{94BCD5BE-EA31-4679-9C09-3B466C47D093}"/>
    <cellStyle name="Normal 3" xfId="8" xr:uid="{00000000-0005-0000-0000-000007000000}"/>
    <cellStyle name="Normal_98REC_CR" xfId="5" xr:uid="{00000000-0005-0000-0000-000008000000}"/>
    <cellStyle name="Note" xfId="6" builtinId="10"/>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istrict\Accounting\WUTC%20Files\RSA\2013-14%20Plan%20Year\WUTC%20Filing%20Working%20Documents\SeaTac%20Multi%20Family%20Commodity%20Credit%20Template%20-%202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ivision/Accounting%20II/WUTC%20Filings/Commodity%20Credits/Filing%20June%202022/4172_4176_4183%20RSA%20King%20Co%20Workbook_2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UTC_AW of Kent_MF"/>
      <sheetName val="Value"/>
      <sheetName val="Commodity Tonnages"/>
      <sheetName val="Pricing"/>
      <sheetName val="Multi_Family"/>
    </sheetNames>
    <sheetDataSet>
      <sheetData sheetId="0">
        <row r="56">
          <cell r="O56">
            <v>0.5</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ng County Recap"/>
      <sheetName val="Spend Recap"/>
      <sheetName val="Ledger"/>
      <sheetName val="King County RSA Spend 2021-2022"/>
      <sheetName val="King County RSA Spend 2022-2023"/>
      <sheetName val="2021-2022 Admin Time"/>
      <sheetName val="2022-2023 Admin Time"/>
      <sheetName val="Labor Expense"/>
      <sheetName val="Single Family"/>
      <sheetName val="Multi Family"/>
    </sheetNames>
    <sheetDataSet>
      <sheetData sheetId="0" refreshError="1"/>
      <sheetData sheetId="1" refreshError="1"/>
      <sheetData sheetId="2">
        <row r="29">
          <cell r="P29">
            <v>0</v>
          </cell>
        </row>
        <row r="30">
          <cell r="P30">
            <v>0</v>
          </cell>
        </row>
        <row r="31">
          <cell r="P31">
            <v>0</v>
          </cell>
        </row>
      </sheetData>
      <sheetData sheetId="3">
        <row r="32">
          <cell r="P32">
            <v>215.88</v>
          </cell>
        </row>
        <row r="34">
          <cell r="P34">
            <v>77.716799999999992</v>
          </cell>
        </row>
        <row r="35">
          <cell r="P35">
            <v>112.25760000000001</v>
          </cell>
        </row>
        <row r="36">
          <cell r="P36">
            <v>25.9056</v>
          </cell>
        </row>
      </sheetData>
      <sheetData sheetId="4">
        <row r="29">
          <cell r="P29">
            <v>0</v>
          </cell>
        </row>
      </sheetData>
      <sheetData sheetId="5">
        <row r="38">
          <cell r="I38">
            <v>2629.6666666666674</v>
          </cell>
        </row>
      </sheetData>
      <sheetData sheetId="6">
        <row r="38">
          <cell r="I38">
            <v>0</v>
          </cell>
        </row>
      </sheetData>
      <sheetData sheetId="7">
        <row r="22">
          <cell r="P22">
            <v>643.08333333333337</v>
          </cell>
        </row>
        <row r="23">
          <cell r="P23">
            <v>10610.871999999999</v>
          </cell>
        </row>
        <row r="24">
          <cell r="P24">
            <v>7073.9146666666693</v>
          </cell>
        </row>
        <row r="25">
          <cell r="P25">
            <v>18327.870000000003</v>
          </cell>
        </row>
        <row r="31">
          <cell r="P31">
            <v>0</v>
          </cell>
        </row>
        <row r="32">
          <cell r="P32">
            <v>0</v>
          </cell>
        </row>
        <row r="33">
          <cell r="P33">
            <v>0</v>
          </cell>
        </row>
        <row r="34">
          <cell r="P34">
            <v>0</v>
          </cell>
        </row>
      </sheetData>
      <sheetData sheetId="8">
        <row r="17">
          <cell r="F17">
            <v>96988.7</v>
          </cell>
          <cell r="M17">
            <v>170514.11</v>
          </cell>
          <cell r="T17">
            <v>34786.199999999997</v>
          </cell>
          <cell r="V17">
            <v>12888.999999999998</v>
          </cell>
        </row>
        <row r="33">
          <cell r="F33">
            <v>0</v>
          </cell>
          <cell r="M33">
            <v>0</v>
          </cell>
          <cell r="T33">
            <v>0</v>
          </cell>
        </row>
      </sheetData>
      <sheetData sheetId="9">
        <row r="17">
          <cell r="F17">
            <v>8687.7200000000012</v>
          </cell>
          <cell r="M17">
            <v>1738.4599999999998</v>
          </cell>
          <cell r="T17">
            <v>1900.98</v>
          </cell>
          <cell r="V17">
            <v>536.03</v>
          </cell>
        </row>
        <row r="34">
          <cell r="F34">
            <v>0</v>
          </cell>
          <cell r="M34">
            <v>0</v>
          </cell>
          <cell r="T34">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06"/>
  <sheetViews>
    <sheetView zoomScaleNormal="100" workbookViewId="0">
      <pane ySplit="4" topLeftCell="A5" activePane="bottomLeft" state="frozenSplit"/>
      <selection activeCell="G25" sqref="G25"/>
      <selection pane="bottomLeft" activeCell="K65" sqref="K65"/>
    </sheetView>
  </sheetViews>
  <sheetFormatPr defaultColWidth="9.140625" defaultRowHeight="12.75" x14ac:dyDescent="0.2"/>
  <cols>
    <col min="1" max="1" width="10" style="5" customWidth="1"/>
    <col min="2" max="2" width="10.140625" style="5" customWidth="1"/>
    <col min="3" max="3" width="4.42578125" style="5" customWidth="1"/>
    <col min="4" max="4" width="11.28515625" style="5" customWidth="1"/>
    <col min="5" max="5" width="5.5703125" style="5" customWidth="1"/>
    <col min="6" max="6" width="13" style="5" customWidth="1"/>
    <col min="7" max="7" width="8.7109375" style="5" customWidth="1"/>
    <col min="8" max="8" width="4.7109375" style="5" bestFit="1" customWidth="1"/>
    <col min="9" max="9" width="8.7109375" style="5" bestFit="1" customWidth="1"/>
    <col min="10" max="10" width="9.42578125" style="5" customWidth="1"/>
    <col min="11" max="11" width="4.7109375" style="5" bestFit="1" customWidth="1"/>
    <col min="12"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31</v>
      </c>
      <c r="B1" s="2"/>
      <c r="C1" s="2"/>
      <c r="D1" s="2"/>
      <c r="E1" s="2"/>
      <c r="F1" s="2"/>
      <c r="G1" s="3"/>
      <c r="H1" s="2"/>
      <c r="I1" s="2"/>
      <c r="J1" s="1" t="s">
        <v>32</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
        <v>33</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2"/>
      <c r="P5" s="2"/>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row>
    <row r="7" spans="1:27" s="16" customFormat="1" ht="11.25" x14ac:dyDescent="0.2">
      <c r="A7" s="15" t="s">
        <v>5</v>
      </c>
      <c r="B7" s="12" t="s">
        <v>6</v>
      </c>
      <c r="C7" s="12"/>
      <c r="D7" s="12" t="s">
        <v>3</v>
      </c>
      <c r="E7" s="12"/>
      <c r="F7" s="12" t="s">
        <v>7</v>
      </c>
      <c r="G7" s="12"/>
      <c r="H7" s="12"/>
      <c r="I7" s="12"/>
      <c r="J7" s="12" t="s">
        <v>6</v>
      </c>
      <c r="K7" s="12"/>
    </row>
    <row r="8" spans="1:27" s="16" customFormat="1" ht="11.25" x14ac:dyDescent="0.2">
      <c r="A8" s="76">
        <v>39264</v>
      </c>
      <c r="B8" s="19">
        <v>16678</v>
      </c>
      <c r="C8" s="20"/>
      <c r="D8" s="18">
        <v>35119.9</v>
      </c>
      <c r="E8" s="14"/>
      <c r="F8" s="16">
        <f>ROUND(D8/B8,2)</f>
        <v>2.11</v>
      </c>
      <c r="G8" s="14"/>
      <c r="H8" s="14"/>
      <c r="I8" s="14"/>
      <c r="J8" s="14">
        <f>+B8</f>
        <v>16678</v>
      </c>
      <c r="K8" s="13">
        <v>2007</v>
      </c>
    </row>
    <row r="9" spans="1:27" s="16" customFormat="1" ht="11.25" x14ac:dyDescent="0.2">
      <c r="A9" s="76">
        <v>39298</v>
      </c>
      <c r="B9" s="19">
        <v>16617</v>
      </c>
      <c r="C9" s="14"/>
      <c r="D9" s="18">
        <v>36121.480000000003</v>
      </c>
      <c r="E9" s="14"/>
      <c r="F9" s="16">
        <f>ROUND(D9/B9,2)</f>
        <v>2.17</v>
      </c>
      <c r="G9" s="14"/>
      <c r="H9" s="14"/>
      <c r="I9" s="14"/>
      <c r="J9" s="14">
        <f>+B9</f>
        <v>16617</v>
      </c>
      <c r="K9" s="13">
        <v>2007</v>
      </c>
    </row>
    <row r="10" spans="1:27" s="16" customFormat="1" ht="11.25" x14ac:dyDescent="0.2">
      <c r="A10" s="17"/>
      <c r="B10" s="14"/>
      <c r="C10" s="14"/>
      <c r="E10" s="14"/>
      <c r="G10" s="14"/>
      <c r="H10" s="14"/>
      <c r="I10" s="14"/>
      <c r="J10" s="14"/>
      <c r="K10" s="13"/>
    </row>
    <row r="11" spans="1:27" s="16" customFormat="1" ht="11.25" x14ac:dyDescent="0.2">
      <c r="A11" s="17" t="s">
        <v>34</v>
      </c>
      <c r="B11" s="21">
        <f>SUM(B8:B10)</f>
        <v>33295</v>
      </c>
      <c r="C11" s="20" t="s">
        <v>8</v>
      </c>
      <c r="D11" s="22">
        <f>SUM(D8:D10)</f>
        <v>71241.38</v>
      </c>
      <c r="E11" s="14"/>
      <c r="G11" s="14"/>
      <c r="H11" s="14"/>
      <c r="I11" s="14"/>
      <c r="J11" s="14"/>
      <c r="K11" s="13"/>
    </row>
    <row r="12" spans="1:27" s="16" customFormat="1" ht="11.25" x14ac:dyDescent="0.2">
      <c r="A12" s="17"/>
      <c r="B12" s="14"/>
      <c r="C12" s="14"/>
      <c r="E12" s="14"/>
      <c r="G12" s="14"/>
      <c r="H12" s="14"/>
      <c r="I12" s="14"/>
      <c r="J12" s="14"/>
      <c r="K12" s="13"/>
    </row>
    <row r="13" spans="1:27" s="16" customFormat="1" ht="11.25" x14ac:dyDescent="0.2">
      <c r="A13" s="24">
        <v>39329</v>
      </c>
      <c r="B13" s="19">
        <v>16657</v>
      </c>
      <c r="C13" s="14"/>
      <c r="D13" s="16">
        <v>36761.14</v>
      </c>
      <c r="E13" s="14"/>
      <c r="F13" s="16">
        <f t="shared" ref="F13:F22" si="0">ROUND(D13/B13,2)</f>
        <v>2.21</v>
      </c>
      <c r="G13" s="23"/>
      <c r="H13" s="14"/>
      <c r="I13" s="14"/>
      <c r="J13" s="14">
        <f t="shared" ref="J13:J22" si="1">+B13</f>
        <v>16657</v>
      </c>
      <c r="K13" s="13">
        <v>2007</v>
      </c>
    </row>
    <row r="14" spans="1:27" s="16" customFormat="1" ht="11.25" x14ac:dyDescent="0.2">
      <c r="A14" s="24">
        <v>39359</v>
      </c>
      <c r="B14" s="19">
        <v>16702</v>
      </c>
      <c r="C14" s="14"/>
      <c r="D14" s="16">
        <v>36372.089999999997</v>
      </c>
      <c r="E14" s="14"/>
      <c r="F14" s="16">
        <f t="shared" si="0"/>
        <v>2.1800000000000002</v>
      </c>
      <c r="G14" s="23"/>
      <c r="H14" s="14"/>
      <c r="I14" s="14"/>
      <c r="J14" s="14">
        <f t="shared" si="1"/>
        <v>16702</v>
      </c>
      <c r="K14" s="13">
        <v>2007</v>
      </c>
    </row>
    <row r="15" spans="1:27" s="16" customFormat="1" ht="11.25" x14ac:dyDescent="0.2">
      <c r="A15" s="24">
        <v>39390</v>
      </c>
      <c r="B15" s="19">
        <v>16708</v>
      </c>
      <c r="C15" s="14"/>
      <c r="D15" s="16">
        <v>43788.67</v>
      </c>
      <c r="E15" s="14"/>
      <c r="F15" s="16">
        <f t="shared" si="0"/>
        <v>2.62</v>
      </c>
      <c r="G15" s="23"/>
      <c r="H15" s="14"/>
      <c r="I15" s="14"/>
      <c r="J15" s="14">
        <f t="shared" si="1"/>
        <v>16708</v>
      </c>
      <c r="K15" s="13">
        <v>2007</v>
      </c>
    </row>
    <row r="16" spans="1:27" s="16" customFormat="1" ht="11.25" x14ac:dyDescent="0.2">
      <c r="A16" s="24">
        <v>39420</v>
      </c>
      <c r="B16" s="19">
        <v>16699</v>
      </c>
      <c r="C16" s="14"/>
      <c r="D16" s="16">
        <v>38190.370000000003</v>
      </c>
      <c r="E16" s="14"/>
      <c r="F16" s="16">
        <f t="shared" si="0"/>
        <v>2.29</v>
      </c>
      <c r="G16" s="23"/>
      <c r="H16" s="14"/>
      <c r="I16" s="14"/>
      <c r="J16" s="14">
        <f t="shared" si="1"/>
        <v>16699</v>
      </c>
      <c r="K16" s="13">
        <v>2007</v>
      </c>
    </row>
    <row r="17" spans="1:27" s="16" customFormat="1" ht="11.25" x14ac:dyDescent="0.2">
      <c r="A17" s="24">
        <v>39451</v>
      </c>
      <c r="B17" s="19">
        <v>16649</v>
      </c>
      <c r="C17" s="14"/>
      <c r="D17" s="16">
        <v>42272.42</v>
      </c>
      <c r="E17" s="14"/>
      <c r="F17" s="16">
        <f t="shared" si="0"/>
        <v>2.54</v>
      </c>
      <c r="G17" s="23"/>
      <c r="H17" s="14"/>
      <c r="I17" s="14"/>
      <c r="J17" s="14">
        <f t="shared" si="1"/>
        <v>16649</v>
      </c>
      <c r="K17" s="13">
        <v>2008</v>
      </c>
    </row>
    <row r="18" spans="1:27" s="16" customFormat="1" ht="11.25" x14ac:dyDescent="0.2">
      <c r="A18" s="24">
        <v>39482</v>
      </c>
      <c r="B18" s="19">
        <v>16642</v>
      </c>
      <c r="C18" s="14"/>
      <c r="D18" s="16">
        <v>40138.230000000003</v>
      </c>
      <c r="E18" s="14"/>
      <c r="F18" s="16">
        <f t="shared" si="0"/>
        <v>2.41</v>
      </c>
      <c r="G18" s="23"/>
      <c r="H18" s="14"/>
      <c r="I18" s="14"/>
      <c r="J18" s="14">
        <f t="shared" si="1"/>
        <v>16642</v>
      </c>
      <c r="K18" s="13">
        <v>2008</v>
      </c>
    </row>
    <row r="19" spans="1:27" s="16" customFormat="1" ht="11.25" x14ac:dyDescent="0.2">
      <c r="A19" s="24">
        <v>39511</v>
      </c>
      <c r="B19" s="19">
        <v>16686</v>
      </c>
      <c r="C19" s="14"/>
      <c r="D19" s="16">
        <v>35853.629999999997</v>
      </c>
      <c r="E19" s="14"/>
      <c r="F19" s="16">
        <f t="shared" si="0"/>
        <v>2.15</v>
      </c>
      <c r="G19" s="23"/>
      <c r="H19" s="14"/>
      <c r="I19" s="14"/>
      <c r="J19" s="14">
        <f t="shared" si="1"/>
        <v>16686</v>
      </c>
      <c r="K19" s="13">
        <v>2008</v>
      </c>
      <c r="X19" s="14"/>
      <c r="Y19" s="14"/>
    </row>
    <row r="20" spans="1:27" s="16" customFormat="1" ht="11.25" x14ac:dyDescent="0.2">
      <c r="A20" s="24">
        <v>39542</v>
      </c>
      <c r="B20" s="19">
        <v>16748</v>
      </c>
      <c r="C20" s="14"/>
      <c r="D20" s="16">
        <v>43498.77</v>
      </c>
      <c r="E20" s="14"/>
      <c r="F20" s="16">
        <f t="shared" si="0"/>
        <v>2.6</v>
      </c>
      <c r="G20" s="23"/>
      <c r="H20" s="14"/>
      <c r="I20" s="14"/>
      <c r="J20" s="14">
        <f t="shared" si="1"/>
        <v>16748</v>
      </c>
      <c r="K20" s="13">
        <v>2008</v>
      </c>
      <c r="L20" s="14"/>
      <c r="M20" s="14"/>
      <c r="N20" s="14"/>
      <c r="O20" s="14"/>
      <c r="P20" s="14"/>
      <c r="Q20" s="14"/>
      <c r="R20" s="14"/>
      <c r="S20" s="14"/>
      <c r="T20" s="14"/>
      <c r="U20" s="14"/>
      <c r="V20" s="14"/>
      <c r="W20" s="14"/>
      <c r="Y20" s="14"/>
      <c r="AA20" s="14"/>
    </row>
    <row r="21" spans="1:27" s="16" customFormat="1" ht="11.25" x14ac:dyDescent="0.2">
      <c r="A21" s="24">
        <v>39572</v>
      </c>
      <c r="B21" s="19">
        <v>16877</v>
      </c>
      <c r="C21" s="14"/>
      <c r="D21" s="16">
        <v>37997.629999999997</v>
      </c>
      <c r="E21" s="14"/>
      <c r="F21" s="16">
        <f t="shared" si="0"/>
        <v>2.25</v>
      </c>
      <c r="G21" s="23"/>
      <c r="H21" s="20"/>
      <c r="I21" s="14"/>
      <c r="J21" s="14">
        <f t="shared" si="1"/>
        <v>16877</v>
      </c>
      <c r="K21" s="13">
        <v>2008</v>
      </c>
    </row>
    <row r="22" spans="1:27" s="16" customFormat="1" ht="11.25" x14ac:dyDescent="0.2">
      <c r="A22" s="24">
        <v>39603</v>
      </c>
      <c r="B22" s="19">
        <v>16697</v>
      </c>
      <c r="C22" s="14"/>
      <c r="D22" s="16">
        <v>37285.46</v>
      </c>
      <c r="E22" s="14"/>
      <c r="F22" s="16">
        <f t="shared" si="0"/>
        <v>2.23</v>
      </c>
      <c r="G22" s="23"/>
      <c r="H22" s="20"/>
      <c r="I22" s="14"/>
      <c r="J22" s="14">
        <f t="shared" si="1"/>
        <v>16697</v>
      </c>
      <c r="K22" s="13">
        <v>2008</v>
      </c>
    </row>
    <row r="23" spans="1:27" s="16" customFormat="1" ht="11.25" x14ac:dyDescent="0.2">
      <c r="A23" s="17"/>
      <c r="B23" s="14"/>
      <c r="C23" s="14"/>
      <c r="E23" s="14"/>
      <c r="G23" s="14"/>
      <c r="H23" s="14"/>
      <c r="I23" s="14"/>
      <c r="J23" s="14"/>
      <c r="K23" s="13"/>
    </row>
    <row r="24" spans="1:27" s="16" customFormat="1" ht="22.5" x14ac:dyDescent="0.2">
      <c r="A24" s="77" t="s">
        <v>35</v>
      </c>
      <c r="B24" s="21">
        <f>SUM(B12:B23)</f>
        <v>167065</v>
      </c>
      <c r="C24" s="20" t="s">
        <v>9</v>
      </c>
      <c r="D24" s="22">
        <f>SUM(D12:D23)</f>
        <v>392158.41000000003</v>
      </c>
      <c r="E24" s="14"/>
      <c r="G24" s="14"/>
      <c r="H24" s="14"/>
      <c r="I24" s="14"/>
      <c r="J24" s="14"/>
      <c r="K24" s="13"/>
    </row>
    <row r="25" spans="1:27" x14ac:dyDescent="0.2">
      <c r="D25" s="25"/>
    </row>
    <row r="26" spans="1:27" s="16" customFormat="1" ht="12" thickBot="1" x14ac:dyDescent="0.25">
      <c r="A26" s="26"/>
      <c r="B26" s="27">
        <f>+B11+B24</f>
        <v>200360</v>
      </c>
      <c r="C26" s="20"/>
      <c r="D26" s="28">
        <f>+D11+D24</f>
        <v>463399.79000000004</v>
      </c>
      <c r="E26" s="20" t="s">
        <v>10</v>
      </c>
      <c r="F26" s="23">
        <f>ROUND(D26/B26,3)</f>
        <v>2.3130000000000002</v>
      </c>
      <c r="G26" s="20" t="s">
        <v>11</v>
      </c>
      <c r="H26" s="14"/>
      <c r="I26" s="14"/>
      <c r="J26" s="27">
        <f>SUM(J8:J25)</f>
        <v>200360</v>
      </c>
      <c r="K26" s="20" t="s">
        <v>12</v>
      </c>
    </row>
    <row r="27" spans="1:27" s="16" customFormat="1" ht="12" thickTop="1" x14ac:dyDescent="0.2">
      <c r="B27" s="14"/>
      <c r="C27" s="14"/>
      <c r="D27" s="14"/>
      <c r="E27" s="14"/>
      <c r="F27" s="14"/>
      <c r="G27" s="14"/>
      <c r="H27" s="14"/>
      <c r="I27" s="14"/>
      <c r="J27" s="14"/>
      <c r="K27" s="14"/>
    </row>
    <row r="28" spans="1:27" s="16" customFormat="1" ht="11.25" x14ac:dyDescent="0.2">
      <c r="B28" s="14"/>
      <c r="C28" s="14"/>
      <c r="D28" s="14"/>
      <c r="E28" s="14"/>
      <c r="F28" s="14"/>
      <c r="G28" s="14"/>
      <c r="H28" s="14"/>
      <c r="I28" s="14"/>
      <c r="J28" s="14"/>
      <c r="K28" s="14"/>
    </row>
    <row r="29" spans="1:27" s="16" customFormat="1" ht="12" thickBot="1" x14ac:dyDescent="0.25">
      <c r="B29" s="29" t="s">
        <v>13</v>
      </c>
      <c r="C29" s="30"/>
      <c r="D29" s="30"/>
      <c r="E29" s="30"/>
      <c r="F29" s="14"/>
      <c r="G29" s="14"/>
      <c r="H29" s="14"/>
      <c r="I29" s="14"/>
      <c r="J29" s="14"/>
      <c r="K29" s="14"/>
    </row>
    <row r="30" spans="1:27" s="16" customFormat="1" ht="12" thickTop="1" x14ac:dyDescent="0.2">
      <c r="A30" s="6"/>
      <c r="B30" s="31"/>
      <c r="C30" s="14"/>
      <c r="D30" s="14"/>
      <c r="E30" s="14"/>
      <c r="F30" s="14"/>
      <c r="G30" s="14"/>
      <c r="H30" s="14"/>
      <c r="I30" s="14"/>
      <c r="J30" s="14"/>
      <c r="K30" s="14"/>
      <c r="X30" s="14"/>
      <c r="Y30" s="14"/>
    </row>
    <row r="31" spans="1:27" s="16" customFormat="1" ht="11.25" x14ac:dyDescent="0.2">
      <c r="A31" s="8"/>
      <c r="B31" s="31"/>
      <c r="C31" s="14"/>
      <c r="D31" s="14"/>
      <c r="E31" s="14"/>
      <c r="F31" s="32" t="s">
        <v>14</v>
      </c>
      <c r="G31" s="14">
        <f>ROUND(D26,0)</f>
        <v>463400</v>
      </c>
      <c r="H31" s="20" t="s">
        <v>10</v>
      </c>
      <c r="I31" s="14"/>
      <c r="J31" s="14"/>
      <c r="K31" s="14"/>
    </row>
    <row r="32" spans="1:27" s="13" customFormat="1" ht="11.25" x14ac:dyDescent="0.2">
      <c r="A32" s="33"/>
      <c r="B32" s="31"/>
      <c r="C32" s="14"/>
      <c r="D32" s="14"/>
      <c r="E32" s="14"/>
      <c r="F32" s="14"/>
      <c r="G32" s="14"/>
      <c r="H32" s="20"/>
      <c r="I32" s="14"/>
      <c r="J32" s="14"/>
      <c r="K32" s="14"/>
      <c r="W32" s="14"/>
      <c r="X32" s="16"/>
      <c r="Y32" s="16"/>
      <c r="AA32" s="14"/>
    </row>
    <row r="33" spans="2:27" s="16" customFormat="1" ht="11.25" x14ac:dyDescent="0.2">
      <c r="B33" s="14" t="s">
        <v>15</v>
      </c>
      <c r="C33" s="14"/>
      <c r="D33" s="14"/>
      <c r="E33" s="14"/>
      <c r="F33" s="34">
        <v>1.55</v>
      </c>
      <c r="G33" s="14"/>
      <c r="H33" s="14"/>
      <c r="I33" s="14"/>
      <c r="J33" s="14"/>
      <c r="K33" s="14"/>
    </row>
    <row r="34" spans="2:27" s="16" customFormat="1" ht="11.25" x14ac:dyDescent="0.2">
      <c r="B34" s="14"/>
      <c r="C34" s="14" t="s">
        <v>36</v>
      </c>
      <c r="D34" s="14"/>
      <c r="E34" s="14"/>
      <c r="F34" s="35">
        <f>+B11</f>
        <v>33295</v>
      </c>
      <c r="G34" s="20" t="s">
        <v>8</v>
      </c>
      <c r="H34" s="14"/>
      <c r="I34" s="14"/>
      <c r="J34" s="14"/>
      <c r="K34" s="14"/>
    </row>
    <row r="35" spans="2:27" s="16" customFormat="1" ht="11.25" x14ac:dyDescent="0.2">
      <c r="B35" s="14"/>
      <c r="C35" s="14" t="s">
        <v>16</v>
      </c>
      <c r="D35" s="14"/>
      <c r="E35" s="14"/>
      <c r="F35" s="21">
        <f>ROUND(F33*F34,0)</f>
        <v>51607</v>
      </c>
      <c r="G35" s="20"/>
      <c r="H35" s="14"/>
      <c r="I35" s="14"/>
      <c r="J35" s="14"/>
      <c r="K35" s="14"/>
    </row>
    <row r="36" spans="2:27" s="16" customFormat="1" ht="11.25" x14ac:dyDescent="0.2">
      <c r="B36" s="14"/>
      <c r="C36" s="14"/>
      <c r="D36" s="14"/>
      <c r="E36" s="14"/>
      <c r="F36" s="35"/>
      <c r="G36" s="20"/>
      <c r="H36" s="14"/>
      <c r="I36" s="14"/>
      <c r="J36" s="14"/>
      <c r="K36" s="14"/>
    </row>
    <row r="37" spans="2:27" s="16" customFormat="1" ht="11.25" x14ac:dyDescent="0.2">
      <c r="B37" s="14" t="s">
        <v>15</v>
      </c>
      <c r="C37" s="14"/>
      <c r="D37" s="14"/>
      <c r="E37" s="14"/>
      <c r="F37" s="34">
        <v>1.8180000000000001</v>
      </c>
      <c r="G37" s="14"/>
      <c r="H37" s="14"/>
      <c r="I37" s="14"/>
      <c r="J37" s="14"/>
      <c r="K37" s="14"/>
    </row>
    <row r="38" spans="2:27" s="16" customFormat="1" ht="11.25" x14ac:dyDescent="0.2">
      <c r="B38" s="14"/>
      <c r="C38" s="14" t="s">
        <v>37</v>
      </c>
      <c r="D38" s="14"/>
      <c r="E38" s="14"/>
      <c r="F38" s="14">
        <f>+B24</f>
        <v>167065</v>
      </c>
      <c r="G38" s="20" t="s">
        <v>9</v>
      </c>
      <c r="H38" s="14"/>
      <c r="I38" s="14"/>
      <c r="J38" s="14"/>
      <c r="K38" s="14"/>
    </row>
    <row r="39" spans="2:27" s="16" customFormat="1" ht="11.25" x14ac:dyDescent="0.2">
      <c r="B39" s="14"/>
      <c r="C39" s="14" t="s">
        <v>16</v>
      </c>
      <c r="D39" s="14"/>
      <c r="E39" s="14"/>
      <c r="F39" s="21">
        <f>ROUND(F37*F38,0)</f>
        <v>303724</v>
      </c>
      <c r="G39" s="20"/>
      <c r="H39" s="14"/>
      <c r="I39" s="14"/>
      <c r="J39" s="14"/>
      <c r="K39" s="14"/>
    </row>
    <row r="40" spans="2:27" s="16" customFormat="1" ht="11.25" x14ac:dyDescent="0.2">
      <c r="B40" s="14"/>
      <c r="C40" s="14"/>
      <c r="D40" s="14"/>
      <c r="E40" s="14"/>
      <c r="F40" s="36"/>
      <c r="G40" s="20"/>
      <c r="H40" s="14"/>
      <c r="I40" s="14"/>
      <c r="J40" s="14"/>
      <c r="K40" s="14"/>
    </row>
    <row r="41" spans="2:27" s="16" customFormat="1" ht="12" thickBot="1" x14ac:dyDescent="0.25">
      <c r="B41" s="14"/>
      <c r="C41" s="14" t="s">
        <v>17</v>
      </c>
      <c r="D41" s="14"/>
      <c r="E41" s="14"/>
      <c r="F41" s="27">
        <f>+F35+F39</f>
        <v>355331</v>
      </c>
      <c r="G41" s="37">
        <f>+F41</f>
        <v>355331</v>
      </c>
      <c r="H41" s="14"/>
      <c r="I41" s="14"/>
      <c r="J41" s="14"/>
      <c r="K41" s="14"/>
    </row>
    <row r="42" spans="2:27" s="16" customFormat="1" ht="12" thickTop="1" x14ac:dyDescent="0.2">
      <c r="B42" s="14"/>
      <c r="C42" s="14"/>
      <c r="D42" s="14"/>
      <c r="E42" s="14"/>
      <c r="F42" s="14"/>
      <c r="G42" s="14"/>
      <c r="H42" s="14"/>
      <c r="I42" s="14"/>
      <c r="J42" s="14"/>
      <c r="K42" s="14"/>
    </row>
    <row r="43" spans="2:27" s="16" customFormat="1" ht="11.25" x14ac:dyDescent="0.2">
      <c r="B43" s="14"/>
      <c r="C43" s="14"/>
      <c r="D43" s="14"/>
      <c r="E43" s="14"/>
      <c r="F43" s="14"/>
      <c r="G43" s="14"/>
      <c r="H43" s="14"/>
      <c r="I43" s="14"/>
      <c r="J43" s="14"/>
      <c r="K43" s="14"/>
    </row>
    <row r="44" spans="2:27" s="16" customFormat="1" ht="12" thickBot="1" x14ac:dyDescent="0.25">
      <c r="B44" s="14"/>
      <c r="C44" s="14"/>
      <c r="D44" s="14"/>
      <c r="E44" s="14"/>
      <c r="F44" s="32" t="s">
        <v>18</v>
      </c>
      <c r="G44" s="38">
        <f>+G31-G41</f>
        <v>108069</v>
      </c>
      <c r="H44" s="14"/>
      <c r="I44" s="14"/>
      <c r="J44" s="14"/>
      <c r="K44" s="14"/>
    </row>
    <row r="45" spans="2:27" s="16" customFormat="1" ht="12" thickTop="1" x14ac:dyDescent="0.2">
      <c r="B45" s="14"/>
      <c r="C45" s="14"/>
      <c r="D45" s="14"/>
      <c r="E45" s="14"/>
      <c r="F45" s="14"/>
      <c r="G45" s="14"/>
      <c r="H45" s="14"/>
      <c r="I45" s="14"/>
      <c r="J45" s="14"/>
      <c r="K45" s="14"/>
      <c r="Y45" s="14"/>
    </row>
    <row r="46" spans="2:27" s="16" customFormat="1" ht="11.25" x14ac:dyDescent="0.2">
      <c r="B46" s="14"/>
      <c r="C46" s="14"/>
      <c r="D46" s="14"/>
      <c r="E46" s="14"/>
      <c r="F46" s="14"/>
      <c r="G46" s="14"/>
      <c r="H46" s="14"/>
      <c r="I46" s="14"/>
      <c r="J46" s="14"/>
      <c r="K46" s="14"/>
    </row>
    <row r="47" spans="2:27" s="16" customFormat="1" ht="12" thickBot="1" x14ac:dyDescent="0.25">
      <c r="B47" s="29" t="s">
        <v>38</v>
      </c>
      <c r="C47" s="30"/>
      <c r="D47" s="30"/>
      <c r="E47" s="30"/>
      <c r="F47" s="30"/>
      <c r="G47" s="14"/>
      <c r="H47" s="14"/>
      <c r="I47" s="14"/>
      <c r="J47" s="14"/>
      <c r="K47" s="14"/>
    </row>
    <row r="48" spans="2:27" s="16" customFormat="1" ht="12" thickTop="1" x14ac:dyDescent="0.2">
      <c r="B48" s="31"/>
      <c r="C48" s="14"/>
      <c r="D48" s="14"/>
      <c r="E48" s="14"/>
      <c r="F48" s="14"/>
      <c r="G48" s="14"/>
      <c r="H48" s="14"/>
      <c r="I48" s="14"/>
      <c r="J48" s="14"/>
      <c r="K48" s="14"/>
      <c r="L48" s="14"/>
      <c r="M48" s="14"/>
      <c r="N48" s="14"/>
      <c r="O48" s="14"/>
      <c r="P48" s="14"/>
      <c r="Q48" s="14"/>
      <c r="R48" s="14"/>
      <c r="S48" s="14"/>
      <c r="T48" s="14"/>
      <c r="U48" s="14"/>
      <c r="V48" s="14"/>
      <c r="W48" s="14"/>
      <c r="AA48" s="14"/>
    </row>
    <row r="49" spans="1:25" s="16" customFormat="1" ht="11.25" x14ac:dyDescent="0.2">
      <c r="B49" s="14" t="s">
        <v>19</v>
      </c>
      <c r="C49" s="14"/>
      <c r="D49" s="14"/>
      <c r="E49" s="14"/>
      <c r="F49" s="14"/>
      <c r="G49" s="14"/>
      <c r="H49" s="14"/>
      <c r="I49" s="14"/>
      <c r="J49" s="14"/>
      <c r="K49" s="14"/>
    </row>
    <row r="50" spans="1:25" s="16" customFormat="1" ht="11.25" x14ac:dyDescent="0.2">
      <c r="B50" s="14"/>
      <c r="C50" s="14"/>
      <c r="D50" s="14"/>
      <c r="E50" s="14"/>
      <c r="F50" s="32" t="s">
        <v>20</v>
      </c>
      <c r="G50" s="14">
        <f>+J26</f>
        <v>200360</v>
      </c>
      <c r="H50" s="20" t="s">
        <v>12</v>
      </c>
      <c r="I50" s="14"/>
      <c r="J50" s="14"/>
      <c r="K50" s="14"/>
    </row>
    <row r="51" spans="1:25" s="16" customFormat="1" ht="11.25" x14ac:dyDescent="0.2">
      <c r="B51" s="14"/>
      <c r="C51" s="14"/>
      <c r="D51" s="14"/>
      <c r="E51" s="14"/>
      <c r="F51" s="32" t="s">
        <v>18</v>
      </c>
      <c r="G51" s="14">
        <f>+G44</f>
        <v>108069</v>
      </c>
      <c r="H51" s="14"/>
      <c r="I51" s="14"/>
      <c r="J51" s="14"/>
      <c r="K51" s="14"/>
    </row>
    <row r="52" spans="1:25" s="16" customFormat="1" ht="11.25" x14ac:dyDescent="0.2">
      <c r="B52" s="14"/>
      <c r="C52" s="14"/>
      <c r="D52" s="14"/>
      <c r="E52" s="14"/>
      <c r="F52" s="32"/>
      <c r="G52" s="14"/>
      <c r="H52" s="14"/>
      <c r="I52" s="14"/>
      <c r="J52" s="14"/>
      <c r="K52" s="14"/>
    </row>
    <row r="53" spans="1:25" s="16" customFormat="1" ht="12" thickBot="1" x14ac:dyDescent="0.25">
      <c r="B53" s="14"/>
      <c r="C53" s="14"/>
      <c r="D53" s="14"/>
      <c r="E53" s="14"/>
      <c r="F53" s="32" t="s">
        <v>39</v>
      </c>
      <c r="G53" s="39">
        <f>ROUND(G51/G50,3)</f>
        <v>0.53900000000000003</v>
      </c>
      <c r="H53" s="14"/>
      <c r="I53" s="23">
        <f>+G53</f>
        <v>0.53900000000000003</v>
      </c>
      <c r="J53" s="14"/>
      <c r="K53" s="14"/>
    </row>
    <row r="54" spans="1:25" s="16" customFormat="1" ht="12" thickTop="1" x14ac:dyDescent="0.2">
      <c r="B54" s="14"/>
      <c r="C54" s="14"/>
      <c r="D54" s="14"/>
      <c r="E54" s="14"/>
      <c r="F54" s="32"/>
      <c r="G54" s="14"/>
      <c r="H54" s="14"/>
      <c r="I54" s="23"/>
      <c r="J54" s="14"/>
      <c r="K54" s="14"/>
      <c r="Y54" s="14"/>
    </row>
    <row r="55" spans="1:25" s="16" customFormat="1" ht="11.25" x14ac:dyDescent="0.2">
      <c r="B55" s="14" t="s">
        <v>41</v>
      </c>
      <c r="C55" s="14"/>
      <c r="D55" s="14"/>
      <c r="E55" s="14"/>
      <c r="F55" s="32"/>
      <c r="G55" s="14"/>
      <c r="H55" s="14"/>
      <c r="I55" s="23"/>
      <c r="J55" s="14"/>
      <c r="K55" s="14"/>
    </row>
    <row r="56" spans="1:25" s="16" customFormat="1" ht="12" thickBot="1" x14ac:dyDescent="0.25">
      <c r="B56" s="31"/>
      <c r="C56" s="14"/>
      <c r="D56" s="14"/>
      <c r="E56" s="14"/>
      <c r="F56" s="32" t="s">
        <v>40</v>
      </c>
      <c r="G56" s="40">
        <f>+F26</f>
        <v>2.3130000000000002</v>
      </c>
      <c r="H56" s="14"/>
      <c r="I56" s="23">
        <f>+G56</f>
        <v>2.3130000000000002</v>
      </c>
      <c r="J56" s="20" t="s">
        <v>11</v>
      </c>
      <c r="K56" s="14"/>
    </row>
    <row r="57" spans="1:25" s="14" customFormat="1" ht="12" thickTop="1" x14ac:dyDescent="0.2">
      <c r="B57" s="31"/>
      <c r="I57" s="23"/>
      <c r="X57" s="16"/>
      <c r="Y57" s="16"/>
    </row>
    <row r="58" spans="1:25" s="16" customFormat="1" ht="12" thickBot="1" x14ac:dyDescent="0.25">
      <c r="B58" s="14"/>
      <c r="C58" s="14"/>
      <c r="D58" s="14"/>
      <c r="E58" s="14"/>
      <c r="F58" s="14"/>
      <c r="G58" s="32" t="s">
        <v>42</v>
      </c>
      <c r="H58" s="27"/>
      <c r="I58" s="39">
        <f>+I53+I56</f>
        <v>2.8520000000000003</v>
      </c>
      <c r="J58" s="14"/>
      <c r="K58" s="14"/>
    </row>
    <row r="59" spans="1:25" s="16" customFormat="1" ht="12" thickTop="1" x14ac:dyDescent="0.2">
      <c r="I59" s="23"/>
    </row>
    <row r="60" spans="1:25" s="16" customFormat="1" ht="11.25" x14ac:dyDescent="0.2"/>
    <row r="61" spans="1:25" s="16" customFormat="1" ht="11.25" x14ac:dyDescent="0.2"/>
    <row r="62" spans="1:25" s="16" customFormat="1" ht="11.25" x14ac:dyDescent="0.2">
      <c r="A62" s="41"/>
      <c r="B62" s="41"/>
      <c r="C62" s="41"/>
      <c r="D62" s="41"/>
      <c r="E62" s="41"/>
      <c r="F62" s="41"/>
    </row>
    <row r="63" spans="1:25" s="16" customFormat="1" ht="18.75" x14ac:dyDescent="0.3">
      <c r="A63" s="42"/>
      <c r="B63" s="43"/>
      <c r="C63" s="43"/>
      <c r="D63" s="43"/>
      <c r="E63" s="42"/>
      <c r="F63" s="43"/>
      <c r="G63" s="44"/>
      <c r="H63" s="44"/>
      <c r="I63" s="44"/>
      <c r="J63" s="44"/>
      <c r="K63" s="44"/>
      <c r="Y63" s="14"/>
    </row>
    <row r="64" spans="1:25" s="16" customFormat="1" ht="11.25" x14ac:dyDescent="0.2">
      <c r="A64" s="78"/>
      <c r="B64" s="46"/>
      <c r="C64" s="48"/>
      <c r="D64" s="47"/>
      <c r="E64" s="41"/>
      <c r="F64" s="41"/>
    </row>
    <row r="65" spans="1:27" s="16" customFormat="1" ht="11.25" x14ac:dyDescent="0.2">
      <c r="A65" s="78"/>
      <c r="B65" s="46"/>
      <c r="C65" s="49"/>
      <c r="D65" s="47"/>
      <c r="E65" s="41"/>
      <c r="F65" s="41"/>
    </row>
    <row r="66" spans="1:27" s="14" customFormat="1" ht="11.25" x14ac:dyDescent="0.2">
      <c r="A66" s="78"/>
      <c r="B66" s="49"/>
      <c r="C66" s="49"/>
      <c r="D66" s="41"/>
      <c r="E66" s="49"/>
      <c r="F66" s="41"/>
      <c r="X66" s="16"/>
      <c r="Y66" s="16"/>
    </row>
    <row r="67" spans="1:27" s="16" customFormat="1" ht="11.25" x14ac:dyDescent="0.2">
      <c r="A67" s="78"/>
      <c r="B67" s="49"/>
      <c r="C67" s="48"/>
      <c r="D67" s="41"/>
      <c r="E67" s="41"/>
      <c r="F67" s="41"/>
    </row>
    <row r="68" spans="1:27" s="16" customFormat="1" ht="11.25" x14ac:dyDescent="0.2">
      <c r="A68" s="78"/>
      <c r="B68" s="49"/>
      <c r="C68" s="49"/>
      <c r="D68" s="41"/>
      <c r="E68" s="41"/>
      <c r="F68" s="41"/>
    </row>
    <row r="69" spans="1:27" s="16" customFormat="1" ht="11.25" x14ac:dyDescent="0.2">
      <c r="A69" s="78"/>
      <c r="B69" s="50"/>
      <c r="C69" s="49"/>
      <c r="D69" s="41"/>
      <c r="E69" s="41"/>
      <c r="F69" s="41"/>
    </row>
    <row r="70" spans="1:27" s="16" customFormat="1" ht="11.25" x14ac:dyDescent="0.2">
      <c r="A70" s="78"/>
      <c r="B70" s="50"/>
      <c r="C70" s="49"/>
      <c r="D70" s="41"/>
      <c r="E70" s="41"/>
      <c r="F70" s="41"/>
    </row>
    <row r="71" spans="1:27" s="16" customFormat="1" ht="11.25" x14ac:dyDescent="0.2">
      <c r="A71" s="78"/>
      <c r="B71" s="50"/>
      <c r="C71" s="49"/>
      <c r="D71" s="41"/>
      <c r="E71" s="41"/>
      <c r="F71" s="41"/>
    </row>
    <row r="72" spans="1:27" s="16" customFormat="1" ht="11.25" x14ac:dyDescent="0.2">
      <c r="A72" s="78"/>
      <c r="B72" s="50"/>
      <c r="C72" s="49"/>
      <c r="D72" s="41"/>
      <c r="E72" s="41"/>
      <c r="F72" s="41"/>
    </row>
    <row r="73" spans="1:27" s="16" customFormat="1" ht="11.25" x14ac:dyDescent="0.2">
      <c r="A73" s="78"/>
      <c r="B73" s="50"/>
      <c r="C73" s="49"/>
      <c r="D73" s="41"/>
      <c r="E73" s="41"/>
      <c r="F73" s="41"/>
      <c r="Y73" s="14"/>
    </row>
    <row r="74" spans="1:27" s="16" customFormat="1" ht="11.25" x14ac:dyDescent="0.2">
      <c r="A74" s="78"/>
      <c r="B74" s="50"/>
      <c r="C74" s="49"/>
      <c r="D74" s="41"/>
      <c r="E74" s="41"/>
      <c r="F74" s="41"/>
    </row>
    <row r="75" spans="1:27" s="16" customFormat="1" ht="11.25" x14ac:dyDescent="0.2">
      <c r="A75" s="78"/>
      <c r="B75" s="50"/>
      <c r="C75" s="49"/>
      <c r="D75" s="41"/>
      <c r="E75" s="41"/>
      <c r="F75" s="41"/>
    </row>
    <row r="76" spans="1:27" s="16" customFormat="1" ht="11.25" x14ac:dyDescent="0.2">
      <c r="A76" s="78"/>
      <c r="B76" s="50"/>
      <c r="C76" s="49"/>
      <c r="D76" s="41"/>
      <c r="E76" s="41"/>
      <c r="F76" s="41"/>
    </row>
    <row r="77" spans="1:27" s="16" customFormat="1" ht="11.25" x14ac:dyDescent="0.2">
      <c r="A77" s="78"/>
      <c r="B77" s="50"/>
      <c r="C77" s="49"/>
      <c r="D77" s="41"/>
      <c r="E77" s="51"/>
      <c r="F77" s="41"/>
      <c r="G77" s="14"/>
      <c r="H77" s="13"/>
      <c r="I77" s="14"/>
      <c r="J77" s="14"/>
      <c r="K77" s="13"/>
      <c r="L77" s="14"/>
      <c r="M77" s="14"/>
      <c r="N77" s="14"/>
      <c r="O77" s="14"/>
      <c r="P77" s="14"/>
      <c r="Q77" s="14"/>
      <c r="R77" s="14"/>
      <c r="S77" s="14"/>
      <c r="T77" s="14"/>
      <c r="U77" s="14"/>
      <c r="V77" s="13"/>
      <c r="W77" s="14"/>
      <c r="AA77" s="14"/>
    </row>
    <row r="78" spans="1:27" s="16" customFormat="1" ht="11.25" x14ac:dyDescent="0.2">
      <c r="A78" s="78"/>
      <c r="B78" s="50"/>
      <c r="C78" s="49"/>
      <c r="D78" s="41"/>
      <c r="E78" s="41"/>
      <c r="F78" s="41"/>
    </row>
    <row r="79" spans="1:27" s="16" customFormat="1" ht="11.25" x14ac:dyDescent="0.2">
      <c r="A79" s="45"/>
      <c r="B79" s="49"/>
      <c r="C79" s="49"/>
      <c r="D79" s="41"/>
      <c r="E79" s="41"/>
      <c r="F79" s="41"/>
    </row>
    <row r="80" spans="1:27" s="16" customFormat="1" ht="11.25" x14ac:dyDescent="0.2">
      <c r="A80" s="79"/>
      <c r="B80" s="49"/>
      <c r="C80" s="48"/>
      <c r="D80" s="41"/>
      <c r="E80" s="41"/>
      <c r="F80" s="41"/>
    </row>
    <row r="81" spans="1:25" s="16" customFormat="1" x14ac:dyDescent="0.2">
      <c r="A81" s="52"/>
      <c r="B81" s="52"/>
      <c r="C81" s="52"/>
      <c r="D81" s="53"/>
      <c r="E81" s="41"/>
      <c r="F81" s="52"/>
    </row>
    <row r="82" spans="1:25" s="16" customFormat="1" ht="11.25" x14ac:dyDescent="0.2">
      <c r="A82" s="54"/>
      <c r="B82" s="49"/>
      <c r="C82" s="48"/>
      <c r="D82" s="41"/>
      <c r="E82" s="41"/>
      <c r="F82" s="55"/>
      <c r="Y82" s="14"/>
    </row>
    <row r="83" spans="1:25" s="16" customFormat="1" ht="11.25" x14ac:dyDescent="0.2"/>
    <row r="84" spans="1:25" s="16" customFormat="1" ht="11.25" x14ac:dyDescent="0.2"/>
    <row r="85" spans="1:25" s="16" customFormat="1" ht="11.25" x14ac:dyDescent="0.2"/>
    <row r="86" spans="1:25" s="16" customFormat="1" ht="11.25" x14ac:dyDescent="0.2">
      <c r="B86" s="8"/>
    </row>
    <row r="87" spans="1:25" s="14" customFormat="1" ht="11.25" x14ac:dyDescent="0.2">
      <c r="B87" s="31"/>
      <c r="X87" s="16"/>
      <c r="Y87" s="16"/>
    </row>
    <row r="88" spans="1:25" s="16" customFormat="1" ht="11.25" x14ac:dyDescent="0.2"/>
    <row r="89" spans="1:25" s="16" customFormat="1" ht="11.25" x14ac:dyDescent="0.2"/>
    <row r="90" spans="1:25" s="16" customFormat="1" ht="11.25" x14ac:dyDescent="0.2"/>
    <row r="91" spans="1:25" s="16" customFormat="1" ht="11.25" x14ac:dyDescent="0.2"/>
    <row r="92" spans="1:25" s="16" customFormat="1" ht="11.25" x14ac:dyDescent="0.2"/>
    <row r="93" spans="1:25" s="16" customFormat="1" ht="11.25" x14ac:dyDescent="0.2"/>
    <row r="94" spans="1:25" s="16" customFormat="1" ht="11.25" x14ac:dyDescent="0.2"/>
    <row r="95" spans="1:25" s="16" customFormat="1" ht="11.25" x14ac:dyDescent="0.2"/>
    <row r="96" spans="1:25" s="16" customFormat="1" ht="11.25" x14ac:dyDescent="0.2">
      <c r="A96" s="6"/>
    </row>
    <row r="97" spans="7:27" s="16" customFormat="1" x14ac:dyDescent="0.2">
      <c r="AA97" s="5"/>
    </row>
    <row r="98" spans="7:27" s="16" customFormat="1" x14ac:dyDescent="0.2">
      <c r="AA98" s="5"/>
    </row>
    <row r="99" spans="7:27" s="16" customFormat="1" x14ac:dyDescent="0.2">
      <c r="AA99" s="5"/>
    </row>
    <row r="100" spans="7:27" s="16" customFormat="1" x14ac:dyDescent="0.2">
      <c r="AA100" s="5"/>
    </row>
    <row r="101" spans="7:27" s="16" customFormat="1" x14ac:dyDescent="0.2">
      <c r="G101" s="56"/>
      <c r="I101" s="56"/>
      <c r="J101" s="56"/>
      <c r="L101" s="56"/>
      <c r="M101" s="56"/>
      <c r="N101" s="56"/>
      <c r="O101" s="56"/>
      <c r="P101" s="56"/>
      <c r="Q101" s="56"/>
      <c r="R101" s="56"/>
      <c r="S101" s="56"/>
      <c r="T101" s="56"/>
      <c r="U101" s="56"/>
      <c r="V101" s="56"/>
      <c r="W101" s="56"/>
      <c r="X101" s="56"/>
      <c r="Y101" s="56"/>
      <c r="AA101" s="5"/>
    </row>
    <row r="102" spans="7:27" s="16" customFormat="1" x14ac:dyDescent="0.2">
      <c r="AA102" s="5"/>
    </row>
    <row r="103" spans="7:27" s="16" customFormat="1" ht="13.5" thickBot="1" x14ac:dyDescent="0.25">
      <c r="G103" s="57"/>
      <c r="I103" s="57"/>
      <c r="J103" s="57"/>
      <c r="L103" s="57"/>
      <c r="M103" s="57"/>
      <c r="N103" s="57"/>
      <c r="O103" s="57"/>
      <c r="P103" s="57"/>
      <c r="Q103" s="57"/>
      <c r="R103" s="57"/>
      <c r="S103" s="57"/>
      <c r="T103" s="57"/>
      <c r="U103" s="57"/>
      <c r="V103" s="57"/>
      <c r="W103" s="57"/>
      <c r="X103" s="57"/>
      <c r="Y103" s="57"/>
      <c r="AA103" s="5"/>
    </row>
    <row r="104" spans="7:27" ht="13.5" thickTop="1" x14ac:dyDescent="0.2"/>
    <row r="105" spans="7:27" x14ac:dyDescent="0.2">
      <c r="W105" s="58"/>
      <c r="X105" s="58"/>
      <c r="Y105" s="58"/>
    </row>
    <row r="106" spans="7:27" x14ac:dyDescent="0.2">
      <c r="W106" s="58"/>
      <c r="AA106" s="58"/>
    </row>
  </sheetData>
  <phoneticPr fontId="0" type="noConversion"/>
  <printOptions horizontalCentered="1"/>
  <pageMargins left="0" right="0" top="0.52" bottom="0.44" header="0" footer="0"/>
  <pageSetup scale="77" orientation="portrait" horizontalDpi="4294967292" verticalDpi="4294967292" r:id="rId1"/>
  <headerFooter alignWithMargins="0">
    <oddFooter>&amp;R&amp;"Helv,Regular"&amp;6\\SERVER1\PUBLIC\EXCEL&amp;F,&amp;A</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101"/>
  <sheetViews>
    <sheetView showGridLines="0" tabSelected="1" zoomScaleNormal="100" workbookViewId="0">
      <pane ySplit="4" topLeftCell="A5" activePane="bottomLeft" state="frozenSplit"/>
      <selection activeCell="G25" sqref="G25"/>
      <selection pane="bottomLeft"/>
    </sheetView>
  </sheetViews>
  <sheetFormatPr defaultColWidth="9.140625" defaultRowHeight="12.75" x14ac:dyDescent="0.2"/>
  <cols>
    <col min="1" max="1" width="24.7109375" style="5" customWidth="1"/>
    <col min="2" max="2" width="10.140625" style="5" customWidth="1"/>
    <col min="3" max="3" width="4.42578125" style="5" customWidth="1"/>
    <col min="4" max="4" width="11.28515625" style="5" customWidth="1"/>
    <col min="5" max="5" width="7" style="5" customWidth="1"/>
    <col min="6" max="6" width="13" style="5" customWidth="1"/>
    <col min="7" max="7" width="8.7109375" style="5" customWidth="1"/>
    <col min="8" max="8" width="4.7109375" style="5" bestFit="1" customWidth="1"/>
    <col min="9" max="9" width="9.85546875" style="5" bestFit="1" customWidth="1"/>
    <col min="10" max="10" width="9.42578125" style="5" customWidth="1"/>
    <col min="11" max="11" width="4.7109375" style="5" bestFit="1" customWidth="1"/>
    <col min="12" max="13" width="9.5703125" style="5" customWidth="1"/>
    <col min="14" max="14" width="9.5703125" style="5" hidden="1" customWidth="1"/>
    <col min="15" max="15" width="15.28515625" style="5" hidden="1" customWidth="1"/>
    <col min="16" max="16" width="36.7109375" style="5" hidden="1" customWidth="1"/>
    <col min="17" max="22" width="9.5703125" style="5" customWidth="1"/>
    <col min="23" max="24" width="10.42578125" style="5" customWidth="1"/>
    <col min="25" max="25" width="9.85546875" style="5" customWidth="1"/>
    <col min="26" max="26" width="9.140625" style="5"/>
    <col min="27" max="27" width="10.42578125" style="5" customWidth="1"/>
    <col min="28" max="16384" width="9.140625" style="5"/>
  </cols>
  <sheetData>
    <row r="1" spans="1:27" x14ac:dyDescent="0.2">
      <c r="A1" s="1" t="s">
        <v>103</v>
      </c>
      <c r="B1" s="2"/>
      <c r="C1" s="2"/>
      <c r="D1" s="2"/>
      <c r="E1" s="2"/>
      <c r="F1" s="2"/>
      <c r="G1" s="3"/>
      <c r="H1" s="2"/>
      <c r="I1" s="2"/>
      <c r="J1" s="1" t="s">
        <v>76</v>
      </c>
      <c r="K1" s="2"/>
      <c r="L1" s="2"/>
      <c r="M1" s="2"/>
      <c r="N1" s="2"/>
      <c r="O1" s="2"/>
      <c r="P1" s="2"/>
      <c r="Q1" s="2"/>
      <c r="R1" s="2"/>
      <c r="S1" s="2"/>
      <c r="T1" s="2"/>
      <c r="U1" s="2"/>
      <c r="V1" s="2"/>
      <c r="W1" s="4"/>
      <c r="X1" s="4"/>
      <c r="Y1" s="4"/>
      <c r="Z1" s="4"/>
      <c r="AA1" s="4"/>
    </row>
    <row r="2" spans="1:27" x14ac:dyDescent="0.2">
      <c r="A2" s="6" t="s">
        <v>0</v>
      </c>
      <c r="B2" s="2"/>
      <c r="C2" s="2"/>
      <c r="D2" s="2"/>
      <c r="E2" s="2"/>
      <c r="F2" s="7"/>
      <c r="G2" s="7"/>
      <c r="H2" s="2"/>
      <c r="I2" s="2"/>
      <c r="J2" s="2"/>
      <c r="K2" s="2"/>
      <c r="L2" s="2"/>
      <c r="M2" s="2"/>
      <c r="N2" s="2"/>
      <c r="O2" s="2"/>
      <c r="P2" s="2"/>
      <c r="Q2" s="2"/>
      <c r="R2" s="2"/>
      <c r="S2" s="2"/>
      <c r="T2" s="2"/>
      <c r="U2" s="2"/>
      <c r="V2" s="2"/>
      <c r="W2" s="7"/>
      <c r="X2" s="7"/>
      <c r="Y2" s="7"/>
      <c r="Z2" s="7"/>
      <c r="AA2" s="7"/>
    </row>
    <row r="3" spans="1:27" x14ac:dyDescent="0.2">
      <c r="A3" s="6" t="str">
        <f>"For the Year Ended April "&amp;YEAR(A22)</f>
        <v>For the Year Ended April 2022</v>
      </c>
      <c r="B3" s="2"/>
      <c r="C3" s="2"/>
      <c r="D3" s="2"/>
      <c r="E3" s="2"/>
      <c r="F3" s="3"/>
      <c r="G3" s="3"/>
      <c r="H3" s="2"/>
      <c r="I3" s="2"/>
      <c r="J3" s="2"/>
      <c r="K3" s="2"/>
      <c r="L3" s="2"/>
      <c r="M3" s="2"/>
      <c r="N3" s="2"/>
      <c r="O3" s="2"/>
      <c r="P3" s="2"/>
      <c r="Q3" s="2"/>
      <c r="R3" s="2"/>
      <c r="S3" s="2"/>
      <c r="T3" s="2"/>
      <c r="U3" s="2"/>
      <c r="V3" s="2"/>
      <c r="W3" s="3"/>
      <c r="X3" s="3"/>
      <c r="Y3" s="3"/>
      <c r="Z3" s="3"/>
      <c r="AA3" s="3"/>
    </row>
    <row r="4" spans="1:27" x14ac:dyDescent="0.2">
      <c r="A4" s="6" t="s">
        <v>1</v>
      </c>
      <c r="B4" s="8"/>
      <c r="C4" s="8"/>
      <c r="D4" s="8"/>
      <c r="E4" s="8"/>
      <c r="F4" s="8"/>
      <c r="G4" s="2"/>
      <c r="H4" s="8"/>
      <c r="I4" s="2"/>
      <c r="J4" s="2"/>
      <c r="K4" s="8"/>
      <c r="L4" s="2"/>
      <c r="M4" s="2"/>
      <c r="N4" s="2"/>
      <c r="O4" s="2"/>
      <c r="P4" s="2"/>
      <c r="Q4" s="2"/>
      <c r="R4" s="2"/>
      <c r="S4" s="2"/>
      <c r="T4" s="2"/>
      <c r="U4" s="2"/>
      <c r="V4" s="2"/>
    </row>
    <row r="5" spans="1:27" x14ac:dyDescent="0.2">
      <c r="A5" s="9"/>
      <c r="B5" s="10"/>
      <c r="C5" s="11"/>
      <c r="D5" s="11"/>
      <c r="E5" s="11"/>
      <c r="F5" s="12" t="s">
        <v>2</v>
      </c>
      <c r="G5" s="11"/>
      <c r="H5" s="11"/>
      <c r="I5" s="11"/>
      <c r="J5" s="11"/>
      <c r="K5" s="11"/>
      <c r="L5" s="2"/>
      <c r="M5" s="2"/>
      <c r="N5" s="2"/>
      <c r="O5" s="138" t="str">
        <f>"Total "&amp;F5</f>
        <v>Total Commodity</v>
      </c>
      <c r="P5" s="139"/>
      <c r="Q5" s="2"/>
      <c r="R5" s="2"/>
      <c r="S5" s="2"/>
      <c r="T5" s="2"/>
      <c r="U5" s="2"/>
      <c r="V5" s="13"/>
      <c r="W5" s="14"/>
      <c r="X5" s="14"/>
      <c r="Y5" s="14"/>
      <c r="AA5" s="14"/>
    </row>
    <row r="6" spans="1:27" s="16" customFormat="1" ht="11.25" x14ac:dyDescent="0.2">
      <c r="A6" s="15"/>
      <c r="B6" s="12"/>
      <c r="C6" s="12"/>
      <c r="D6" s="12" t="s">
        <v>2</v>
      </c>
      <c r="E6" s="12"/>
      <c r="F6" s="12" t="s">
        <v>3</v>
      </c>
      <c r="G6" s="12"/>
      <c r="H6" s="12"/>
      <c r="I6" s="12"/>
      <c r="J6" s="12" t="s">
        <v>4</v>
      </c>
      <c r="K6" s="12"/>
      <c r="O6" s="140" t="str">
        <f>+F6</f>
        <v>Revenue</v>
      </c>
      <c r="P6" s="112"/>
    </row>
    <row r="7" spans="1:27" s="16" customFormat="1" ht="11.25" x14ac:dyDescent="0.2">
      <c r="A7" s="15" t="s">
        <v>5</v>
      </c>
      <c r="B7" s="12" t="s">
        <v>6</v>
      </c>
      <c r="C7" s="12"/>
      <c r="D7" s="12" t="s">
        <v>3</v>
      </c>
      <c r="E7" s="12"/>
      <c r="F7" s="12" t="s">
        <v>7</v>
      </c>
      <c r="G7" s="12"/>
      <c r="H7" s="12"/>
      <c r="I7" s="12"/>
      <c r="J7" s="12" t="s">
        <v>6</v>
      </c>
      <c r="K7" s="12"/>
      <c r="O7" s="140" t="str">
        <f>+F7</f>
        <v>per Customer</v>
      </c>
      <c r="P7" s="112"/>
    </row>
    <row r="8" spans="1:27" s="16" customFormat="1" ht="11.25" x14ac:dyDescent="0.2">
      <c r="A8" s="127">
        <f>'Single Family'!$C$6</f>
        <v>44317</v>
      </c>
      <c r="B8" s="156">
        <v>5187</v>
      </c>
      <c r="C8" s="113"/>
      <c r="D8" s="114">
        <f>VLOOKUP(A8,Value!$A$6:$O$17,15,)</f>
        <v>2340.547714547999</v>
      </c>
      <c r="E8" s="113"/>
      <c r="F8" s="16">
        <f t="shared" ref="F8:F22" si="0">ROUND(D8/B8,2)</f>
        <v>0.45</v>
      </c>
      <c r="G8" s="113"/>
      <c r="H8" s="113"/>
      <c r="I8" s="113"/>
      <c r="J8" s="14">
        <f t="shared" ref="J8:J18" si="1">+B8</f>
        <v>5187</v>
      </c>
      <c r="K8" s="13">
        <f t="shared" ref="K8:K18" si="2">YEAR(A8)</f>
        <v>2021</v>
      </c>
      <c r="O8" s="141">
        <f>VLOOKUP(A8,Value!$A$6:$O$17,13,FALSE)</f>
        <v>4681.095429095998</v>
      </c>
      <c r="P8" s="112"/>
    </row>
    <row r="9" spans="1:27" s="16" customFormat="1" ht="11.25" x14ac:dyDescent="0.2">
      <c r="A9" s="17">
        <f t="shared" ref="A9:A18" si="3">EOMONTH(A8,1)</f>
        <v>44377</v>
      </c>
      <c r="B9" s="156">
        <v>5218</v>
      </c>
      <c r="C9" s="20"/>
      <c r="D9" s="114">
        <f>VLOOKUP(A9,Value!$A$6:$O$17,15,)</f>
        <v>3193.2787401989995</v>
      </c>
      <c r="E9" s="14"/>
      <c r="F9" s="16">
        <f t="shared" si="0"/>
        <v>0.61</v>
      </c>
      <c r="G9" s="14"/>
      <c r="H9" s="14"/>
      <c r="I9" s="14"/>
      <c r="J9" s="14">
        <f t="shared" si="1"/>
        <v>5218</v>
      </c>
      <c r="K9" s="13">
        <f t="shared" si="2"/>
        <v>2021</v>
      </c>
      <c r="O9" s="141">
        <f>VLOOKUP(A9,Value!$A$6:$O$17,13,FALSE)</f>
        <v>6386.5574803979989</v>
      </c>
      <c r="P9" s="112"/>
    </row>
    <row r="10" spans="1:27" s="16" customFormat="1" ht="11.25" x14ac:dyDescent="0.2">
      <c r="A10" s="17">
        <f t="shared" si="3"/>
        <v>44408</v>
      </c>
      <c r="B10" s="156">
        <v>5226</v>
      </c>
      <c r="C10" s="14"/>
      <c r="D10" s="114">
        <f>VLOOKUP(A10,Value!$A$6:$O$17,15,)</f>
        <v>3296.8631178840005</v>
      </c>
      <c r="E10" s="14"/>
      <c r="F10" s="16">
        <f t="shared" si="0"/>
        <v>0.63</v>
      </c>
      <c r="G10" s="14"/>
      <c r="H10" s="14"/>
      <c r="I10" s="14"/>
      <c r="J10" s="14">
        <f t="shared" si="1"/>
        <v>5226</v>
      </c>
      <c r="K10" s="13">
        <f t="shared" si="2"/>
        <v>2021</v>
      </c>
      <c r="O10" s="141">
        <f>VLOOKUP(A10,Value!$A$6:$O$17,13,FALSE)</f>
        <v>6593.7262357680011</v>
      </c>
      <c r="P10" s="112"/>
    </row>
    <row r="11" spans="1:27" s="16" customFormat="1" ht="11.25" x14ac:dyDescent="0.2">
      <c r="A11" s="17"/>
      <c r="B11" s="114"/>
      <c r="C11" s="14"/>
      <c r="D11" s="114"/>
      <c r="E11" s="14"/>
      <c r="G11" s="23"/>
      <c r="H11" s="14"/>
      <c r="I11" s="14"/>
      <c r="J11" s="14"/>
      <c r="K11" s="13"/>
      <c r="O11" s="141"/>
      <c r="P11" s="112"/>
    </row>
    <row r="12" spans="1:27" s="16" customFormat="1" ht="11.25" x14ac:dyDescent="0.2">
      <c r="A12" s="17" t="s">
        <v>109</v>
      </c>
      <c r="B12" s="162">
        <f>SUM(B8:B10)</f>
        <v>15631</v>
      </c>
      <c r="C12" s="14"/>
      <c r="D12" s="18">
        <f>SUM(D2:D10)</f>
        <v>8830.6895726309995</v>
      </c>
      <c r="E12" s="14"/>
      <c r="G12" s="23"/>
      <c r="H12" s="14"/>
      <c r="I12" s="14"/>
      <c r="J12" s="14"/>
      <c r="K12" s="13"/>
      <c r="O12" s="141"/>
      <c r="P12" s="112"/>
    </row>
    <row r="13" spans="1:27" s="16" customFormat="1" ht="11.25" x14ac:dyDescent="0.2">
      <c r="A13" s="17"/>
      <c r="B13" s="114"/>
      <c r="C13" s="14"/>
      <c r="D13" s="114"/>
      <c r="E13" s="14"/>
      <c r="G13" s="23"/>
      <c r="H13" s="14"/>
      <c r="I13" s="14"/>
      <c r="J13" s="14"/>
      <c r="K13" s="13"/>
      <c r="O13" s="141"/>
      <c r="P13" s="112"/>
    </row>
    <row r="14" spans="1:27" s="16" customFormat="1" ht="11.25" x14ac:dyDescent="0.2">
      <c r="A14" s="17">
        <f>EOMONTH(A10,1)</f>
        <v>44439</v>
      </c>
      <c r="B14" s="157">
        <v>5202</v>
      </c>
      <c r="C14" s="14"/>
      <c r="D14" s="114">
        <f>VLOOKUP(A14,Value!$A$6:$O$17,15,)</f>
        <v>4752.117236944001</v>
      </c>
      <c r="E14" s="14"/>
      <c r="F14" s="16">
        <f t="shared" si="0"/>
        <v>0.91</v>
      </c>
      <c r="G14" s="23"/>
      <c r="H14" s="14"/>
      <c r="I14" s="14"/>
      <c r="J14" s="14">
        <f t="shared" si="1"/>
        <v>5202</v>
      </c>
      <c r="K14" s="13">
        <f t="shared" si="2"/>
        <v>2021</v>
      </c>
      <c r="O14" s="141">
        <f>VLOOKUP(A14,Value!$A$6:$O$17,13,FALSE)</f>
        <v>9504.234473888002</v>
      </c>
      <c r="P14" s="112"/>
    </row>
    <row r="15" spans="1:27" s="16" customFormat="1" ht="11.25" x14ac:dyDescent="0.2">
      <c r="A15" s="17">
        <f t="shared" si="3"/>
        <v>44469</v>
      </c>
      <c r="B15" s="157">
        <v>5237</v>
      </c>
      <c r="C15" s="14"/>
      <c r="D15" s="114">
        <f>VLOOKUP(A15,Value!$A$6:$O$17,15,)</f>
        <v>4500.5480382300002</v>
      </c>
      <c r="E15" s="14"/>
      <c r="F15" s="16">
        <f t="shared" si="0"/>
        <v>0.86</v>
      </c>
      <c r="G15" s="23"/>
      <c r="H15" s="14"/>
      <c r="I15" s="14"/>
      <c r="J15" s="14">
        <f t="shared" si="1"/>
        <v>5237</v>
      </c>
      <c r="K15" s="13">
        <f t="shared" si="2"/>
        <v>2021</v>
      </c>
      <c r="O15" s="141">
        <f>VLOOKUP(A15,Value!$A$6:$O$17,13,FALSE)</f>
        <v>9001.0960764600004</v>
      </c>
      <c r="P15" s="112"/>
    </row>
    <row r="16" spans="1:27" s="16" customFormat="1" ht="11.25" x14ac:dyDescent="0.2">
      <c r="A16" s="17">
        <f t="shared" si="3"/>
        <v>44500</v>
      </c>
      <c r="B16" s="157">
        <v>5222</v>
      </c>
      <c r="C16" s="14"/>
      <c r="D16" s="114">
        <f>VLOOKUP(A16,Value!$A$6:$O$17,15,)</f>
        <v>4057.4743703370018</v>
      </c>
      <c r="E16" s="14"/>
      <c r="F16" s="16">
        <f t="shared" si="0"/>
        <v>0.78</v>
      </c>
      <c r="G16" s="23"/>
      <c r="H16" s="14"/>
      <c r="I16" s="14"/>
      <c r="J16" s="14">
        <f t="shared" si="1"/>
        <v>5222</v>
      </c>
      <c r="K16" s="13">
        <f t="shared" si="2"/>
        <v>2021</v>
      </c>
      <c r="O16" s="141">
        <f>VLOOKUP(A16,Value!$A$6:$O$17,13,FALSE)</f>
        <v>8114.9487406740036</v>
      </c>
      <c r="P16" s="112"/>
    </row>
    <row r="17" spans="1:27" s="16" customFormat="1" ht="11.25" x14ac:dyDescent="0.2">
      <c r="A17" s="17">
        <f>EOMONTH(A16,1)</f>
        <v>44530</v>
      </c>
      <c r="B17" s="157">
        <v>5228</v>
      </c>
      <c r="C17" s="14"/>
      <c r="D17" s="114">
        <f>VLOOKUP(A17,Value!$A$6:$O$17,15,)</f>
        <v>2908.2920451600012</v>
      </c>
      <c r="E17" s="14"/>
      <c r="F17" s="16">
        <f t="shared" si="0"/>
        <v>0.56000000000000005</v>
      </c>
      <c r="G17" s="23"/>
      <c r="H17" s="14"/>
      <c r="I17" s="14"/>
      <c r="J17" s="14">
        <f t="shared" si="1"/>
        <v>5228</v>
      </c>
      <c r="K17" s="13">
        <f t="shared" si="2"/>
        <v>2021</v>
      </c>
      <c r="O17" s="141">
        <f>VLOOKUP(A17,Value!$A$6:$O$17,13,FALSE)</f>
        <v>5816.5840903200024</v>
      </c>
      <c r="P17" s="112"/>
    </row>
    <row r="18" spans="1:27" s="16" customFormat="1" ht="11.25" x14ac:dyDescent="0.2">
      <c r="A18" s="17">
        <f t="shared" si="3"/>
        <v>44561</v>
      </c>
      <c r="B18" s="157">
        <v>5245</v>
      </c>
      <c r="C18" s="14"/>
      <c r="D18" s="114">
        <f>VLOOKUP(A18,Value!$A$6:$O$17,15,)</f>
        <v>1773.9161703360005</v>
      </c>
      <c r="E18" s="14"/>
      <c r="F18" s="16">
        <f t="shared" si="0"/>
        <v>0.34</v>
      </c>
      <c r="G18" s="23"/>
      <c r="H18" s="14"/>
      <c r="I18" s="14"/>
      <c r="J18" s="14">
        <f t="shared" si="1"/>
        <v>5245</v>
      </c>
      <c r="K18" s="13">
        <f t="shared" si="2"/>
        <v>2021</v>
      </c>
      <c r="O18" s="141">
        <f>VLOOKUP(A18,Value!$A$6:$O$17,13,FALSE)</f>
        <v>3547.832340672001</v>
      </c>
      <c r="P18" s="112"/>
    </row>
    <row r="19" spans="1:27" s="16" customFormat="1" ht="11.25" x14ac:dyDescent="0.2">
      <c r="A19" s="17">
        <f>EOMONTH(A18,1)</f>
        <v>44592</v>
      </c>
      <c r="B19" s="157">
        <v>5256</v>
      </c>
      <c r="C19" s="14"/>
      <c r="D19" s="114">
        <f>VLOOKUP(A19,Value!$A$6:$O$17,15,)</f>
        <v>1362.36483552</v>
      </c>
      <c r="E19" s="14"/>
      <c r="F19" s="16">
        <f t="shared" si="0"/>
        <v>0.26</v>
      </c>
      <c r="G19" s="23"/>
      <c r="H19" s="14"/>
      <c r="I19" s="14"/>
      <c r="J19" s="14">
        <f>+B19</f>
        <v>5256</v>
      </c>
      <c r="K19" s="13">
        <f>YEAR(A19)</f>
        <v>2022</v>
      </c>
      <c r="O19" s="141">
        <f>VLOOKUP(A19,Value!$A$6:$O$17,13,FALSE)</f>
        <v>2724.7296710400001</v>
      </c>
      <c r="P19" s="112"/>
      <c r="X19" s="14"/>
      <c r="Y19" s="14"/>
    </row>
    <row r="20" spans="1:27" s="16" customFormat="1" ht="11.25" x14ac:dyDescent="0.2">
      <c r="A20" s="17">
        <f>EOMONTH(A19,1)</f>
        <v>44620</v>
      </c>
      <c r="B20" s="157">
        <v>5269</v>
      </c>
      <c r="C20" s="14"/>
      <c r="D20" s="114">
        <f>VLOOKUP(A20,Value!$A$6:$O$17,15,)</f>
        <v>1508.5467373680003</v>
      </c>
      <c r="E20" s="14"/>
      <c r="F20" s="16">
        <f t="shared" si="0"/>
        <v>0.28999999999999998</v>
      </c>
      <c r="G20" s="23"/>
      <c r="H20" s="14"/>
      <c r="I20" s="14"/>
      <c r="J20" s="14">
        <f>+B20</f>
        <v>5269</v>
      </c>
      <c r="K20" s="13">
        <f>YEAR(A20)</f>
        <v>2022</v>
      </c>
      <c r="L20" s="14"/>
      <c r="M20" s="14"/>
      <c r="N20" s="14"/>
      <c r="O20" s="141">
        <f>VLOOKUP(A20,Value!$A$6:$O$17,13,FALSE)</f>
        <v>3017.0934747360006</v>
      </c>
      <c r="P20" s="35"/>
      <c r="Q20" s="14"/>
      <c r="R20" s="14"/>
      <c r="S20" s="14"/>
      <c r="T20" s="14"/>
      <c r="U20" s="14"/>
      <c r="V20" s="14"/>
      <c r="W20" s="14"/>
      <c r="Y20" s="14"/>
      <c r="AA20" s="14"/>
    </row>
    <row r="21" spans="1:27" s="16" customFormat="1" ht="11.25" x14ac:dyDescent="0.2">
      <c r="A21" s="17">
        <f>EOMONTH(A20,1)</f>
        <v>44651</v>
      </c>
      <c r="B21" s="157">
        <v>5245</v>
      </c>
      <c r="C21" s="14"/>
      <c r="D21" s="114">
        <f>VLOOKUP(A21,Value!$A$6:$O$17,15,)</f>
        <v>2718.2830437900011</v>
      </c>
      <c r="E21" s="14"/>
      <c r="F21" s="16">
        <f t="shared" si="0"/>
        <v>0.52</v>
      </c>
      <c r="G21" s="23"/>
      <c r="H21" s="20"/>
      <c r="I21" s="14"/>
      <c r="J21" s="14">
        <f>+B21</f>
        <v>5245</v>
      </c>
      <c r="K21" s="13">
        <f>YEAR(A21)</f>
        <v>2022</v>
      </c>
      <c r="O21" s="141">
        <f>VLOOKUP(A21,Value!$A$6:$O$17,13,FALSE)</f>
        <v>5436.5660875800022</v>
      </c>
      <c r="P21" s="112"/>
    </row>
    <row r="22" spans="1:27" s="16" customFormat="1" ht="11.25" x14ac:dyDescent="0.2">
      <c r="A22" s="17">
        <f>EOMONTH(A21,1)</f>
        <v>44681</v>
      </c>
      <c r="B22" s="157">
        <v>5238</v>
      </c>
      <c r="C22" s="14"/>
      <c r="D22" s="114">
        <f>VLOOKUP(A22,Value!$A$6:$O$17,15,)</f>
        <v>2371.1637335750006</v>
      </c>
      <c r="E22" s="14"/>
      <c r="F22" s="16">
        <f t="shared" si="0"/>
        <v>0.45</v>
      </c>
      <c r="G22" s="23"/>
      <c r="H22" s="20"/>
      <c r="I22" s="14"/>
      <c r="J22" s="14">
        <f>+B22</f>
        <v>5238</v>
      </c>
      <c r="K22" s="13">
        <f>YEAR(A22)</f>
        <v>2022</v>
      </c>
      <c r="O22" s="141">
        <f>VLOOKUP(A22,Value!$A$6:$O$17,13,FALSE)</f>
        <v>4742.3274671500012</v>
      </c>
      <c r="P22" s="112"/>
    </row>
    <row r="23" spans="1:27" s="16" customFormat="1" ht="11.25" x14ac:dyDescent="0.2">
      <c r="A23" s="17"/>
      <c r="B23" s="14"/>
      <c r="C23" s="14"/>
      <c r="E23" s="14"/>
      <c r="G23" s="14"/>
      <c r="H23" s="14"/>
      <c r="I23" s="14"/>
      <c r="J23" s="14"/>
      <c r="K23" s="13"/>
      <c r="O23" s="142"/>
    </row>
    <row r="24" spans="1:27" s="16" customFormat="1" ht="11.25" x14ac:dyDescent="0.2">
      <c r="A24" s="17" t="s">
        <v>82</v>
      </c>
      <c r="B24" s="21">
        <f>SUM(B14:B22)</f>
        <v>47142</v>
      </c>
      <c r="D24" s="22">
        <f>SUM(D14:D22)</f>
        <v>25952.706211260007</v>
      </c>
      <c r="E24" s="14"/>
      <c r="G24" s="14"/>
      <c r="H24" s="14"/>
      <c r="I24" s="14"/>
      <c r="J24" s="14"/>
      <c r="K24" s="13"/>
      <c r="O24" s="142"/>
      <c r="P24" s="143" t="s">
        <v>77</v>
      </c>
    </row>
    <row r="25" spans="1:27" x14ac:dyDescent="0.2">
      <c r="D25" s="25"/>
      <c r="O25" s="142">
        <f>SUM(O8:O24)</f>
        <v>69566.791567781998</v>
      </c>
      <c r="P25" s="119"/>
    </row>
    <row r="26" spans="1:27" s="16" customFormat="1" ht="12" thickBot="1" x14ac:dyDescent="0.25">
      <c r="A26" s="26"/>
      <c r="B26" s="27">
        <f>B12+B24</f>
        <v>62773</v>
      </c>
      <c r="C26" s="20" t="s">
        <v>9</v>
      </c>
      <c r="D26" s="28">
        <f>D12+D24</f>
        <v>34783.395783891006</v>
      </c>
      <c r="E26" s="20" t="s">
        <v>10</v>
      </c>
      <c r="F26" s="23">
        <f>ROUND(D26/B26,3)</f>
        <v>0.55400000000000005</v>
      </c>
      <c r="H26" s="14"/>
      <c r="I26" s="14"/>
      <c r="J26" s="27">
        <f>SUM(J8:J25)</f>
        <v>62773</v>
      </c>
      <c r="K26" s="20" t="s">
        <v>12</v>
      </c>
      <c r="O26" s="144">
        <f>ROUND(O25/J26,3)</f>
        <v>1.1080000000000001</v>
      </c>
      <c r="P26" s="112" t="s">
        <v>78</v>
      </c>
    </row>
    <row r="27" spans="1:27" s="16" customFormat="1" ht="12" thickTop="1" x14ac:dyDescent="0.2">
      <c r="B27" s="14"/>
      <c r="C27" s="14"/>
      <c r="D27" s="14"/>
      <c r="E27" s="14"/>
      <c r="F27" s="14"/>
      <c r="G27" s="14"/>
      <c r="H27" s="14"/>
      <c r="I27" s="14"/>
      <c r="J27" s="14"/>
      <c r="K27" s="14"/>
      <c r="O27" s="145">
        <f>J22</f>
        <v>5238</v>
      </c>
      <c r="P27" s="112" t="s">
        <v>79</v>
      </c>
    </row>
    <row r="28" spans="1:27" s="16" customFormat="1" ht="11.25" x14ac:dyDescent="0.2">
      <c r="B28" s="14"/>
      <c r="C28" s="14"/>
      <c r="D28" s="14"/>
      <c r="E28" s="14"/>
      <c r="F28" s="14"/>
      <c r="G28" s="14"/>
      <c r="H28" s="14"/>
      <c r="I28" s="14"/>
      <c r="J28" s="14"/>
      <c r="K28" s="14"/>
      <c r="O28" s="112"/>
      <c r="P28" s="112"/>
    </row>
    <row r="29" spans="1:27" s="16" customFormat="1" ht="11.25" x14ac:dyDescent="0.2">
      <c r="B29" s="14"/>
      <c r="C29" s="14"/>
      <c r="D29" s="14"/>
      <c r="E29" s="14"/>
      <c r="F29" s="14"/>
      <c r="G29" s="14"/>
      <c r="H29" s="14"/>
      <c r="I29" s="14"/>
      <c r="J29" s="14"/>
      <c r="K29" s="14"/>
      <c r="O29" s="112"/>
      <c r="P29" s="112"/>
    </row>
    <row r="30" spans="1:27" s="16" customFormat="1" ht="12" thickBot="1" x14ac:dyDescent="0.25">
      <c r="B30" s="29" t="s">
        <v>104</v>
      </c>
      <c r="C30" s="30"/>
      <c r="D30" s="30"/>
      <c r="E30" s="30"/>
      <c r="F30" s="14"/>
      <c r="G30" s="14"/>
      <c r="H30" s="14"/>
      <c r="I30" s="14"/>
      <c r="J30" s="14"/>
      <c r="K30" s="14"/>
    </row>
    <row r="31" spans="1:27" s="16" customFormat="1" ht="12" thickTop="1" x14ac:dyDescent="0.2">
      <c r="A31" s="6"/>
      <c r="B31" s="31"/>
      <c r="C31" s="14"/>
      <c r="D31" s="14"/>
      <c r="E31" s="14"/>
      <c r="F31" s="14"/>
      <c r="G31" s="14"/>
      <c r="H31" s="14"/>
      <c r="I31" s="14"/>
      <c r="J31" s="14"/>
      <c r="K31" s="14"/>
      <c r="X31" s="14"/>
      <c r="Y31" s="14"/>
    </row>
    <row r="32" spans="1:27" s="16" customFormat="1" ht="11.25" x14ac:dyDescent="0.2">
      <c r="A32" s="8"/>
      <c r="B32" s="31"/>
      <c r="C32" s="14"/>
      <c r="D32" s="14"/>
      <c r="E32" s="14"/>
      <c r="F32" s="32" t="s">
        <v>14</v>
      </c>
      <c r="G32" s="14">
        <f>D26</f>
        <v>34783.395783891006</v>
      </c>
      <c r="H32" s="20" t="s">
        <v>10</v>
      </c>
      <c r="I32" s="14"/>
      <c r="J32" s="14"/>
      <c r="K32" s="14"/>
    </row>
    <row r="33" spans="1:27" s="13" customFormat="1" ht="11.25" x14ac:dyDescent="0.2">
      <c r="A33" s="33"/>
      <c r="B33" s="31"/>
      <c r="C33" s="14"/>
      <c r="D33" s="14"/>
      <c r="E33" s="14"/>
      <c r="F33" s="14"/>
      <c r="G33" s="14"/>
      <c r="H33" s="20"/>
      <c r="I33" s="14"/>
      <c r="J33" s="14"/>
      <c r="K33" s="14"/>
      <c r="O33" s="16">
        <f>12*O27*O26</f>
        <v>69644.448000000004</v>
      </c>
      <c r="P33" s="13" t="s">
        <v>80</v>
      </c>
      <c r="W33" s="14"/>
      <c r="X33" s="16"/>
      <c r="Y33" s="16"/>
      <c r="AA33" s="14"/>
    </row>
    <row r="34" spans="1:27" s="16" customFormat="1" ht="11.25" x14ac:dyDescent="0.2">
      <c r="B34" s="14" t="s">
        <v>15</v>
      </c>
      <c r="C34" s="14"/>
      <c r="D34" s="14"/>
      <c r="E34" s="14"/>
      <c r="F34" s="155">
        <v>0.13200000000000001</v>
      </c>
      <c r="G34" s="14"/>
      <c r="H34" s="14"/>
      <c r="I34" s="14"/>
      <c r="J34" s="14"/>
      <c r="K34" s="14"/>
      <c r="O34" s="16">
        <f>12*O27*G57</f>
        <v>34822.224000000002</v>
      </c>
      <c r="P34" s="16" t="s">
        <v>81</v>
      </c>
    </row>
    <row r="35" spans="1:27" s="16" customFormat="1" ht="11.25" x14ac:dyDescent="0.2">
      <c r="B35" s="14"/>
      <c r="C35" s="14" t="str">
        <f>"Customers from "&amp;TEXT($A$8,"mm/yy")&amp;" - "&amp;TEXT($A$10,"mm/yy")</f>
        <v>Customers from 05/21 - 07/21</v>
      </c>
      <c r="D35" s="14"/>
      <c r="E35" s="14"/>
      <c r="F35" s="14">
        <f>B12</f>
        <v>15631</v>
      </c>
      <c r="G35" s="20" t="s">
        <v>8</v>
      </c>
      <c r="H35" s="14"/>
      <c r="I35" s="14"/>
      <c r="J35" s="14"/>
      <c r="K35" s="14"/>
      <c r="O35" s="146">
        <f>+O34/O33</f>
        <v>0.5</v>
      </c>
    </row>
    <row r="36" spans="1:27" s="16" customFormat="1" ht="11.25" x14ac:dyDescent="0.2">
      <c r="B36" s="14"/>
      <c r="C36" s="14" t="s">
        <v>16</v>
      </c>
      <c r="D36" s="14"/>
      <c r="E36" s="14"/>
      <c r="F36" s="21">
        <f>ROUND(F34*F35,0)</f>
        <v>2063</v>
      </c>
      <c r="G36" s="20"/>
      <c r="H36" s="14"/>
      <c r="I36" s="14"/>
      <c r="J36" s="14"/>
      <c r="K36" s="14"/>
    </row>
    <row r="37" spans="1:27" s="16" customFormat="1" ht="11.25" x14ac:dyDescent="0.2">
      <c r="B37" s="14"/>
      <c r="C37" s="14"/>
      <c r="D37" s="14"/>
      <c r="E37" s="14"/>
      <c r="F37" s="35"/>
      <c r="G37" s="20"/>
      <c r="H37" s="14"/>
      <c r="I37" s="14"/>
      <c r="J37" s="14"/>
      <c r="K37" s="14"/>
      <c r="L37" s="14"/>
      <c r="M37" s="14"/>
      <c r="N37" s="14"/>
      <c r="O37" s="14"/>
      <c r="P37" s="14"/>
      <c r="Q37" s="14"/>
    </row>
    <row r="38" spans="1:27" s="16" customFormat="1" ht="12" thickBot="1" x14ac:dyDescent="0.25">
      <c r="B38" s="14" t="s">
        <v>15</v>
      </c>
      <c r="C38" s="14"/>
      <c r="D38" s="14"/>
      <c r="E38" s="14"/>
      <c r="F38" s="40">
        <v>0.125</v>
      </c>
      <c r="G38" s="14"/>
      <c r="H38" s="14"/>
      <c r="I38" s="14"/>
      <c r="J38" s="14"/>
      <c r="K38" s="14"/>
      <c r="L38" s="14"/>
      <c r="M38" s="14"/>
      <c r="N38" s="14"/>
      <c r="O38" s="14"/>
      <c r="P38" s="14"/>
      <c r="Q38" s="14"/>
    </row>
    <row r="39" spans="1:27" s="16" customFormat="1" ht="12" thickTop="1" x14ac:dyDescent="0.2">
      <c r="B39" s="14"/>
      <c r="C39" s="14" t="str">
        <f>"Customers from "&amp;TEXT($A$14,"mm/yy")&amp;" - "&amp;TEXT($A$22,"mm/yy")</f>
        <v>Customers from 08/21 - 04/22</v>
      </c>
      <c r="D39" s="14"/>
      <c r="E39" s="14"/>
      <c r="F39" s="14">
        <f>B24</f>
        <v>47142</v>
      </c>
      <c r="G39" s="20" t="s">
        <v>9</v>
      </c>
      <c r="H39" s="14"/>
      <c r="I39" s="14"/>
      <c r="J39" s="14"/>
      <c r="K39" s="14"/>
    </row>
    <row r="40" spans="1:27" s="16" customFormat="1" ht="11.25" x14ac:dyDescent="0.2">
      <c r="B40" s="14"/>
      <c r="C40" s="14" t="s">
        <v>16</v>
      </c>
      <c r="D40" s="14"/>
      <c r="E40" s="14"/>
      <c r="F40" s="21">
        <f>ROUND(F38*F39,0)</f>
        <v>5893</v>
      </c>
      <c r="G40" s="20"/>
      <c r="H40" s="14"/>
      <c r="I40" s="14"/>
      <c r="J40" s="14"/>
      <c r="K40" s="14"/>
    </row>
    <row r="41" spans="1:27" s="16" customFormat="1" ht="11.25" x14ac:dyDescent="0.2">
      <c r="B41" s="14"/>
      <c r="C41" s="14"/>
      <c r="D41" s="14"/>
      <c r="E41" s="14"/>
      <c r="F41" s="36"/>
      <c r="G41" s="20"/>
      <c r="H41" s="14"/>
      <c r="I41" s="14"/>
      <c r="J41" s="14"/>
      <c r="K41" s="14"/>
    </row>
    <row r="42" spans="1:27" s="16" customFormat="1" ht="12" thickBot="1" x14ac:dyDescent="0.25">
      <c r="B42" s="14"/>
      <c r="C42" s="14" t="s">
        <v>17</v>
      </c>
      <c r="D42" s="14"/>
      <c r="E42" s="14"/>
      <c r="F42" s="27">
        <f>+F36+F40</f>
        <v>7956</v>
      </c>
      <c r="G42" s="37">
        <f>+F42</f>
        <v>7956</v>
      </c>
      <c r="H42" s="14"/>
      <c r="I42" s="14"/>
      <c r="J42" s="14"/>
      <c r="K42" s="14"/>
    </row>
    <row r="43" spans="1:27" s="16" customFormat="1" ht="12" thickTop="1" x14ac:dyDescent="0.2">
      <c r="B43" s="14"/>
      <c r="C43" s="14"/>
      <c r="D43" s="14"/>
      <c r="E43" s="14"/>
      <c r="F43" s="14"/>
      <c r="G43" s="14"/>
      <c r="H43" s="14"/>
      <c r="I43" s="14"/>
      <c r="J43" s="14"/>
      <c r="K43" s="14"/>
    </row>
    <row r="44" spans="1:27" s="16" customFormat="1" ht="11.25" x14ac:dyDescent="0.2">
      <c r="B44" s="14"/>
      <c r="C44" s="14"/>
      <c r="D44" s="14"/>
      <c r="E44" s="14"/>
      <c r="F44" s="14"/>
      <c r="G44" s="14"/>
      <c r="H44" s="14"/>
      <c r="I44" s="14"/>
      <c r="J44" s="14"/>
      <c r="K44" s="14"/>
    </row>
    <row r="45" spans="1:27" s="16" customFormat="1" ht="12" thickBot="1" x14ac:dyDescent="0.25">
      <c r="B45" s="14"/>
      <c r="C45" s="14"/>
      <c r="D45" s="14"/>
      <c r="E45" s="14"/>
      <c r="F45" s="32" t="str">
        <f>IF(G45&lt;0,"Excess","Deficient")&amp;" Commodity Credits"</f>
        <v>Deficient Commodity Credits</v>
      </c>
      <c r="G45" s="38">
        <f>+G32-G42</f>
        <v>26827.395783891006</v>
      </c>
      <c r="H45" s="14"/>
      <c r="I45" s="14"/>
      <c r="J45" s="14"/>
      <c r="K45" s="14"/>
    </row>
    <row r="46" spans="1:27" s="16" customFormat="1" ht="12" thickTop="1" x14ac:dyDescent="0.2">
      <c r="B46" s="14"/>
      <c r="C46" s="14"/>
      <c r="D46" s="14"/>
      <c r="E46" s="14"/>
      <c r="F46" s="14"/>
      <c r="G46" s="14"/>
      <c r="H46" s="14"/>
      <c r="I46" s="14"/>
      <c r="J46" s="14"/>
      <c r="K46" s="14"/>
      <c r="Y46" s="14"/>
    </row>
    <row r="47" spans="1:27" s="16" customFormat="1" ht="11.25" x14ac:dyDescent="0.2">
      <c r="B47" s="14"/>
      <c r="C47" s="14"/>
      <c r="D47" s="14"/>
      <c r="E47" s="14"/>
      <c r="F47" s="14"/>
      <c r="G47" s="14"/>
      <c r="H47" s="14"/>
      <c r="I47" s="14"/>
      <c r="J47" s="14"/>
      <c r="K47" s="14"/>
    </row>
    <row r="48" spans="1:27" s="16" customFormat="1" ht="12" thickBot="1" x14ac:dyDescent="0.25">
      <c r="B48" s="29" t="str">
        <f>$K$22+1&amp;" Recycle Adjustment Calculation"</f>
        <v>2023 Recycle Adjustment Calculation</v>
      </c>
      <c r="C48" s="30"/>
      <c r="D48" s="30"/>
      <c r="E48" s="30"/>
      <c r="F48" s="30"/>
      <c r="G48" s="14"/>
      <c r="H48" s="14"/>
      <c r="I48" s="14"/>
      <c r="J48" s="14"/>
      <c r="K48" s="14"/>
    </row>
    <row r="49" spans="1:27" s="16" customFormat="1" ht="12" thickTop="1" x14ac:dyDescent="0.2">
      <c r="B49" s="31"/>
      <c r="C49" s="14"/>
      <c r="D49" s="14"/>
      <c r="E49" s="14"/>
      <c r="F49" s="14"/>
      <c r="G49" s="14"/>
      <c r="H49" s="14"/>
      <c r="I49" s="14"/>
      <c r="J49" s="14"/>
      <c r="K49" s="14"/>
      <c r="L49" s="14"/>
      <c r="M49" s="14"/>
      <c r="N49" s="14"/>
      <c r="O49" s="14"/>
      <c r="P49" s="14"/>
      <c r="Q49" s="14"/>
      <c r="R49" s="14"/>
      <c r="S49" s="14"/>
      <c r="T49" s="14"/>
      <c r="U49" s="14"/>
      <c r="V49" s="14"/>
      <c r="W49" s="14"/>
      <c r="AA49" s="14"/>
    </row>
    <row r="50" spans="1:27" s="16" customFormat="1" ht="11.25" x14ac:dyDescent="0.2">
      <c r="B50" s="14" t="s">
        <v>85</v>
      </c>
      <c r="C50" s="14"/>
      <c r="D50" s="14"/>
      <c r="E50" s="14"/>
      <c r="F50" s="14"/>
      <c r="G50" s="14"/>
      <c r="H50" s="14"/>
      <c r="I50" s="14"/>
      <c r="J50" s="14"/>
      <c r="K50" s="14"/>
    </row>
    <row r="51" spans="1:27" s="16" customFormat="1" ht="11.25" x14ac:dyDescent="0.2">
      <c r="B51" s="14"/>
      <c r="C51" s="14"/>
      <c r="D51" s="14"/>
      <c r="E51" s="14"/>
      <c r="F51" s="32" t="s">
        <v>20</v>
      </c>
      <c r="G51" s="14">
        <f>+J26</f>
        <v>62773</v>
      </c>
      <c r="H51" s="20" t="s">
        <v>12</v>
      </c>
      <c r="I51" s="14"/>
      <c r="J51" s="14"/>
      <c r="K51" s="14"/>
    </row>
    <row r="52" spans="1:27" s="16" customFormat="1" ht="11.25" x14ac:dyDescent="0.2">
      <c r="B52" s="14"/>
      <c r="C52" s="14"/>
      <c r="D52" s="14"/>
      <c r="E52" s="14"/>
      <c r="F52" s="32" t="str">
        <f>+F45</f>
        <v>Deficient Commodity Credits</v>
      </c>
      <c r="G52" s="14">
        <f>+G45</f>
        <v>26827.395783891006</v>
      </c>
      <c r="H52" s="14"/>
      <c r="I52" s="14"/>
      <c r="J52" s="14"/>
      <c r="K52" s="14"/>
    </row>
    <row r="53" spans="1:27" s="16" customFormat="1" ht="11.25" x14ac:dyDescent="0.2">
      <c r="B53" s="14"/>
      <c r="C53" s="14"/>
      <c r="D53" s="14"/>
      <c r="E53" s="14"/>
      <c r="F53" s="32"/>
      <c r="G53" s="14"/>
      <c r="H53" s="14"/>
      <c r="I53" s="14"/>
      <c r="J53" s="14"/>
      <c r="K53" s="14"/>
    </row>
    <row r="54" spans="1:27" s="16" customFormat="1" ht="12" thickBot="1" x14ac:dyDescent="0.25">
      <c r="B54" s="14"/>
      <c r="C54" s="14"/>
      <c r="D54" s="14"/>
      <c r="E54" s="14"/>
      <c r="F54" s="32" t="s">
        <v>107</v>
      </c>
      <c r="G54" s="39">
        <f>ROUND(G52/G51,3)</f>
        <v>0.42699999999999999</v>
      </c>
      <c r="H54" s="14"/>
      <c r="I54" s="23">
        <f>+G54</f>
        <v>0.42699999999999999</v>
      </c>
      <c r="J54" s="14"/>
      <c r="K54" s="14"/>
    </row>
    <row r="55" spans="1:27" s="16" customFormat="1" ht="12" thickTop="1" x14ac:dyDescent="0.2">
      <c r="B55" s="14"/>
      <c r="C55" s="14"/>
      <c r="D55" s="14"/>
      <c r="E55" s="14"/>
      <c r="F55" s="32"/>
      <c r="G55" s="14"/>
      <c r="H55" s="14"/>
      <c r="I55" s="23"/>
      <c r="J55" s="14"/>
      <c r="K55" s="14"/>
      <c r="N55" s="158" t="s">
        <v>83</v>
      </c>
      <c r="Y55" s="14"/>
    </row>
    <row r="56" spans="1:27" s="16" customFormat="1" ht="11.25" x14ac:dyDescent="0.2">
      <c r="B56" s="14" t="s">
        <v>86</v>
      </c>
      <c r="C56" s="14"/>
      <c r="D56" s="14"/>
      <c r="E56" s="14"/>
      <c r="F56" s="32"/>
      <c r="G56" s="14"/>
      <c r="H56" s="14"/>
      <c r="I56" s="23"/>
      <c r="J56" s="14"/>
      <c r="K56" s="14"/>
      <c r="N56" s="159">
        <f>+'[1]WUTC_AW of Kent_MF'!$O$56</f>
        <v>0.5</v>
      </c>
    </row>
    <row r="57" spans="1:27" s="16" customFormat="1" ht="12" thickBot="1" x14ac:dyDescent="0.25">
      <c r="B57" s="31"/>
      <c r="C57" s="14"/>
      <c r="D57" s="14"/>
      <c r="E57" s="14"/>
      <c r="F57" s="32" t="s">
        <v>106</v>
      </c>
      <c r="G57" s="163">
        <f>F26</f>
        <v>0.55400000000000005</v>
      </c>
      <c r="H57" s="14"/>
      <c r="I57" s="23">
        <f>+G57</f>
        <v>0.55400000000000005</v>
      </c>
      <c r="J57" s="20" t="s">
        <v>11</v>
      </c>
      <c r="K57" s="14"/>
    </row>
    <row r="58" spans="1:27" s="14" customFormat="1" ht="12" thickTop="1" x14ac:dyDescent="0.2">
      <c r="B58" s="31"/>
      <c r="I58" s="23"/>
      <c r="X58" s="16"/>
      <c r="Y58" s="16"/>
    </row>
    <row r="59" spans="1:27" s="16" customFormat="1" ht="12" thickBot="1" x14ac:dyDescent="0.25">
      <c r="B59" s="14"/>
      <c r="C59" s="14"/>
      <c r="D59" s="14"/>
      <c r="E59" s="14"/>
      <c r="F59" s="14"/>
      <c r="G59" s="32" t="s">
        <v>153</v>
      </c>
      <c r="H59" s="27"/>
      <c r="I59" s="39">
        <f>+I54+I57</f>
        <v>0.98100000000000009</v>
      </c>
      <c r="J59" s="14"/>
      <c r="K59" s="14"/>
    </row>
    <row r="60" spans="1:27" s="16" customFormat="1" ht="12" thickTop="1" x14ac:dyDescent="0.2">
      <c r="I60" s="23"/>
    </row>
    <row r="61" spans="1:27" s="16" customFormat="1" ht="11.25" x14ac:dyDescent="0.2"/>
    <row r="62" spans="1:27" s="16" customFormat="1" ht="11.25" x14ac:dyDescent="0.2">
      <c r="B62" s="178" t="s">
        <v>110</v>
      </c>
      <c r="F62" s="112"/>
      <c r="G62" s="178" t="s">
        <v>105</v>
      </c>
      <c r="I62" s="16">
        <v>0</v>
      </c>
      <c r="J62" s="16" t="s">
        <v>111</v>
      </c>
    </row>
    <row r="63" spans="1:27" s="16" customFormat="1" ht="11.25" x14ac:dyDescent="0.2"/>
    <row r="64" spans="1:27" s="16" customFormat="1" ht="11.25" x14ac:dyDescent="0.2">
      <c r="A64" s="115"/>
      <c r="B64" s="35"/>
      <c r="C64" s="35"/>
      <c r="D64" s="112"/>
      <c r="E64" s="112"/>
      <c r="F64" s="112"/>
    </row>
    <row r="65" spans="1:27" s="16" customFormat="1" ht="12" thickBot="1" x14ac:dyDescent="0.25">
      <c r="A65" s="115"/>
      <c r="B65" s="116"/>
      <c r="C65" s="35"/>
      <c r="D65" s="112"/>
      <c r="E65" s="112"/>
      <c r="F65" s="112"/>
      <c r="G65" s="32" t="str">
        <f>G59</f>
        <v>8/1/22 - 7/31/23 Adjusted Credit</v>
      </c>
      <c r="H65" s="27"/>
      <c r="I65" s="161">
        <f>I59+I62</f>
        <v>0.98100000000000009</v>
      </c>
    </row>
    <row r="66" spans="1:27" s="16" customFormat="1" ht="12" thickTop="1" x14ac:dyDescent="0.2">
      <c r="A66" s="115"/>
      <c r="B66" s="116"/>
      <c r="C66" s="35"/>
      <c r="D66" s="112"/>
      <c r="E66" s="112"/>
      <c r="F66" s="112"/>
    </row>
    <row r="67" spans="1:27" s="16" customFormat="1" ht="11.25" x14ac:dyDescent="0.2">
      <c r="A67" s="115"/>
      <c r="B67" s="116"/>
      <c r="C67" s="35"/>
      <c r="D67" s="112"/>
      <c r="E67" s="112"/>
      <c r="F67" s="112"/>
    </row>
    <row r="68" spans="1:27" s="16" customFormat="1" ht="11.25" x14ac:dyDescent="0.2">
      <c r="A68" s="115"/>
      <c r="B68" s="116"/>
      <c r="C68" s="35"/>
      <c r="D68" s="112"/>
      <c r="E68" s="112"/>
      <c r="F68" s="112"/>
      <c r="Y68" s="14"/>
    </row>
    <row r="69" spans="1:27" s="16" customFormat="1" ht="11.25" x14ac:dyDescent="0.2">
      <c r="A69" s="115"/>
      <c r="B69" s="116"/>
      <c r="C69" s="35"/>
      <c r="D69" s="112"/>
      <c r="E69" s="112"/>
      <c r="F69" s="112"/>
    </row>
    <row r="70" spans="1:27" s="16" customFormat="1" ht="11.25" x14ac:dyDescent="0.2">
      <c r="A70" s="115"/>
      <c r="B70" s="116"/>
      <c r="C70" s="35"/>
      <c r="D70" s="112"/>
      <c r="E70" s="112"/>
      <c r="F70" s="112"/>
    </row>
    <row r="71" spans="1:27" s="16" customFormat="1" ht="11.25" x14ac:dyDescent="0.2">
      <c r="A71" s="115"/>
      <c r="B71" s="116"/>
      <c r="C71" s="35"/>
      <c r="D71" s="112"/>
      <c r="E71" s="112"/>
      <c r="F71" s="112"/>
    </row>
    <row r="72" spans="1:27" s="16" customFormat="1" ht="11.25" x14ac:dyDescent="0.2">
      <c r="A72" s="115"/>
      <c r="B72" s="116"/>
      <c r="C72" s="35"/>
      <c r="D72" s="112"/>
      <c r="E72" s="118"/>
      <c r="F72" s="112"/>
      <c r="G72" s="14"/>
      <c r="H72" s="13"/>
      <c r="I72" s="14"/>
      <c r="J72" s="14"/>
      <c r="K72" s="13"/>
      <c r="L72" s="14"/>
      <c r="M72" s="14"/>
      <c r="N72" s="14"/>
      <c r="O72" s="14"/>
      <c r="P72" s="14"/>
      <c r="Q72" s="14"/>
      <c r="R72" s="14"/>
      <c r="S72" s="14"/>
      <c r="T72" s="14"/>
      <c r="U72" s="14"/>
      <c r="V72" s="13"/>
      <c r="W72" s="14"/>
      <c r="AA72" s="14"/>
    </row>
    <row r="73" spans="1:27" s="16" customFormat="1" ht="11.25" x14ac:dyDescent="0.2">
      <c r="A73" s="115"/>
      <c r="B73" s="116"/>
      <c r="C73" s="35"/>
      <c r="D73" s="112"/>
      <c r="E73" s="112"/>
      <c r="F73" s="112"/>
    </row>
    <row r="74" spans="1:27" s="16" customFormat="1" ht="11.25" x14ac:dyDescent="0.2">
      <c r="A74" s="115"/>
      <c r="B74" s="35"/>
      <c r="C74" s="35"/>
      <c r="D74" s="112"/>
      <c r="E74" s="112"/>
      <c r="F74" s="112"/>
    </row>
    <row r="75" spans="1:27" s="16" customFormat="1" ht="11.25" x14ac:dyDescent="0.2">
      <c r="A75" s="115"/>
      <c r="B75" s="35"/>
      <c r="C75" s="117"/>
      <c r="D75" s="112"/>
      <c r="E75" s="112"/>
      <c r="F75" s="112"/>
    </row>
    <row r="76" spans="1:27" s="16" customFormat="1" x14ac:dyDescent="0.2">
      <c r="A76" s="119"/>
      <c r="B76" s="119"/>
      <c r="C76" s="119"/>
      <c r="D76" s="120"/>
      <c r="E76" s="112"/>
      <c r="F76" s="119"/>
    </row>
    <row r="77" spans="1:27" s="16" customFormat="1" ht="11.25" x14ac:dyDescent="0.2">
      <c r="A77" s="121"/>
      <c r="B77" s="35"/>
      <c r="C77" s="117"/>
      <c r="D77" s="112"/>
      <c r="E77" s="112"/>
      <c r="F77" s="122"/>
      <c r="Y77" s="14"/>
    </row>
    <row r="78" spans="1:27" s="16" customFormat="1" ht="11.25" x14ac:dyDescent="0.2"/>
    <row r="79" spans="1:27" s="16" customFormat="1" ht="11.25" x14ac:dyDescent="0.2"/>
    <row r="80" spans="1:27" s="16" customFormat="1" ht="11.25" x14ac:dyDescent="0.2"/>
    <row r="81" spans="1:27" s="16" customFormat="1" ht="11.25" x14ac:dyDescent="0.2">
      <c r="B81" s="8"/>
    </row>
    <row r="82" spans="1:27" s="14" customFormat="1" ht="11.25" x14ac:dyDescent="0.2">
      <c r="B82" s="31"/>
      <c r="X82" s="16"/>
      <c r="Y82" s="16"/>
    </row>
    <row r="83" spans="1:27" s="16" customFormat="1" ht="11.25" x14ac:dyDescent="0.2"/>
    <row r="84" spans="1:27" s="16" customFormat="1" ht="11.25" x14ac:dyDescent="0.2"/>
    <row r="85" spans="1:27" s="16" customFormat="1" ht="11.25" x14ac:dyDescent="0.2"/>
    <row r="86" spans="1:27" s="16" customFormat="1" ht="11.25" x14ac:dyDescent="0.2"/>
    <row r="87" spans="1:27" s="16" customFormat="1" ht="11.25" x14ac:dyDescent="0.2"/>
    <row r="88" spans="1:27" s="16" customFormat="1" ht="11.25" x14ac:dyDescent="0.2"/>
    <row r="89" spans="1:27" s="16" customFormat="1" ht="11.25" x14ac:dyDescent="0.2"/>
    <row r="90" spans="1:27" s="16" customFormat="1" ht="11.25" x14ac:dyDescent="0.2"/>
    <row r="91" spans="1:27" s="16" customFormat="1" ht="11.25" x14ac:dyDescent="0.2">
      <c r="A91" s="6"/>
    </row>
    <row r="92" spans="1:27" s="16" customFormat="1" x14ac:dyDescent="0.2">
      <c r="AA92" s="5"/>
    </row>
    <row r="93" spans="1:27" s="16" customFormat="1" x14ac:dyDescent="0.2">
      <c r="AA93" s="5"/>
    </row>
    <row r="94" spans="1:27" s="16" customFormat="1" x14ac:dyDescent="0.2">
      <c r="AA94" s="5"/>
    </row>
    <row r="95" spans="1:27" s="16" customFormat="1" x14ac:dyDescent="0.2">
      <c r="AA95" s="5"/>
    </row>
    <row r="96" spans="1:27" s="16" customFormat="1" x14ac:dyDescent="0.2">
      <c r="G96" s="56"/>
      <c r="I96" s="56"/>
      <c r="J96" s="56"/>
      <c r="L96" s="56"/>
      <c r="M96" s="56"/>
      <c r="N96" s="56"/>
      <c r="O96" s="56"/>
      <c r="P96" s="56"/>
      <c r="Q96" s="56"/>
      <c r="R96" s="56"/>
      <c r="S96" s="56"/>
      <c r="T96" s="56"/>
      <c r="U96" s="56"/>
      <c r="V96" s="56"/>
      <c r="W96" s="56"/>
      <c r="X96" s="56"/>
      <c r="Y96" s="56"/>
      <c r="AA96" s="5"/>
    </row>
    <row r="97" spans="7:27" s="16" customFormat="1" x14ac:dyDescent="0.2">
      <c r="AA97" s="5"/>
    </row>
    <row r="98" spans="7:27" s="16" customFormat="1" ht="13.5" thickBot="1" x14ac:dyDescent="0.25">
      <c r="G98" s="57"/>
      <c r="I98" s="57"/>
      <c r="J98" s="57"/>
      <c r="L98" s="57"/>
      <c r="M98" s="57"/>
      <c r="N98" s="57"/>
      <c r="O98" s="57"/>
      <c r="P98" s="57"/>
      <c r="Q98" s="57"/>
      <c r="R98" s="57"/>
      <c r="S98" s="57"/>
      <c r="T98" s="57"/>
      <c r="U98" s="57"/>
      <c r="V98" s="57"/>
      <c r="W98" s="57"/>
      <c r="X98" s="57"/>
      <c r="Y98" s="57"/>
      <c r="AA98" s="5"/>
    </row>
    <row r="99" spans="7:27" ht="13.5" thickTop="1" x14ac:dyDescent="0.2"/>
    <row r="100" spans="7:27" x14ac:dyDescent="0.2">
      <c r="W100" s="58"/>
      <c r="X100" s="58"/>
      <c r="Y100" s="58"/>
    </row>
    <row r="101" spans="7:27" x14ac:dyDescent="0.2">
      <c r="W101" s="58"/>
      <c r="AA101" s="58"/>
    </row>
  </sheetData>
  <phoneticPr fontId="0" type="noConversion"/>
  <printOptions horizontalCentered="1"/>
  <pageMargins left="0" right="0" top="0.52" bottom="0.44" header="0" footer="0"/>
  <pageSetup scale="98" orientation="portrait" horizontalDpi="1200" verticalDpi="1200" r:id="rId1"/>
  <headerFooter alignWithMargins="0">
    <oddFooter>&amp;R&amp;"Helv,Regular"&amp;6\\SERVER1\PUBLIC\EXCEL&amp;F,&amp;A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18"/>
  <sheetViews>
    <sheetView showGridLines="0" zoomScaleNormal="100" workbookViewId="0"/>
  </sheetViews>
  <sheetFormatPr defaultRowHeight="12.75" x14ac:dyDescent="0.2"/>
  <cols>
    <col min="1" max="1" width="8.140625" customWidth="1"/>
    <col min="2" max="2" width="2.140625" customWidth="1"/>
    <col min="3" max="13" width="11.7109375" customWidth="1"/>
    <col min="14" max="14" width="3" customWidth="1"/>
    <col min="15" max="15" width="11.7109375" style="72" customWidth="1"/>
    <col min="16" max="16" width="14.5703125" bestFit="1" customWidth="1"/>
  </cols>
  <sheetData>
    <row r="1" spans="1:17" x14ac:dyDescent="0.2">
      <c r="A1" s="59" t="s">
        <v>43</v>
      </c>
      <c r="B1" s="60"/>
    </row>
    <row r="2" spans="1:17" x14ac:dyDescent="0.2">
      <c r="A2" s="61" t="str">
        <f>'WUTC_AW of Kent (SeaTac)_SF'!A1</f>
        <v>Rabanco Ltd (dba Allied Waste of Seatac)</v>
      </c>
      <c r="B2" s="61"/>
      <c r="O2" s="73"/>
    </row>
    <row r="3" spans="1:17" x14ac:dyDescent="0.2">
      <c r="A3" s="61"/>
      <c r="B3" s="61"/>
      <c r="O3" s="73"/>
    </row>
    <row r="4" spans="1:17" x14ac:dyDescent="0.2">
      <c r="A4" s="61"/>
      <c r="B4" s="61"/>
      <c r="O4" s="73" t="str">
        <f>+TEXT(P18,"00.0%")&amp;" of"</f>
        <v>50.0% of</v>
      </c>
    </row>
    <row r="5" spans="1:17" x14ac:dyDescent="0.2">
      <c r="B5" s="70"/>
      <c r="C5" s="63" t="s">
        <v>21</v>
      </c>
      <c r="D5" s="63" t="s">
        <v>22</v>
      </c>
      <c r="E5" s="63" t="s">
        <v>88</v>
      </c>
      <c r="F5" s="63" t="s">
        <v>50</v>
      </c>
      <c r="G5" s="63" t="s">
        <v>89</v>
      </c>
      <c r="H5" s="63" t="s">
        <v>24</v>
      </c>
      <c r="I5" s="63" t="s">
        <v>25</v>
      </c>
      <c r="J5" s="63" t="s">
        <v>26</v>
      </c>
      <c r="K5" s="63" t="s">
        <v>27</v>
      </c>
      <c r="L5" s="63" t="s">
        <v>28</v>
      </c>
      <c r="M5" s="63" t="s">
        <v>29</v>
      </c>
      <c r="O5" s="73" t="s">
        <v>29</v>
      </c>
      <c r="P5" s="63" t="s">
        <v>84</v>
      </c>
    </row>
    <row r="6" spans="1:17" ht="15.75" customHeight="1" x14ac:dyDescent="0.2">
      <c r="A6" s="65">
        <f>+Pricing!A6</f>
        <v>44317</v>
      </c>
      <c r="B6" s="66"/>
      <c r="C6" s="71">
        <f>'Commodity Tonnages'!C6*Pricing!C6</f>
        <v>2279.5555268159997</v>
      </c>
      <c r="D6" s="74">
        <f>'Commodity Tonnages'!D6*Pricing!D6</f>
        <v>-360.43876079999995</v>
      </c>
      <c r="E6" s="74">
        <f>'Commodity Tonnages'!E6*Pricing!E6</f>
        <v>0</v>
      </c>
      <c r="F6" s="74">
        <f>'Commodity Tonnages'!F6*Pricing!F6</f>
        <v>291.89940019200003</v>
      </c>
      <c r="G6" s="74">
        <f>'Commodity Tonnages'!G6*Pricing!G6</f>
        <v>35.060301360000004</v>
      </c>
      <c r="H6" s="74">
        <f>'Commodity Tonnages'!H6*Pricing!H6</f>
        <v>1770.1589822399999</v>
      </c>
      <c r="I6" s="74">
        <f>'Commodity Tonnages'!I6*Pricing!I6</f>
        <v>629.86253832</v>
      </c>
      <c r="J6" s="74">
        <f>'Commodity Tonnages'!J6*Pricing!J6</f>
        <v>629.86253832</v>
      </c>
      <c r="K6" s="74">
        <f>'Commodity Tonnages'!K6*Pricing!K6</f>
        <v>3791.5972332479992</v>
      </c>
      <c r="L6" s="74">
        <f>'Commodity Tonnages'!L6*Pricing!L6</f>
        <v>-4386.4623305999994</v>
      </c>
      <c r="M6" s="129">
        <f>SUM(C6:L6)</f>
        <v>4681.095429095998</v>
      </c>
      <c r="O6" s="153">
        <f>M6*P6</f>
        <v>2340.547714547999</v>
      </c>
      <c r="P6" s="160">
        <v>0.5</v>
      </c>
      <c r="Q6" s="130"/>
    </row>
    <row r="7" spans="1:17" ht="15.75" customHeight="1" x14ac:dyDescent="0.2">
      <c r="A7" s="65">
        <f>+Pricing!A7</f>
        <v>44377</v>
      </c>
      <c r="B7" s="66"/>
      <c r="C7" s="71">
        <f>'Commodity Tonnages'!C7*Pricing!C7</f>
        <v>2217.2733585199994</v>
      </c>
      <c r="D7" s="74">
        <f>'Commodity Tonnages'!D7*Pricing!D7</f>
        <v>-137.71392879999999</v>
      </c>
      <c r="E7" s="74">
        <f>'Commodity Tonnages'!E7*Pricing!E7</f>
        <v>0</v>
      </c>
      <c r="F7" s="74">
        <f>'Commodity Tonnages'!F7*Pricing!F7</f>
        <v>329.52180302399995</v>
      </c>
      <c r="G7" s="74">
        <f>'Commodity Tonnages'!G7*Pricing!G7</f>
        <v>38.877749567999999</v>
      </c>
      <c r="H7" s="74">
        <f>'Commodity Tonnages'!H7*Pricing!H7</f>
        <v>2312.1423182960002</v>
      </c>
      <c r="I7" s="74">
        <f>'Commodity Tonnages'!I7*Pricing!I7</f>
        <v>889.7897428079998</v>
      </c>
      <c r="J7" s="74">
        <f>'Commodity Tonnages'!J7*Pricing!J7</f>
        <v>889.7897428079998</v>
      </c>
      <c r="K7" s="74">
        <f>'Commodity Tonnages'!K7*Pricing!K7</f>
        <v>4223.3659334239992</v>
      </c>
      <c r="L7" s="74">
        <f>'Commodity Tonnages'!L7*Pricing!L7</f>
        <v>-4376.4892392499996</v>
      </c>
      <c r="M7" s="129">
        <f t="shared" ref="M7:M17" si="0">SUM(C7:L7)</f>
        <v>6386.5574803979989</v>
      </c>
      <c r="O7" s="153">
        <f t="shared" ref="O7:O17" si="1">M7*P7</f>
        <v>3193.2787401989995</v>
      </c>
      <c r="P7" s="160">
        <v>0.5</v>
      </c>
      <c r="Q7" s="130"/>
    </row>
    <row r="8" spans="1:17" ht="15.75" customHeight="1" x14ac:dyDescent="0.2">
      <c r="A8" s="65">
        <f>+Pricing!A8</f>
        <v>44408</v>
      </c>
      <c r="B8" s="66"/>
      <c r="C8" s="71">
        <f>'Commodity Tonnages'!C8*Pricing!C8</f>
        <v>2326.8329441280002</v>
      </c>
      <c r="D8" s="74">
        <f>'Commodity Tonnages'!D8*Pricing!D8</f>
        <v>-808.98089579999998</v>
      </c>
      <c r="E8" s="74">
        <f>'Commodity Tonnages'!E8*Pricing!E8</f>
        <v>0</v>
      </c>
      <c r="F8" s="74">
        <f>'Commodity Tonnages'!F8*Pricing!F8</f>
        <v>302.44238303999992</v>
      </c>
      <c r="G8" s="74">
        <f>'Commodity Tonnages'!G8*Pricing!G8</f>
        <v>33.024694247999996</v>
      </c>
      <c r="H8" s="74">
        <f>'Commodity Tonnages'!H8*Pricing!H8</f>
        <v>1832.0360251200002</v>
      </c>
      <c r="I8" s="74">
        <f>'Commodity Tonnages'!I8*Pricing!I8</f>
        <v>866.41281577199993</v>
      </c>
      <c r="J8" s="74">
        <f>'Commodity Tonnages'!J8*Pricing!J8</f>
        <v>866.41281577199993</v>
      </c>
      <c r="K8" s="74">
        <f>'Commodity Tonnages'!K8*Pricing!K8</f>
        <v>3767.6497556879999</v>
      </c>
      <c r="L8" s="74">
        <f>'Commodity Tonnages'!L8*Pricing!L8</f>
        <v>-2592.1043021999999</v>
      </c>
      <c r="M8" s="129">
        <f t="shared" si="0"/>
        <v>6593.7262357680011</v>
      </c>
      <c r="O8" s="153">
        <f t="shared" si="1"/>
        <v>3296.8631178840005</v>
      </c>
      <c r="P8" s="160">
        <v>0.5</v>
      </c>
      <c r="Q8" s="130"/>
    </row>
    <row r="9" spans="1:17" ht="15.75" customHeight="1" x14ac:dyDescent="0.2">
      <c r="A9" s="65">
        <f>+Pricing!A9</f>
        <v>44439</v>
      </c>
      <c r="B9" s="66"/>
      <c r="C9" s="71">
        <f>'Commodity Tonnages'!C9*Pricing!C9</f>
        <v>3115.6505515520003</v>
      </c>
      <c r="D9" s="74">
        <f>'Commodity Tonnages'!D9*Pricing!D9</f>
        <v>-1204.2253330799999</v>
      </c>
      <c r="E9" s="74">
        <f>'Commodity Tonnages'!E9*Pricing!E9</f>
        <v>0</v>
      </c>
      <c r="F9" s="74">
        <f>'Commodity Tonnages'!F9*Pricing!F9</f>
        <v>357.87966860799997</v>
      </c>
      <c r="G9" s="74">
        <f>'Commodity Tonnages'!G9*Pricing!G9</f>
        <v>39.966367055999996</v>
      </c>
      <c r="H9" s="74">
        <f>'Commodity Tonnages'!H9*Pricing!H9</f>
        <v>2735.7370076960005</v>
      </c>
      <c r="I9" s="74">
        <f>'Commodity Tonnages'!I9*Pricing!I9</f>
        <v>1360.208055976</v>
      </c>
      <c r="J9" s="74">
        <f>'Commodity Tonnages'!J9*Pricing!J9</f>
        <v>1360.208055976</v>
      </c>
      <c r="K9" s="74">
        <f>'Commodity Tonnages'!K9*Pricing!K9</f>
        <v>5070.9812963040013</v>
      </c>
      <c r="L9" s="74">
        <f>'Commodity Tonnages'!L9*Pricing!L9</f>
        <v>-3332.1711961999999</v>
      </c>
      <c r="M9" s="129">
        <f t="shared" si="0"/>
        <v>9504.234473888002</v>
      </c>
      <c r="O9" s="153">
        <f t="shared" si="1"/>
        <v>4752.117236944001</v>
      </c>
      <c r="P9" s="160">
        <v>0.5</v>
      </c>
      <c r="Q9" s="130"/>
    </row>
    <row r="10" spans="1:17" ht="15.75" customHeight="1" x14ac:dyDescent="0.2">
      <c r="A10" s="65">
        <f>+Pricing!A10</f>
        <v>44469</v>
      </c>
      <c r="B10" s="66"/>
      <c r="C10" s="71">
        <f>'Commodity Tonnages'!C10*Pricing!C10</f>
        <v>3180.9512908800002</v>
      </c>
      <c r="D10" s="74">
        <f>'Commodity Tonnages'!D10*Pricing!D10</f>
        <v>-1042.8199674</v>
      </c>
      <c r="E10" s="74">
        <f>'Commodity Tonnages'!E10*Pricing!E10</f>
        <v>0</v>
      </c>
      <c r="F10" s="74">
        <f>'Commodity Tonnages'!F10*Pricing!F10</f>
        <v>302.74672959999998</v>
      </c>
      <c r="G10" s="74">
        <f>'Commodity Tonnages'!G10*Pricing!G10</f>
        <v>33.481000559999998</v>
      </c>
      <c r="H10" s="74">
        <f>'Commodity Tonnages'!H10*Pricing!H10</f>
        <v>2401.9872977600003</v>
      </c>
      <c r="I10" s="74">
        <f>'Commodity Tonnages'!I10*Pricing!I10</f>
        <v>1122.1101922800001</v>
      </c>
      <c r="J10" s="74">
        <f>'Commodity Tonnages'!J10*Pricing!J10</f>
        <v>1122.1101922800001</v>
      </c>
      <c r="K10" s="74">
        <f>'Commodity Tonnages'!K10*Pricing!K10</f>
        <v>5001.8865480000004</v>
      </c>
      <c r="L10" s="74">
        <f>'Commodity Tonnages'!L10*Pricing!L10</f>
        <v>-3121.3572074999997</v>
      </c>
      <c r="M10" s="129">
        <f t="shared" si="0"/>
        <v>9001.0960764600004</v>
      </c>
      <c r="O10" s="153">
        <f t="shared" si="1"/>
        <v>4500.5480382300002</v>
      </c>
      <c r="P10" s="160">
        <v>0.5</v>
      </c>
      <c r="Q10" s="130"/>
    </row>
    <row r="11" spans="1:17" ht="15.75" customHeight="1" x14ac:dyDescent="0.2">
      <c r="A11" s="65">
        <f>+Pricing!A11</f>
        <v>44500</v>
      </c>
      <c r="B11" s="66"/>
      <c r="C11" s="71">
        <f>'Commodity Tonnages'!C11*Pricing!C11</f>
        <v>3042.9807217920006</v>
      </c>
      <c r="D11" s="74">
        <f>'Commodity Tonnages'!D11*Pricing!D11</f>
        <v>-944.23293918000002</v>
      </c>
      <c r="E11" s="74">
        <f>'Commodity Tonnages'!E11*Pricing!E11</f>
        <v>0</v>
      </c>
      <c r="F11" s="74">
        <f>'Commodity Tonnages'!F11*Pricing!F11</f>
        <v>284.97670387200003</v>
      </c>
      <c r="G11" s="74">
        <f>'Commodity Tonnages'!G11*Pricing!G11</f>
        <v>34.319022191999991</v>
      </c>
      <c r="H11" s="74">
        <f>'Commodity Tonnages'!H11*Pricing!H11</f>
        <v>2552.9154043680001</v>
      </c>
      <c r="I11" s="74">
        <f>'Commodity Tonnages'!I11*Pricing!I11</f>
        <v>722.03960779200031</v>
      </c>
      <c r="J11" s="74">
        <f>'Commodity Tonnages'!J11*Pricing!J11</f>
        <v>722.03960779200031</v>
      </c>
      <c r="K11" s="74">
        <f>'Commodity Tonnages'!K11*Pricing!K11</f>
        <v>4617.932311296001</v>
      </c>
      <c r="L11" s="74">
        <f>'Commodity Tonnages'!L11*Pricing!L11</f>
        <v>-2918.02169925</v>
      </c>
      <c r="M11" s="129">
        <f t="shared" si="0"/>
        <v>8114.9487406740036</v>
      </c>
      <c r="O11" s="153">
        <f t="shared" si="1"/>
        <v>4057.4743703370018</v>
      </c>
      <c r="P11" s="160">
        <v>0.5</v>
      </c>
      <c r="Q11" s="130"/>
    </row>
    <row r="12" spans="1:17" ht="15.75" customHeight="1" x14ac:dyDescent="0.2">
      <c r="A12" s="65">
        <f>+Pricing!A12</f>
        <v>44530</v>
      </c>
      <c r="B12" s="66"/>
      <c r="C12" s="71">
        <f>'Commodity Tonnages'!C12*Pricing!C12</f>
        <v>2632.6971263999999</v>
      </c>
      <c r="D12" s="74">
        <f>'Commodity Tonnages'!D12*Pricing!D12</f>
        <v>-1193.2250064</v>
      </c>
      <c r="E12" s="74">
        <f>'Commodity Tonnages'!E12*Pricing!E12</f>
        <v>0</v>
      </c>
      <c r="F12" s="74">
        <f>'Commodity Tonnages'!F12*Pricing!F12</f>
        <v>302.31603455999999</v>
      </c>
      <c r="G12" s="74">
        <f>'Commodity Tonnages'!G12*Pricing!G12</f>
        <v>37.907163839999996</v>
      </c>
      <c r="H12" s="74">
        <f>'Commodity Tonnages'!H12*Pricing!H12</f>
        <v>1419.6439158400003</v>
      </c>
      <c r="I12" s="74">
        <f>'Commodity Tonnages'!I12*Pricing!I12</f>
        <v>775.5702561600001</v>
      </c>
      <c r="J12" s="74">
        <f>'Commodity Tonnages'!J12*Pricing!J12</f>
        <v>775.5702561600001</v>
      </c>
      <c r="K12" s="74">
        <f>'Commodity Tonnages'!K12*Pricing!K12</f>
        <v>4041.6187737600007</v>
      </c>
      <c r="L12" s="74">
        <f>'Commodity Tonnages'!L12*Pricing!L12</f>
        <v>-2975.5144299999993</v>
      </c>
      <c r="M12" s="129">
        <f t="shared" si="0"/>
        <v>5816.5840903200024</v>
      </c>
      <c r="O12" s="153">
        <f t="shared" si="1"/>
        <v>2908.2920451600012</v>
      </c>
      <c r="P12" s="160">
        <v>0.5</v>
      </c>
      <c r="Q12" s="130"/>
    </row>
    <row r="13" spans="1:17" ht="15.75" customHeight="1" x14ac:dyDescent="0.2">
      <c r="A13" s="65">
        <f>+Pricing!A13</f>
        <v>44561</v>
      </c>
      <c r="B13" s="66"/>
      <c r="C13" s="71">
        <f>'Commodity Tonnages'!C13*Pricing!C13</f>
        <v>2646.4171345920004</v>
      </c>
      <c r="D13" s="74">
        <f>'Commodity Tonnages'!D13*Pricing!D13</f>
        <v>-1012.08078612</v>
      </c>
      <c r="E13" s="74">
        <f>'Commodity Tonnages'!E13*Pricing!E13</f>
        <v>0</v>
      </c>
      <c r="F13" s="74">
        <f>'Commodity Tonnages'!F13*Pricing!F13</f>
        <v>304.58123827200001</v>
      </c>
      <c r="G13" s="74">
        <f>'Commodity Tonnages'!G13*Pricing!G13</f>
        <v>38.068764047999998</v>
      </c>
      <c r="H13" s="74">
        <f>'Commodity Tonnages'!H13*Pricing!H13</f>
        <v>-354.88577394000004</v>
      </c>
      <c r="I13" s="74">
        <f>'Commodity Tonnages'!I13*Pricing!I13</f>
        <v>635.02647623999997</v>
      </c>
      <c r="J13" s="74">
        <f>'Commodity Tonnages'!J13*Pricing!J13</f>
        <v>635.02647623999997</v>
      </c>
      <c r="K13" s="74">
        <f>'Commodity Tonnages'!K13*Pricing!K13</f>
        <v>3578.2804814400006</v>
      </c>
      <c r="L13" s="74">
        <f>'Commodity Tonnages'!L13*Pricing!L13</f>
        <v>-2922.6016700999999</v>
      </c>
      <c r="M13" s="129">
        <f t="shared" si="0"/>
        <v>3547.832340672001</v>
      </c>
      <c r="O13" s="153">
        <f t="shared" si="1"/>
        <v>1773.9161703360005</v>
      </c>
      <c r="P13" s="160">
        <v>0.5</v>
      </c>
      <c r="Q13" s="130"/>
    </row>
    <row r="14" spans="1:17" ht="15.75" customHeight="1" x14ac:dyDescent="0.2">
      <c r="A14" s="65">
        <f>+Pricing!A14</f>
        <v>44592</v>
      </c>
      <c r="B14" s="66"/>
      <c r="C14" s="71">
        <f>'Commodity Tonnages'!C14*Pricing!C14</f>
        <v>3965.4315284480003</v>
      </c>
      <c r="D14" s="74">
        <f>'Commodity Tonnages'!D14*Pricing!D14</f>
        <v>-2026.8046239999999</v>
      </c>
      <c r="E14" s="74">
        <f>'Commodity Tonnages'!E14*Pricing!E14</f>
        <v>0</v>
      </c>
      <c r="F14" s="74">
        <f>'Commodity Tonnages'!F14*Pricing!F14</f>
        <v>243.22718784000003</v>
      </c>
      <c r="G14" s="74">
        <f>'Commodity Tonnages'!G14*Pricing!G14</f>
        <v>24.402525056000002</v>
      </c>
      <c r="H14" s="74">
        <f>'Commodity Tonnages'!H14*Pricing!H14</f>
        <v>-166.199072</v>
      </c>
      <c r="I14" s="74">
        <f>'Commodity Tonnages'!I14*Pricing!I14</f>
        <v>546.85100620800006</v>
      </c>
      <c r="J14" s="74">
        <f>'Commodity Tonnages'!J14*Pricing!J14</f>
        <v>546.85100620800006</v>
      </c>
      <c r="K14" s="74">
        <f>'Commodity Tonnages'!K14*Pricing!K14</f>
        <v>3207.8258035200001</v>
      </c>
      <c r="L14" s="74">
        <f>'Commodity Tonnages'!L14*Pricing!L14</f>
        <v>-3616.8556902400001</v>
      </c>
      <c r="M14" s="129">
        <f t="shared" si="0"/>
        <v>2724.7296710400001</v>
      </c>
      <c r="O14" s="153">
        <f t="shared" si="1"/>
        <v>1362.36483552</v>
      </c>
      <c r="P14" s="160">
        <v>0.5</v>
      </c>
      <c r="Q14" s="130"/>
    </row>
    <row r="15" spans="1:17" ht="15.75" customHeight="1" x14ac:dyDescent="0.2">
      <c r="A15" s="65">
        <f>+Pricing!A15</f>
        <v>44620</v>
      </c>
      <c r="B15" s="66"/>
      <c r="C15" s="71">
        <f>'Commodity Tonnages'!C15*Pricing!C15</f>
        <v>3345.3649912320006</v>
      </c>
      <c r="D15" s="74">
        <f>'Commodity Tonnages'!D15*Pricing!D15</f>
        <v>-1267.7434109999999</v>
      </c>
      <c r="E15" s="74">
        <f>'Commodity Tonnages'!E15*Pricing!E15</f>
        <v>0</v>
      </c>
      <c r="F15" s="74">
        <f>'Commodity Tonnages'!F15*Pricing!F15</f>
        <v>211.40487244800002</v>
      </c>
      <c r="G15" s="74">
        <f>'Commodity Tonnages'!G15*Pricing!G15</f>
        <v>22.436748575999999</v>
      </c>
      <c r="H15" s="74">
        <f>'Commodity Tonnages'!H15*Pricing!H15</f>
        <v>-844.23430080000014</v>
      </c>
      <c r="I15" s="74">
        <f>'Commodity Tonnages'!I15*Pricing!I15</f>
        <v>573.94474104000005</v>
      </c>
      <c r="J15" s="74">
        <f>'Commodity Tonnages'!J15*Pricing!J15</f>
        <v>573.94474104000005</v>
      </c>
      <c r="K15" s="74">
        <f>'Commodity Tonnages'!K15*Pricing!K15</f>
        <v>3086.6759510400007</v>
      </c>
      <c r="L15" s="74">
        <f>'Commodity Tonnages'!L15*Pricing!L15</f>
        <v>-2684.7008588400004</v>
      </c>
      <c r="M15" s="129">
        <f t="shared" si="0"/>
        <v>3017.0934747360006</v>
      </c>
      <c r="O15" s="153">
        <f t="shared" si="1"/>
        <v>1508.5467373680003</v>
      </c>
      <c r="P15" s="160">
        <v>0.5</v>
      </c>
      <c r="Q15" s="130"/>
    </row>
    <row r="16" spans="1:17" ht="15.75" customHeight="1" x14ac:dyDescent="0.2">
      <c r="A16" s="65">
        <f>+Pricing!A16</f>
        <v>44651</v>
      </c>
      <c r="B16" s="66"/>
      <c r="C16" s="71">
        <f>'Commodity Tonnages'!C16*Pricing!C16</f>
        <v>5532.3166695840009</v>
      </c>
      <c r="D16" s="74">
        <f>'Commodity Tonnages'!D16*Pricing!D16</f>
        <v>-2177.1565492499999</v>
      </c>
      <c r="E16" s="74">
        <f>'Commodity Tonnages'!E16*Pricing!E16</f>
        <v>0</v>
      </c>
      <c r="F16" s="74">
        <f>'Commodity Tonnages'!F16*Pricing!F16</f>
        <v>330.45090674399995</v>
      </c>
      <c r="G16" s="74">
        <f>'Commodity Tonnages'!G16*Pricing!G16</f>
        <v>48.439889567999998</v>
      </c>
      <c r="H16" s="74">
        <f>'Commodity Tonnages'!H16*Pricing!H16</f>
        <v>-957.03651900000011</v>
      </c>
      <c r="I16" s="74">
        <f>'Commodity Tonnages'!I16*Pricing!I16</f>
        <v>1102.4814683520003</v>
      </c>
      <c r="J16" s="74">
        <f>'Commodity Tonnages'!J16*Pricing!J16</f>
        <v>1102.4814683520003</v>
      </c>
      <c r="K16" s="74">
        <f>'Commodity Tonnages'!K16*Pricing!K16</f>
        <v>4557.8637338400004</v>
      </c>
      <c r="L16" s="74">
        <f>'Commodity Tonnages'!L16*Pricing!L16</f>
        <v>-4103.2749806100001</v>
      </c>
      <c r="M16" s="129">
        <f t="shared" si="0"/>
        <v>5436.5660875800022</v>
      </c>
      <c r="O16" s="153">
        <f t="shared" si="1"/>
        <v>2718.2830437900011</v>
      </c>
      <c r="P16" s="160">
        <v>0.5</v>
      </c>
      <c r="Q16" s="130"/>
    </row>
    <row r="17" spans="1:17" ht="15.75" customHeight="1" x14ac:dyDescent="0.2">
      <c r="A17" s="65">
        <f>+Pricing!A17</f>
        <v>44681</v>
      </c>
      <c r="B17" s="66"/>
      <c r="C17" s="71">
        <f>'Commodity Tonnages'!C17*Pricing!C17</f>
        <v>3687.0551255200003</v>
      </c>
      <c r="D17" s="74">
        <f>'Commodity Tonnages'!D17*Pricing!D17</f>
        <v>-1125.36705775</v>
      </c>
      <c r="E17" s="74">
        <f>'Commodity Tonnages'!E17*Pricing!E17</f>
        <v>0</v>
      </c>
      <c r="F17" s="74">
        <f>'Commodity Tonnages'!F17*Pricing!F17</f>
        <v>265.05436994400003</v>
      </c>
      <c r="G17" s="74">
        <f>'Commodity Tonnages'!G17*Pricing!G17</f>
        <v>40.178492120000001</v>
      </c>
      <c r="H17" s="74">
        <f>'Commodity Tonnages'!H17*Pricing!H17</f>
        <v>-298.50212210000001</v>
      </c>
      <c r="I17" s="74">
        <f>'Commodity Tonnages'!I17*Pricing!I17</f>
        <v>911.36821276800003</v>
      </c>
      <c r="J17" s="74">
        <f>'Commodity Tonnages'!J17*Pricing!J17</f>
        <v>911.36821276800003</v>
      </c>
      <c r="K17" s="74">
        <f>'Commodity Tonnages'!K17*Pricing!K17</f>
        <v>3149.4396024000002</v>
      </c>
      <c r="L17" s="74">
        <f>'Commodity Tonnages'!L17*Pricing!L17</f>
        <v>-2798.2673685199998</v>
      </c>
      <c r="M17" s="129">
        <f t="shared" si="0"/>
        <v>4742.3274671500012</v>
      </c>
      <c r="O17" s="153">
        <f t="shared" si="1"/>
        <v>2371.1637335750006</v>
      </c>
      <c r="P17" s="160">
        <v>0.5</v>
      </c>
      <c r="Q17" s="130"/>
    </row>
    <row r="18" spans="1:17" ht="15.75" customHeight="1" x14ac:dyDescent="0.2">
      <c r="A18" s="69" t="s">
        <v>30</v>
      </c>
      <c r="B18" s="66"/>
      <c r="C18" s="131">
        <f t="shared" ref="C18:L18" si="2">SUM(C6:C17)</f>
        <v>37972.526969464001</v>
      </c>
      <c r="D18" s="132">
        <f t="shared" si="2"/>
        <v>-13300.789259579999</v>
      </c>
      <c r="E18" s="132">
        <f t="shared" si="2"/>
        <v>0</v>
      </c>
      <c r="F18" s="131">
        <f t="shared" si="2"/>
        <v>3526.501298144</v>
      </c>
      <c r="G18" s="131">
        <f t="shared" si="2"/>
        <v>426.162718192</v>
      </c>
      <c r="H18" s="131">
        <f t="shared" si="2"/>
        <v>12403.763163480004</v>
      </c>
      <c r="I18" s="131">
        <f t="shared" si="2"/>
        <v>10135.665113716001</v>
      </c>
      <c r="J18" s="131">
        <f t="shared" si="2"/>
        <v>10135.665113716001</v>
      </c>
      <c r="K18" s="131">
        <f t="shared" si="2"/>
        <v>48095.11742396</v>
      </c>
      <c r="L18" s="132">
        <f t="shared" si="2"/>
        <v>-39827.820973309994</v>
      </c>
      <c r="M18" s="133">
        <f>SUM(C18:L18)</f>
        <v>69566.791567782013</v>
      </c>
      <c r="O18" s="152">
        <f>SUM(O6:O17)</f>
        <v>34783.395783890999</v>
      </c>
      <c r="P18" s="137">
        <f>+O18/M18</f>
        <v>0.49999999999999989</v>
      </c>
    </row>
    <row r="19" spans="1:17" x14ac:dyDescent="0.2">
      <c r="A19" s="66"/>
      <c r="B19" s="66"/>
      <c r="C19" s="71"/>
      <c r="D19" s="71"/>
      <c r="E19" s="71"/>
      <c r="F19" s="71"/>
      <c r="G19" s="71"/>
      <c r="H19" s="71"/>
      <c r="I19" s="71"/>
      <c r="J19" s="71"/>
      <c r="K19" s="71"/>
      <c r="L19" s="71"/>
      <c r="M19" s="71"/>
      <c r="O19" s="80"/>
    </row>
    <row r="20" spans="1:17" x14ac:dyDescent="0.2">
      <c r="A20" s="66"/>
      <c r="B20" s="66"/>
      <c r="C20" s="66"/>
      <c r="D20" s="66"/>
      <c r="E20" s="66"/>
      <c r="F20" s="66"/>
      <c r="G20" s="66"/>
      <c r="H20" s="66"/>
      <c r="I20" s="66"/>
      <c r="J20" s="66"/>
      <c r="K20" s="66"/>
      <c r="L20" s="66"/>
      <c r="M20" s="67"/>
      <c r="O20" s="81"/>
    </row>
    <row r="21" spans="1:17" x14ac:dyDescent="0.2">
      <c r="A21" s="66"/>
      <c r="B21" s="66"/>
      <c r="C21" s="66"/>
      <c r="D21" s="66"/>
      <c r="E21" s="66"/>
      <c r="F21" s="66"/>
      <c r="G21" s="66"/>
      <c r="H21" s="66"/>
      <c r="I21" s="66"/>
      <c r="J21" s="66"/>
      <c r="K21" s="66"/>
      <c r="L21" s="66"/>
      <c r="M21" s="67"/>
      <c r="O21" s="82"/>
    </row>
    <row r="22" spans="1:17" x14ac:dyDescent="0.2">
      <c r="A22" s="66"/>
      <c r="B22" s="66"/>
      <c r="C22" s="66"/>
      <c r="D22" s="66"/>
      <c r="E22" s="66"/>
      <c r="F22" s="66"/>
      <c r="G22" s="66"/>
      <c r="H22" s="66"/>
      <c r="I22" s="66"/>
      <c r="J22" s="66"/>
      <c r="K22" s="66"/>
      <c r="L22" s="66"/>
      <c r="M22" s="67"/>
    </row>
    <row r="23" spans="1:17" x14ac:dyDescent="0.2">
      <c r="A23" s="66"/>
      <c r="B23" s="66"/>
      <c r="C23" s="66"/>
      <c r="D23" s="66"/>
      <c r="E23" s="66"/>
      <c r="F23" s="66"/>
      <c r="G23" s="66"/>
      <c r="H23" s="66"/>
      <c r="I23" s="66"/>
      <c r="J23" s="66"/>
      <c r="K23" s="66"/>
      <c r="L23" s="66"/>
      <c r="M23" s="67"/>
    </row>
    <row r="24" spans="1:17" x14ac:dyDescent="0.2">
      <c r="A24" s="66"/>
      <c r="B24" s="66"/>
      <c r="C24" s="66"/>
      <c r="D24" s="66"/>
      <c r="E24" s="66"/>
      <c r="F24" s="66"/>
      <c r="G24" s="66"/>
      <c r="H24" s="66"/>
      <c r="I24" s="66"/>
      <c r="J24" s="66"/>
      <c r="K24" s="66"/>
      <c r="L24" s="66"/>
      <c r="M24" s="67"/>
    </row>
    <row r="25" spans="1:17" x14ac:dyDescent="0.2">
      <c r="A25" s="66"/>
      <c r="B25" s="66"/>
      <c r="C25" s="66"/>
      <c r="D25" s="66"/>
      <c r="E25" s="66"/>
      <c r="F25" s="66"/>
      <c r="G25" s="66"/>
      <c r="H25" s="66"/>
      <c r="I25" s="66"/>
      <c r="J25" s="66"/>
      <c r="K25" s="66"/>
      <c r="L25" s="66"/>
      <c r="M25" s="67"/>
    </row>
    <row r="26" spans="1:17" x14ac:dyDescent="0.2">
      <c r="A26" s="66"/>
      <c r="B26" s="66"/>
      <c r="C26" s="66"/>
      <c r="D26" s="66"/>
      <c r="E26" s="66"/>
      <c r="F26" s="66"/>
      <c r="G26" s="66"/>
      <c r="H26" s="66"/>
      <c r="I26" s="66"/>
      <c r="J26" s="66"/>
      <c r="K26" s="66"/>
      <c r="L26" s="66"/>
      <c r="M26" s="67"/>
    </row>
    <row r="27" spans="1:17" x14ac:dyDescent="0.2">
      <c r="A27" s="66"/>
      <c r="B27" s="66"/>
      <c r="C27" s="66"/>
      <c r="D27" s="66"/>
      <c r="E27" s="66"/>
      <c r="F27" s="66"/>
      <c r="G27" s="66"/>
      <c r="H27" s="66"/>
      <c r="I27" s="66"/>
      <c r="J27" s="66"/>
      <c r="K27" s="66"/>
      <c r="L27" s="66"/>
      <c r="M27" s="67"/>
    </row>
    <row r="28" spans="1:17" x14ac:dyDescent="0.2">
      <c r="A28" s="66"/>
      <c r="B28" s="66"/>
      <c r="C28" s="66"/>
      <c r="D28" s="66"/>
      <c r="E28" s="66"/>
      <c r="F28" s="66"/>
      <c r="G28" s="66"/>
      <c r="H28" s="66"/>
      <c r="I28" s="66"/>
      <c r="J28" s="66"/>
      <c r="K28" s="66"/>
      <c r="L28" s="66"/>
      <c r="M28" s="66"/>
    </row>
    <row r="29" spans="1:17" x14ac:dyDescent="0.2">
      <c r="A29" s="66"/>
      <c r="B29" s="66"/>
      <c r="C29" s="66"/>
      <c r="D29" s="66"/>
      <c r="E29" s="66"/>
      <c r="F29" s="66"/>
      <c r="G29" s="66"/>
      <c r="H29" s="66"/>
      <c r="I29" s="66"/>
      <c r="J29" s="66"/>
      <c r="K29" s="66"/>
      <c r="L29" s="66"/>
      <c r="M29" s="66"/>
    </row>
    <row r="30" spans="1:17" x14ac:dyDescent="0.2">
      <c r="A30" s="66"/>
      <c r="B30" s="66"/>
      <c r="C30" s="66"/>
      <c r="D30" s="66"/>
      <c r="E30" s="66"/>
      <c r="F30" s="66"/>
      <c r="G30" s="66"/>
      <c r="H30" s="66"/>
      <c r="I30" s="66"/>
      <c r="J30" s="66"/>
      <c r="K30" s="66"/>
      <c r="L30" s="66"/>
      <c r="M30" s="66"/>
    </row>
    <row r="31" spans="1:17" x14ac:dyDescent="0.2">
      <c r="A31" s="66"/>
      <c r="B31" s="66"/>
      <c r="C31" s="66"/>
      <c r="D31" s="66"/>
      <c r="E31" s="66"/>
      <c r="F31" s="66"/>
      <c r="G31" s="66"/>
      <c r="H31" s="66"/>
      <c r="I31" s="66"/>
      <c r="J31" s="66"/>
      <c r="K31" s="66"/>
      <c r="L31" s="66"/>
      <c r="M31" s="66"/>
    </row>
    <row r="32" spans="1:17" x14ac:dyDescent="0.2">
      <c r="A32" s="66"/>
      <c r="B32" s="66"/>
      <c r="C32" s="66"/>
      <c r="D32" s="66"/>
      <c r="E32" s="66"/>
      <c r="F32" s="66"/>
      <c r="G32" s="66"/>
      <c r="H32" s="66"/>
      <c r="I32" s="66"/>
      <c r="J32" s="66"/>
      <c r="K32" s="66"/>
      <c r="L32" s="66"/>
      <c r="M32" s="66"/>
    </row>
    <row r="33" spans="1:13" x14ac:dyDescent="0.2">
      <c r="A33" s="66"/>
      <c r="B33" s="66"/>
      <c r="C33" s="66"/>
      <c r="D33" s="66"/>
      <c r="E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sheetData>
  <phoneticPr fontId="0" type="noConversion"/>
  <pageMargins left="0.5" right="0.5" top="0.75" bottom="0.75" header="0.5" footer="0.5"/>
  <pageSetup scale="7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8"/>
  <sheetViews>
    <sheetView showGridLines="0" zoomScaleNormal="100" workbookViewId="0"/>
  </sheetViews>
  <sheetFormatPr defaultRowHeight="12.75" x14ac:dyDescent="0.2"/>
  <cols>
    <col min="2" max="2" width="2.5703125" customWidth="1"/>
    <col min="3" max="12" width="11.7109375" customWidth="1"/>
    <col min="13" max="13" width="2.7109375" customWidth="1"/>
    <col min="14" max="14" width="11.7109375" customWidth="1"/>
    <col min="15" max="15" width="14.85546875" bestFit="1" customWidth="1"/>
  </cols>
  <sheetData>
    <row r="1" spans="1:16" x14ac:dyDescent="0.2">
      <c r="A1" s="59" t="str">
        <f>"Single-Family Tonnages by Commodity ("&amp;TEXT(A6,"mmmm yyyy")&amp;" through "&amp;TEXT(A17,"mmmm yyyy")&amp;")"</f>
        <v>Single-Family Tonnages by Commodity (May 2021 through April 2022)</v>
      </c>
      <c r="B1" s="60"/>
    </row>
    <row r="2" spans="1:16" x14ac:dyDescent="0.2">
      <c r="A2" s="61" t="str">
        <f>'WUTC_AW of Kent (SeaTac)_SF'!A1</f>
        <v>Rabanco Ltd (dba Allied Waste of Seatac)</v>
      </c>
      <c r="B2" s="61"/>
    </row>
    <row r="3" spans="1:16" x14ac:dyDescent="0.2">
      <c r="A3" s="61"/>
      <c r="B3" s="61"/>
    </row>
    <row r="4" spans="1:16" x14ac:dyDescent="0.2">
      <c r="A4" s="61"/>
      <c r="B4" s="61"/>
    </row>
    <row r="5" spans="1:16" x14ac:dyDescent="0.2">
      <c r="A5" s="60"/>
      <c r="B5" s="62"/>
      <c r="C5" s="63" t="s">
        <v>21</v>
      </c>
      <c r="D5" s="63" t="s">
        <v>22</v>
      </c>
      <c r="E5" s="63" t="s">
        <v>88</v>
      </c>
      <c r="F5" s="63" t="s">
        <v>50</v>
      </c>
      <c r="G5" s="63" t="s">
        <v>89</v>
      </c>
      <c r="H5" s="63" t="s">
        <v>24</v>
      </c>
      <c r="I5" s="63" t="s">
        <v>25</v>
      </c>
      <c r="J5" s="63" t="s">
        <v>26</v>
      </c>
      <c r="K5" s="63" t="s">
        <v>27</v>
      </c>
      <c r="L5" s="63" t="s">
        <v>28</v>
      </c>
      <c r="M5" s="63"/>
      <c r="N5" s="63" t="s">
        <v>29</v>
      </c>
    </row>
    <row r="6" spans="1:16" ht="15.75" customHeight="1" x14ac:dyDescent="0.2">
      <c r="A6" s="128">
        <f>'Single Family'!$C$6</f>
        <v>44317</v>
      </c>
      <c r="B6" s="66" t="s">
        <v>63</v>
      </c>
      <c r="C6" s="108">
        <f>'Single Family'!C32</f>
        <v>1.9159019999999998</v>
      </c>
      <c r="D6" s="109">
        <f>'Single Family'!C34</f>
        <v>14.574959999999999</v>
      </c>
      <c r="E6" s="108">
        <f>'Single Family'!C35</f>
        <v>0</v>
      </c>
      <c r="F6" s="108">
        <f>'Single Family'!C30</f>
        <v>1.657314</v>
      </c>
      <c r="G6" s="108">
        <f>'Single Family'!C33</f>
        <v>0.24683399999999997</v>
      </c>
      <c r="H6" s="108">
        <f>'Single Family'!C37</f>
        <v>37.953665999999998</v>
      </c>
      <c r="I6" s="108">
        <f>'Single Family'!C31/2</f>
        <v>2.1039659999999998</v>
      </c>
      <c r="J6" s="108">
        <f>'Single Family'!C31/2</f>
        <v>2.1039659999999998</v>
      </c>
      <c r="K6" s="108">
        <f>'Single Family'!C28</f>
        <v>28.832561999999996</v>
      </c>
      <c r="L6" s="108">
        <f>'Single Family'!C36</f>
        <v>28.150829999999996</v>
      </c>
      <c r="M6" s="64"/>
      <c r="N6" s="134">
        <f t="shared" ref="N6:N17" si="0">SUM(C6:L6)</f>
        <v>117.53999999999999</v>
      </c>
      <c r="O6" s="75"/>
      <c r="P6" s="68"/>
    </row>
    <row r="7" spans="1:16" ht="15.75" customHeight="1" x14ac:dyDescent="0.2">
      <c r="A7" s="65">
        <f t="shared" ref="A7:A17" si="1">EOMONTH(A6,1)</f>
        <v>44377</v>
      </c>
      <c r="B7" s="66" t="s">
        <v>64</v>
      </c>
      <c r="C7" s="108">
        <f>'Single Family'!D32</f>
        <v>1.8211989999999996</v>
      </c>
      <c r="D7" s="109">
        <f>'Single Family'!D34</f>
        <v>13.854519999999999</v>
      </c>
      <c r="E7" s="108">
        <f>'Single Family'!D35</f>
        <v>0</v>
      </c>
      <c r="F7" s="108">
        <f>'Single Family'!D30</f>
        <v>1.5753929999999998</v>
      </c>
      <c r="G7" s="108">
        <f>'Single Family'!D33</f>
        <v>0.23463299999999995</v>
      </c>
      <c r="H7" s="108">
        <f>'Single Family'!D37</f>
        <v>36.077616999999996</v>
      </c>
      <c r="I7" s="108">
        <f>'Single Family'!D31/2</f>
        <v>1.9999669999999998</v>
      </c>
      <c r="J7" s="108">
        <f>'Single Family'!D31/2</f>
        <v>1.9999669999999998</v>
      </c>
      <c r="K7" s="108">
        <f>'Single Family'!D28</f>
        <v>27.407368999999996</v>
      </c>
      <c r="L7" s="108">
        <f>'Single Family'!D36</f>
        <v>26.759334999999997</v>
      </c>
      <c r="M7" s="64"/>
      <c r="N7" s="134">
        <f t="shared" si="0"/>
        <v>111.72999999999999</v>
      </c>
      <c r="P7" s="68"/>
    </row>
    <row r="8" spans="1:16" ht="15.75" customHeight="1" x14ac:dyDescent="0.2">
      <c r="A8" s="65">
        <f t="shared" si="1"/>
        <v>44408</v>
      </c>
      <c r="B8" s="66" t="s">
        <v>65</v>
      </c>
      <c r="C8" s="108">
        <f>'Single Family'!E32</f>
        <v>1.8443039999999999</v>
      </c>
      <c r="D8" s="109">
        <f>'Single Family'!E34</f>
        <v>17.510408999999999</v>
      </c>
      <c r="E8" s="108">
        <f>'Single Family'!E35</f>
        <v>0</v>
      </c>
      <c r="F8" s="108">
        <f>'Single Family'!E30</f>
        <v>1.5928079999999998</v>
      </c>
      <c r="G8" s="108">
        <f>'Single Family'!E33</f>
        <v>0.22005899999999998</v>
      </c>
      <c r="H8" s="108">
        <f>'Single Family'!E37</f>
        <v>36.582189</v>
      </c>
      <c r="I8" s="108">
        <f>'Single Family'!E31/2</f>
        <v>2.3839724999999996</v>
      </c>
      <c r="J8" s="108">
        <f>'Single Family'!E31/2</f>
        <v>2.3839724999999996</v>
      </c>
      <c r="K8" s="108">
        <f>'Single Family'!E28</f>
        <v>26.501390999999998</v>
      </c>
      <c r="L8" s="108">
        <f>'Single Family'!E36</f>
        <v>15.770894999999998</v>
      </c>
      <c r="M8" s="64"/>
      <c r="N8" s="134">
        <f t="shared" si="0"/>
        <v>104.78999999999999</v>
      </c>
      <c r="P8" s="68"/>
    </row>
    <row r="9" spans="1:16" ht="15.75" customHeight="1" x14ac:dyDescent="0.2">
      <c r="A9" s="65">
        <f t="shared" si="1"/>
        <v>44439</v>
      </c>
      <c r="B9" s="66" t="s">
        <v>66</v>
      </c>
      <c r="C9" s="108">
        <f>'Single Family'!F32</f>
        <v>2.4122560000000002</v>
      </c>
      <c r="D9" s="109">
        <f>'Single Family'!F34</f>
        <v>22.902726000000001</v>
      </c>
      <c r="E9" s="108">
        <f>'Single Family'!F35</f>
        <v>0</v>
      </c>
      <c r="F9" s="108">
        <f>'Single Family'!F30</f>
        <v>2.0833119999999998</v>
      </c>
      <c r="G9" s="108">
        <f>'Single Family'!F33</f>
        <v>0.28782599999999997</v>
      </c>
      <c r="H9" s="108">
        <f>'Single Family'!F37</f>
        <v>47.847646000000005</v>
      </c>
      <c r="I9" s="108">
        <f>'Single Family'!F31/2</f>
        <v>3.118115</v>
      </c>
      <c r="J9" s="108">
        <f>'Single Family'!F31/2</f>
        <v>3.118115</v>
      </c>
      <c r="K9" s="108">
        <f>'Single Family'!F28</f>
        <v>34.662474000000003</v>
      </c>
      <c r="L9" s="108">
        <f>'Single Family'!F36</f>
        <v>20.62753</v>
      </c>
      <c r="M9" s="64"/>
      <c r="N9" s="134">
        <f t="shared" si="0"/>
        <v>137.06</v>
      </c>
      <c r="P9" s="68"/>
    </row>
    <row r="10" spans="1:16" ht="15.75" customHeight="1" x14ac:dyDescent="0.2">
      <c r="A10" s="65">
        <f t="shared" si="1"/>
        <v>44469</v>
      </c>
      <c r="B10" s="66" t="s">
        <v>67</v>
      </c>
      <c r="C10" s="108">
        <f>'Single Family'!G32</f>
        <v>2.27216</v>
      </c>
      <c r="D10" s="109">
        <f>'Single Family'!G34</f>
        <v>21.572609999999997</v>
      </c>
      <c r="E10" s="108">
        <f>'Single Family'!G35</f>
        <v>0</v>
      </c>
      <c r="F10" s="108">
        <f>'Single Family'!G30</f>
        <v>1.9623199999999998</v>
      </c>
      <c r="G10" s="108">
        <f>'Single Family'!G33</f>
        <v>0.27110999999999996</v>
      </c>
      <c r="H10" s="108">
        <f>'Single Family'!G37</f>
        <v>45.068809999999999</v>
      </c>
      <c r="I10" s="108">
        <f>'Single Family'!G31/2</f>
        <v>2.9370249999999998</v>
      </c>
      <c r="J10" s="108">
        <f>'Single Family'!G31/2</f>
        <v>2.9370249999999998</v>
      </c>
      <c r="K10" s="108">
        <f>'Single Family'!G28</f>
        <v>32.649389999999997</v>
      </c>
      <c r="L10" s="108">
        <f>'Single Family'!G36</f>
        <v>19.429549999999999</v>
      </c>
      <c r="M10" s="64"/>
      <c r="N10" s="134">
        <f t="shared" si="0"/>
        <v>129.1</v>
      </c>
      <c r="P10" s="68"/>
    </row>
    <row r="11" spans="1:16" ht="15.75" customHeight="1" x14ac:dyDescent="0.2">
      <c r="A11" s="65">
        <f t="shared" si="1"/>
        <v>44500</v>
      </c>
      <c r="B11" s="66" t="s">
        <v>68</v>
      </c>
      <c r="C11" s="108">
        <f>'Single Family'!H32</f>
        <v>2.1241440000000003</v>
      </c>
      <c r="D11" s="109">
        <f>'Single Family'!H34</f>
        <v>20.167299</v>
      </c>
      <c r="E11" s="108">
        <f>'Single Family'!H35</f>
        <v>0</v>
      </c>
      <c r="F11" s="108">
        <f>'Single Family'!H30</f>
        <v>1.8344879999999999</v>
      </c>
      <c r="G11" s="108">
        <f>'Single Family'!H33</f>
        <v>0.25344899999999998</v>
      </c>
      <c r="H11" s="108">
        <f>'Single Family'!H37</f>
        <v>42.132879000000003</v>
      </c>
      <c r="I11" s="108">
        <f>'Single Family'!H31/2</f>
        <v>2.7456974999999999</v>
      </c>
      <c r="J11" s="108">
        <f>'Single Family'!H31/2</f>
        <v>2.7456974999999999</v>
      </c>
      <c r="K11" s="108">
        <f>'Single Family'!H28</f>
        <v>30.522501000000002</v>
      </c>
      <c r="L11" s="108">
        <f>'Single Family'!H36</f>
        <v>18.163844999999998</v>
      </c>
      <c r="M11" s="64"/>
      <c r="N11" s="134">
        <f t="shared" si="0"/>
        <v>120.69000000000001</v>
      </c>
      <c r="P11" s="68"/>
    </row>
    <row r="12" spans="1:16" ht="15.75" customHeight="1" x14ac:dyDescent="0.2">
      <c r="A12" s="65">
        <f t="shared" si="1"/>
        <v>44530</v>
      </c>
      <c r="B12" s="66" t="s">
        <v>69</v>
      </c>
      <c r="C12" s="108">
        <f>'Single Family'!I32</f>
        <v>2.1788799999999999</v>
      </c>
      <c r="D12" s="109">
        <f>'Single Family'!I34</f>
        <v>20.686979999999998</v>
      </c>
      <c r="E12" s="108">
        <f>'Single Family'!I35</f>
        <v>0</v>
      </c>
      <c r="F12" s="108">
        <f>'Single Family'!I30</f>
        <v>1.8817599999999999</v>
      </c>
      <c r="G12" s="108">
        <f>'Single Family'!I33</f>
        <v>0.25997999999999999</v>
      </c>
      <c r="H12" s="108">
        <f>'Single Family'!I37</f>
        <v>43.218580000000003</v>
      </c>
      <c r="I12" s="108">
        <f>'Single Family'!I31/2</f>
        <v>2.8164499999999997</v>
      </c>
      <c r="J12" s="108">
        <f>'Single Family'!I31/2</f>
        <v>2.8164499999999997</v>
      </c>
      <c r="K12" s="108">
        <f>'Single Family'!I28</f>
        <v>31.30902</v>
      </c>
      <c r="L12" s="108">
        <f>'Single Family'!I36</f>
        <v>18.631899999999998</v>
      </c>
      <c r="M12" s="64"/>
      <c r="N12" s="134">
        <f t="shared" si="0"/>
        <v>123.80000000000001</v>
      </c>
      <c r="P12" s="68"/>
    </row>
    <row r="13" spans="1:16" ht="15.75" customHeight="1" x14ac:dyDescent="0.2">
      <c r="A13" s="65">
        <f t="shared" si="1"/>
        <v>44561</v>
      </c>
      <c r="B13" s="66" t="s">
        <v>70</v>
      </c>
      <c r="C13" s="108">
        <f>'Single Family'!J32</f>
        <v>2.0877120000000002</v>
      </c>
      <c r="D13" s="109">
        <f>'Single Family'!J34</f>
        <v>19.821401999999999</v>
      </c>
      <c r="E13" s="108">
        <f>'Single Family'!J35</f>
        <v>0</v>
      </c>
      <c r="F13" s="108">
        <f>'Single Family'!J30</f>
        <v>1.803024</v>
      </c>
      <c r="G13" s="108">
        <f>'Single Family'!J33</f>
        <v>0.24910199999999999</v>
      </c>
      <c r="H13" s="108">
        <f>'Single Family'!J37</f>
        <v>41.410242000000004</v>
      </c>
      <c r="I13" s="108">
        <f>'Single Family'!J31/2</f>
        <v>2.6986050000000001</v>
      </c>
      <c r="J13" s="108">
        <f>'Single Family'!J31/2</f>
        <v>2.6986050000000001</v>
      </c>
      <c r="K13" s="108">
        <f>'Single Family'!J28</f>
        <v>29.998998000000004</v>
      </c>
      <c r="L13" s="108">
        <f>'Single Family'!J36</f>
        <v>17.852309999999999</v>
      </c>
      <c r="M13" s="64"/>
      <c r="N13" s="134">
        <f t="shared" si="0"/>
        <v>118.62</v>
      </c>
      <c r="P13" s="68"/>
    </row>
    <row r="14" spans="1:16" ht="15.75" customHeight="1" x14ac:dyDescent="0.2">
      <c r="A14" s="65">
        <f t="shared" si="1"/>
        <v>44592</v>
      </c>
      <c r="B14" s="66" t="s">
        <v>71</v>
      </c>
      <c r="C14" s="108">
        <f>'Single Family'!K32</f>
        <v>2.6287039999999999</v>
      </c>
      <c r="D14" s="109">
        <f>'Single Family'!K34</f>
        <v>26.213200000000001</v>
      </c>
      <c r="E14" s="108">
        <f>'Single Family'!K35</f>
        <v>0</v>
      </c>
      <c r="F14" s="108">
        <f>'Single Family'!K30</f>
        <v>2.1708959999999999</v>
      </c>
      <c r="G14" s="108">
        <f>'Single Family'!K33</f>
        <v>0.28059200000000001</v>
      </c>
      <c r="H14" s="108">
        <f>'Single Family'!K37</f>
        <v>48.882080000000002</v>
      </c>
      <c r="I14" s="108">
        <f>'Single Family'!K31/2</f>
        <v>3.6329280000000002</v>
      </c>
      <c r="J14" s="108">
        <f>'Single Family'!K31/2</f>
        <v>3.6329280000000002</v>
      </c>
      <c r="K14" s="108">
        <f>'Single Family'!K28</f>
        <v>38.54448</v>
      </c>
      <c r="L14" s="108">
        <f>'Single Family'!K36</f>
        <v>21.694192000000001</v>
      </c>
      <c r="M14" s="64"/>
      <c r="N14" s="134">
        <f t="shared" si="0"/>
        <v>147.68</v>
      </c>
      <c r="P14" s="68"/>
    </row>
    <row r="15" spans="1:16" ht="15.75" customHeight="1" x14ac:dyDescent="0.2">
      <c r="A15" s="65">
        <f t="shared" si="1"/>
        <v>44620</v>
      </c>
      <c r="B15" s="66" t="s">
        <v>72</v>
      </c>
      <c r="C15" s="108">
        <f>'Single Family'!L32</f>
        <v>1.9501680000000001</v>
      </c>
      <c r="D15" s="109">
        <f>'Single Family'!L34</f>
        <v>19.446899999999999</v>
      </c>
      <c r="E15" s="108">
        <f>'Single Family'!L35</f>
        <v>0</v>
      </c>
      <c r="F15" s="108">
        <f>'Single Family'!L30</f>
        <v>1.6105320000000001</v>
      </c>
      <c r="G15" s="108">
        <f>'Single Family'!L33</f>
        <v>0.20816400000000002</v>
      </c>
      <c r="H15" s="108">
        <f>'Single Family'!L37</f>
        <v>36.264360000000003</v>
      </c>
      <c r="I15" s="108">
        <f>'Single Family'!L31/2</f>
        <v>2.695176</v>
      </c>
      <c r="J15" s="108">
        <f>'Single Family'!L31/2</f>
        <v>2.695176</v>
      </c>
      <c r="K15" s="108">
        <f>'Single Family'!L28</f>
        <v>28.59516</v>
      </c>
      <c r="L15" s="108">
        <f>'Single Family'!L36</f>
        <v>16.094364000000002</v>
      </c>
      <c r="M15" s="64"/>
      <c r="N15" s="134">
        <f t="shared" si="0"/>
        <v>109.56000000000002</v>
      </c>
      <c r="P15" s="68"/>
    </row>
    <row r="16" spans="1:16" ht="15.75" customHeight="1" x14ac:dyDescent="0.2">
      <c r="A16" s="65">
        <f t="shared" si="1"/>
        <v>44651</v>
      </c>
      <c r="B16" s="66" t="s">
        <v>73</v>
      </c>
      <c r="C16" s="108">
        <f>'Single Family'!M32</f>
        <v>2.9749140000000001</v>
      </c>
      <c r="D16" s="109">
        <f>'Single Family'!M34</f>
        <v>29.665574999999997</v>
      </c>
      <c r="E16" s="108">
        <f>'Single Family'!M35</f>
        <v>0</v>
      </c>
      <c r="F16" s="108">
        <f>'Single Family'!M30</f>
        <v>2.4568109999999996</v>
      </c>
      <c r="G16" s="108">
        <f>'Single Family'!M33</f>
        <v>0.31754699999999997</v>
      </c>
      <c r="H16" s="108">
        <f>'Single Family'!M37</f>
        <v>55.320030000000003</v>
      </c>
      <c r="I16" s="108">
        <f>'Single Family'!M31/2</f>
        <v>4.1113980000000003</v>
      </c>
      <c r="J16" s="108">
        <f>'Single Family'!M31/2</f>
        <v>4.1113980000000003</v>
      </c>
      <c r="K16" s="108">
        <f>'Single Family'!M28</f>
        <v>43.620930000000001</v>
      </c>
      <c r="L16" s="108">
        <f>'Single Family'!M36</f>
        <v>24.551397000000001</v>
      </c>
      <c r="M16" s="64"/>
      <c r="N16" s="134">
        <f t="shared" si="0"/>
        <v>167.13</v>
      </c>
      <c r="P16" s="68"/>
    </row>
    <row r="17" spans="1:16" ht="15.75" customHeight="1" x14ac:dyDescent="0.2">
      <c r="A17" s="65">
        <f t="shared" si="1"/>
        <v>44681</v>
      </c>
      <c r="B17" s="66" t="s">
        <v>74</v>
      </c>
      <c r="C17" s="108">
        <f>'Single Family'!N32</f>
        <v>2.0293779999999999</v>
      </c>
      <c r="D17" s="109">
        <f>'Single Family'!N34</f>
        <v>20.236774999999998</v>
      </c>
      <c r="E17" s="108">
        <f>'Single Family'!N35</f>
        <v>0</v>
      </c>
      <c r="F17" s="108">
        <f>'Single Family'!N30</f>
        <v>1.6759469999999999</v>
      </c>
      <c r="G17" s="108">
        <f>'Single Family'!N33</f>
        <v>0.21661899999999998</v>
      </c>
      <c r="H17" s="108">
        <f>'Single Family'!N37</f>
        <v>37.737310000000001</v>
      </c>
      <c r="I17" s="108">
        <f>'Single Family'!N31/2</f>
        <v>2.804646</v>
      </c>
      <c r="J17" s="108">
        <f>'Single Family'!N31/2</f>
        <v>2.804646</v>
      </c>
      <c r="K17" s="108">
        <f>'Single Family'!N28</f>
        <v>29.756609999999998</v>
      </c>
      <c r="L17" s="108">
        <f>'Single Family'!N36</f>
        <v>16.748068999999997</v>
      </c>
      <c r="M17" s="64"/>
      <c r="N17" s="134">
        <f t="shared" si="0"/>
        <v>114.01</v>
      </c>
      <c r="P17" s="68"/>
    </row>
    <row r="18" spans="1:16" ht="15.75" customHeight="1" x14ac:dyDescent="0.2">
      <c r="A18" s="69" t="s">
        <v>30</v>
      </c>
      <c r="B18" s="66"/>
      <c r="C18" s="135">
        <f t="shared" ref="C18:L18" si="2">SUM(C6:C17)</f>
        <v>26.239721000000003</v>
      </c>
      <c r="D18" s="135">
        <f t="shared" si="2"/>
        <v>246.65335599999997</v>
      </c>
      <c r="E18" s="135">
        <f t="shared" si="2"/>
        <v>0</v>
      </c>
      <c r="F18" s="135">
        <f t="shared" si="2"/>
        <v>22.304604999999999</v>
      </c>
      <c r="G18" s="135">
        <f t="shared" si="2"/>
        <v>3.0459149999999999</v>
      </c>
      <c r="H18" s="135">
        <f t="shared" si="2"/>
        <v>508.495409</v>
      </c>
      <c r="I18" s="135">
        <f t="shared" si="2"/>
        <v>34.047946000000003</v>
      </c>
      <c r="J18" s="135">
        <f t="shared" si="2"/>
        <v>34.047946000000003</v>
      </c>
      <c r="K18" s="135">
        <f t="shared" si="2"/>
        <v>382.40088500000002</v>
      </c>
      <c r="L18" s="135">
        <f t="shared" si="2"/>
        <v>244.47421699999998</v>
      </c>
      <c r="M18" s="64"/>
      <c r="N18" s="136">
        <f>SUM(N6:N17)</f>
        <v>1501.7099999999998</v>
      </c>
      <c r="O18" s="67"/>
    </row>
    <row r="19" spans="1:16" x14ac:dyDescent="0.2">
      <c r="A19" s="65"/>
      <c r="B19" s="66"/>
      <c r="C19" s="66"/>
      <c r="D19" s="66"/>
      <c r="E19" s="66"/>
      <c r="F19" s="66"/>
      <c r="G19" s="66"/>
      <c r="H19" s="66"/>
      <c r="I19" s="66"/>
      <c r="J19" s="66"/>
      <c r="K19" s="66"/>
      <c r="L19" s="66"/>
      <c r="M19" s="64"/>
      <c r="N19" s="67"/>
    </row>
    <row r="20" spans="1:16" x14ac:dyDescent="0.2">
      <c r="A20" s="59"/>
      <c r="B20" s="66"/>
      <c r="C20" s="66"/>
      <c r="D20" s="66"/>
      <c r="E20" s="66"/>
      <c r="F20" s="66"/>
      <c r="G20" s="66"/>
      <c r="H20" s="66"/>
      <c r="I20" s="66"/>
      <c r="J20" s="66"/>
      <c r="K20" s="66"/>
      <c r="L20" s="66"/>
      <c r="M20" s="64"/>
      <c r="N20" s="67"/>
    </row>
    <row r="21" spans="1:16" x14ac:dyDescent="0.2">
      <c r="A21" s="65"/>
      <c r="B21" s="66"/>
      <c r="C21" s="66"/>
      <c r="D21" s="66"/>
      <c r="E21" s="66"/>
      <c r="F21" s="66"/>
      <c r="G21" s="66"/>
      <c r="H21" s="66"/>
      <c r="I21" s="66"/>
      <c r="J21" s="66"/>
      <c r="K21" s="66"/>
      <c r="L21" s="66"/>
      <c r="M21" s="64"/>
      <c r="N21" s="67"/>
    </row>
    <row r="22" spans="1:16" x14ac:dyDescent="0.2">
      <c r="A22" s="65"/>
      <c r="B22" s="66"/>
      <c r="C22" s="66"/>
      <c r="D22" s="66"/>
      <c r="E22" s="66"/>
      <c r="F22" s="66"/>
      <c r="G22" s="66"/>
      <c r="H22" s="66"/>
      <c r="I22" s="66"/>
      <c r="J22" s="66"/>
      <c r="K22" s="66"/>
      <c r="L22" s="66"/>
      <c r="M22" s="64"/>
      <c r="N22" s="67"/>
    </row>
    <row r="23" spans="1:16" x14ac:dyDescent="0.2">
      <c r="A23" s="66"/>
      <c r="B23" s="66"/>
      <c r="C23" s="66"/>
      <c r="D23" s="66"/>
      <c r="E23" s="66"/>
      <c r="F23" s="66"/>
      <c r="G23" s="66"/>
      <c r="H23" s="66"/>
      <c r="I23" s="66"/>
      <c r="J23" s="66"/>
      <c r="K23" s="66"/>
      <c r="L23" s="66"/>
      <c r="M23" s="64"/>
      <c r="N23" s="67"/>
    </row>
    <row r="24" spans="1:16" x14ac:dyDescent="0.2">
      <c r="A24" s="66"/>
      <c r="B24" s="66"/>
      <c r="C24" s="66"/>
      <c r="D24" s="66"/>
      <c r="E24" s="66"/>
      <c r="F24" s="66"/>
      <c r="G24" s="66"/>
      <c r="H24" s="66"/>
      <c r="I24" s="66"/>
      <c r="J24" s="66"/>
      <c r="K24" s="66"/>
      <c r="L24" s="66"/>
      <c r="M24" s="64"/>
      <c r="N24" s="67"/>
    </row>
    <row r="25" spans="1:16" x14ac:dyDescent="0.2">
      <c r="A25" s="66"/>
      <c r="B25" s="66"/>
      <c r="C25" s="66"/>
      <c r="E25" s="66"/>
      <c r="F25" s="66"/>
      <c r="G25" s="66"/>
      <c r="H25" s="66"/>
      <c r="I25" s="66"/>
      <c r="J25" s="66"/>
      <c r="K25" s="66"/>
      <c r="L25" s="66"/>
      <c r="M25" s="64"/>
      <c r="N25" s="67"/>
    </row>
    <row r="26" spans="1:16" x14ac:dyDescent="0.2">
      <c r="A26" s="66"/>
      <c r="B26" s="66"/>
      <c r="C26" s="66"/>
      <c r="D26" s="66"/>
      <c r="E26" s="66"/>
      <c r="F26" s="66"/>
      <c r="G26" s="66"/>
      <c r="H26" s="66"/>
      <c r="I26" s="66"/>
      <c r="J26" s="66"/>
      <c r="K26" s="66"/>
      <c r="L26" s="66"/>
      <c r="M26" s="64"/>
      <c r="N26" s="67"/>
    </row>
    <row r="27" spans="1:16" x14ac:dyDescent="0.2">
      <c r="A27" s="66"/>
      <c r="B27" s="66"/>
      <c r="C27" s="66"/>
      <c r="D27" s="66"/>
      <c r="E27" s="66"/>
      <c r="F27" s="66"/>
      <c r="G27" s="66"/>
      <c r="H27" s="66"/>
      <c r="I27" s="66"/>
      <c r="J27" s="66"/>
      <c r="K27" s="66"/>
      <c r="L27" s="66"/>
      <c r="M27" s="64"/>
      <c r="N27" s="67"/>
    </row>
    <row r="28" spans="1:16" x14ac:dyDescent="0.2">
      <c r="A28" s="66"/>
      <c r="B28" s="66"/>
      <c r="C28" s="66"/>
      <c r="D28" s="66"/>
      <c r="E28" s="66"/>
      <c r="F28" s="66"/>
      <c r="G28" s="66"/>
      <c r="H28" s="66"/>
      <c r="I28" s="66"/>
      <c r="J28" s="66"/>
      <c r="K28" s="66"/>
      <c r="L28" s="66"/>
      <c r="M28" s="64"/>
      <c r="N28" s="66"/>
    </row>
    <row r="29" spans="1:16" x14ac:dyDescent="0.2">
      <c r="A29" s="66"/>
      <c r="B29" s="66"/>
      <c r="C29" s="66"/>
      <c r="D29" s="66"/>
      <c r="E29" s="66"/>
      <c r="F29" s="66"/>
      <c r="G29" s="66"/>
      <c r="H29" s="66"/>
      <c r="I29" s="66"/>
      <c r="J29" s="66"/>
      <c r="K29" s="66"/>
      <c r="L29" s="66"/>
      <c r="M29" s="64"/>
      <c r="N29" s="66"/>
    </row>
    <row r="30" spans="1:16" x14ac:dyDescent="0.2">
      <c r="A30" s="66"/>
      <c r="B30" s="66"/>
      <c r="C30" s="66"/>
      <c r="D30" s="66"/>
      <c r="E30" s="66"/>
      <c r="F30" s="66"/>
      <c r="G30" s="66"/>
      <c r="H30" s="66"/>
      <c r="I30" s="66"/>
      <c r="J30" s="66"/>
      <c r="K30" s="66"/>
      <c r="L30" s="66"/>
      <c r="M30" s="64"/>
      <c r="N30" s="66"/>
    </row>
    <row r="31" spans="1:16" x14ac:dyDescent="0.2">
      <c r="A31" s="66"/>
      <c r="B31" s="66"/>
      <c r="C31" s="66"/>
      <c r="D31" s="66"/>
      <c r="E31" s="66"/>
      <c r="F31" s="66"/>
      <c r="G31" s="66"/>
      <c r="H31" s="66"/>
      <c r="I31" s="66"/>
      <c r="J31" s="66"/>
      <c r="K31" s="66"/>
      <c r="L31" s="66"/>
      <c r="M31" s="64"/>
      <c r="N31" s="66"/>
    </row>
    <row r="32" spans="1:16" x14ac:dyDescent="0.2">
      <c r="A32" s="66"/>
      <c r="B32" s="66"/>
      <c r="C32" s="66"/>
      <c r="D32" s="66"/>
      <c r="E32" s="66"/>
      <c r="F32" s="66"/>
      <c r="G32" s="66"/>
      <c r="H32" s="66"/>
      <c r="I32" s="66"/>
      <c r="J32" s="66"/>
      <c r="K32" s="66"/>
      <c r="L32" s="66"/>
      <c r="M32" s="64"/>
      <c r="N32" s="66"/>
    </row>
    <row r="33" spans="1:14" x14ac:dyDescent="0.2">
      <c r="A33" s="66"/>
      <c r="B33" s="66"/>
      <c r="C33" s="66"/>
      <c r="D33" s="66"/>
      <c r="E33" s="66"/>
      <c r="F33" s="66"/>
      <c r="G33" s="66"/>
      <c r="H33" s="66"/>
      <c r="I33" s="66"/>
      <c r="J33" s="66"/>
      <c r="K33" s="66"/>
      <c r="L33" s="66"/>
      <c r="M33" s="64"/>
      <c r="N33" s="66"/>
    </row>
    <row r="34" spans="1:14" x14ac:dyDescent="0.2">
      <c r="A34" s="66"/>
      <c r="B34" s="66"/>
      <c r="C34" s="66"/>
      <c r="D34" s="66"/>
      <c r="E34" s="66"/>
      <c r="F34" s="66"/>
      <c r="G34" s="66"/>
      <c r="H34" s="66"/>
      <c r="I34" s="66"/>
      <c r="J34" s="66"/>
      <c r="K34" s="66"/>
      <c r="L34" s="66"/>
      <c r="M34" s="64"/>
      <c r="N34" s="66"/>
    </row>
    <row r="35" spans="1:14" x14ac:dyDescent="0.2">
      <c r="A35" s="66"/>
      <c r="B35" s="66"/>
      <c r="C35" s="66"/>
      <c r="D35" s="66"/>
      <c r="E35" s="66"/>
      <c r="F35" s="66"/>
      <c r="G35" s="66"/>
      <c r="H35" s="66"/>
      <c r="I35" s="66"/>
      <c r="J35" s="66"/>
      <c r="K35" s="66"/>
      <c r="L35" s="66"/>
      <c r="M35" s="64"/>
      <c r="N35" s="66"/>
    </row>
    <row r="36" spans="1:14" x14ac:dyDescent="0.2">
      <c r="A36" s="66"/>
      <c r="B36" s="66"/>
      <c r="C36" s="66"/>
      <c r="D36" s="66"/>
      <c r="E36" s="66"/>
      <c r="F36" s="66"/>
      <c r="G36" s="66"/>
      <c r="H36" s="66"/>
      <c r="I36" s="66"/>
      <c r="J36" s="66"/>
      <c r="K36" s="66"/>
      <c r="L36" s="66"/>
      <c r="M36" s="64"/>
      <c r="N36" s="66"/>
    </row>
    <row r="37" spans="1:14" x14ac:dyDescent="0.2">
      <c r="A37" s="66"/>
      <c r="B37" s="66"/>
      <c r="C37" s="66"/>
      <c r="D37" s="66"/>
      <c r="E37" s="66"/>
      <c r="F37" s="66"/>
      <c r="G37" s="66"/>
      <c r="H37" s="66"/>
      <c r="I37" s="66"/>
      <c r="J37" s="66"/>
      <c r="K37" s="66"/>
      <c r="L37" s="66"/>
      <c r="M37" s="64"/>
      <c r="N37" s="66"/>
    </row>
    <row r="38" spans="1:14" x14ac:dyDescent="0.2">
      <c r="A38" s="66"/>
      <c r="B38" s="66"/>
      <c r="C38" s="66"/>
      <c r="D38" s="66"/>
      <c r="E38" s="66"/>
      <c r="F38" s="66"/>
      <c r="G38" s="66"/>
      <c r="H38" s="66"/>
      <c r="I38" s="66"/>
      <c r="J38" s="66"/>
      <c r="K38" s="66"/>
      <c r="L38" s="66"/>
      <c r="M38" s="64"/>
      <c r="N38" s="66"/>
    </row>
    <row r="39" spans="1:14" x14ac:dyDescent="0.2">
      <c r="A39" s="66"/>
      <c r="B39" s="66"/>
      <c r="C39" s="66"/>
      <c r="D39" s="66"/>
      <c r="E39" s="66"/>
      <c r="F39" s="66"/>
      <c r="G39" s="66"/>
      <c r="H39" s="66"/>
      <c r="I39" s="66"/>
      <c r="J39" s="66"/>
      <c r="K39" s="66"/>
      <c r="L39" s="66"/>
      <c r="M39" s="66"/>
      <c r="N39" s="66"/>
    </row>
    <row r="40" spans="1:14" x14ac:dyDescent="0.2">
      <c r="A40" s="66"/>
      <c r="B40" s="66"/>
      <c r="C40" s="66"/>
      <c r="D40" s="66"/>
      <c r="E40" s="66"/>
      <c r="F40" s="66"/>
      <c r="G40" s="66"/>
      <c r="H40" s="66"/>
      <c r="I40" s="66"/>
      <c r="J40" s="66"/>
      <c r="K40" s="66"/>
      <c r="L40" s="66"/>
      <c r="M40" s="66"/>
      <c r="N40" s="66"/>
    </row>
    <row r="41" spans="1:14" x14ac:dyDescent="0.2">
      <c r="A41" s="66"/>
      <c r="B41" s="66"/>
      <c r="C41" s="66"/>
      <c r="D41" s="66"/>
      <c r="E41" s="66"/>
      <c r="F41" s="66"/>
      <c r="G41" s="66"/>
      <c r="H41" s="66"/>
      <c r="I41" s="66"/>
      <c r="J41" s="66"/>
      <c r="K41" s="66"/>
      <c r="L41" s="66"/>
      <c r="M41" s="66"/>
      <c r="N41" s="66"/>
    </row>
    <row r="42" spans="1:14" x14ac:dyDescent="0.2">
      <c r="A42" s="66"/>
      <c r="B42" s="66"/>
      <c r="C42" s="66"/>
      <c r="D42" s="66"/>
      <c r="E42" s="66"/>
      <c r="F42" s="66"/>
      <c r="G42" s="66"/>
      <c r="H42" s="66"/>
      <c r="I42" s="66"/>
      <c r="J42" s="66"/>
      <c r="K42" s="66"/>
      <c r="L42" s="66"/>
      <c r="M42" s="66"/>
      <c r="N42" s="66"/>
    </row>
    <row r="43" spans="1:14" x14ac:dyDescent="0.2">
      <c r="A43" s="66"/>
      <c r="B43" s="66"/>
      <c r="C43" s="66"/>
      <c r="D43" s="66"/>
      <c r="E43" s="66"/>
      <c r="F43" s="66"/>
      <c r="G43" s="66"/>
      <c r="H43" s="66"/>
      <c r="I43" s="66"/>
      <c r="J43" s="66"/>
      <c r="K43" s="66"/>
      <c r="L43" s="66"/>
      <c r="M43" s="66"/>
      <c r="N43" s="66"/>
    </row>
    <row r="44" spans="1:14" x14ac:dyDescent="0.2">
      <c r="A44" s="66"/>
      <c r="B44" s="66"/>
      <c r="C44" s="66"/>
      <c r="D44" s="66"/>
      <c r="E44" s="66"/>
      <c r="F44" s="66"/>
      <c r="G44" s="66"/>
      <c r="H44" s="66"/>
      <c r="I44" s="66"/>
      <c r="J44" s="66"/>
      <c r="K44" s="66"/>
      <c r="L44" s="66"/>
      <c r="M44" s="66"/>
      <c r="N44" s="66"/>
    </row>
    <row r="45" spans="1:14" x14ac:dyDescent="0.2">
      <c r="A45" s="66"/>
      <c r="B45" s="66"/>
      <c r="C45" s="66"/>
      <c r="D45" s="66"/>
      <c r="E45" s="66"/>
      <c r="F45" s="66"/>
      <c r="G45" s="66"/>
      <c r="H45" s="66"/>
      <c r="I45" s="66"/>
      <c r="J45" s="66"/>
      <c r="K45" s="66"/>
      <c r="L45" s="66"/>
      <c r="M45" s="66"/>
      <c r="N45" s="66"/>
    </row>
    <row r="46" spans="1:14" x14ac:dyDescent="0.2">
      <c r="A46" s="66"/>
      <c r="B46" s="66"/>
      <c r="C46" s="66"/>
      <c r="D46" s="66"/>
      <c r="E46" s="66"/>
      <c r="F46" s="66"/>
      <c r="G46" s="66"/>
      <c r="H46" s="66"/>
      <c r="I46" s="66"/>
      <c r="J46" s="66"/>
      <c r="K46" s="66"/>
      <c r="L46" s="66"/>
      <c r="M46" s="66"/>
      <c r="N46" s="66"/>
    </row>
    <row r="47" spans="1:14" x14ac:dyDescent="0.2">
      <c r="A47" s="66"/>
      <c r="B47" s="66"/>
      <c r="C47" s="66"/>
      <c r="D47" s="66"/>
      <c r="E47" s="66"/>
      <c r="F47" s="66"/>
      <c r="G47" s="66"/>
      <c r="H47" s="66"/>
      <c r="I47" s="66"/>
      <c r="J47" s="66"/>
      <c r="K47" s="66"/>
      <c r="L47" s="66"/>
      <c r="M47" s="66"/>
      <c r="N47" s="66"/>
    </row>
    <row r="48" spans="1:14" x14ac:dyDescent="0.2">
      <c r="A48" s="66"/>
      <c r="B48" s="66"/>
      <c r="C48" s="66"/>
      <c r="D48" s="66"/>
      <c r="E48" s="66"/>
      <c r="F48" s="66"/>
      <c r="G48" s="66"/>
      <c r="H48" s="66"/>
      <c r="I48" s="66"/>
      <c r="J48" s="66"/>
      <c r="K48" s="66"/>
      <c r="L48" s="66"/>
      <c r="M48" s="66"/>
      <c r="N48" s="66"/>
    </row>
    <row r="49" spans="1:14" x14ac:dyDescent="0.2">
      <c r="A49" s="66"/>
      <c r="B49" s="66"/>
      <c r="C49" s="66"/>
      <c r="D49" s="66"/>
      <c r="E49" s="66"/>
      <c r="F49" s="66"/>
      <c r="G49" s="66"/>
      <c r="H49" s="66"/>
      <c r="I49" s="66"/>
      <c r="J49" s="66"/>
      <c r="K49" s="66"/>
      <c r="L49" s="66"/>
      <c r="M49" s="66"/>
      <c r="N49" s="66"/>
    </row>
    <row r="50" spans="1:14" x14ac:dyDescent="0.2">
      <c r="A50" s="66"/>
      <c r="B50" s="66"/>
      <c r="C50" s="66"/>
      <c r="D50" s="66"/>
      <c r="E50" s="66"/>
      <c r="F50" s="66"/>
      <c r="G50" s="66"/>
      <c r="H50" s="66"/>
      <c r="I50" s="66"/>
      <c r="J50" s="66"/>
      <c r="K50" s="66"/>
      <c r="L50" s="66"/>
      <c r="M50" s="66"/>
      <c r="N50" s="66"/>
    </row>
    <row r="51" spans="1:14" x14ac:dyDescent="0.2">
      <c r="A51" s="66"/>
      <c r="B51" s="66"/>
      <c r="C51" s="66"/>
      <c r="D51" s="66"/>
      <c r="E51" s="66"/>
      <c r="F51" s="66"/>
      <c r="G51" s="66"/>
      <c r="H51" s="66"/>
      <c r="I51" s="66"/>
      <c r="J51" s="66"/>
      <c r="K51" s="66"/>
      <c r="L51" s="66"/>
      <c r="M51" s="66"/>
      <c r="N51" s="66"/>
    </row>
    <row r="52" spans="1:14" x14ac:dyDescent="0.2">
      <c r="A52" s="66"/>
      <c r="B52" s="66"/>
      <c r="C52" s="66"/>
      <c r="D52" s="66"/>
      <c r="E52" s="66"/>
      <c r="F52" s="66"/>
      <c r="G52" s="66"/>
      <c r="H52" s="66"/>
      <c r="I52" s="66"/>
      <c r="J52" s="66"/>
      <c r="K52" s="66"/>
      <c r="L52" s="66"/>
      <c r="M52" s="66"/>
      <c r="N52" s="66"/>
    </row>
    <row r="53" spans="1:14" x14ac:dyDescent="0.2">
      <c r="A53" s="66"/>
      <c r="B53" s="66"/>
      <c r="C53" s="66"/>
      <c r="D53" s="66"/>
      <c r="E53" s="66"/>
      <c r="F53" s="66"/>
      <c r="G53" s="66"/>
      <c r="H53" s="66"/>
      <c r="I53" s="66"/>
      <c r="J53" s="66"/>
      <c r="K53" s="66"/>
      <c r="L53" s="66"/>
      <c r="M53" s="66"/>
      <c r="N53" s="66"/>
    </row>
    <row r="54" spans="1:14" x14ac:dyDescent="0.2">
      <c r="A54" s="66"/>
      <c r="B54" s="66"/>
      <c r="C54" s="66"/>
      <c r="D54" s="66"/>
      <c r="E54" s="66"/>
      <c r="F54" s="66"/>
      <c r="G54" s="66"/>
      <c r="H54" s="66"/>
      <c r="I54" s="66"/>
      <c r="J54" s="66"/>
      <c r="K54" s="66"/>
      <c r="L54" s="66"/>
      <c r="M54" s="66"/>
      <c r="N54" s="66"/>
    </row>
    <row r="55" spans="1:14" x14ac:dyDescent="0.2">
      <c r="A55" s="66"/>
      <c r="B55" s="66"/>
      <c r="C55" s="66"/>
      <c r="D55" s="66"/>
      <c r="E55" s="66"/>
      <c r="F55" s="66"/>
      <c r="G55" s="66"/>
      <c r="H55" s="66"/>
      <c r="I55" s="66"/>
      <c r="J55" s="66"/>
      <c r="K55" s="66"/>
      <c r="L55" s="66"/>
      <c r="M55" s="66"/>
      <c r="N55" s="66"/>
    </row>
    <row r="56" spans="1:14" x14ac:dyDescent="0.2">
      <c r="A56" s="66"/>
      <c r="B56" s="66"/>
      <c r="C56" s="66"/>
      <c r="D56" s="66"/>
      <c r="E56" s="66"/>
      <c r="F56" s="66"/>
      <c r="G56" s="66"/>
      <c r="H56" s="66"/>
      <c r="I56" s="66"/>
      <c r="J56" s="66"/>
      <c r="K56" s="66"/>
      <c r="L56" s="66"/>
      <c r="M56" s="66"/>
      <c r="N56" s="66"/>
    </row>
    <row r="57" spans="1:14" x14ac:dyDescent="0.2">
      <c r="A57" s="66"/>
      <c r="B57" s="66"/>
      <c r="C57" s="66"/>
      <c r="D57" s="66"/>
      <c r="E57" s="66"/>
      <c r="F57" s="66"/>
      <c r="G57" s="66"/>
      <c r="H57" s="66"/>
      <c r="I57" s="66"/>
      <c r="J57" s="66"/>
      <c r="K57" s="66"/>
      <c r="L57" s="66"/>
      <c r="M57" s="66"/>
      <c r="N57" s="66"/>
    </row>
    <row r="58" spans="1:14" x14ac:dyDescent="0.2">
      <c r="A58" s="66"/>
      <c r="B58" s="66"/>
      <c r="C58" s="66"/>
      <c r="D58" s="66"/>
      <c r="E58" s="66"/>
      <c r="F58" s="66"/>
      <c r="G58" s="66"/>
      <c r="H58" s="66"/>
      <c r="I58" s="66"/>
      <c r="J58" s="66"/>
      <c r="K58" s="66"/>
      <c r="L58" s="66"/>
      <c r="M58" s="66"/>
      <c r="N58" s="66"/>
    </row>
    <row r="59" spans="1:14" x14ac:dyDescent="0.2">
      <c r="A59" s="66"/>
      <c r="B59" s="66"/>
      <c r="C59" s="66"/>
      <c r="D59" s="66"/>
      <c r="E59" s="66"/>
      <c r="F59" s="66"/>
      <c r="G59" s="66"/>
      <c r="H59" s="66"/>
      <c r="I59" s="66"/>
      <c r="J59" s="66"/>
      <c r="K59" s="66"/>
      <c r="L59" s="66"/>
      <c r="M59" s="66"/>
      <c r="N59" s="66"/>
    </row>
    <row r="60" spans="1:14" x14ac:dyDescent="0.2">
      <c r="A60" s="66"/>
      <c r="B60" s="66"/>
      <c r="C60" s="66"/>
      <c r="D60" s="66"/>
      <c r="E60" s="66"/>
      <c r="F60" s="66"/>
      <c r="G60" s="66"/>
      <c r="H60" s="66"/>
      <c r="I60" s="66"/>
      <c r="J60" s="66"/>
      <c r="K60" s="66"/>
      <c r="L60" s="66"/>
      <c r="M60" s="66"/>
      <c r="N60" s="66"/>
    </row>
    <row r="61" spans="1:14" x14ac:dyDescent="0.2">
      <c r="A61" s="66"/>
      <c r="B61" s="66"/>
      <c r="C61" s="66"/>
      <c r="D61" s="66"/>
      <c r="E61" s="66"/>
      <c r="F61" s="66"/>
      <c r="G61" s="66"/>
      <c r="H61" s="66"/>
      <c r="I61" s="66"/>
      <c r="J61" s="66"/>
      <c r="K61" s="66"/>
      <c r="L61" s="66"/>
      <c r="M61" s="66"/>
      <c r="N61" s="66"/>
    </row>
    <row r="62" spans="1:14" x14ac:dyDescent="0.2">
      <c r="A62" s="66"/>
      <c r="B62" s="66"/>
      <c r="C62" s="66"/>
      <c r="D62" s="66"/>
      <c r="E62" s="66"/>
      <c r="F62" s="66"/>
      <c r="G62" s="66"/>
      <c r="H62" s="66"/>
      <c r="I62" s="66"/>
      <c r="J62" s="66"/>
      <c r="K62" s="66"/>
      <c r="L62" s="66"/>
      <c r="M62" s="66"/>
      <c r="N62" s="66"/>
    </row>
    <row r="63" spans="1:14" x14ac:dyDescent="0.2">
      <c r="A63" s="66"/>
      <c r="B63" s="66"/>
      <c r="C63" s="66"/>
      <c r="D63" s="66"/>
      <c r="E63" s="66"/>
      <c r="F63" s="66"/>
      <c r="G63" s="66"/>
      <c r="H63" s="66"/>
      <c r="I63" s="66"/>
      <c r="J63" s="66"/>
      <c r="K63" s="66"/>
      <c r="L63" s="66"/>
      <c r="M63" s="66"/>
      <c r="N63" s="66"/>
    </row>
    <row r="64" spans="1:14" x14ac:dyDescent="0.2">
      <c r="A64" s="66"/>
      <c r="B64" s="66"/>
      <c r="C64" s="66"/>
      <c r="D64" s="66"/>
      <c r="E64" s="66"/>
      <c r="F64" s="66"/>
      <c r="G64" s="66"/>
      <c r="H64" s="66"/>
      <c r="I64" s="66"/>
      <c r="J64" s="66"/>
      <c r="K64" s="66"/>
      <c r="L64" s="66"/>
      <c r="M64" s="66"/>
      <c r="N64" s="66"/>
    </row>
    <row r="65" spans="1:14" x14ac:dyDescent="0.2">
      <c r="A65" s="66"/>
      <c r="B65" s="66"/>
      <c r="C65" s="66"/>
      <c r="D65" s="66"/>
      <c r="E65" s="66"/>
      <c r="F65" s="66"/>
      <c r="G65" s="66"/>
      <c r="H65" s="66"/>
      <c r="I65" s="66"/>
      <c r="J65" s="66"/>
      <c r="K65" s="66"/>
      <c r="L65" s="66"/>
      <c r="M65" s="66"/>
      <c r="N65" s="66"/>
    </row>
    <row r="66" spans="1:14" x14ac:dyDescent="0.2">
      <c r="A66" s="66"/>
      <c r="B66" s="66"/>
      <c r="C66" s="66"/>
      <c r="D66" s="66"/>
      <c r="E66" s="66"/>
      <c r="F66" s="66"/>
      <c r="G66" s="66"/>
      <c r="H66" s="66"/>
      <c r="I66" s="66"/>
      <c r="J66" s="66"/>
      <c r="K66" s="66"/>
      <c r="L66" s="66"/>
      <c r="M66" s="66"/>
      <c r="N66" s="66"/>
    </row>
    <row r="67" spans="1:14" x14ac:dyDescent="0.2">
      <c r="A67" s="66"/>
      <c r="B67" s="66"/>
      <c r="C67" s="66"/>
      <c r="D67" s="66"/>
      <c r="E67" s="66"/>
      <c r="F67" s="66"/>
      <c r="G67" s="66"/>
      <c r="H67" s="66"/>
      <c r="I67" s="66"/>
      <c r="J67" s="66"/>
      <c r="K67" s="66"/>
      <c r="L67" s="66"/>
      <c r="M67" s="66"/>
      <c r="N67" s="66"/>
    </row>
    <row r="68" spans="1:14" x14ac:dyDescent="0.2">
      <c r="A68" s="66"/>
      <c r="B68" s="66"/>
      <c r="C68" s="66"/>
      <c r="D68" s="66"/>
      <c r="E68" s="66"/>
      <c r="F68" s="66"/>
      <c r="G68" s="66"/>
      <c r="H68" s="66"/>
      <c r="I68" s="66"/>
      <c r="J68" s="66"/>
      <c r="K68" s="66"/>
      <c r="L68" s="66"/>
      <c r="M68" s="66"/>
      <c r="N68" s="66"/>
    </row>
    <row r="69" spans="1:14" x14ac:dyDescent="0.2">
      <c r="A69" s="66"/>
      <c r="B69" s="66"/>
      <c r="C69" s="66"/>
      <c r="D69" s="66"/>
      <c r="E69" s="66"/>
      <c r="F69" s="66"/>
      <c r="G69" s="66"/>
      <c r="H69" s="66"/>
      <c r="I69" s="66"/>
      <c r="J69" s="66"/>
      <c r="K69" s="66"/>
      <c r="L69" s="66"/>
      <c r="M69" s="66"/>
      <c r="N69" s="66"/>
    </row>
    <row r="70" spans="1:14" x14ac:dyDescent="0.2">
      <c r="A70" s="66"/>
      <c r="B70" s="66"/>
      <c r="C70" s="66"/>
      <c r="D70" s="66"/>
      <c r="E70" s="66"/>
      <c r="F70" s="66"/>
      <c r="G70" s="66"/>
      <c r="H70" s="66"/>
      <c r="I70" s="66"/>
      <c r="J70" s="66"/>
      <c r="K70" s="66"/>
      <c r="L70" s="66"/>
      <c r="M70" s="66"/>
      <c r="N70" s="66"/>
    </row>
    <row r="71" spans="1:14" x14ac:dyDescent="0.2">
      <c r="A71" s="66"/>
      <c r="B71" s="66"/>
      <c r="C71" s="66"/>
      <c r="D71" s="66"/>
      <c r="E71" s="66"/>
      <c r="F71" s="66"/>
      <c r="G71" s="66"/>
      <c r="H71" s="66"/>
      <c r="I71" s="66"/>
      <c r="J71" s="66"/>
      <c r="K71" s="66"/>
      <c r="L71" s="66"/>
      <c r="M71" s="66"/>
      <c r="N71" s="66"/>
    </row>
    <row r="72" spans="1:14" x14ac:dyDescent="0.2">
      <c r="A72" s="66"/>
      <c r="B72" s="66"/>
      <c r="C72" s="66"/>
      <c r="D72" s="66"/>
      <c r="E72" s="66"/>
      <c r="F72" s="66"/>
      <c r="G72" s="66"/>
      <c r="H72" s="66"/>
      <c r="I72" s="66"/>
      <c r="J72" s="66"/>
      <c r="K72" s="66"/>
      <c r="L72" s="66"/>
      <c r="M72" s="66"/>
      <c r="N72" s="66"/>
    </row>
    <row r="73" spans="1:14" x14ac:dyDescent="0.2">
      <c r="A73" s="66"/>
      <c r="B73" s="66"/>
      <c r="C73" s="66"/>
      <c r="D73" s="66"/>
      <c r="E73" s="66"/>
      <c r="F73" s="66"/>
      <c r="G73" s="66"/>
      <c r="H73" s="66"/>
      <c r="I73" s="66"/>
      <c r="J73" s="66"/>
      <c r="K73" s="66"/>
      <c r="L73" s="66"/>
      <c r="M73" s="66"/>
      <c r="N73" s="66"/>
    </row>
    <row r="74" spans="1:14" x14ac:dyDescent="0.2">
      <c r="A74" s="66"/>
      <c r="B74" s="66"/>
      <c r="C74" s="66"/>
      <c r="D74" s="66"/>
      <c r="E74" s="66"/>
      <c r="F74" s="66"/>
      <c r="G74" s="66"/>
      <c r="H74" s="66"/>
      <c r="I74" s="66"/>
      <c r="J74" s="66"/>
      <c r="K74" s="66"/>
      <c r="L74" s="66"/>
      <c r="M74" s="66"/>
      <c r="N74" s="66"/>
    </row>
    <row r="75" spans="1:14" x14ac:dyDescent="0.2">
      <c r="A75" s="66"/>
      <c r="B75" s="66"/>
      <c r="C75" s="66"/>
      <c r="D75" s="66"/>
      <c r="E75" s="66"/>
      <c r="F75" s="66"/>
      <c r="G75" s="66"/>
      <c r="H75" s="66"/>
      <c r="I75" s="66"/>
      <c r="J75" s="66"/>
      <c r="K75" s="66"/>
      <c r="L75" s="66"/>
      <c r="M75" s="66"/>
      <c r="N75" s="66"/>
    </row>
    <row r="76" spans="1:14" x14ac:dyDescent="0.2">
      <c r="A76" s="66"/>
      <c r="B76" s="66"/>
      <c r="C76" s="66"/>
      <c r="D76" s="66"/>
      <c r="E76" s="66"/>
      <c r="F76" s="66"/>
      <c r="G76" s="66"/>
      <c r="H76" s="66"/>
      <c r="I76" s="66"/>
      <c r="J76" s="66"/>
      <c r="K76" s="66"/>
      <c r="L76" s="66"/>
      <c r="M76" s="66"/>
      <c r="N76" s="66"/>
    </row>
    <row r="77" spans="1:14" x14ac:dyDescent="0.2">
      <c r="A77" s="66"/>
      <c r="B77" s="66"/>
      <c r="C77" s="66"/>
      <c r="D77" s="66"/>
      <c r="E77" s="66"/>
      <c r="F77" s="66"/>
      <c r="G77" s="66"/>
      <c r="H77" s="66"/>
      <c r="I77" s="66"/>
      <c r="J77" s="66"/>
      <c r="K77" s="66"/>
      <c r="L77" s="66"/>
      <c r="M77" s="66"/>
      <c r="N77" s="66"/>
    </row>
    <row r="78" spans="1:14" x14ac:dyDescent="0.2">
      <c r="A78" s="66"/>
      <c r="B78" s="66"/>
      <c r="C78" s="66"/>
      <c r="D78" s="66"/>
      <c r="E78" s="66"/>
      <c r="F78" s="66"/>
      <c r="G78" s="66"/>
      <c r="H78" s="66"/>
      <c r="I78" s="66"/>
      <c r="J78" s="66"/>
      <c r="K78" s="66"/>
      <c r="L78" s="66"/>
      <c r="M78" s="66"/>
      <c r="N78" s="66"/>
    </row>
    <row r="79" spans="1:14" x14ac:dyDescent="0.2">
      <c r="A79" s="66"/>
      <c r="B79" s="66"/>
      <c r="C79" s="66"/>
      <c r="D79" s="66"/>
      <c r="E79" s="66"/>
      <c r="F79" s="66"/>
      <c r="G79" s="66"/>
      <c r="H79" s="66"/>
      <c r="I79" s="66"/>
      <c r="J79" s="66"/>
      <c r="K79" s="66"/>
      <c r="L79" s="66"/>
      <c r="M79" s="66"/>
      <c r="N79" s="66"/>
    </row>
    <row r="80" spans="1:14" x14ac:dyDescent="0.2">
      <c r="A80" s="66"/>
      <c r="B80" s="66"/>
      <c r="C80" s="66"/>
      <c r="D80" s="66"/>
      <c r="E80" s="66"/>
      <c r="F80" s="66"/>
      <c r="G80" s="66"/>
      <c r="H80" s="66"/>
      <c r="I80" s="66"/>
      <c r="J80" s="66"/>
      <c r="K80" s="66"/>
      <c r="L80" s="66"/>
      <c r="M80" s="66"/>
      <c r="N80" s="66"/>
    </row>
    <row r="81" spans="1:14" x14ac:dyDescent="0.2">
      <c r="A81" s="66"/>
      <c r="B81" s="66"/>
      <c r="C81" s="66"/>
      <c r="D81" s="66"/>
      <c r="E81" s="66"/>
      <c r="F81" s="66"/>
      <c r="G81" s="66"/>
      <c r="H81" s="66"/>
      <c r="I81" s="66"/>
      <c r="J81" s="66"/>
      <c r="K81" s="66"/>
      <c r="L81" s="66"/>
      <c r="M81" s="66"/>
      <c r="N81" s="66"/>
    </row>
    <row r="82" spans="1:14" x14ac:dyDescent="0.2">
      <c r="A82" s="66"/>
      <c r="B82" s="66"/>
      <c r="C82" s="66"/>
      <c r="D82" s="66"/>
      <c r="E82" s="66"/>
      <c r="F82" s="66"/>
      <c r="G82" s="66"/>
      <c r="H82" s="66"/>
      <c r="I82" s="66"/>
      <c r="J82" s="66"/>
      <c r="K82" s="66"/>
      <c r="L82" s="66"/>
      <c r="M82" s="66"/>
      <c r="N82" s="66"/>
    </row>
    <row r="83" spans="1:14" x14ac:dyDescent="0.2">
      <c r="A83" s="66"/>
      <c r="B83" s="66"/>
      <c r="C83" s="66"/>
      <c r="D83" s="66"/>
      <c r="E83" s="66"/>
      <c r="F83" s="66"/>
      <c r="G83" s="66"/>
      <c r="H83" s="66"/>
      <c r="I83" s="66"/>
      <c r="J83" s="66"/>
      <c r="K83" s="66"/>
      <c r="L83" s="66"/>
      <c r="M83" s="66"/>
      <c r="N83" s="66"/>
    </row>
    <row r="84" spans="1:14" x14ac:dyDescent="0.2">
      <c r="A84" s="66"/>
      <c r="B84" s="66"/>
      <c r="C84" s="66"/>
      <c r="D84" s="66"/>
      <c r="E84" s="66"/>
      <c r="F84" s="66"/>
      <c r="G84" s="66"/>
      <c r="H84" s="66"/>
      <c r="I84" s="66"/>
      <c r="J84" s="66"/>
      <c r="K84" s="66"/>
      <c r="L84" s="66"/>
      <c r="M84" s="66"/>
      <c r="N84" s="66"/>
    </row>
    <row r="85" spans="1:14" x14ac:dyDescent="0.2">
      <c r="A85" s="66"/>
      <c r="B85" s="66"/>
      <c r="C85" s="66"/>
      <c r="D85" s="66"/>
      <c r="E85" s="66"/>
      <c r="F85" s="66"/>
      <c r="G85" s="66"/>
      <c r="H85" s="66"/>
      <c r="I85" s="66"/>
      <c r="J85" s="66"/>
      <c r="K85" s="66"/>
      <c r="L85" s="66"/>
      <c r="M85" s="66"/>
      <c r="N85" s="66"/>
    </row>
    <row r="86" spans="1:14" x14ac:dyDescent="0.2">
      <c r="A86" s="66"/>
      <c r="B86" s="66"/>
      <c r="C86" s="66"/>
      <c r="D86" s="66"/>
      <c r="E86" s="66"/>
      <c r="F86" s="66"/>
      <c r="G86" s="66"/>
      <c r="H86" s="66"/>
      <c r="I86" s="66"/>
      <c r="J86" s="66"/>
      <c r="K86" s="66"/>
      <c r="L86" s="66"/>
      <c r="M86" s="66"/>
      <c r="N86" s="66"/>
    </row>
    <row r="87" spans="1:14" x14ac:dyDescent="0.2">
      <c r="A87" s="66"/>
      <c r="B87" s="66"/>
      <c r="C87" s="66"/>
      <c r="D87" s="66"/>
      <c r="E87" s="66"/>
      <c r="F87" s="66"/>
      <c r="G87" s="66"/>
      <c r="H87" s="66"/>
      <c r="I87" s="66"/>
      <c r="J87" s="66"/>
      <c r="K87" s="66"/>
      <c r="L87" s="66"/>
      <c r="M87" s="66"/>
      <c r="N87" s="66"/>
    </row>
    <row r="88" spans="1:14" x14ac:dyDescent="0.2">
      <c r="A88" s="66"/>
      <c r="B88" s="66"/>
      <c r="C88" s="66"/>
      <c r="D88" s="66"/>
      <c r="E88" s="66"/>
      <c r="F88" s="66"/>
      <c r="G88" s="66"/>
      <c r="H88" s="66"/>
      <c r="I88" s="66"/>
      <c r="J88" s="66"/>
      <c r="K88" s="66"/>
      <c r="L88" s="66"/>
      <c r="M88" s="66"/>
      <c r="N88" s="66"/>
    </row>
    <row r="89" spans="1:14" x14ac:dyDescent="0.2">
      <c r="A89" s="66"/>
      <c r="B89" s="66"/>
      <c r="C89" s="66"/>
      <c r="D89" s="66"/>
      <c r="E89" s="66"/>
      <c r="F89" s="66"/>
      <c r="G89" s="66"/>
      <c r="H89" s="66"/>
      <c r="I89" s="66"/>
      <c r="J89" s="66"/>
      <c r="K89" s="66"/>
      <c r="L89" s="66"/>
      <c r="M89" s="66"/>
      <c r="N89" s="66"/>
    </row>
    <row r="90" spans="1:14" x14ac:dyDescent="0.2">
      <c r="A90" s="66"/>
      <c r="B90" s="66"/>
      <c r="C90" s="66"/>
      <c r="D90" s="66"/>
      <c r="E90" s="66"/>
      <c r="F90" s="66"/>
      <c r="G90" s="66"/>
      <c r="H90" s="66"/>
      <c r="I90" s="66"/>
      <c r="J90" s="66"/>
      <c r="K90" s="66"/>
      <c r="L90" s="66"/>
      <c r="M90" s="66"/>
      <c r="N90" s="66"/>
    </row>
    <row r="91" spans="1:14" x14ac:dyDescent="0.2">
      <c r="A91" s="66"/>
      <c r="B91" s="66"/>
      <c r="C91" s="66"/>
      <c r="D91" s="66"/>
      <c r="E91" s="66"/>
      <c r="F91" s="66"/>
      <c r="G91" s="66"/>
      <c r="H91" s="66"/>
      <c r="I91" s="66"/>
      <c r="J91" s="66"/>
      <c r="K91" s="66"/>
      <c r="L91" s="66"/>
      <c r="M91" s="66"/>
      <c r="N91" s="66"/>
    </row>
    <row r="92" spans="1:14" x14ac:dyDescent="0.2">
      <c r="A92" s="66"/>
      <c r="B92" s="66"/>
      <c r="C92" s="66"/>
      <c r="D92" s="66"/>
      <c r="E92" s="66"/>
      <c r="F92" s="66"/>
      <c r="G92" s="66"/>
      <c r="H92" s="66"/>
      <c r="I92" s="66"/>
      <c r="J92" s="66"/>
      <c r="K92" s="66"/>
      <c r="L92" s="66"/>
      <c r="M92" s="66"/>
      <c r="N92" s="66"/>
    </row>
    <row r="93" spans="1:14" x14ac:dyDescent="0.2">
      <c r="A93" s="66"/>
      <c r="B93" s="66"/>
      <c r="C93" s="66"/>
      <c r="D93" s="66"/>
      <c r="E93" s="66"/>
      <c r="F93" s="66"/>
      <c r="G93" s="66"/>
      <c r="H93" s="66"/>
      <c r="I93" s="66"/>
      <c r="J93" s="66"/>
      <c r="K93" s="66"/>
      <c r="L93" s="66"/>
      <c r="M93" s="66"/>
      <c r="N93" s="66"/>
    </row>
    <row r="94" spans="1:14" x14ac:dyDescent="0.2">
      <c r="A94" s="66"/>
      <c r="B94" s="66"/>
      <c r="C94" s="66"/>
      <c r="D94" s="66"/>
      <c r="E94" s="66"/>
      <c r="F94" s="66"/>
      <c r="G94" s="66"/>
      <c r="H94" s="66"/>
      <c r="I94" s="66"/>
      <c r="J94" s="66"/>
      <c r="K94" s="66"/>
      <c r="L94" s="66"/>
      <c r="M94" s="66"/>
      <c r="N94" s="66"/>
    </row>
    <row r="95" spans="1:14" x14ac:dyDescent="0.2">
      <c r="A95" s="66"/>
      <c r="B95" s="66"/>
      <c r="C95" s="66"/>
      <c r="D95" s="66"/>
      <c r="E95" s="66"/>
      <c r="F95" s="66"/>
      <c r="G95" s="66"/>
      <c r="H95" s="66"/>
      <c r="I95" s="66"/>
      <c r="J95" s="66"/>
      <c r="K95" s="66"/>
      <c r="L95" s="66"/>
      <c r="M95" s="66"/>
      <c r="N95" s="66"/>
    </row>
    <row r="96" spans="1:14" x14ac:dyDescent="0.2">
      <c r="A96" s="66"/>
      <c r="B96" s="66"/>
      <c r="C96" s="66"/>
      <c r="D96" s="66"/>
      <c r="E96" s="66"/>
      <c r="F96" s="66"/>
      <c r="G96" s="66"/>
      <c r="H96" s="66"/>
      <c r="I96" s="66"/>
      <c r="J96" s="66"/>
      <c r="K96" s="66"/>
      <c r="L96" s="66"/>
      <c r="M96" s="66"/>
      <c r="N96" s="66"/>
    </row>
    <row r="97" spans="1:14" x14ac:dyDescent="0.2">
      <c r="A97" s="66"/>
      <c r="B97" s="66"/>
      <c r="C97" s="66"/>
      <c r="D97" s="66"/>
      <c r="E97" s="66"/>
      <c r="F97" s="66"/>
      <c r="G97" s="66"/>
      <c r="H97" s="66"/>
      <c r="I97" s="66"/>
      <c r="J97" s="66"/>
      <c r="K97" s="66"/>
      <c r="L97" s="66"/>
      <c r="M97" s="66"/>
      <c r="N97" s="66"/>
    </row>
    <row r="98" spans="1:14" x14ac:dyDescent="0.2">
      <c r="A98" s="66"/>
      <c r="B98" s="66"/>
      <c r="C98" s="66"/>
      <c r="D98" s="66"/>
      <c r="E98" s="66"/>
      <c r="F98" s="66"/>
      <c r="G98" s="66"/>
      <c r="H98" s="66"/>
      <c r="I98" s="66"/>
      <c r="J98" s="66"/>
      <c r="K98" s="66"/>
      <c r="L98" s="66"/>
      <c r="M98" s="66"/>
      <c r="N98" s="66"/>
    </row>
    <row r="99" spans="1:14" x14ac:dyDescent="0.2">
      <c r="A99" s="66"/>
      <c r="B99" s="66"/>
      <c r="C99" s="66"/>
      <c r="D99" s="66"/>
      <c r="E99" s="66"/>
      <c r="F99" s="66"/>
      <c r="G99" s="66"/>
      <c r="H99" s="66"/>
      <c r="I99" s="66"/>
      <c r="J99" s="66"/>
      <c r="K99" s="66"/>
      <c r="L99" s="66"/>
      <c r="M99" s="66"/>
      <c r="N99" s="66"/>
    </row>
    <row r="100" spans="1:14" x14ac:dyDescent="0.2">
      <c r="A100" s="66"/>
      <c r="B100" s="66"/>
      <c r="C100" s="66"/>
      <c r="D100" s="66"/>
      <c r="E100" s="66"/>
      <c r="F100" s="66"/>
      <c r="G100" s="66"/>
      <c r="H100" s="66"/>
      <c r="I100" s="66"/>
      <c r="J100" s="66"/>
      <c r="K100" s="66"/>
      <c r="L100" s="66"/>
      <c r="M100" s="66"/>
      <c r="N100" s="66"/>
    </row>
    <row r="101" spans="1:14" x14ac:dyDescent="0.2">
      <c r="A101" s="66"/>
      <c r="B101" s="66"/>
      <c r="C101" s="66"/>
      <c r="D101" s="66"/>
      <c r="E101" s="66"/>
      <c r="F101" s="66"/>
      <c r="G101" s="66"/>
      <c r="H101" s="66"/>
      <c r="I101" s="66"/>
      <c r="J101" s="66"/>
      <c r="K101" s="66"/>
      <c r="L101" s="66"/>
      <c r="M101" s="66"/>
      <c r="N101" s="66"/>
    </row>
    <row r="102" spans="1:14" x14ac:dyDescent="0.2">
      <c r="A102" s="66"/>
      <c r="B102" s="66"/>
      <c r="C102" s="66"/>
      <c r="D102" s="66"/>
      <c r="E102" s="66"/>
      <c r="F102" s="66"/>
      <c r="G102" s="66"/>
      <c r="H102" s="66"/>
      <c r="I102" s="66"/>
      <c r="J102" s="66"/>
      <c r="K102" s="66"/>
      <c r="L102" s="66"/>
      <c r="M102" s="66"/>
      <c r="N102" s="66"/>
    </row>
    <row r="103" spans="1:14" x14ac:dyDescent="0.2">
      <c r="A103" s="66"/>
      <c r="B103" s="66"/>
      <c r="C103" s="66"/>
      <c r="D103" s="66"/>
      <c r="E103" s="66"/>
      <c r="F103" s="66"/>
      <c r="G103" s="66"/>
      <c r="H103" s="66"/>
      <c r="I103" s="66"/>
      <c r="J103" s="66"/>
      <c r="K103" s="66"/>
      <c r="L103" s="66"/>
      <c r="M103" s="66"/>
      <c r="N103" s="66"/>
    </row>
    <row r="104" spans="1:14" x14ac:dyDescent="0.2">
      <c r="A104" s="66"/>
      <c r="B104" s="66"/>
      <c r="C104" s="66"/>
      <c r="D104" s="66"/>
      <c r="E104" s="66"/>
      <c r="F104" s="66"/>
      <c r="G104" s="66"/>
      <c r="H104" s="66"/>
      <c r="I104" s="66"/>
      <c r="J104" s="66"/>
      <c r="K104" s="66"/>
      <c r="L104" s="66"/>
      <c r="M104" s="66"/>
      <c r="N104" s="66"/>
    </row>
    <row r="105" spans="1:14" x14ac:dyDescent="0.2">
      <c r="A105" s="66"/>
      <c r="B105" s="66"/>
      <c r="C105" s="66"/>
      <c r="D105" s="66"/>
      <c r="E105" s="66"/>
      <c r="F105" s="66"/>
      <c r="G105" s="66"/>
      <c r="H105" s="66"/>
      <c r="I105" s="66"/>
      <c r="J105" s="66"/>
      <c r="K105" s="66"/>
      <c r="L105" s="66"/>
      <c r="M105" s="66"/>
      <c r="N105" s="66"/>
    </row>
    <row r="106" spans="1:14" x14ac:dyDescent="0.2">
      <c r="A106" s="66"/>
      <c r="B106" s="66"/>
      <c r="C106" s="66"/>
      <c r="D106" s="66"/>
      <c r="E106" s="66"/>
      <c r="F106" s="66"/>
      <c r="G106" s="66"/>
      <c r="H106" s="66"/>
      <c r="I106" s="66"/>
      <c r="J106" s="66"/>
      <c r="K106" s="66"/>
      <c r="L106" s="66"/>
      <c r="M106" s="66"/>
      <c r="N106" s="66"/>
    </row>
    <row r="107" spans="1:14" x14ac:dyDescent="0.2">
      <c r="A107" s="66"/>
      <c r="B107" s="66"/>
      <c r="C107" s="66"/>
      <c r="D107" s="66"/>
      <c r="E107" s="66"/>
      <c r="F107" s="66"/>
      <c r="G107" s="66"/>
      <c r="H107" s="66"/>
      <c r="I107" s="66"/>
      <c r="J107" s="66"/>
      <c r="K107" s="66"/>
      <c r="L107" s="66"/>
      <c r="M107" s="66"/>
      <c r="N107" s="66"/>
    </row>
    <row r="108" spans="1:14" x14ac:dyDescent="0.2">
      <c r="A108" s="66"/>
      <c r="B108" s="66"/>
      <c r="C108" s="66"/>
      <c r="D108" s="66"/>
      <c r="E108" s="66"/>
      <c r="F108" s="66"/>
      <c r="G108" s="66"/>
      <c r="H108" s="66"/>
      <c r="I108" s="66"/>
      <c r="J108" s="66"/>
      <c r="K108" s="66"/>
      <c r="L108" s="66"/>
      <c r="M108" s="66"/>
      <c r="N108" s="66"/>
    </row>
    <row r="109" spans="1:14" x14ac:dyDescent="0.2">
      <c r="A109" s="66"/>
      <c r="B109" s="66"/>
      <c r="C109" s="66"/>
      <c r="D109" s="66"/>
      <c r="E109" s="66"/>
      <c r="F109" s="66"/>
      <c r="G109" s="66"/>
      <c r="H109" s="66"/>
      <c r="I109" s="66"/>
      <c r="J109" s="66"/>
      <c r="K109" s="66"/>
      <c r="L109" s="66"/>
      <c r="M109" s="66"/>
      <c r="N109" s="66"/>
    </row>
    <row r="110" spans="1:14" x14ac:dyDescent="0.2">
      <c r="A110" s="66"/>
      <c r="B110" s="66"/>
      <c r="C110" s="66"/>
      <c r="D110" s="66"/>
      <c r="E110" s="66"/>
      <c r="F110" s="66"/>
      <c r="G110" s="66"/>
      <c r="H110" s="66"/>
      <c r="I110" s="66"/>
      <c r="J110" s="66"/>
      <c r="K110" s="66"/>
      <c r="L110" s="66"/>
      <c r="M110" s="66"/>
      <c r="N110" s="66"/>
    </row>
    <row r="111" spans="1:14" x14ac:dyDescent="0.2">
      <c r="A111" s="66"/>
      <c r="B111" s="66"/>
      <c r="C111" s="66"/>
      <c r="D111" s="66"/>
      <c r="E111" s="66"/>
      <c r="F111" s="66"/>
      <c r="G111" s="66"/>
      <c r="H111" s="66"/>
      <c r="I111" s="66"/>
      <c r="J111" s="66"/>
      <c r="K111" s="66"/>
      <c r="L111" s="66"/>
      <c r="M111" s="66"/>
      <c r="N111" s="66"/>
    </row>
    <row r="112" spans="1:14" x14ac:dyDescent="0.2">
      <c r="A112" s="66"/>
      <c r="B112" s="66"/>
      <c r="C112" s="66"/>
      <c r="D112" s="66"/>
      <c r="E112" s="66"/>
      <c r="F112" s="66"/>
      <c r="G112" s="66"/>
      <c r="H112" s="66"/>
      <c r="I112" s="66"/>
      <c r="J112" s="66"/>
      <c r="K112" s="66"/>
      <c r="L112" s="66"/>
      <c r="M112" s="66"/>
      <c r="N112" s="66"/>
    </row>
    <row r="113" spans="1:14" x14ac:dyDescent="0.2">
      <c r="A113" s="66"/>
      <c r="B113" s="66"/>
      <c r="C113" s="66"/>
      <c r="D113" s="66"/>
      <c r="E113" s="66"/>
      <c r="F113" s="66"/>
      <c r="G113" s="66"/>
      <c r="H113" s="66"/>
      <c r="I113" s="66"/>
      <c r="J113" s="66"/>
      <c r="K113" s="66"/>
      <c r="L113" s="66"/>
      <c r="M113" s="66"/>
      <c r="N113" s="66"/>
    </row>
    <row r="114" spans="1:14" x14ac:dyDescent="0.2">
      <c r="A114" s="66"/>
      <c r="B114" s="66"/>
      <c r="C114" s="66"/>
      <c r="D114" s="66"/>
      <c r="E114" s="66"/>
      <c r="F114" s="66"/>
      <c r="G114" s="66"/>
      <c r="H114" s="66"/>
      <c r="I114" s="66"/>
      <c r="J114" s="66"/>
      <c r="K114" s="66"/>
      <c r="L114" s="66"/>
      <c r="M114" s="66"/>
      <c r="N114" s="66"/>
    </row>
    <row r="115" spans="1:14" x14ac:dyDescent="0.2">
      <c r="A115" s="66"/>
      <c r="B115" s="66"/>
      <c r="C115" s="66"/>
      <c r="D115" s="66"/>
      <c r="E115" s="66"/>
      <c r="F115" s="66"/>
      <c r="G115" s="66"/>
      <c r="H115" s="66"/>
      <c r="I115" s="66"/>
      <c r="J115" s="66"/>
      <c r="K115" s="66"/>
      <c r="L115" s="66"/>
      <c r="M115" s="66"/>
      <c r="N115" s="66"/>
    </row>
    <row r="116" spans="1:14" x14ac:dyDescent="0.2">
      <c r="A116" s="66"/>
      <c r="B116" s="66"/>
      <c r="C116" s="66"/>
      <c r="D116" s="66"/>
      <c r="E116" s="66"/>
      <c r="F116" s="66"/>
      <c r="G116" s="66"/>
      <c r="H116" s="66"/>
      <c r="I116" s="66"/>
      <c r="J116" s="66"/>
      <c r="K116" s="66"/>
      <c r="L116" s="66"/>
      <c r="M116" s="66"/>
      <c r="N116" s="66"/>
    </row>
    <row r="117" spans="1:14" x14ac:dyDescent="0.2">
      <c r="A117" s="66"/>
      <c r="B117" s="66"/>
      <c r="C117" s="66"/>
      <c r="D117" s="66"/>
      <c r="E117" s="66"/>
      <c r="F117" s="66"/>
      <c r="G117" s="66"/>
      <c r="H117" s="66"/>
      <c r="I117" s="66"/>
      <c r="J117" s="66"/>
      <c r="K117" s="66"/>
      <c r="L117" s="66"/>
      <c r="M117" s="66"/>
      <c r="N117" s="66"/>
    </row>
    <row r="118" spans="1:14" x14ac:dyDescent="0.2">
      <c r="A118" s="66"/>
      <c r="B118" s="66"/>
      <c r="C118" s="66"/>
      <c r="D118" s="66"/>
      <c r="E118" s="66"/>
      <c r="F118" s="66"/>
      <c r="G118" s="66"/>
      <c r="H118" s="66"/>
      <c r="I118" s="66"/>
      <c r="J118" s="66"/>
      <c r="K118" s="66"/>
      <c r="L118" s="66"/>
      <c r="M118" s="66"/>
      <c r="N118" s="66"/>
    </row>
  </sheetData>
  <phoneticPr fontId="0" type="noConversion"/>
  <pageMargins left="0.25" right="0.25" top="0.75" bottom="0.75" header="0.3" footer="0.3"/>
  <pageSetup scale="9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20"/>
  <sheetViews>
    <sheetView showGridLines="0" zoomScaleNormal="100" workbookViewId="0"/>
  </sheetViews>
  <sheetFormatPr defaultRowHeight="12.75" x14ac:dyDescent="0.2"/>
  <cols>
    <col min="2" max="2" width="2.28515625" bestFit="1" customWidth="1"/>
    <col min="3" max="12" width="11.7109375" customWidth="1"/>
  </cols>
  <sheetData>
    <row r="1" spans="1:13" x14ac:dyDescent="0.2">
      <c r="A1" s="59" t="str">
        <f>"Commodity Pricing ("&amp;TEXT(A6,"mmmm yyyy")&amp;" through "&amp;TEXT(A17,"mmmm yyyy")&amp;")"</f>
        <v>Commodity Pricing (May 2021 through April 2022)</v>
      </c>
      <c r="B1" s="60"/>
    </row>
    <row r="2" spans="1:13" x14ac:dyDescent="0.2">
      <c r="A2" s="61" t="str">
        <f>Value!A2</f>
        <v>Rabanco Ltd (dba Allied Waste of Seatac)</v>
      </c>
      <c r="B2" s="61"/>
    </row>
    <row r="3" spans="1:13" x14ac:dyDescent="0.2">
      <c r="A3" s="61"/>
      <c r="B3" s="61"/>
    </row>
    <row r="4" spans="1:13" x14ac:dyDescent="0.2">
      <c r="A4" s="61"/>
      <c r="B4" s="61"/>
    </row>
    <row r="5" spans="1:13" x14ac:dyDescent="0.2">
      <c r="B5" s="70"/>
      <c r="C5" s="63" t="s">
        <v>21</v>
      </c>
      <c r="D5" s="63" t="s">
        <v>22</v>
      </c>
      <c r="E5" s="63" t="s">
        <v>88</v>
      </c>
      <c r="F5" s="63" t="s">
        <v>50</v>
      </c>
      <c r="G5" s="63" t="s">
        <v>89</v>
      </c>
      <c r="H5" s="63" t="s">
        <v>24</v>
      </c>
      <c r="I5" s="63" t="s">
        <v>25</v>
      </c>
      <c r="J5" s="63" t="s">
        <v>26</v>
      </c>
      <c r="K5" s="63" t="s">
        <v>27</v>
      </c>
      <c r="L5" s="63" t="s">
        <v>28</v>
      </c>
      <c r="M5" s="63"/>
    </row>
    <row r="6" spans="1:13" ht="15.75" customHeight="1" x14ac:dyDescent="0.2">
      <c r="A6" s="128">
        <f>'Single Family'!$C$6</f>
        <v>44317</v>
      </c>
      <c r="B6" s="66" t="s">
        <v>63</v>
      </c>
      <c r="C6" s="106">
        <f>'Single Family'!C74</f>
        <v>1189.808</v>
      </c>
      <c r="D6" s="107">
        <f>'Single Family'!C76</f>
        <v>-24.73</v>
      </c>
      <c r="E6" s="107">
        <f>'Single Family'!C77</f>
        <v>0</v>
      </c>
      <c r="F6" s="108">
        <f>'Single Family'!C72</f>
        <v>176.12800000000001</v>
      </c>
      <c r="G6" s="106">
        <f>'Single Family'!C75</f>
        <v>142.04000000000002</v>
      </c>
      <c r="H6" s="106">
        <f>'Single Family'!C79</f>
        <v>46.64</v>
      </c>
      <c r="I6" s="106">
        <f>'Single Family'!C73</f>
        <v>299.36916201117322</v>
      </c>
      <c r="J6" s="106">
        <f>'Single Family'!C73</f>
        <v>299.36916201117322</v>
      </c>
      <c r="K6" s="106">
        <f>'Single Family'!C70</f>
        <v>131.50399999999999</v>
      </c>
      <c r="L6" s="107">
        <f>'Single Family'!C78</f>
        <v>-155.82</v>
      </c>
      <c r="M6" s="154"/>
    </row>
    <row r="7" spans="1:13" ht="15.75" customHeight="1" x14ac:dyDescent="0.2">
      <c r="A7" s="65">
        <f>+'Commodity Tonnages'!A7</f>
        <v>44377</v>
      </c>
      <c r="B7" s="66" t="s">
        <v>64</v>
      </c>
      <c r="C7" s="106">
        <f>'Single Family'!D74</f>
        <v>1217.48</v>
      </c>
      <c r="D7" s="107">
        <f>'Single Family'!D76</f>
        <v>-9.94</v>
      </c>
      <c r="E7" s="107">
        <f>'Single Family'!D77</f>
        <v>0</v>
      </c>
      <c r="F7" s="108">
        <f>'Single Family'!D72</f>
        <v>209.16800000000001</v>
      </c>
      <c r="G7" s="106">
        <f>'Single Family'!D75</f>
        <v>165.69600000000003</v>
      </c>
      <c r="H7" s="106">
        <f>'Single Family'!D79</f>
        <v>64.088000000000008</v>
      </c>
      <c r="I7" s="106">
        <f>'Single Family'!D73</f>
        <v>444.90221229050275</v>
      </c>
      <c r="J7" s="106">
        <f>'Single Family'!D73</f>
        <v>444.90221229050275</v>
      </c>
      <c r="K7" s="106">
        <f>'Single Family'!D70</f>
        <v>154.096</v>
      </c>
      <c r="L7" s="107">
        <f>'Single Family'!D78</f>
        <v>-163.55000000000001</v>
      </c>
      <c r="M7" s="154"/>
    </row>
    <row r="8" spans="1:13" ht="15.75" customHeight="1" x14ac:dyDescent="0.2">
      <c r="A8" s="65">
        <f>+'Commodity Tonnages'!A8</f>
        <v>44408</v>
      </c>
      <c r="B8" s="66" t="s">
        <v>65</v>
      </c>
      <c r="C8" s="106">
        <f>'Single Family'!E74</f>
        <v>1261.6320000000001</v>
      </c>
      <c r="D8" s="107">
        <f>'Single Family'!E76</f>
        <v>-46.2</v>
      </c>
      <c r="E8" s="107">
        <f>'Single Family'!E77</f>
        <v>0</v>
      </c>
      <c r="F8" s="108">
        <f>'Single Family'!E72</f>
        <v>189.88</v>
      </c>
      <c r="G8" s="106">
        <f>'Single Family'!E75</f>
        <v>150.072</v>
      </c>
      <c r="H8" s="106">
        <f>'Single Family'!E79</f>
        <v>50.080000000000005</v>
      </c>
      <c r="I8" s="106">
        <f>'Single Family'!E73</f>
        <v>363.43238681318684</v>
      </c>
      <c r="J8" s="106">
        <f>'Single Family'!E73</f>
        <v>363.43238681318684</v>
      </c>
      <c r="K8" s="106">
        <f>'Single Family'!E70</f>
        <v>142.16800000000001</v>
      </c>
      <c r="L8" s="107">
        <f>'Single Family'!E78</f>
        <v>-164.36</v>
      </c>
      <c r="M8" s="154"/>
    </row>
    <row r="9" spans="1:13" ht="15.75" customHeight="1" x14ac:dyDescent="0.2">
      <c r="A9" s="65">
        <f>+'Commodity Tonnages'!A9</f>
        <v>44439</v>
      </c>
      <c r="B9" s="66" t="s">
        <v>66</v>
      </c>
      <c r="C9" s="106">
        <f>'Single Family'!F74</f>
        <v>1291.5920000000001</v>
      </c>
      <c r="D9" s="107">
        <f>'Single Family'!F76</f>
        <v>-52.58</v>
      </c>
      <c r="E9" s="107">
        <f>'Single Family'!F77</f>
        <v>0</v>
      </c>
      <c r="F9" s="108">
        <f>'Single Family'!F72</f>
        <v>171.78399999999999</v>
      </c>
      <c r="G9" s="106">
        <f>'Single Family'!F75</f>
        <v>138.85599999999999</v>
      </c>
      <c r="H9" s="106">
        <f>'Single Family'!F79</f>
        <v>57.176000000000002</v>
      </c>
      <c r="I9" s="106">
        <f>'Single Family'!F73</f>
        <v>436.22767472527471</v>
      </c>
      <c r="J9" s="106">
        <f>'Single Family'!F73</f>
        <v>436.22767472527471</v>
      </c>
      <c r="K9" s="106">
        <f>'Single Family'!F70</f>
        <v>146.29600000000002</v>
      </c>
      <c r="L9" s="107">
        <f>'Single Family'!F78</f>
        <v>-161.54</v>
      </c>
      <c r="M9" s="154"/>
    </row>
    <row r="10" spans="1:13" ht="15.75" customHeight="1" x14ac:dyDescent="0.2">
      <c r="A10" s="65">
        <f>+'Commodity Tonnages'!A10</f>
        <v>44469</v>
      </c>
      <c r="B10" s="66" t="s">
        <v>67</v>
      </c>
      <c r="C10" s="106">
        <f>'Single Family'!G74</f>
        <v>1399.9680000000001</v>
      </c>
      <c r="D10" s="107">
        <f>'Single Family'!G76</f>
        <v>-48.34</v>
      </c>
      <c r="E10" s="107">
        <f>'Single Family'!G77</f>
        <v>0</v>
      </c>
      <c r="F10" s="108">
        <f>'Single Family'!G72</f>
        <v>154.28</v>
      </c>
      <c r="G10" s="106">
        <f>'Single Family'!G75</f>
        <v>123.49600000000001</v>
      </c>
      <c r="H10" s="106">
        <f>'Single Family'!G79</f>
        <v>53.296000000000006</v>
      </c>
      <c r="I10" s="106">
        <f>'Single Family'!G73</f>
        <v>382.05673846153849</v>
      </c>
      <c r="J10" s="106">
        <f>'Single Family'!G73</f>
        <v>382.05673846153849</v>
      </c>
      <c r="K10" s="106">
        <f>'Single Family'!G70</f>
        <v>153.20000000000002</v>
      </c>
      <c r="L10" s="107">
        <f>'Single Family'!G78</f>
        <v>-160.65</v>
      </c>
      <c r="M10" s="154"/>
    </row>
    <row r="11" spans="1:13" ht="15.75" customHeight="1" x14ac:dyDescent="0.2">
      <c r="A11" s="65">
        <f>+'Commodity Tonnages'!A11</f>
        <v>44500</v>
      </c>
      <c r="B11" s="66" t="s">
        <v>68</v>
      </c>
      <c r="C11" s="106">
        <f>'Single Family'!H74</f>
        <v>1432.5680000000002</v>
      </c>
      <c r="D11" s="107">
        <f>'Single Family'!H76</f>
        <v>-46.82</v>
      </c>
      <c r="E11" s="107">
        <f>'Single Family'!H77</f>
        <v>0</v>
      </c>
      <c r="F11" s="108">
        <f>'Single Family'!H72</f>
        <v>155.34400000000002</v>
      </c>
      <c r="G11" s="106">
        <f>'Single Family'!H75</f>
        <v>135.40799999999999</v>
      </c>
      <c r="H11" s="106">
        <f>'Single Family'!H79</f>
        <v>60.591999999999999</v>
      </c>
      <c r="I11" s="106">
        <f>'Single Family'!H73</f>
        <v>262.97128791208803</v>
      </c>
      <c r="J11" s="106">
        <f>'Single Family'!H73</f>
        <v>262.97128791208803</v>
      </c>
      <c r="K11" s="106">
        <f>'Single Family'!H70</f>
        <v>151.29600000000002</v>
      </c>
      <c r="L11" s="107">
        <f>'Single Family'!H78</f>
        <v>-160.65</v>
      </c>
      <c r="M11" s="154"/>
    </row>
    <row r="12" spans="1:13" ht="15.75" customHeight="1" x14ac:dyDescent="0.2">
      <c r="A12" s="65">
        <f>+'Commodity Tonnages'!A12</f>
        <v>44530</v>
      </c>
      <c r="B12" s="66" t="s">
        <v>69</v>
      </c>
      <c r="C12" s="106">
        <f>'Single Family'!I74</f>
        <v>1208.28</v>
      </c>
      <c r="D12" s="107">
        <f>'Single Family'!I76</f>
        <v>-57.68</v>
      </c>
      <c r="E12" s="107">
        <f>'Single Family'!I77</f>
        <v>0</v>
      </c>
      <c r="F12" s="108">
        <f>'Single Family'!I72</f>
        <v>160.65600000000001</v>
      </c>
      <c r="G12" s="106">
        <f>'Single Family'!I75</f>
        <v>145.80799999999999</v>
      </c>
      <c r="H12" s="106">
        <f>'Single Family'!I79</f>
        <v>32.848000000000006</v>
      </c>
      <c r="I12" s="106">
        <f>'Single Family'!I73</f>
        <v>275.3715692307693</v>
      </c>
      <c r="J12" s="106">
        <f>'Single Family'!I73</f>
        <v>275.3715692307693</v>
      </c>
      <c r="K12" s="106">
        <f>'Single Family'!I70</f>
        <v>129.08800000000002</v>
      </c>
      <c r="L12" s="107">
        <f>'Single Family'!I78</f>
        <v>-159.69999999999999</v>
      </c>
      <c r="M12" s="154"/>
    </row>
    <row r="13" spans="1:13" ht="15.75" customHeight="1" x14ac:dyDescent="0.2">
      <c r="A13" s="65">
        <f>+'Commodity Tonnages'!A13</f>
        <v>44561</v>
      </c>
      <c r="B13" s="66" t="s">
        <v>70</v>
      </c>
      <c r="C13" s="106">
        <f>'Single Family'!J74</f>
        <v>1267.616</v>
      </c>
      <c r="D13" s="107">
        <f>'Single Family'!J76</f>
        <v>-51.06</v>
      </c>
      <c r="E13" s="107">
        <f>'Single Family'!J77</f>
        <v>0</v>
      </c>
      <c r="F13" s="108">
        <f>'Single Family'!J72</f>
        <v>168.928</v>
      </c>
      <c r="G13" s="106">
        <f>'Single Family'!J75</f>
        <v>152.82400000000001</v>
      </c>
      <c r="H13" s="106">
        <f>'Single Family'!J79</f>
        <v>-8.57</v>
      </c>
      <c r="I13" s="106">
        <f>'Single Family'!J73</f>
        <v>235.31657142857139</v>
      </c>
      <c r="J13" s="106">
        <f>'Single Family'!J73</f>
        <v>235.31657142857139</v>
      </c>
      <c r="K13" s="106">
        <f>'Single Family'!J70</f>
        <v>119.28</v>
      </c>
      <c r="L13" s="107">
        <f>'Single Family'!J78</f>
        <v>-163.71</v>
      </c>
      <c r="M13" s="154"/>
    </row>
    <row r="14" spans="1:13" ht="15.75" customHeight="1" x14ac:dyDescent="0.2">
      <c r="A14" s="65">
        <f>+'Commodity Tonnages'!A14</f>
        <v>44592</v>
      </c>
      <c r="B14" s="66" t="s">
        <v>71</v>
      </c>
      <c r="C14" s="106">
        <f>'Single Family'!K74</f>
        <v>1508.5120000000002</v>
      </c>
      <c r="D14" s="107">
        <f>'Single Family'!K76</f>
        <v>-77.319999999999993</v>
      </c>
      <c r="E14" s="107">
        <f>'Single Family'!K77</f>
        <v>0</v>
      </c>
      <c r="F14" s="108">
        <f>'Single Family'!K72</f>
        <v>112.04000000000002</v>
      </c>
      <c r="G14" s="106">
        <f>'Single Family'!K75</f>
        <v>86.968000000000004</v>
      </c>
      <c r="H14" s="106">
        <f>'Single Family'!K79</f>
        <v>-3.4</v>
      </c>
      <c r="I14" s="106">
        <f>'Single Family'!K73</f>
        <v>150.52624390243903</v>
      </c>
      <c r="J14" s="106">
        <f>'Single Family'!K73</f>
        <v>150.52624390243903</v>
      </c>
      <c r="K14" s="106">
        <f>'Single Family'!K70</f>
        <v>83.224000000000004</v>
      </c>
      <c r="L14" s="107">
        <f>'Single Family'!K78</f>
        <v>-166.72</v>
      </c>
      <c r="M14" s="154"/>
    </row>
    <row r="15" spans="1:13" ht="15.75" customHeight="1" x14ac:dyDescent="0.2">
      <c r="A15" s="65">
        <f>+'Commodity Tonnages'!A15</f>
        <v>44620</v>
      </c>
      <c r="B15" s="66" t="s">
        <v>72</v>
      </c>
      <c r="C15" s="106">
        <f>'Single Family'!L74</f>
        <v>1715.4240000000002</v>
      </c>
      <c r="D15" s="107">
        <f>'Single Family'!L76</f>
        <v>-65.19</v>
      </c>
      <c r="E15" s="107">
        <f>'Single Family'!L77</f>
        <v>0</v>
      </c>
      <c r="F15" s="108">
        <f>'Single Family'!L72</f>
        <v>131.26400000000001</v>
      </c>
      <c r="G15" s="106">
        <f>'Single Family'!L75</f>
        <v>107.78399999999999</v>
      </c>
      <c r="H15" s="106">
        <f>'Single Family'!L79</f>
        <v>-23.28</v>
      </c>
      <c r="I15" s="106">
        <f>'Single Family'!L73</f>
        <v>212.95260162601627</v>
      </c>
      <c r="J15" s="106">
        <f>'Single Family'!L73</f>
        <v>212.95260162601627</v>
      </c>
      <c r="K15" s="106">
        <f>'Single Family'!L70</f>
        <v>107.94400000000002</v>
      </c>
      <c r="L15" s="107">
        <f>'Single Family'!L78</f>
        <v>-166.81</v>
      </c>
      <c r="M15" s="154"/>
    </row>
    <row r="16" spans="1:13" ht="15.75" customHeight="1" x14ac:dyDescent="0.2">
      <c r="A16" s="65">
        <f>+'Commodity Tonnages'!A16</f>
        <v>44651</v>
      </c>
      <c r="B16" s="66" t="s">
        <v>73</v>
      </c>
      <c r="C16" s="106">
        <f>'Single Family'!M74</f>
        <v>1859.6560000000002</v>
      </c>
      <c r="D16" s="107">
        <f>'Single Family'!M76</f>
        <v>-73.39</v>
      </c>
      <c r="E16" s="107">
        <f>'Single Family'!M77</f>
        <v>0</v>
      </c>
      <c r="F16" s="108">
        <f>'Single Family'!M72</f>
        <v>134.50399999999999</v>
      </c>
      <c r="G16" s="106">
        <f>'Single Family'!M75</f>
        <v>152.54400000000001</v>
      </c>
      <c r="H16" s="106">
        <f>'Single Family'!M79</f>
        <v>-17.3</v>
      </c>
      <c r="I16" s="106">
        <f>'Single Family'!M73</f>
        <v>268.1524552845529</v>
      </c>
      <c r="J16" s="106">
        <f>'Single Family'!M73</f>
        <v>268.1524552845529</v>
      </c>
      <c r="K16" s="106">
        <f>'Single Family'!M70</f>
        <v>104.48800000000001</v>
      </c>
      <c r="L16" s="107">
        <f>'Single Family'!M78</f>
        <v>-167.13</v>
      </c>
      <c r="M16" s="154"/>
    </row>
    <row r="17" spans="1:14" ht="15.75" customHeight="1" x14ac:dyDescent="0.2">
      <c r="A17" s="65">
        <f>+'Commodity Tonnages'!A17</f>
        <v>44681</v>
      </c>
      <c r="B17" s="66" t="s">
        <v>74</v>
      </c>
      <c r="C17" s="106">
        <f>'Single Family'!N74</f>
        <v>1816.8400000000001</v>
      </c>
      <c r="D17" s="107">
        <f>'Single Family'!N76</f>
        <v>-55.61</v>
      </c>
      <c r="E17" s="107">
        <f>'Single Family'!N77</f>
        <v>0</v>
      </c>
      <c r="F17" s="108">
        <f>'Single Family'!N72</f>
        <v>158.15200000000002</v>
      </c>
      <c r="G17" s="106">
        <f>'Single Family'!N75</f>
        <v>185.48000000000002</v>
      </c>
      <c r="H17" s="106">
        <f>'Single Family'!N79</f>
        <v>-7.91</v>
      </c>
      <c r="I17" s="106">
        <f>'Single Family'!N73</f>
        <v>324.94946341463418</v>
      </c>
      <c r="J17" s="106">
        <f>'Single Family'!N73</f>
        <v>324.94946341463418</v>
      </c>
      <c r="K17" s="106">
        <f>'Single Family'!N70</f>
        <v>105.84000000000002</v>
      </c>
      <c r="L17" s="107">
        <f>'Single Family'!N78</f>
        <v>-167.08</v>
      </c>
      <c r="M17" s="154"/>
    </row>
    <row r="18" spans="1:14" x14ac:dyDescent="0.2">
      <c r="A18" s="66"/>
      <c r="B18" s="66"/>
      <c r="C18" s="67"/>
      <c r="D18" s="67"/>
      <c r="E18" s="67"/>
      <c r="F18" s="67"/>
      <c r="G18" s="67"/>
      <c r="H18" s="67"/>
      <c r="I18" s="67"/>
      <c r="J18" s="67"/>
      <c r="K18" s="67"/>
      <c r="L18" s="66"/>
      <c r="M18" s="67"/>
    </row>
    <row r="19" spans="1:14" x14ac:dyDescent="0.2">
      <c r="A19" s="69"/>
      <c r="B19" s="66"/>
      <c r="C19" s="67"/>
      <c r="D19" s="67"/>
      <c r="E19" s="67"/>
      <c r="F19" s="67"/>
      <c r="G19" s="67"/>
      <c r="H19" s="67"/>
      <c r="I19" s="67"/>
      <c r="J19" s="67"/>
      <c r="K19" s="67"/>
      <c r="L19" s="67"/>
      <c r="M19" s="67"/>
      <c r="N19" s="67"/>
    </row>
    <row r="20" spans="1:14" x14ac:dyDescent="0.2">
      <c r="A20" s="66"/>
      <c r="B20" s="66"/>
      <c r="C20" s="66"/>
      <c r="D20" s="66"/>
      <c r="E20" s="66"/>
      <c r="F20" s="66"/>
      <c r="G20" s="66"/>
      <c r="H20" s="66"/>
      <c r="I20" s="66"/>
      <c r="J20" s="66"/>
      <c r="K20" s="66"/>
      <c r="L20" s="66"/>
      <c r="M20" s="67"/>
    </row>
    <row r="21" spans="1:14" x14ac:dyDescent="0.2">
      <c r="A21" s="66"/>
      <c r="B21" s="66"/>
      <c r="C21" s="66"/>
      <c r="D21" s="66"/>
      <c r="E21" s="66"/>
      <c r="F21" s="66"/>
      <c r="G21" s="66"/>
      <c r="H21" s="66"/>
      <c r="I21" s="66"/>
      <c r="J21" s="66"/>
      <c r="K21" s="66"/>
      <c r="L21" s="66"/>
      <c r="M21" s="67"/>
    </row>
    <row r="22" spans="1:14" x14ac:dyDescent="0.2">
      <c r="A22" s="66"/>
      <c r="B22" s="66"/>
      <c r="C22" s="66"/>
      <c r="D22" s="66"/>
      <c r="F22" s="66"/>
      <c r="G22" s="66"/>
      <c r="H22" s="66"/>
      <c r="I22" s="66"/>
      <c r="J22" s="66"/>
      <c r="K22" s="66"/>
      <c r="L22" s="66"/>
      <c r="M22" s="67"/>
    </row>
    <row r="23" spans="1:14" x14ac:dyDescent="0.2">
      <c r="A23" s="66"/>
      <c r="B23" s="66"/>
      <c r="C23" s="66"/>
      <c r="D23" s="66"/>
      <c r="F23" s="66"/>
      <c r="G23" s="66"/>
      <c r="H23" s="66"/>
      <c r="I23" s="66"/>
      <c r="J23" s="66"/>
      <c r="K23" s="66"/>
      <c r="L23" s="66"/>
      <c r="M23" s="67"/>
    </row>
    <row r="24" spans="1:14" x14ac:dyDescent="0.2">
      <c r="A24" s="66"/>
      <c r="B24" s="66"/>
      <c r="C24" s="66"/>
      <c r="D24" s="66"/>
      <c r="G24" s="66"/>
      <c r="H24" s="66"/>
      <c r="I24" s="66"/>
      <c r="J24" s="66"/>
      <c r="K24" s="66"/>
      <c r="L24" s="66"/>
      <c r="M24" s="67"/>
    </row>
    <row r="25" spans="1:14" x14ac:dyDescent="0.2">
      <c r="A25" s="66"/>
      <c r="B25" s="66"/>
      <c r="C25" s="66"/>
      <c r="D25" s="66"/>
      <c r="F25" s="66"/>
      <c r="G25" s="66"/>
      <c r="H25" s="66"/>
      <c r="I25" s="66"/>
      <c r="J25" s="66"/>
      <c r="K25" s="66"/>
      <c r="L25" s="66"/>
      <c r="M25" s="67"/>
    </row>
    <row r="26" spans="1:14" x14ac:dyDescent="0.2">
      <c r="A26" s="66"/>
      <c r="B26" s="66"/>
      <c r="C26" s="66"/>
      <c r="D26" s="66"/>
      <c r="F26" s="66"/>
      <c r="G26" s="66"/>
      <c r="H26" s="66"/>
      <c r="I26" s="66"/>
      <c r="J26" s="66"/>
      <c r="K26" s="66"/>
      <c r="L26" s="66"/>
      <c r="M26" s="67"/>
    </row>
    <row r="27" spans="1:14" x14ac:dyDescent="0.2">
      <c r="A27" s="66"/>
      <c r="B27" s="66"/>
      <c r="C27" s="66"/>
      <c r="D27" s="66"/>
      <c r="F27" s="66"/>
      <c r="G27" s="66"/>
      <c r="H27" s="66"/>
      <c r="I27" s="66"/>
      <c r="J27" s="66"/>
      <c r="K27" s="66"/>
      <c r="L27" s="66"/>
      <c r="M27" s="67"/>
    </row>
    <row r="28" spans="1:14" x14ac:dyDescent="0.2">
      <c r="A28" s="66"/>
      <c r="B28" s="66"/>
      <c r="C28" s="66"/>
      <c r="D28" s="66"/>
      <c r="F28" s="66"/>
      <c r="G28" s="66"/>
      <c r="H28" s="66"/>
      <c r="I28" s="66"/>
      <c r="J28" s="66"/>
      <c r="K28" s="66"/>
      <c r="L28" s="66"/>
      <c r="M28" s="67"/>
    </row>
    <row r="29" spans="1:14" x14ac:dyDescent="0.2">
      <c r="A29" s="66"/>
      <c r="B29" s="66"/>
      <c r="C29" s="66"/>
      <c r="D29" s="66"/>
      <c r="F29" s="66"/>
      <c r="G29" s="66"/>
      <c r="H29" s="66"/>
      <c r="I29" s="66"/>
      <c r="J29" s="66"/>
      <c r="K29" s="66"/>
      <c r="L29" s="66"/>
      <c r="M29" s="67"/>
    </row>
    <row r="30" spans="1:14" x14ac:dyDescent="0.2">
      <c r="A30" s="66"/>
      <c r="B30" s="66"/>
      <c r="C30" s="66"/>
      <c r="D30" s="66"/>
      <c r="F30" s="66"/>
      <c r="G30" s="66"/>
      <c r="H30" s="66"/>
      <c r="I30" s="66"/>
      <c r="J30" s="66"/>
      <c r="K30" s="66"/>
      <c r="L30" s="66"/>
      <c r="M30" s="66"/>
    </row>
    <row r="31" spans="1:14" x14ac:dyDescent="0.2">
      <c r="A31" s="66"/>
      <c r="B31" s="66"/>
      <c r="C31" s="66"/>
      <c r="D31" s="66"/>
      <c r="F31" s="66"/>
      <c r="G31" s="66"/>
      <c r="H31" s="66"/>
      <c r="I31" s="66"/>
      <c r="J31" s="66"/>
      <c r="K31" s="66"/>
      <c r="L31" s="66"/>
      <c r="M31" s="66"/>
    </row>
    <row r="32" spans="1:14" x14ac:dyDescent="0.2">
      <c r="A32" s="66"/>
      <c r="B32" s="66"/>
      <c r="C32" s="66"/>
      <c r="D32" s="66"/>
      <c r="F32" s="66"/>
      <c r="G32" s="66"/>
      <c r="H32" s="66"/>
      <c r="I32" s="66"/>
      <c r="J32" s="66"/>
      <c r="K32" s="66"/>
      <c r="L32" s="66"/>
      <c r="M32" s="66"/>
    </row>
    <row r="33" spans="1:13" x14ac:dyDescent="0.2">
      <c r="A33" s="66"/>
      <c r="B33" s="66"/>
      <c r="C33" s="66"/>
      <c r="D33" s="66"/>
      <c r="F33" s="66"/>
      <c r="G33" s="66"/>
      <c r="H33" s="66"/>
      <c r="I33" s="66"/>
      <c r="J33" s="66"/>
      <c r="K33" s="66"/>
      <c r="L33" s="66"/>
      <c r="M33" s="66"/>
    </row>
    <row r="34" spans="1:13" x14ac:dyDescent="0.2">
      <c r="A34" s="66"/>
      <c r="B34" s="66"/>
      <c r="C34" s="66"/>
      <c r="D34" s="66"/>
      <c r="E34" s="66"/>
      <c r="F34" s="66"/>
      <c r="G34" s="66"/>
      <c r="H34" s="66"/>
      <c r="I34" s="66"/>
      <c r="J34" s="66"/>
      <c r="K34" s="66"/>
      <c r="L34" s="66"/>
      <c r="M34" s="66"/>
    </row>
    <row r="35" spans="1:13" x14ac:dyDescent="0.2">
      <c r="A35" s="66"/>
      <c r="B35" s="66"/>
      <c r="C35" s="66"/>
      <c r="D35" s="66"/>
      <c r="E35" s="66"/>
      <c r="F35" s="66"/>
      <c r="G35" s="66"/>
      <c r="H35" s="66"/>
      <c r="I35" s="66"/>
      <c r="J35" s="66"/>
      <c r="K35" s="66"/>
      <c r="L35" s="66"/>
      <c r="M35" s="66"/>
    </row>
    <row r="36" spans="1:13" x14ac:dyDescent="0.2">
      <c r="A36" s="66"/>
      <c r="B36" s="66"/>
      <c r="C36" s="66"/>
      <c r="D36" s="66"/>
      <c r="E36" s="66"/>
      <c r="F36" s="66"/>
      <c r="G36" s="66"/>
      <c r="H36" s="66"/>
      <c r="I36" s="66"/>
      <c r="J36" s="66"/>
      <c r="K36" s="66"/>
      <c r="L36" s="66"/>
      <c r="M36" s="66"/>
    </row>
    <row r="37" spans="1:13" x14ac:dyDescent="0.2">
      <c r="A37" s="66"/>
      <c r="B37" s="66"/>
      <c r="C37" s="66"/>
      <c r="D37" s="66"/>
      <c r="E37" s="66"/>
      <c r="F37" s="66"/>
      <c r="G37" s="66"/>
      <c r="H37" s="66"/>
      <c r="I37" s="66"/>
      <c r="J37" s="66"/>
      <c r="K37" s="66"/>
      <c r="L37" s="66"/>
      <c r="M37" s="66"/>
    </row>
    <row r="38" spans="1:13" x14ac:dyDescent="0.2">
      <c r="A38" s="66"/>
      <c r="B38" s="66"/>
      <c r="C38" s="66"/>
      <c r="D38" s="66"/>
      <c r="E38" s="66"/>
      <c r="F38" s="66"/>
      <c r="G38" s="66"/>
      <c r="H38" s="66"/>
      <c r="I38" s="66"/>
      <c r="J38" s="66"/>
      <c r="K38" s="66"/>
      <c r="L38" s="66"/>
      <c r="M38" s="66"/>
    </row>
    <row r="39" spans="1:13" x14ac:dyDescent="0.2">
      <c r="A39" s="66"/>
      <c r="B39" s="66"/>
      <c r="C39" s="66"/>
      <c r="D39" s="66"/>
      <c r="E39" s="66"/>
      <c r="F39" s="66"/>
      <c r="G39" s="66"/>
      <c r="H39" s="66"/>
      <c r="I39" s="66"/>
      <c r="J39" s="66"/>
      <c r="K39" s="66"/>
      <c r="L39" s="66"/>
      <c r="M39" s="66"/>
    </row>
    <row r="40" spans="1:13" x14ac:dyDescent="0.2">
      <c r="A40" s="66"/>
      <c r="B40" s="66"/>
      <c r="C40" s="66"/>
      <c r="D40" s="66"/>
      <c r="E40" s="66"/>
      <c r="F40" s="66"/>
      <c r="G40" s="66"/>
      <c r="H40" s="66"/>
      <c r="I40" s="66"/>
      <c r="J40" s="66"/>
      <c r="K40" s="66"/>
      <c r="L40" s="66"/>
      <c r="M40" s="66"/>
    </row>
    <row r="41" spans="1:13" x14ac:dyDescent="0.2">
      <c r="A41" s="66"/>
      <c r="B41" s="66"/>
      <c r="C41" s="66"/>
      <c r="D41" s="66"/>
      <c r="E41" s="66"/>
      <c r="F41" s="66"/>
      <c r="G41" s="66"/>
      <c r="H41" s="66"/>
      <c r="I41" s="66"/>
      <c r="J41" s="66"/>
      <c r="K41" s="66"/>
      <c r="L41" s="66"/>
      <c r="M41" s="66"/>
    </row>
    <row r="42" spans="1:13" x14ac:dyDescent="0.2">
      <c r="A42" s="66"/>
      <c r="B42" s="66"/>
      <c r="C42" s="66"/>
      <c r="D42" s="66"/>
      <c r="E42" s="66"/>
      <c r="F42" s="66"/>
      <c r="G42" s="66"/>
      <c r="H42" s="66"/>
      <c r="I42" s="66"/>
      <c r="J42" s="66"/>
      <c r="K42" s="66"/>
      <c r="L42" s="66"/>
      <c r="M42" s="66"/>
    </row>
    <row r="43" spans="1:13" x14ac:dyDescent="0.2">
      <c r="A43" s="66"/>
      <c r="B43" s="66"/>
      <c r="C43" s="66"/>
      <c r="D43" s="66"/>
      <c r="E43" s="66"/>
      <c r="F43" s="66"/>
      <c r="G43" s="66"/>
      <c r="H43" s="66"/>
      <c r="I43" s="66"/>
      <c r="J43" s="66"/>
      <c r="K43" s="66"/>
      <c r="L43" s="66"/>
      <c r="M43" s="66"/>
    </row>
    <row r="44" spans="1:13" x14ac:dyDescent="0.2">
      <c r="A44" s="66"/>
      <c r="B44" s="66"/>
      <c r="C44" s="66"/>
      <c r="D44" s="66"/>
      <c r="E44" s="66"/>
      <c r="F44" s="66"/>
      <c r="G44" s="66"/>
      <c r="H44" s="66"/>
      <c r="I44" s="66"/>
      <c r="J44" s="66"/>
      <c r="K44" s="66"/>
      <c r="L44" s="66"/>
      <c r="M44" s="66"/>
    </row>
    <row r="45" spans="1:13" x14ac:dyDescent="0.2">
      <c r="A45" s="66"/>
      <c r="B45" s="66"/>
      <c r="C45" s="66"/>
      <c r="D45" s="66"/>
      <c r="E45" s="66"/>
      <c r="F45" s="66"/>
      <c r="G45" s="66"/>
      <c r="H45" s="66"/>
      <c r="I45" s="66"/>
      <c r="J45" s="66"/>
      <c r="K45" s="66"/>
      <c r="L45" s="66"/>
      <c r="M45" s="66"/>
    </row>
    <row r="46" spans="1:13" x14ac:dyDescent="0.2">
      <c r="A46" s="66"/>
      <c r="B46" s="66"/>
      <c r="C46" s="66"/>
      <c r="D46" s="66"/>
      <c r="E46" s="66"/>
      <c r="F46" s="66"/>
      <c r="G46" s="66"/>
      <c r="H46" s="66"/>
      <c r="I46" s="66"/>
      <c r="J46" s="66"/>
      <c r="K46" s="66"/>
      <c r="L46" s="66"/>
      <c r="M46" s="66"/>
    </row>
    <row r="47" spans="1:13" x14ac:dyDescent="0.2">
      <c r="A47" s="66"/>
      <c r="B47" s="66"/>
      <c r="C47" s="66"/>
      <c r="D47" s="66"/>
      <c r="E47" s="66"/>
      <c r="F47" s="66"/>
      <c r="G47" s="66"/>
      <c r="H47" s="66"/>
      <c r="I47" s="66"/>
      <c r="J47" s="66"/>
      <c r="K47" s="66"/>
      <c r="L47" s="66"/>
      <c r="M47" s="66"/>
    </row>
    <row r="48" spans="1:13" x14ac:dyDescent="0.2">
      <c r="A48" s="66"/>
      <c r="B48" s="66"/>
      <c r="C48" s="66"/>
      <c r="D48" s="66"/>
      <c r="E48" s="66"/>
      <c r="F48" s="66"/>
      <c r="G48" s="66"/>
      <c r="H48" s="66"/>
      <c r="I48" s="66"/>
      <c r="J48" s="66"/>
      <c r="K48" s="66"/>
      <c r="L48" s="66"/>
      <c r="M48" s="66"/>
    </row>
    <row r="49" spans="1:13" x14ac:dyDescent="0.2">
      <c r="A49" s="66"/>
      <c r="B49" s="66"/>
      <c r="C49" s="66"/>
      <c r="D49" s="66"/>
      <c r="E49" s="66"/>
      <c r="F49" s="66"/>
      <c r="G49" s="66"/>
      <c r="H49" s="66"/>
      <c r="I49" s="66"/>
      <c r="J49" s="66"/>
      <c r="K49" s="66"/>
      <c r="L49" s="66"/>
      <c r="M49" s="66"/>
    </row>
    <row r="50" spans="1:13" x14ac:dyDescent="0.2">
      <c r="A50" s="66"/>
      <c r="B50" s="66"/>
      <c r="C50" s="66"/>
      <c r="D50" s="66"/>
      <c r="E50" s="66"/>
      <c r="F50" s="66"/>
      <c r="G50" s="66"/>
      <c r="H50" s="66"/>
      <c r="I50" s="66"/>
      <c r="J50" s="66"/>
      <c r="K50" s="66"/>
      <c r="L50" s="66"/>
      <c r="M50" s="66"/>
    </row>
    <row r="51" spans="1:13" x14ac:dyDescent="0.2">
      <c r="A51" s="66"/>
      <c r="B51" s="66"/>
      <c r="C51" s="66"/>
      <c r="D51" s="66"/>
      <c r="E51" s="66"/>
      <c r="F51" s="66"/>
      <c r="G51" s="66"/>
      <c r="H51" s="66"/>
      <c r="I51" s="66"/>
      <c r="J51" s="66"/>
      <c r="K51" s="66"/>
      <c r="L51" s="66"/>
      <c r="M51" s="66"/>
    </row>
    <row r="52" spans="1:13" x14ac:dyDescent="0.2">
      <c r="A52" s="66"/>
      <c r="B52" s="66"/>
      <c r="C52" s="66"/>
      <c r="D52" s="66"/>
      <c r="E52" s="66"/>
      <c r="F52" s="66"/>
      <c r="G52" s="66"/>
      <c r="H52" s="66"/>
      <c r="I52" s="66"/>
      <c r="J52" s="66"/>
      <c r="K52" s="66"/>
      <c r="L52" s="66"/>
      <c r="M52" s="66"/>
    </row>
    <row r="53" spans="1:13" x14ac:dyDescent="0.2">
      <c r="A53" s="66"/>
      <c r="B53" s="66"/>
      <c r="C53" s="66"/>
      <c r="D53" s="66"/>
      <c r="E53" s="66"/>
      <c r="F53" s="66"/>
      <c r="G53" s="66"/>
      <c r="H53" s="66"/>
      <c r="I53" s="66"/>
      <c r="J53" s="66"/>
      <c r="K53" s="66"/>
      <c r="L53" s="66"/>
      <c r="M53" s="66"/>
    </row>
    <row r="54" spans="1:13" x14ac:dyDescent="0.2">
      <c r="A54" s="66"/>
      <c r="B54" s="66"/>
      <c r="C54" s="66"/>
      <c r="D54" s="66"/>
      <c r="E54" s="66"/>
      <c r="F54" s="66"/>
      <c r="G54" s="66"/>
      <c r="H54" s="66"/>
      <c r="I54" s="66"/>
      <c r="J54" s="66"/>
      <c r="K54" s="66"/>
      <c r="L54" s="66"/>
      <c r="M54" s="66"/>
    </row>
    <row r="55" spans="1:13" x14ac:dyDescent="0.2">
      <c r="A55" s="66"/>
      <c r="B55" s="66"/>
      <c r="C55" s="66"/>
      <c r="D55" s="66"/>
      <c r="E55" s="66"/>
      <c r="F55" s="66"/>
      <c r="G55" s="66"/>
      <c r="H55" s="66"/>
      <c r="I55" s="66"/>
      <c r="J55" s="66"/>
      <c r="K55" s="66"/>
      <c r="L55" s="66"/>
      <c r="M55" s="66"/>
    </row>
    <row r="56" spans="1:13" x14ac:dyDescent="0.2">
      <c r="A56" s="66"/>
      <c r="B56" s="66"/>
      <c r="C56" s="66"/>
      <c r="D56" s="66"/>
      <c r="E56" s="66"/>
      <c r="F56" s="66"/>
      <c r="G56" s="66"/>
      <c r="H56" s="66"/>
      <c r="I56" s="66"/>
      <c r="J56" s="66"/>
      <c r="K56" s="66"/>
      <c r="L56" s="66"/>
      <c r="M56" s="66"/>
    </row>
    <row r="57" spans="1:13" x14ac:dyDescent="0.2">
      <c r="A57" s="66"/>
      <c r="B57" s="66"/>
      <c r="C57" s="66"/>
      <c r="D57" s="66"/>
      <c r="E57" s="66"/>
      <c r="F57" s="66"/>
      <c r="G57" s="66"/>
      <c r="H57" s="66"/>
      <c r="I57" s="66"/>
      <c r="J57" s="66"/>
      <c r="K57" s="66"/>
      <c r="L57" s="66"/>
      <c r="M57" s="66"/>
    </row>
    <row r="58" spans="1:13" x14ac:dyDescent="0.2">
      <c r="A58" s="66"/>
      <c r="B58" s="66"/>
      <c r="C58" s="66"/>
      <c r="D58" s="66"/>
      <c r="E58" s="66"/>
      <c r="F58" s="66"/>
      <c r="G58" s="66"/>
      <c r="H58" s="66"/>
      <c r="I58" s="66"/>
      <c r="J58" s="66"/>
      <c r="K58" s="66"/>
      <c r="L58" s="66"/>
      <c r="M58" s="66"/>
    </row>
    <row r="59" spans="1:13" x14ac:dyDescent="0.2">
      <c r="A59" s="66"/>
      <c r="B59" s="66"/>
      <c r="C59" s="66"/>
      <c r="D59" s="66"/>
      <c r="E59" s="66"/>
      <c r="F59" s="66"/>
      <c r="G59" s="66"/>
      <c r="H59" s="66"/>
      <c r="I59" s="66"/>
      <c r="J59" s="66"/>
      <c r="K59" s="66"/>
      <c r="L59" s="66"/>
      <c r="M59" s="66"/>
    </row>
    <row r="60" spans="1:13" x14ac:dyDescent="0.2">
      <c r="A60" s="66"/>
      <c r="B60" s="66"/>
      <c r="C60" s="66"/>
      <c r="D60" s="66"/>
      <c r="E60" s="66"/>
      <c r="F60" s="66"/>
      <c r="G60" s="66"/>
      <c r="H60" s="66"/>
      <c r="I60" s="66"/>
      <c r="J60" s="66"/>
      <c r="K60" s="66"/>
      <c r="L60" s="66"/>
      <c r="M60" s="66"/>
    </row>
    <row r="61" spans="1:13" x14ac:dyDescent="0.2">
      <c r="A61" s="66"/>
      <c r="B61" s="66"/>
      <c r="C61" s="66"/>
      <c r="D61" s="66"/>
      <c r="E61" s="66"/>
      <c r="F61" s="66"/>
      <c r="G61" s="66"/>
      <c r="H61" s="66"/>
      <c r="I61" s="66"/>
      <c r="J61" s="66"/>
      <c r="K61" s="66"/>
      <c r="L61" s="66"/>
      <c r="M61" s="66"/>
    </row>
    <row r="62" spans="1:13" x14ac:dyDescent="0.2">
      <c r="A62" s="66"/>
      <c r="B62" s="66"/>
      <c r="C62" s="66"/>
      <c r="D62" s="66"/>
      <c r="E62" s="66"/>
      <c r="F62" s="66"/>
      <c r="G62" s="66"/>
      <c r="H62" s="66"/>
      <c r="I62" s="66"/>
      <c r="J62" s="66"/>
      <c r="K62" s="66"/>
      <c r="L62" s="66"/>
      <c r="M62" s="66"/>
    </row>
    <row r="63" spans="1:13" x14ac:dyDescent="0.2">
      <c r="A63" s="66"/>
      <c r="B63" s="66"/>
      <c r="C63" s="66"/>
      <c r="D63" s="66"/>
      <c r="E63" s="66"/>
      <c r="F63" s="66"/>
      <c r="G63" s="66"/>
      <c r="H63" s="66"/>
      <c r="I63" s="66"/>
      <c r="J63" s="66"/>
      <c r="K63" s="66"/>
      <c r="L63" s="66"/>
      <c r="M63" s="66"/>
    </row>
    <row r="64" spans="1:13" x14ac:dyDescent="0.2">
      <c r="A64" s="66"/>
      <c r="B64" s="66"/>
      <c r="C64" s="66"/>
      <c r="D64" s="66"/>
      <c r="E64" s="66"/>
      <c r="F64" s="66"/>
      <c r="G64" s="66"/>
      <c r="H64" s="66"/>
      <c r="I64" s="66"/>
      <c r="J64" s="66"/>
      <c r="K64" s="66"/>
      <c r="L64" s="66"/>
      <c r="M64" s="66"/>
    </row>
    <row r="65" spans="1:13" x14ac:dyDescent="0.2">
      <c r="A65" s="66"/>
      <c r="B65" s="66"/>
      <c r="C65" s="66"/>
      <c r="D65" s="66"/>
      <c r="E65" s="66"/>
      <c r="F65" s="66"/>
      <c r="G65" s="66"/>
      <c r="H65" s="66"/>
      <c r="I65" s="66"/>
      <c r="J65" s="66"/>
      <c r="K65" s="66"/>
      <c r="L65" s="66"/>
      <c r="M65" s="66"/>
    </row>
    <row r="66" spans="1:13" x14ac:dyDescent="0.2">
      <c r="A66" s="66"/>
      <c r="B66" s="66"/>
      <c r="C66" s="66"/>
      <c r="D66" s="66"/>
      <c r="E66" s="66"/>
      <c r="F66" s="66"/>
      <c r="G66" s="66"/>
      <c r="H66" s="66"/>
      <c r="I66" s="66"/>
      <c r="J66" s="66"/>
      <c r="K66" s="66"/>
      <c r="L66" s="66"/>
      <c r="M66" s="66"/>
    </row>
    <row r="67" spans="1:13" x14ac:dyDescent="0.2">
      <c r="A67" s="66"/>
      <c r="B67" s="66"/>
      <c r="C67" s="66"/>
      <c r="D67" s="66"/>
      <c r="E67" s="66"/>
      <c r="F67" s="66"/>
      <c r="G67" s="66"/>
      <c r="H67" s="66"/>
      <c r="I67" s="66"/>
      <c r="J67" s="66"/>
      <c r="K67" s="66"/>
      <c r="L67" s="66"/>
      <c r="M67" s="66"/>
    </row>
    <row r="68" spans="1:13" x14ac:dyDescent="0.2">
      <c r="A68" s="66"/>
      <c r="B68" s="66"/>
      <c r="C68" s="66"/>
      <c r="D68" s="66"/>
      <c r="E68" s="66"/>
      <c r="F68" s="66"/>
      <c r="G68" s="66"/>
      <c r="H68" s="66"/>
      <c r="I68" s="66"/>
      <c r="J68" s="66"/>
      <c r="K68" s="66"/>
      <c r="L68" s="66"/>
      <c r="M68" s="66"/>
    </row>
    <row r="69" spans="1:13" x14ac:dyDescent="0.2">
      <c r="A69" s="66"/>
      <c r="B69" s="66"/>
      <c r="C69" s="66"/>
      <c r="D69" s="66"/>
      <c r="E69" s="66"/>
      <c r="F69" s="66"/>
      <c r="G69" s="66"/>
      <c r="H69" s="66"/>
      <c r="I69" s="66"/>
      <c r="J69" s="66"/>
      <c r="K69" s="66"/>
      <c r="L69" s="66"/>
      <c r="M69" s="66"/>
    </row>
    <row r="70" spans="1:13" x14ac:dyDescent="0.2">
      <c r="A70" s="66"/>
      <c r="B70" s="66"/>
      <c r="C70" s="66"/>
      <c r="D70" s="66"/>
      <c r="E70" s="66"/>
      <c r="F70" s="66"/>
      <c r="G70" s="66"/>
      <c r="H70" s="66"/>
      <c r="I70" s="66"/>
      <c r="J70" s="66"/>
      <c r="K70" s="66"/>
      <c r="L70" s="66"/>
      <c r="M70" s="66"/>
    </row>
    <row r="71" spans="1:13" x14ac:dyDescent="0.2">
      <c r="A71" s="66"/>
      <c r="B71" s="66"/>
      <c r="C71" s="66"/>
      <c r="D71" s="66"/>
      <c r="E71" s="66"/>
      <c r="F71" s="66"/>
      <c r="G71" s="66"/>
      <c r="H71" s="66"/>
      <c r="I71" s="66"/>
      <c r="J71" s="66"/>
      <c r="K71" s="66"/>
      <c r="L71" s="66"/>
      <c r="M71" s="66"/>
    </row>
    <row r="72" spans="1:13" x14ac:dyDescent="0.2">
      <c r="A72" s="66"/>
      <c r="B72" s="66"/>
      <c r="C72" s="66"/>
      <c r="D72" s="66"/>
      <c r="E72" s="66"/>
      <c r="F72" s="66"/>
      <c r="G72" s="66"/>
      <c r="H72" s="66"/>
      <c r="I72" s="66"/>
      <c r="J72" s="66"/>
      <c r="K72" s="66"/>
      <c r="L72" s="66"/>
      <c r="M72" s="66"/>
    </row>
    <row r="73" spans="1:13" x14ac:dyDescent="0.2">
      <c r="A73" s="66"/>
      <c r="B73" s="66"/>
      <c r="C73" s="66"/>
      <c r="D73" s="66"/>
      <c r="E73" s="66"/>
      <c r="F73" s="66"/>
      <c r="G73" s="66"/>
      <c r="H73" s="66"/>
      <c r="I73" s="66"/>
      <c r="J73" s="66"/>
      <c r="K73" s="66"/>
      <c r="L73" s="66"/>
      <c r="M73" s="66"/>
    </row>
    <row r="74" spans="1:13" x14ac:dyDescent="0.2">
      <c r="A74" s="66"/>
      <c r="B74" s="66"/>
      <c r="C74" s="66"/>
      <c r="D74" s="66"/>
      <c r="E74" s="66"/>
      <c r="F74" s="66"/>
      <c r="G74" s="66"/>
      <c r="H74" s="66"/>
      <c r="I74" s="66"/>
      <c r="J74" s="66"/>
      <c r="K74" s="66"/>
      <c r="L74" s="66"/>
      <c r="M74" s="66"/>
    </row>
    <row r="75" spans="1:13" x14ac:dyDescent="0.2">
      <c r="A75" s="66"/>
      <c r="B75" s="66"/>
      <c r="C75" s="66"/>
      <c r="D75" s="66"/>
      <c r="E75" s="66"/>
      <c r="F75" s="66"/>
      <c r="G75" s="66"/>
      <c r="H75" s="66"/>
      <c r="I75" s="66"/>
      <c r="J75" s="66"/>
      <c r="K75" s="66"/>
      <c r="L75" s="66"/>
      <c r="M75" s="66"/>
    </row>
    <row r="76" spans="1:13" x14ac:dyDescent="0.2">
      <c r="A76" s="66"/>
      <c r="B76" s="66"/>
      <c r="C76" s="66"/>
      <c r="D76" s="66"/>
      <c r="E76" s="66"/>
      <c r="F76" s="66"/>
      <c r="G76" s="66"/>
      <c r="H76" s="66"/>
      <c r="I76" s="66"/>
      <c r="J76" s="66"/>
      <c r="K76" s="66"/>
      <c r="L76" s="66"/>
      <c r="M76" s="66"/>
    </row>
    <row r="77" spans="1:13" x14ac:dyDescent="0.2">
      <c r="A77" s="66"/>
      <c r="B77" s="66"/>
      <c r="C77" s="66"/>
      <c r="D77" s="66"/>
      <c r="E77" s="66"/>
      <c r="F77" s="66"/>
      <c r="G77" s="66"/>
      <c r="H77" s="66"/>
      <c r="I77" s="66"/>
      <c r="J77" s="66"/>
      <c r="K77" s="66"/>
      <c r="L77" s="66"/>
      <c r="M77" s="66"/>
    </row>
    <row r="78" spans="1:13" x14ac:dyDescent="0.2">
      <c r="A78" s="66"/>
      <c r="B78" s="66"/>
      <c r="C78" s="66"/>
      <c r="D78" s="66"/>
      <c r="E78" s="66"/>
      <c r="F78" s="66"/>
      <c r="G78" s="66"/>
      <c r="H78" s="66"/>
      <c r="I78" s="66"/>
      <c r="J78" s="66"/>
      <c r="K78" s="66"/>
      <c r="L78" s="66"/>
      <c r="M78" s="66"/>
    </row>
    <row r="79" spans="1:13" x14ac:dyDescent="0.2">
      <c r="A79" s="66"/>
      <c r="B79" s="66"/>
      <c r="C79" s="66"/>
      <c r="D79" s="66"/>
      <c r="E79" s="66"/>
      <c r="F79" s="66"/>
      <c r="G79" s="66"/>
      <c r="H79" s="66"/>
      <c r="I79" s="66"/>
      <c r="J79" s="66"/>
      <c r="K79" s="66"/>
      <c r="L79" s="66"/>
      <c r="M79" s="66"/>
    </row>
    <row r="80" spans="1:13" x14ac:dyDescent="0.2">
      <c r="A80" s="66"/>
      <c r="B80" s="66"/>
      <c r="C80" s="66"/>
      <c r="D80" s="66"/>
      <c r="E80" s="66"/>
      <c r="F80" s="66"/>
      <c r="G80" s="66"/>
      <c r="H80" s="66"/>
      <c r="I80" s="66"/>
      <c r="J80" s="66"/>
      <c r="K80" s="66"/>
      <c r="L80" s="66"/>
      <c r="M80" s="66"/>
    </row>
    <row r="81" spans="1:13" x14ac:dyDescent="0.2">
      <c r="A81" s="66"/>
      <c r="B81" s="66"/>
      <c r="C81" s="66"/>
      <c r="D81" s="66"/>
      <c r="E81" s="66"/>
      <c r="F81" s="66"/>
      <c r="G81" s="66"/>
      <c r="H81" s="66"/>
      <c r="I81" s="66"/>
      <c r="J81" s="66"/>
      <c r="K81" s="66"/>
      <c r="L81" s="66"/>
      <c r="M81" s="66"/>
    </row>
    <row r="82" spans="1:13" x14ac:dyDescent="0.2">
      <c r="A82" s="66"/>
      <c r="B82" s="66"/>
      <c r="C82" s="66"/>
      <c r="D82" s="66"/>
      <c r="E82" s="66"/>
      <c r="F82" s="66"/>
      <c r="G82" s="66"/>
      <c r="H82" s="66"/>
      <c r="I82" s="66"/>
      <c r="J82" s="66"/>
      <c r="K82" s="66"/>
      <c r="L82" s="66"/>
      <c r="M82" s="66"/>
    </row>
    <row r="83" spans="1:13" x14ac:dyDescent="0.2">
      <c r="A83" s="66"/>
      <c r="B83" s="66"/>
      <c r="C83" s="66"/>
      <c r="D83" s="66"/>
      <c r="E83" s="66"/>
      <c r="F83" s="66"/>
      <c r="G83" s="66"/>
      <c r="H83" s="66"/>
      <c r="I83" s="66"/>
      <c r="J83" s="66"/>
      <c r="K83" s="66"/>
      <c r="L83" s="66"/>
      <c r="M83" s="66"/>
    </row>
    <row r="84" spans="1:13" x14ac:dyDescent="0.2">
      <c r="A84" s="66"/>
      <c r="B84" s="66"/>
      <c r="C84" s="66"/>
      <c r="D84" s="66"/>
      <c r="E84" s="66"/>
      <c r="F84" s="66"/>
      <c r="G84" s="66"/>
      <c r="H84" s="66"/>
      <c r="I84" s="66"/>
      <c r="J84" s="66"/>
      <c r="K84" s="66"/>
      <c r="L84" s="66"/>
      <c r="M84" s="66"/>
    </row>
    <row r="85" spans="1:13" x14ac:dyDescent="0.2">
      <c r="A85" s="66"/>
      <c r="B85" s="66"/>
      <c r="C85" s="66"/>
      <c r="D85" s="66"/>
      <c r="E85" s="66"/>
      <c r="F85" s="66"/>
      <c r="G85" s="66"/>
      <c r="H85" s="66"/>
      <c r="I85" s="66"/>
      <c r="J85" s="66"/>
      <c r="K85" s="66"/>
      <c r="L85" s="66"/>
      <c r="M85" s="66"/>
    </row>
    <row r="86" spans="1:13" x14ac:dyDescent="0.2">
      <c r="A86" s="66"/>
      <c r="B86" s="66"/>
      <c r="C86" s="66"/>
      <c r="D86" s="66"/>
      <c r="E86" s="66"/>
      <c r="F86" s="66"/>
      <c r="G86" s="66"/>
      <c r="H86" s="66"/>
      <c r="I86" s="66"/>
      <c r="J86" s="66"/>
      <c r="K86" s="66"/>
      <c r="L86" s="66"/>
      <c r="M86" s="66"/>
    </row>
    <row r="87" spans="1:13" x14ac:dyDescent="0.2">
      <c r="A87" s="66"/>
      <c r="B87" s="66"/>
      <c r="C87" s="66"/>
      <c r="D87" s="66"/>
      <c r="E87" s="66"/>
      <c r="F87" s="66"/>
      <c r="G87" s="66"/>
      <c r="H87" s="66"/>
      <c r="I87" s="66"/>
      <c r="J87" s="66"/>
      <c r="K87" s="66"/>
      <c r="L87" s="66"/>
      <c r="M87" s="66"/>
    </row>
    <row r="88" spans="1:13" x14ac:dyDescent="0.2">
      <c r="A88" s="66"/>
      <c r="B88" s="66"/>
      <c r="C88" s="66"/>
      <c r="D88" s="66"/>
      <c r="E88" s="66"/>
      <c r="F88" s="66"/>
      <c r="G88" s="66"/>
      <c r="H88" s="66"/>
      <c r="I88" s="66"/>
      <c r="J88" s="66"/>
      <c r="K88" s="66"/>
      <c r="L88" s="66"/>
      <c r="M88" s="66"/>
    </row>
    <row r="89" spans="1:13" x14ac:dyDescent="0.2">
      <c r="A89" s="66"/>
      <c r="B89" s="66"/>
      <c r="C89" s="66"/>
      <c r="D89" s="66"/>
      <c r="E89" s="66"/>
      <c r="F89" s="66"/>
      <c r="G89" s="66"/>
      <c r="H89" s="66"/>
      <c r="I89" s="66"/>
      <c r="J89" s="66"/>
      <c r="K89" s="66"/>
      <c r="L89" s="66"/>
      <c r="M89" s="66"/>
    </row>
    <row r="90" spans="1:13" x14ac:dyDescent="0.2">
      <c r="A90" s="66"/>
      <c r="B90" s="66"/>
      <c r="C90" s="66"/>
      <c r="D90" s="66"/>
      <c r="E90" s="66"/>
      <c r="F90" s="66"/>
      <c r="G90" s="66"/>
      <c r="H90" s="66"/>
      <c r="I90" s="66"/>
      <c r="J90" s="66"/>
      <c r="K90" s="66"/>
      <c r="L90" s="66"/>
      <c r="M90" s="66"/>
    </row>
    <row r="91" spans="1:13" x14ac:dyDescent="0.2">
      <c r="A91" s="66"/>
      <c r="B91" s="66"/>
      <c r="C91" s="66"/>
      <c r="D91" s="66"/>
      <c r="E91" s="66"/>
      <c r="F91" s="66"/>
      <c r="G91" s="66"/>
      <c r="H91" s="66"/>
      <c r="I91" s="66"/>
      <c r="J91" s="66"/>
      <c r="K91" s="66"/>
      <c r="L91" s="66"/>
      <c r="M91" s="66"/>
    </row>
    <row r="92" spans="1:13" x14ac:dyDescent="0.2">
      <c r="A92" s="66"/>
      <c r="B92" s="66"/>
      <c r="C92" s="66"/>
      <c r="D92" s="66"/>
      <c r="E92" s="66"/>
      <c r="F92" s="66"/>
      <c r="G92" s="66"/>
      <c r="H92" s="66"/>
      <c r="I92" s="66"/>
      <c r="J92" s="66"/>
      <c r="K92" s="66"/>
      <c r="L92" s="66"/>
      <c r="M92" s="66"/>
    </row>
    <row r="93" spans="1:13" x14ac:dyDescent="0.2">
      <c r="A93" s="66"/>
      <c r="B93" s="66"/>
      <c r="C93" s="66"/>
      <c r="D93" s="66"/>
      <c r="E93" s="66"/>
      <c r="F93" s="66"/>
      <c r="G93" s="66"/>
      <c r="H93" s="66"/>
      <c r="I93" s="66"/>
      <c r="J93" s="66"/>
      <c r="K93" s="66"/>
      <c r="L93" s="66"/>
      <c r="M93" s="66"/>
    </row>
    <row r="94" spans="1:13" x14ac:dyDescent="0.2">
      <c r="A94" s="66"/>
      <c r="B94" s="66"/>
      <c r="C94" s="66"/>
      <c r="D94" s="66"/>
      <c r="E94" s="66"/>
      <c r="F94" s="66"/>
      <c r="G94" s="66"/>
      <c r="H94" s="66"/>
      <c r="I94" s="66"/>
      <c r="J94" s="66"/>
      <c r="K94" s="66"/>
      <c r="L94" s="66"/>
      <c r="M94" s="66"/>
    </row>
    <row r="95" spans="1:13" x14ac:dyDescent="0.2">
      <c r="A95" s="66"/>
      <c r="B95" s="66"/>
      <c r="C95" s="66"/>
      <c r="D95" s="66"/>
      <c r="E95" s="66"/>
      <c r="F95" s="66"/>
      <c r="G95" s="66"/>
      <c r="H95" s="66"/>
      <c r="I95" s="66"/>
      <c r="J95" s="66"/>
      <c r="K95" s="66"/>
      <c r="L95" s="66"/>
      <c r="M95" s="66"/>
    </row>
    <row r="96" spans="1:13" x14ac:dyDescent="0.2">
      <c r="A96" s="66"/>
      <c r="B96" s="66"/>
      <c r="C96" s="66"/>
      <c r="D96" s="66"/>
      <c r="E96" s="66"/>
      <c r="F96" s="66"/>
      <c r="G96" s="66"/>
      <c r="H96" s="66"/>
      <c r="I96" s="66"/>
      <c r="J96" s="66"/>
      <c r="K96" s="66"/>
      <c r="L96" s="66"/>
      <c r="M96" s="66"/>
    </row>
    <row r="97" spans="1:13" x14ac:dyDescent="0.2">
      <c r="A97" s="66"/>
      <c r="B97" s="66"/>
      <c r="C97" s="66"/>
      <c r="D97" s="66"/>
      <c r="E97" s="66"/>
      <c r="F97" s="66"/>
      <c r="G97" s="66"/>
      <c r="H97" s="66"/>
      <c r="I97" s="66"/>
      <c r="J97" s="66"/>
      <c r="K97" s="66"/>
      <c r="L97" s="66"/>
      <c r="M97" s="66"/>
    </row>
    <row r="98" spans="1:13" x14ac:dyDescent="0.2">
      <c r="A98" s="66"/>
      <c r="B98" s="66"/>
      <c r="C98" s="66"/>
      <c r="D98" s="66"/>
      <c r="E98" s="66"/>
      <c r="F98" s="66"/>
      <c r="G98" s="66"/>
      <c r="H98" s="66"/>
      <c r="I98" s="66"/>
      <c r="J98" s="66"/>
      <c r="K98" s="66"/>
      <c r="L98" s="66"/>
      <c r="M98" s="66"/>
    </row>
    <row r="99" spans="1:13" x14ac:dyDescent="0.2">
      <c r="A99" s="66"/>
      <c r="B99" s="66"/>
      <c r="C99" s="66"/>
      <c r="D99" s="66"/>
      <c r="E99" s="66"/>
      <c r="F99" s="66"/>
      <c r="G99" s="66"/>
      <c r="H99" s="66"/>
      <c r="I99" s="66"/>
      <c r="J99" s="66"/>
      <c r="K99" s="66"/>
      <c r="L99" s="66"/>
      <c r="M99" s="66"/>
    </row>
    <row r="100" spans="1:13" x14ac:dyDescent="0.2">
      <c r="A100" s="66"/>
      <c r="B100" s="66"/>
      <c r="C100" s="66"/>
      <c r="D100" s="66"/>
      <c r="E100" s="66"/>
      <c r="F100" s="66"/>
      <c r="G100" s="66"/>
      <c r="H100" s="66"/>
      <c r="I100" s="66"/>
      <c r="J100" s="66"/>
      <c r="K100" s="66"/>
      <c r="L100" s="66"/>
      <c r="M100" s="66"/>
    </row>
    <row r="101" spans="1:13" x14ac:dyDescent="0.2">
      <c r="A101" s="66"/>
      <c r="B101" s="66"/>
      <c r="C101" s="66"/>
      <c r="D101" s="66"/>
      <c r="E101" s="66"/>
      <c r="F101" s="66"/>
      <c r="G101" s="66"/>
      <c r="H101" s="66"/>
      <c r="I101" s="66"/>
      <c r="J101" s="66"/>
      <c r="K101" s="66"/>
      <c r="L101" s="66"/>
      <c r="M101" s="66"/>
    </row>
    <row r="102" spans="1:13" x14ac:dyDescent="0.2">
      <c r="A102" s="66"/>
      <c r="B102" s="66"/>
      <c r="C102" s="66"/>
      <c r="D102" s="66"/>
      <c r="E102" s="66"/>
      <c r="F102" s="66"/>
      <c r="G102" s="66"/>
      <c r="H102" s="66"/>
      <c r="I102" s="66"/>
      <c r="J102" s="66"/>
      <c r="K102" s="66"/>
      <c r="L102" s="66"/>
      <c r="M102" s="66"/>
    </row>
    <row r="103" spans="1:13" x14ac:dyDescent="0.2">
      <c r="A103" s="66"/>
      <c r="B103" s="66"/>
      <c r="C103" s="66"/>
      <c r="D103" s="66"/>
      <c r="E103" s="66"/>
      <c r="F103" s="66"/>
      <c r="G103" s="66"/>
      <c r="H103" s="66"/>
      <c r="I103" s="66"/>
      <c r="J103" s="66"/>
      <c r="K103" s="66"/>
      <c r="L103" s="66"/>
      <c r="M103" s="66"/>
    </row>
    <row r="104" spans="1:13" x14ac:dyDescent="0.2">
      <c r="A104" s="66"/>
      <c r="B104" s="66"/>
      <c r="C104" s="66"/>
      <c r="D104" s="66"/>
      <c r="E104" s="66"/>
      <c r="F104" s="66"/>
      <c r="G104" s="66"/>
      <c r="H104" s="66"/>
      <c r="I104" s="66"/>
      <c r="J104" s="66"/>
      <c r="K104" s="66"/>
      <c r="L104" s="66"/>
      <c r="M104" s="66"/>
    </row>
    <row r="105" spans="1:13" x14ac:dyDescent="0.2">
      <c r="A105" s="66"/>
      <c r="B105" s="66"/>
      <c r="C105" s="66"/>
      <c r="D105" s="66"/>
      <c r="E105" s="66"/>
      <c r="F105" s="66"/>
      <c r="G105" s="66"/>
      <c r="H105" s="66"/>
      <c r="I105" s="66"/>
      <c r="J105" s="66"/>
      <c r="K105" s="66"/>
      <c r="L105" s="66"/>
      <c r="M105" s="66"/>
    </row>
    <row r="106" spans="1:13" x14ac:dyDescent="0.2">
      <c r="A106" s="66"/>
      <c r="B106" s="66"/>
      <c r="C106" s="66"/>
      <c r="D106" s="66"/>
      <c r="E106" s="66"/>
      <c r="F106" s="66"/>
      <c r="G106" s="66"/>
      <c r="H106" s="66"/>
      <c r="I106" s="66"/>
      <c r="J106" s="66"/>
      <c r="K106" s="66"/>
      <c r="L106" s="66"/>
      <c r="M106" s="66"/>
    </row>
    <row r="107" spans="1:13" x14ac:dyDescent="0.2">
      <c r="A107" s="66"/>
      <c r="B107" s="66"/>
      <c r="C107" s="66"/>
      <c r="D107" s="66"/>
      <c r="E107" s="66"/>
      <c r="F107" s="66"/>
      <c r="G107" s="66"/>
      <c r="H107" s="66"/>
      <c r="I107" s="66"/>
      <c r="J107" s="66"/>
      <c r="K107" s="66"/>
      <c r="L107" s="66"/>
      <c r="M107" s="66"/>
    </row>
    <row r="108" spans="1:13" x14ac:dyDescent="0.2">
      <c r="A108" s="66"/>
      <c r="B108" s="66"/>
      <c r="C108" s="66"/>
      <c r="D108" s="66"/>
      <c r="E108" s="66"/>
      <c r="F108" s="66"/>
      <c r="G108" s="66"/>
      <c r="H108" s="66"/>
      <c r="I108" s="66"/>
      <c r="J108" s="66"/>
      <c r="K108" s="66"/>
      <c r="L108" s="66"/>
      <c r="M108" s="66"/>
    </row>
    <row r="109" spans="1:13" x14ac:dyDescent="0.2">
      <c r="A109" s="66"/>
      <c r="B109" s="66"/>
      <c r="C109" s="66"/>
      <c r="D109" s="66"/>
      <c r="E109" s="66"/>
      <c r="F109" s="66"/>
      <c r="G109" s="66"/>
      <c r="H109" s="66"/>
      <c r="I109" s="66"/>
      <c r="J109" s="66"/>
      <c r="K109" s="66"/>
      <c r="L109" s="66"/>
      <c r="M109" s="66"/>
    </row>
    <row r="110" spans="1:13" x14ac:dyDescent="0.2">
      <c r="A110" s="66"/>
      <c r="B110" s="66"/>
      <c r="C110" s="66"/>
      <c r="D110" s="66"/>
      <c r="E110" s="66"/>
      <c r="F110" s="66"/>
      <c r="G110" s="66"/>
      <c r="H110" s="66"/>
      <c r="I110" s="66"/>
      <c r="J110" s="66"/>
      <c r="K110" s="66"/>
      <c r="L110" s="66"/>
      <c r="M110" s="66"/>
    </row>
    <row r="111" spans="1:13" x14ac:dyDescent="0.2">
      <c r="A111" s="66"/>
      <c r="B111" s="66"/>
      <c r="C111" s="66"/>
      <c r="D111" s="66"/>
      <c r="E111" s="66"/>
      <c r="F111" s="66"/>
      <c r="G111" s="66"/>
      <c r="H111" s="66"/>
      <c r="I111" s="66"/>
      <c r="J111" s="66"/>
      <c r="K111" s="66"/>
      <c r="L111" s="66"/>
      <c r="M111" s="66"/>
    </row>
    <row r="112" spans="1:13" x14ac:dyDescent="0.2">
      <c r="A112" s="66"/>
      <c r="B112" s="66"/>
      <c r="C112" s="66"/>
      <c r="D112" s="66"/>
      <c r="E112" s="66"/>
      <c r="F112" s="66"/>
      <c r="G112" s="66"/>
      <c r="H112" s="66"/>
      <c r="I112" s="66"/>
      <c r="J112" s="66"/>
      <c r="K112" s="66"/>
      <c r="L112" s="66"/>
      <c r="M112" s="66"/>
    </row>
    <row r="113" spans="1:13" x14ac:dyDescent="0.2">
      <c r="A113" s="66"/>
      <c r="B113" s="66"/>
      <c r="C113" s="66"/>
      <c r="D113" s="66"/>
      <c r="E113" s="66"/>
      <c r="F113" s="66"/>
      <c r="G113" s="66"/>
      <c r="H113" s="66"/>
      <c r="I113" s="66"/>
      <c r="J113" s="66"/>
      <c r="K113" s="66"/>
      <c r="L113" s="66"/>
      <c r="M113" s="66"/>
    </row>
    <row r="114" spans="1:13" x14ac:dyDescent="0.2">
      <c r="A114" s="66"/>
      <c r="B114" s="66"/>
      <c r="C114" s="66"/>
      <c r="D114" s="66"/>
      <c r="E114" s="66"/>
      <c r="F114" s="66"/>
      <c r="G114" s="66"/>
      <c r="H114" s="66"/>
      <c r="I114" s="66"/>
      <c r="J114" s="66"/>
      <c r="K114" s="66"/>
      <c r="L114" s="66"/>
      <c r="M114" s="66"/>
    </row>
    <row r="115" spans="1:13" x14ac:dyDescent="0.2">
      <c r="A115" s="66"/>
      <c r="B115" s="66"/>
      <c r="C115" s="66"/>
      <c r="D115" s="66"/>
      <c r="E115" s="66"/>
      <c r="F115" s="66"/>
      <c r="G115" s="66"/>
      <c r="H115" s="66"/>
      <c r="I115" s="66"/>
      <c r="J115" s="66"/>
      <c r="K115" s="66"/>
      <c r="L115" s="66"/>
      <c r="M115" s="66"/>
    </row>
    <row r="116" spans="1:13" x14ac:dyDescent="0.2">
      <c r="A116" s="66"/>
      <c r="B116" s="66"/>
      <c r="C116" s="66"/>
      <c r="D116" s="66"/>
      <c r="E116" s="66"/>
      <c r="F116" s="66"/>
      <c r="G116" s="66"/>
      <c r="H116" s="66"/>
      <c r="I116" s="66"/>
      <c r="J116" s="66"/>
      <c r="K116" s="66"/>
      <c r="L116" s="66"/>
      <c r="M116" s="66"/>
    </row>
    <row r="117" spans="1:13" x14ac:dyDescent="0.2">
      <c r="A117" s="66"/>
      <c r="B117" s="66"/>
      <c r="C117" s="66"/>
      <c r="D117" s="66"/>
      <c r="E117" s="66"/>
      <c r="F117" s="66"/>
      <c r="G117" s="66"/>
      <c r="H117" s="66"/>
      <c r="I117" s="66"/>
      <c r="J117" s="66"/>
      <c r="K117" s="66"/>
      <c r="L117" s="66"/>
      <c r="M117" s="66"/>
    </row>
    <row r="118" spans="1:13" x14ac:dyDescent="0.2">
      <c r="A118" s="66"/>
      <c r="B118" s="66"/>
      <c r="C118" s="66"/>
      <c r="D118" s="66"/>
      <c r="E118" s="66"/>
      <c r="F118" s="66"/>
      <c r="G118" s="66"/>
      <c r="H118" s="66"/>
      <c r="I118" s="66"/>
      <c r="J118" s="66"/>
      <c r="K118" s="66"/>
      <c r="L118" s="66"/>
      <c r="M118" s="66"/>
    </row>
    <row r="119" spans="1:13" x14ac:dyDescent="0.2">
      <c r="A119" s="66"/>
      <c r="B119" s="66"/>
      <c r="C119" s="66"/>
      <c r="D119" s="66"/>
      <c r="E119" s="66"/>
      <c r="F119" s="66"/>
      <c r="G119" s="66"/>
      <c r="H119" s="66"/>
      <c r="I119" s="66"/>
      <c r="J119" s="66"/>
      <c r="K119" s="66"/>
      <c r="L119" s="66"/>
      <c r="M119" s="66"/>
    </row>
    <row r="120" spans="1:13" x14ac:dyDescent="0.2">
      <c r="A120" s="66"/>
      <c r="B120" s="66"/>
      <c r="C120" s="66"/>
      <c r="D120" s="66"/>
      <c r="E120" s="66"/>
      <c r="F120" s="66"/>
      <c r="G120" s="66"/>
      <c r="H120" s="66"/>
      <c r="I120" s="66"/>
      <c r="J120" s="66"/>
      <c r="K120" s="66"/>
      <c r="L120" s="66"/>
      <c r="M120" s="66"/>
    </row>
  </sheetData>
  <phoneticPr fontId="0" type="noConversion"/>
  <pageMargins left="0.5" right="0.5" top="0.75" bottom="0.7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B105"/>
  <sheetViews>
    <sheetView showGridLines="0" zoomScaleNormal="100" workbookViewId="0">
      <pane xSplit="2" ySplit="6" topLeftCell="C7" activePane="bottomRight" state="frozen"/>
      <selection activeCell="G56" sqref="G56"/>
      <selection pane="topRight" activeCell="G56" sqref="G56"/>
      <selection pane="bottomLeft" activeCell="G56" sqref="G56"/>
      <selection pane="bottomRight"/>
    </sheetView>
  </sheetViews>
  <sheetFormatPr defaultColWidth="9.140625" defaultRowHeight="11.25" x14ac:dyDescent="0.2"/>
  <cols>
    <col min="1" max="1" width="6" style="66" customWidth="1"/>
    <col min="2" max="2" width="17.85546875" style="66" customWidth="1"/>
    <col min="3" max="4" width="9.85546875" style="66" customWidth="1"/>
    <col min="5" max="5" width="11.28515625" style="66" customWidth="1"/>
    <col min="6" max="7" width="9.5703125" style="66" customWidth="1"/>
    <col min="8" max="8" width="9.85546875" style="66" customWidth="1"/>
    <col min="9" max="9" width="10.42578125" style="66" customWidth="1"/>
    <col min="10" max="10" width="10.7109375" style="66" customWidth="1"/>
    <col min="11" max="14" width="11.140625" style="66" bestFit="1" customWidth="1"/>
    <col min="15" max="15" width="10.7109375" style="66" bestFit="1" customWidth="1"/>
    <col min="16" max="16" width="9.85546875" style="66" bestFit="1" customWidth="1"/>
    <col min="17" max="21" width="9.140625" style="66"/>
    <col min="22" max="22" width="9.7109375" style="66" bestFit="1" customWidth="1"/>
    <col min="23" max="16384" width="9.140625" style="66"/>
  </cols>
  <sheetData>
    <row r="2" spans="1:28" x14ac:dyDescent="0.2">
      <c r="B2" s="83" t="s">
        <v>75</v>
      </c>
      <c r="C2" s="84"/>
    </row>
    <row r="3" spans="1:28" x14ac:dyDescent="0.2">
      <c r="C3" s="84"/>
    </row>
    <row r="4" spans="1:28" x14ac:dyDescent="0.2">
      <c r="C4" s="85"/>
      <c r="D4" s="85"/>
      <c r="E4" s="85"/>
      <c r="F4" s="85"/>
      <c r="G4" s="85"/>
      <c r="H4" s="86"/>
      <c r="I4" s="86"/>
      <c r="J4" s="83"/>
    </row>
    <row r="5" spans="1:28" x14ac:dyDescent="0.2">
      <c r="C5" s="85"/>
      <c r="D5" s="85"/>
      <c r="E5" s="85"/>
      <c r="F5" s="85"/>
      <c r="G5" s="85"/>
      <c r="H5" s="86"/>
      <c r="I5" s="86"/>
      <c r="J5" s="85"/>
    </row>
    <row r="6" spans="1:28" ht="9.9499999999999993" customHeight="1" x14ac:dyDescent="0.2">
      <c r="C6" s="125">
        <v>44317</v>
      </c>
      <c r="D6" s="87">
        <f t="shared" ref="D6:N6" si="0">EOMONTH(C6,1)</f>
        <v>44377</v>
      </c>
      <c r="E6" s="87">
        <f t="shared" si="0"/>
        <v>44408</v>
      </c>
      <c r="F6" s="87">
        <f t="shared" si="0"/>
        <v>44439</v>
      </c>
      <c r="G6" s="87">
        <f t="shared" si="0"/>
        <v>44469</v>
      </c>
      <c r="H6" s="87">
        <f t="shared" si="0"/>
        <v>44500</v>
      </c>
      <c r="I6" s="87">
        <f t="shared" si="0"/>
        <v>44530</v>
      </c>
      <c r="J6" s="87">
        <f t="shared" si="0"/>
        <v>44561</v>
      </c>
      <c r="K6" s="87">
        <f t="shared" si="0"/>
        <v>44592</v>
      </c>
      <c r="L6" s="87">
        <f t="shared" si="0"/>
        <v>44620</v>
      </c>
      <c r="M6" s="87">
        <f t="shared" si="0"/>
        <v>44651</v>
      </c>
      <c r="N6" s="87">
        <f t="shared" si="0"/>
        <v>44681</v>
      </c>
    </row>
    <row r="7" spans="1:28" s="67" customFormat="1" x14ac:dyDescent="0.2">
      <c r="A7" s="88" t="s">
        <v>44</v>
      </c>
      <c r="C7" s="126">
        <v>117.53999999999999</v>
      </c>
      <c r="D7" s="126">
        <v>111.72999999999999</v>
      </c>
      <c r="E7" s="126">
        <v>104.78999999999999</v>
      </c>
      <c r="F7" s="126">
        <v>137.06</v>
      </c>
      <c r="G7" s="126">
        <v>129.1</v>
      </c>
      <c r="H7" s="126">
        <v>120.69</v>
      </c>
      <c r="I7" s="126">
        <v>123.8</v>
      </c>
      <c r="J7" s="126">
        <v>118.62</v>
      </c>
      <c r="K7" s="126">
        <v>147.68</v>
      </c>
      <c r="L7" s="126">
        <v>109.56</v>
      </c>
      <c r="M7" s="126">
        <v>167.13</v>
      </c>
      <c r="N7" s="126">
        <v>114.00999999999999</v>
      </c>
    </row>
    <row r="8" spans="1:28" x14ac:dyDescent="0.2">
      <c r="A8" s="66" t="s">
        <v>45</v>
      </c>
      <c r="C8" s="89">
        <v>0</v>
      </c>
      <c r="D8" s="89">
        <v>0</v>
      </c>
      <c r="E8" s="89">
        <v>0</v>
      </c>
      <c r="F8" s="89">
        <v>0</v>
      </c>
      <c r="G8" s="89">
        <v>0</v>
      </c>
      <c r="H8" s="89">
        <v>0</v>
      </c>
      <c r="I8" s="89">
        <v>0</v>
      </c>
      <c r="J8" s="89">
        <v>0</v>
      </c>
      <c r="K8" s="89">
        <v>0</v>
      </c>
      <c r="L8" s="89">
        <v>0</v>
      </c>
      <c r="M8" s="89">
        <v>0</v>
      </c>
      <c r="N8" s="89">
        <v>0</v>
      </c>
      <c r="W8" s="92"/>
      <c r="X8" s="92"/>
      <c r="Y8" s="92"/>
      <c r="Z8" s="92"/>
      <c r="AA8" s="92"/>
      <c r="AB8" s="92"/>
    </row>
    <row r="9" spans="1:28" x14ac:dyDescent="0.2">
      <c r="A9" s="66" t="s">
        <v>46</v>
      </c>
      <c r="C9" s="90">
        <f t="shared" ref="C9:N9" si="1">+C7*C8</f>
        <v>0</v>
      </c>
      <c r="D9" s="90">
        <f t="shared" si="1"/>
        <v>0</v>
      </c>
      <c r="E9" s="90">
        <f t="shared" si="1"/>
        <v>0</v>
      </c>
      <c r="F9" s="90">
        <f t="shared" si="1"/>
        <v>0</v>
      </c>
      <c r="G9" s="90">
        <f t="shared" si="1"/>
        <v>0</v>
      </c>
      <c r="H9" s="90">
        <f t="shared" si="1"/>
        <v>0</v>
      </c>
      <c r="I9" s="90">
        <f t="shared" si="1"/>
        <v>0</v>
      </c>
      <c r="J9" s="90">
        <f t="shared" si="1"/>
        <v>0</v>
      </c>
      <c r="K9" s="90">
        <f t="shared" si="1"/>
        <v>0</v>
      </c>
      <c r="L9" s="90">
        <f t="shared" si="1"/>
        <v>0</v>
      </c>
      <c r="M9" s="90">
        <f t="shared" si="1"/>
        <v>0</v>
      </c>
      <c r="N9" s="90">
        <f t="shared" si="1"/>
        <v>0</v>
      </c>
    </row>
    <row r="10" spans="1:28" x14ac:dyDescent="0.2">
      <c r="A10" s="83" t="s">
        <v>47</v>
      </c>
      <c r="C10" s="91">
        <f t="shared" ref="C10:N10" si="2">+C7-C9</f>
        <v>117.53999999999999</v>
      </c>
      <c r="D10" s="91">
        <f t="shared" si="2"/>
        <v>111.72999999999999</v>
      </c>
      <c r="E10" s="91">
        <f t="shared" si="2"/>
        <v>104.78999999999999</v>
      </c>
      <c r="F10" s="91">
        <f t="shared" si="2"/>
        <v>137.06</v>
      </c>
      <c r="G10" s="91">
        <f t="shared" si="2"/>
        <v>129.1</v>
      </c>
      <c r="H10" s="91">
        <f t="shared" si="2"/>
        <v>120.69</v>
      </c>
      <c r="I10" s="91">
        <f t="shared" si="2"/>
        <v>123.8</v>
      </c>
      <c r="J10" s="91">
        <f t="shared" si="2"/>
        <v>118.62</v>
      </c>
      <c r="K10" s="91">
        <f t="shared" si="2"/>
        <v>147.68</v>
      </c>
      <c r="L10" s="91">
        <f t="shared" si="2"/>
        <v>109.56</v>
      </c>
      <c r="M10" s="91">
        <f t="shared" si="2"/>
        <v>167.13</v>
      </c>
      <c r="N10" s="91">
        <f t="shared" si="2"/>
        <v>114.00999999999999</v>
      </c>
    </row>
    <row r="12" spans="1:28" x14ac:dyDescent="0.2">
      <c r="A12" s="83" t="s">
        <v>48</v>
      </c>
    </row>
    <row r="13" spans="1:28" s="92" customFormat="1" x14ac:dyDescent="0.2">
      <c r="B13" s="92" t="s">
        <v>23</v>
      </c>
      <c r="C13" s="123">
        <v>0</v>
      </c>
      <c r="D13" s="123">
        <f>+C13</f>
        <v>0</v>
      </c>
      <c r="E13" s="123">
        <v>0</v>
      </c>
      <c r="F13" s="123">
        <f t="shared" ref="F13:M13" si="3">+E13</f>
        <v>0</v>
      </c>
      <c r="G13" s="123">
        <f t="shared" si="3"/>
        <v>0</v>
      </c>
      <c r="H13" s="123">
        <f t="shared" si="3"/>
        <v>0</v>
      </c>
      <c r="I13" s="123">
        <f t="shared" si="3"/>
        <v>0</v>
      </c>
      <c r="J13" s="123">
        <f t="shared" si="3"/>
        <v>0</v>
      </c>
      <c r="K13" s="123">
        <v>0</v>
      </c>
      <c r="L13" s="123">
        <f t="shared" si="3"/>
        <v>0</v>
      </c>
      <c r="M13" s="123">
        <f t="shared" si="3"/>
        <v>0</v>
      </c>
      <c r="N13" s="123">
        <v>0</v>
      </c>
      <c r="P13" s="66"/>
      <c r="Q13" s="66"/>
    </row>
    <row r="14" spans="1:28" s="92" customFormat="1" x14ac:dyDescent="0.2">
      <c r="B14" s="92" t="s">
        <v>27</v>
      </c>
      <c r="C14" s="123">
        <v>0.24529999999999999</v>
      </c>
      <c r="D14" s="123">
        <f t="shared" ref="D14:N23" si="4">+C14</f>
        <v>0.24529999999999999</v>
      </c>
      <c r="E14" s="123">
        <v>0.25290000000000001</v>
      </c>
      <c r="F14" s="123">
        <f t="shared" si="4"/>
        <v>0.25290000000000001</v>
      </c>
      <c r="G14" s="123">
        <f t="shared" si="4"/>
        <v>0.25290000000000001</v>
      </c>
      <c r="H14" s="123">
        <f t="shared" si="4"/>
        <v>0.25290000000000001</v>
      </c>
      <c r="I14" s="123">
        <f t="shared" si="4"/>
        <v>0.25290000000000001</v>
      </c>
      <c r="J14" s="123">
        <f t="shared" si="4"/>
        <v>0.25290000000000001</v>
      </c>
      <c r="K14" s="123">
        <v>0.26100000000000001</v>
      </c>
      <c r="L14" s="123">
        <f t="shared" si="4"/>
        <v>0.26100000000000001</v>
      </c>
      <c r="M14" s="123">
        <f t="shared" si="4"/>
        <v>0.26100000000000001</v>
      </c>
      <c r="N14" s="123">
        <f t="shared" si="4"/>
        <v>0.26100000000000001</v>
      </c>
    </row>
    <row r="15" spans="1:28" s="92" customFormat="1" x14ac:dyDescent="0.2">
      <c r="B15" s="92" t="s">
        <v>49</v>
      </c>
      <c r="C15" s="123">
        <v>0</v>
      </c>
      <c r="D15" s="123">
        <f t="shared" si="4"/>
        <v>0</v>
      </c>
      <c r="E15" s="123">
        <v>0</v>
      </c>
      <c r="F15" s="123">
        <f t="shared" si="4"/>
        <v>0</v>
      </c>
      <c r="G15" s="123">
        <f t="shared" si="4"/>
        <v>0</v>
      </c>
      <c r="H15" s="123">
        <f t="shared" si="4"/>
        <v>0</v>
      </c>
      <c r="I15" s="123">
        <f t="shared" si="4"/>
        <v>0</v>
      </c>
      <c r="J15" s="123">
        <f t="shared" si="4"/>
        <v>0</v>
      </c>
      <c r="K15" s="123">
        <v>0</v>
      </c>
      <c r="L15" s="123">
        <f t="shared" si="4"/>
        <v>0</v>
      </c>
      <c r="M15" s="123">
        <f t="shared" si="4"/>
        <v>0</v>
      </c>
      <c r="N15" s="123">
        <f t="shared" si="4"/>
        <v>0</v>
      </c>
    </row>
    <row r="16" spans="1:28" s="92" customFormat="1" x14ac:dyDescent="0.2">
      <c r="B16" s="92" t="s">
        <v>50</v>
      </c>
      <c r="C16" s="123">
        <v>1.41E-2</v>
      </c>
      <c r="D16" s="123">
        <f t="shared" si="4"/>
        <v>1.41E-2</v>
      </c>
      <c r="E16" s="123">
        <v>1.52E-2</v>
      </c>
      <c r="F16" s="123">
        <f t="shared" si="4"/>
        <v>1.52E-2</v>
      </c>
      <c r="G16" s="123">
        <f t="shared" si="4"/>
        <v>1.52E-2</v>
      </c>
      <c r="H16" s="123">
        <f t="shared" si="4"/>
        <v>1.52E-2</v>
      </c>
      <c r="I16" s="123">
        <f t="shared" si="4"/>
        <v>1.52E-2</v>
      </c>
      <c r="J16" s="123">
        <f t="shared" si="4"/>
        <v>1.52E-2</v>
      </c>
      <c r="K16" s="123">
        <v>1.47E-2</v>
      </c>
      <c r="L16" s="123">
        <f t="shared" si="4"/>
        <v>1.47E-2</v>
      </c>
      <c r="M16" s="123">
        <f t="shared" si="4"/>
        <v>1.47E-2</v>
      </c>
      <c r="N16" s="123">
        <f t="shared" si="4"/>
        <v>1.47E-2</v>
      </c>
    </row>
    <row r="17" spans="1:14" s="92" customFormat="1" x14ac:dyDescent="0.2">
      <c r="B17" s="92" t="s">
        <v>51</v>
      </c>
      <c r="C17" s="123">
        <v>3.5799999999999998E-2</v>
      </c>
      <c r="D17" s="123">
        <f t="shared" si="4"/>
        <v>3.5799999999999998E-2</v>
      </c>
      <c r="E17" s="123">
        <v>4.5499999999999999E-2</v>
      </c>
      <c r="F17" s="123">
        <f t="shared" si="4"/>
        <v>4.5499999999999999E-2</v>
      </c>
      <c r="G17" s="123">
        <f t="shared" si="4"/>
        <v>4.5499999999999999E-2</v>
      </c>
      <c r="H17" s="123">
        <f t="shared" si="4"/>
        <v>4.5499999999999999E-2</v>
      </c>
      <c r="I17" s="123">
        <f t="shared" si="4"/>
        <v>4.5499999999999999E-2</v>
      </c>
      <c r="J17" s="123">
        <f t="shared" si="4"/>
        <v>4.5499999999999999E-2</v>
      </c>
      <c r="K17" s="123">
        <v>4.9200000000000001E-2</v>
      </c>
      <c r="L17" s="123">
        <f t="shared" si="4"/>
        <v>4.9200000000000001E-2</v>
      </c>
      <c r="M17" s="123">
        <f t="shared" si="4"/>
        <v>4.9200000000000001E-2</v>
      </c>
      <c r="N17" s="123">
        <f t="shared" si="4"/>
        <v>4.9200000000000001E-2</v>
      </c>
    </row>
    <row r="18" spans="1:14" s="92" customFormat="1" x14ac:dyDescent="0.2">
      <c r="B18" s="92" t="s">
        <v>52</v>
      </c>
      <c r="C18" s="123">
        <v>1.6299999999999999E-2</v>
      </c>
      <c r="D18" s="123">
        <f t="shared" si="4"/>
        <v>1.6299999999999999E-2</v>
      </c>
      <c r="E18" s="123">
        <v>1.7600000000000001E-2</v>
      </c>
      <c r="F18" s="123">
        <f t="shared" si="4"/>
        <v>1.7600000000000001E-2</v>
      </c>
      <c r="G18" s="123">
        <f t="shared" si="4"/>
        <v>1.7600000000000001E-2</v>
      </c>
      <c r="H18" s="123">
        <f t="shared" si="4"/>
        <v>1.7600000000000001E-2</v>
      </c>
      <c r="I18" s="123">
        <f t="shared" si="4"/>
        <v>1.7600000000000001E-2</v>
      </c>
      <c r="J18" s="123">
        <f t="shared" si="4"/>
        <v>1.7600000000000001E-2</v>
      </c>
      <c r="K18" s="123">
        <v>1.78E-2</v>
      </c>
      <c r="L18" s="123">
        <f t="shared" si="4"/>
        <v>1.78E-2</v>
      </c>
      <c r="M18" s="123">
        <f t="shared" si="4"/>
        <v>1.78E-2</v>
      </c>
      <c r="N18" s="123">
        <f t="shared" si="4"/>
        <v>1.78E-2</v>
      </c>
    </row>
    <row r="19" spans="1:14" s="92" customFormat="1" x14ac:dyDescent="0.2">
      <c r="B19" s="66" t="s">
        <v>53</v>
      </c>
      <c r="C19" s="123">
        <v>2.0999999999999999E-3</v>
      </c>
      <c r="D19" s="123">
        <f t="shared" si="4"/>
        <v>2.0999999999999999E-3</v>
      </c>
      <c r="E19" s="123">
        <v>2.0999999999999999E-3</v>
      </c>
      <c r="F19" s="123">
        <f t="shared" si="4"/>
        <v>2.0999999999999999E-3</v>
      </c>
      <c r="G19" s="123">
        <f t="shared" si="4"/>
        <v>2.0999999999999999E-3</v>
      </c>
      <c r="H19" s="123">
        <f t="shared" si="4"/>
        <v>2.0999999999999999E-3</v>
      </c>
      <c r="I19" s="123">
        <f t="shared" si="4"/>
        <v>2.0999999999999999E-3</v>
      </c>
      <c r="J19" s="123">
        <f t="shared" si="4"/>
        <v>2.0999999999999999E-3</v>
      </c>
      <c r="K19" s="123">
        <v>1.9E-3</v>
      </c>
      <c r="L19" s="123">
        <f t="shared" si="4"/>
        <v>1.9E-3</v>
      </c>
      <c r="M19" s="123">
        <f t="shared" si="4"/>
        <v>1.9E-3</v>
      </c>
      <c r="N19" s="123">
        <f t="shared" si="4"/>
        <v>1.9E-3</v>
      </c>
    </row>
    <row r="20" spans="1:14" s="92" customFormat="1" x14ac:dyDescent="0.2">
      <c r="B20" s="66" t="s">
        <v>22</v>
      </c>
      <c r="C20" s="123">
        <v>0.124</v>
      </c>
      <c r="D20" s="123">
        <f t="shared" si="4"/>
        <v>0.124</v>
      </c>
      <c r="E20" s="123">
        <v>0.1671</v>
      </c>
      <c r="F20" s="123">
        <f t="shared" si="4"/>
        <v>0.1671</v>
      </c>
      <c r="G20" s="123">
        <f t="shared" si="4"/>
        <v>0.1671</v>
      </c>
      <c r="H20" s="123">
        <f t="shared" si="4"/>
        <v>0.1671</v>
      </c>
      <c r="I20" s="123">
        <f t="shared" si="4"/>
        <v>0.1671</v>
      </c>
      <c r="J20" s="123">
        <f t="shared" si="4"/>
        <v>0.1671</v>
      </c>
      <c r="K20" s="123">
        <v>0.17749999999999999</v>
      </c>
      <c r="L20" s="123">
        <f t="shared" si="4"/>
        <v>0.17749999999999999</v>
      </c>
      <c r="M20" s="123">
        <f t="shared" si="4"/>
        <v>0.17749999999999999</v>
      </c>
      <c r="N20" s="123">
        <f t="shared" si="4"/>
        <v>0.17749999999999999</v>
      </c>
    </row>
    <row r="21" spans="1:14" s="92" customFormat="1" x14ac:dyDescent="0.2">
      <c r="B21" s="66" t="s">
        <v>87</v>
      </c>
      <c r="C21" s="123">
        <v>0</v>
      </c>
      <c r="D21" s="123">
        <f t="shared" si="4"/>
        <v>0</v>
      </c>
      <c r="E21" s="123">
        <v>0</v>
      </c>
      <c r="F21" s="123">
        <f t="shared" si="4"/>
        <v>0</v>
      </c>
      <c r="G21" s="123">
        <f t="shared" si="4"/>
        <v>0</v>
      </c>
      <c r="H21" s="123">
        <f t="shared" si="4"/>
        <v>0</v>
      </c>
      <c r="I21" s="123">
        <f t="shared" si="4"/>
        <v>0</v>
      </c>
      <c r="J21" s="123">
        <f t="shared" si="4"/>
        <v>0</v>
      </c>
      <c r="K21" s="123">
        <v>0</v>
      </c>
      <c r="L21" s="123">
        <f t="shared" si="4"/>
        <v>0</v>
      </c>
      <c r="M21" s="123">
        <f t="shared" si="4"/>
        <v>0</v>
      </c>
      <c r="N21" s="123">
        <f t="shared" si="4"/>
        <v>0</v>
      </c>
    </row>
    <row r="22" spans="1:14" s="92" customFormat="1" x14ac:dyDescent="0.2">
      <c r="B22" s="92" t="s">
        <v>54</v>
      </c>
      <c r="C22" s="123">
        <v>0.23949999999999999</v>
      </c>
      <c r="D22" s="123">
        <f t="shared" si="4"/>
        <v>0.23949999999999999</v>
      </c>
      <c r="E22" s="123">
        <v>0.15049999999999999</v>
      </c>
      <c r="F22" s="123">
        <f t="shared" si="4"/>
        <v>0.15049999999999999</v>
      </c>
      <c r="G22" s="123">
        <f t="shared" si="4"/>
        <v>0.15049999999999999</v>
      </c>
      <c r="H22" s="123">
        <f t="shared" si="4"/>
        <v>0.15049999999999999</v>
      </c>
      <c r="I22" s="123">
        <f t="shared" si="4"/>
        <v>0.15049999999999999</v>
      </c>
      <c r="J22" s="123">
        <f t="shared" si="4"/>
        <v>0.15049999999999999</v>
      </c>
      <c r="K22" s="123">
        <v>0.1469</v>
      </c>
      <c r="L22" s="123">
        <f t="shared" si="4"/>
        <v>0.1469</v>
      </c>
      <c r="M22" s="123">
        <f t="shared" si="4"/>
        <v>0.1469</v>
      </c>
      <c r="N22" s="123">
        <f t="shared" si="4"/>
        <v>0.1469</v>
      </c>
    </row>
    <row r="23" spans="1:14" s="92" customFormat="1" x14ac:dyDescent="0.2">
      <c r="B23" s="92" t="s">
        <v>55</v>
      </c>
      <c r="C23" s="124">
        <v>0.32290000000000002</v>
      </c>
      <c r="D23" s="123">
        <f t="shared" si="4"/>
        <v>0.32290000000000002</v>
      </c>
      <c r="E23" s="123">
        <v>0.34910000000000002</v>
      </c>
      <c r="F23" s="123">
        <f t="shared" si="4"/>
        <v>0.34910000000000002</v>
      </c>
      <c r="G23" s="123">
        <f t="shared" si="4"/>
        <v>0.34910000000000002</v>
      </c>
      <c r="H23" s="123">
        <f t="shared" si="4"/>
        <v>0.34910000000000002</v>
      </c>
      <c r="I23" s="123">
        <f t="shared" si="4"/>
        <v>0.34910000000000002</v>
      </c>
      <c r="J23" s="123">
        <f t="shared" si="4"/>
        <v>0.34910000000000002</v>
      </c>
      <c r="K23" s="123">
        <v>0.33100000000000002</v>
      </c>
      <c r="L23" s="123">
        <f t="shared" si="4"/>
        <v>0.33100000000000002</v>
      </c>
      <c r="M23" s="123">
        <f t="shared" si="4"/>
        <v>0.33100000000000002</v>
      </c>
      <c r="N23" s="123">
        <f t="shared" si="4"/>
        <v>0.33100000000000002</v>
      </c>
    </row>
    <row r="24" spans="1:14" x14ac:dyDescent="0.2">
      <c r="C24" s="93">
        <v>1</v>
      </c>
      <c r="D24" s="93">
        <v>1</v>
      </c>
      <c r="E24" s="93">
        <v>1</v>
      </c>
      <c r="F24" s="93">
        <v>1</v>
      </c>
      <c r="G24" s="93">
        <v>1</v>
      </c>
      <c r="H24" s="93">
        <v>1</v>
      </c>
      <c r="I24" s="93">
        <v>1</v>
      </c>
      <c r="J24" s="93">
        <v>1</v>
      </c>
      <c r="K24" s="93">
        <v>1</v>
      </c>
      <c r="L24" s="93">
        <v>1</v>
      </c>
      <c r="M24" s="93">
        <v>1</v>
      </c>
      <c r="N24" s="93">
        <v>1</v>
      </c>
    </row>
    <row r="26" spans="1:14" x14ac:dyDescent="0.2">
      <c r="A26" s="83" t="s">
        <v>56</v>
      </c>
    </row>
    <row r="27" spans="1:14" x14ac:dyDescent="0.2">
      <c r="B27" s="66" t="s">
        <v>23</v>
      </c>
      <c r="C27" s="75">
        <f t="shared" ref="C27:C37" si="5">+C$10*C13</f>
        <v>0</v>
      </c>
      <c r="D27" s="75">
        <f t="shared" ref="D27:M27" si="6">+D$10*D13</f>
        <v>0</v>
      </c>
      <c r="E27" s="75">
        <f t="shared" si="6"/>
        <v>0</v>
      </c>
      <c r="F27" s="75">
        <f t="shared" si="6"/>
        <v>0</v>
      </c>
      <c r="G27" s="75">
        <f t="shared" si="6"/>
        <v>0</v>
      </c>
      <c r="H27" s="75">
        <f t="shared" si="6"/>
        <v>0</v>
      </c>
      <c r="I27" s="75">
        <f t="shared" si="6"/>
        <v>0</v>
      </c>
      <c r="J27" s="75">
        <f t="shared" si="6"/>
        <v>0</v>
      </c>
      <c r="K27" s="75">
        <f t="shared" si="6"/>
        <v>0</v>
      </c>
      <c r="L27" s="75">
        <f t="shared" si="6"/>
        <v>0</v>
      </c>
      <c r="M27" s="75">
        <f t="shared" si="6"/>
        <v>0</v>
      </c>
      <c r="N27" s="75">
        <f>+N$10*N13</f>
        <v>0</v>
      </c>
    </row>
    <row r="28" spans="1:14" x14ac:dyDescent="0.2">
      <c r="B28" s="66" t="s">
        <v>27</v>
      </c>
      <c r="C28" s="75">
        <f t="shared" si="5"/>
        <v>28.832561999999996</v>
      </c>
      <c r="D28" s="75">
        <f t="shared" ref="D28:M28" si="7">+D$10*D14</f>
        <v>27.407368999999996</v>
      </c>
      <c r="E28" s="75">
        <f>+E$10*E14</f>
        <v>26.501390999999998</v>
      </c>
      <c r="F28" s="75">
        <f t="shared" si="7"/>
        <v>34.662474000000003</v>
      </c>
      <c r="G28" s="75">
        <f t="shared" si="7"/>
        <v>32.649389999999997</v>
      </c>
      <c r="H28" s="75">
        <f t="shared" si="7"/>
        <v>30.522501000000002</v>
      </c>
      <c r="I28" s="75">
        <f t="shared" si="7"/>
        <v>31.30902</v>
      </c>
      <c r="J28" s="75">
        <f t="shared" si="7"/>
        <v>29.998998000000004</v>
      </c>
      <c r="K28" s="75">
        <f t="shared" si="7"/>
        <v>38.54448</v>
      </c>
      <c r="L28" s="75">
        <f t="shared" si="7"/>
        <v>28.59516</v>
      </c>
      <c r="M28" s="75">
        <f t="shared" si="7"/>
        <v>43.620930000000001</v>
      </c>
      <c r="N28" s="75">
        <f>+N$10*N14</f>
        <v>29.756609999999998</v>
      </c>
    </row>
    <row r="29" spans="1:14" x14ac:dyDescent="0.2">
      <c r="B29" s="66" t="s">
        <v>49</v>
      </c>
      <c r="C29" s="75">
        <f t="shared" si="5"/>
        <v>0</v>
      </c>
      <c r="D29" s="75">
        <f t="shared" ref="D29:N29" si="8">+D$10*D15</f>
        <v>0</v>
      </c>
      <c r="E29" s="75">
        <f t="shared" si="8"/>
        <v>0</v>
      </c>
      <c r="F29" s="75">
        <f t="shared" si="8"/>
        <v>0</v>
      </c>
      <c r="G29" s="75">
        <f t="shared" si="8"/>
        <v>0</v>
      </c>
      <c r="H29" s="75">
        <f t="shared" si="8"/>
        <v>0</v>
      </c>
      <c r="I29" s="75">
        <f t="shared" si="8"/>
        <v>0</v>
      </c>
      <c r="J29" s="75">
        <f t="shared" si="8"/>
        <v>0</v>
      </c>
      <c r="K29" s="75">
        <f t="shared" si="8"/>
        <v>0</v>
      </c>
      <c r="L29" s="75">
        <f t="shared" si="8"/>
        <v>0</v>
      </c>
      <c r="M29" s="75">
        <f t="shared" si="8"/>
        <v>0</v>
      </c>
      <c r="N29" s="75">
        <f t="shared" si="8"/>
        <v>0</v>
      </c>
    </row>
    <row r="30" spans="1:14" x14ac:dyDescent="0.2">
      <c r="B30" s="66" t="s">
        <v>50</v>
      </c>
      <c r="C30" s="75">
        <f t="shared" si="5"/>
        <v>1.657314</v>
      </c>
      <c r="D30" s="75">
        <f t="shared" ref="D30:N30" si="9">+D$10*D16</f>
        <v>1.5753929999999998</v>
      </c>
      <c r="E30" s="75">
        <f t="shared" si="9"/>
        <v>1.5928079999999998</v>
      </c>
      <c r="F30" s="75">
        <f t="shared" si="9"/>
        <v>2.0833119999999998</v>
      </c>
      <c r="G30" s="75">
        <f t="shared" si="9"/>
        <v>1.9623199999999998</v>
      </c>
      <c r="H30" s="75">
        <f t="shared" si="9"/>
        <v>1.8344879999999999</v>
      </c>
      <c r="I30" s="75">
        <f t="shared" si="9"/>
        <v>1.8817599999999999</v>
      </c>
      <c r="J30" s="75">
        <f t="shared" si="9"/>
        <v>1.803024</v>
      </c>
      <c r="K30" s="75">
        <f t="shared" si="9"/>
        <v>2.1708959999999999</v>
      </c>
      <c r="L30" s="75">
        <f t="shared" si="9"/>
        <v>1.6105320000000001</v>
      </c>
      <c r="M30" s="75">
        <f t="shared" si="9"/>
        <v>2.4568109999999996</v>
      </c>
      <c r="N30" s="75">
        <f t="shared" si="9"/>
        <v>1.6759469999999999</v>
      </c>
    </row>
    <row r="31" spans="1:14" x14ac:dyDescent="0.2">
      <c r="B31" s="66" t="s">
        <v>51</v>
      </c>
      <c r="C31" s="75">
        <f t="shared" si="5"/>
        <v>4.2079319999999996</v>
      </c>
      <c r="D31" s="75">
        <f t="shared" ref="D31:N31" si="10">+D$10*D17</f>
        <v>3.9999339999999997</v>
      </c>
      <c r="E31" s="75">
        <f t="shared" si="10"/>
        <v>4.7679449999999992</v>
      </c>
      <c r="F31" s="75">
        <f t="shared" si="10"/>
        <v>6.2362299999999999</v>
      </c>
      <c r="G31" s="75">
        <f t="shared" si="10"/>
        <v>5.8740499999999995</v>
      </c>
      <c r="H31" s="75">
        <f t="shared" si="10"/>
        <v>5.4913949999999998</v>
      </c>
      <c r="I31" s="75">
        <f t="shared" si="10"/>
        <v>5.6328999999999994</v>
      </c>
      <c r="J31" s="75">
        <f t="shared" si="10"/>
        <v>5.3972100000000003</v>
      </c>
      <c r="K31" s="75">
        <f t="shared" si="10"/>
        <v>7.2658560000000003</v>
      </c>
      <c r="L31" s="75">
        <f t="shared" si="10"/>
        <v>5.390352</v>
      </c>
      <c r="M31" s="75">
        <f t="shared" si="10"/>
        <v>8.2227960000000007</v>
      </c>
      <c r="N31" s="75">
        <f t="shared" si="10"/>
        <v>5.6092919999999999</v>
      </c>
    </row>
    <row r="32" spans="1:14" x14ac:dyDescent="0.2">
      <c r="B32" s="66" t="s">
        <v>52</v>
      </c>
      <c r="C32" s="75">
        <f t="shared" si="5"/>
        <v>1.9159019999999998</v>
      </c>
      <c r="D32" s="75">
        <f t="shared" ref="D32:N32" si="11">+D$10*D18</f>
        <v>1.8211989999999996</v>
      </c>
      <c r="E32" s="75">
        <f t="shared" si="11"/>
        <v>1.8443039999999999</v>
      </c>
      <c r="F32" s="75">
        <f t="shared" si="11"/>
        <v>2.4122560000000002</v>
      </c>
      <c r="G32" s="75">
        <f t="shared" si="11"/>
        <v>2.27216</v>
      </c>
      <c r="H32" s="75">
        <f t="shared" si="11"/>
        <v>2.1241440000000003</v>
      </c>
      <c r="I32" s="75">
        <f t="shared" si="11"/>
        <v>2.1788799999999999</v>
      </c>
      <c r="J32" s="75">
        <f t="shared" si="11"/>
        <v>2.0877120000000002</v>
      </c>
      <c r="K32" s="75">
        <f t="shared" si="11"/>
        <v>2.6287039999999999</v>
      </c>
      <c r="L32" s="75">
        <f t="shared" si="11"/>
        <v>1.9501680000000001</v>
      </c>
      <c r="M32" s="75">
        <f t="shared" si="11"/>
        <v>2.9749140000000001</v>
      </c>
      <c r="N32" s="75">
        <f t="shared" si="11"/>
        <v>2.0293779999999999</v>
      </c>
    </row>
    <row r="33" spans="1:14" x14ac:dyDescent="0.2">
      <c r="B33" s="66" t="s">
        <v>53</v>
      </c>
      <c r="C33" s="75">
        <f t="shared" si="5"/>
        <v>0.24683399999999997</v>
      </c>
      <c r="D33" s="75">
        <f t="shared" ref="D33:N33" si="12">+D$10*D19</f>
        <v>0.23463299999999995</v>
      </c>
      <c r="E33" s="75">
        <f t="shared" si="12"/>
        <v>0.22005899999999998</v>
      </c>
      <c r="F33" s="75">
        <f t="shared" si="12"/>
        <v>0.28782599999999997</v>
      </c>
      <c r="G33" s="75">
        <f t="shared" si="12"/>
        <v>0.27110999999999996</v>
      </c>
      <c r="H33" s="75">
        <f t="shared" si="12"/>
        <v>0.25344899999999998</v>
      </c>
      <c r="I33" s="75">
        <f t="shared" si="12"/>
        <v>0.25997999999999999</v>
      </c>
      <c r="J33" s="75">
        <f t="shared" si="12"/>
        <v>0.24910199999999999</v>
      </c>
      <c r="K33" s="75">
        <f t="shared" si="12"/>
        <v>0.28059200000000001</v>
      </c>
      <c r="L33" s="75">
        <f t="shared" si="12"/>
        <v>0.20816400000000002</v>
      </c>
      <c r="M33" s="75">
        <f t="shared" si="12"/>
        <v>0.31754699999999997</v>
      </c>
      <c r="N33" s="75">
        <f t="shared" si="12"/>
        <v>0.21661899999999998</v>
      </c>
    </row>
    <row r="34" spans="1:14" x14ac:dyDescent="0.2">
      <c r="B34" s="66" t="s">
        <v>22</v>
      </c>
      <c r="C34" s="75">
        <f t="shared" si="5"/>
        <v>14.574959999999999</v>
      </c>
      <c r="D34" s="75">
        <f t="shared" ref="D34:N34" si="13">+D$10*D20</f>
        <v>13.854519999999999</v>
      </c>
      <c r="E34" s="75">
        <f t="shared" si="13"/>
        <v>17.510408999999999</v>
      </c>
      <c r="F34" s="75">
        <f t="shared" si="13"/>
        <v>22.902726000000001</v>
      </c>
      <c r="G34" s="75">
        <f t="shared" si="13"/>
        <v>21.572609999999997</v>
      </c>
      <c r="H34" s="75">
        <f t="shared" si="13"/>
        <v>20.167299</v>
      </c>
      <c r="I34" s="75">
        <f t="shared" si="13"/>
        <v>20.686979999999998</v>
      </c>
      <c r="J34" s="75">
        <f t="shared" si="13"/>
        <v>19.821401999999999</v>
      </c>
      <c r="K34" s="75">
        <f t="shared" si="13"/>
        <v>26.213200000000001</v>
      </c>
      <c r="L34" s="75">
        <f t="shared" si="13"/>
        <v>19.446899999999999</v>
      </c>
      <c r="M34" s="75">
        <f t="shared" si="13"/>
        <v>29.665574999999997</v>
      </c>
      <c r="N34" s="75">
        <f t="shared" si="13"/>
        <v>20.236774999999998</v>
      </c>
    </row>
    <row r="35" spans="1:14" x14ac:dyDescent="0.2">
      <c r="B35" s="66" t="s">
        <v>87</v>
      </c>
      <c r="C35" s="75">
        <f t="shared" si="5"/>
        <v>0</v>
      </c>
      <c r="D35" s="75">
        <f t="shared" ref="D35:N35" si="14">+D$10*D21</f>
        <v>0</v>
      </c>
      <c r="E35" s="75">
        <f t="shared" si="14"/>
        <v>0</v>
      </c>
      <c r="F35" s="75">
        <f t="shared" si="14"/>
        <v>0</v>
      </c>
      <c r="G35" s="75">
        <f t="shared" si="14"/>
        <v>0</v>
      </c>
      <c r="H35" s="75">
        <f t="shared" si="14"/>
        <v>0</v>
      </c>
      <c r="I35" s="75">
        <f t="shared" si="14"/>
        <v>0</v>
      </c>
      <c r="J35" s="75">
        <f t="shared" si="14"/>
        <v>0</v>
      </c>
      <c r="K35" s="75">
        <f t="shared" si="14"/>
        <v>0</v>
      </c>
      <c r="L35" s="75">
        <f t="shared" si="14"/>
        <v>0</v>
      </c>
      <c r="M35" s="75">
        <f t="shared" si="14"/>
        <v>0</v>
      </c>
      <c r="N35" s="75">
        <f t="shared" si="14"/>
        <v>0</v>
      </c>
    </row>
    <row r="36" spans="1:14" x14ac:dyDescent="0.2">
      <c r="B36" s="66" t="s">
        <v>54</v>
      </c>
      <c r="C36" s="75">
        <f t="shared" si="5"/>
        <v>28.150829999999996</v>
      </c>
      <c r="D36" s="75">
        <f t="shared" ref="D36:N36" si="15">+D$10*D22</f>
        <v>26.759334999999997</v>
      </c>
      <c r="E36" s="75">
        <f t="shared" si="15"/>
        <v>15.770894999999998</v>
      </c>
      <c r="F36" s="75">
        <f t="shared" si="15"/>
        <v>20.62753</v>
      </c>
      <c r="G36" s="75">
        <f t="shared" si="15"/>
        <v>19.429549999999999</v>
      </c>
      <c r="H36" s="75">
        <f t="shared" si="15"/>
        <v>18.163844999999998</v>
      </c>
      <c r="I36" s="75">
        <f t="shared" si="15"/>
        <v>18.631899999999998</v>
      </c>
      <c r="J36" s="75">
        <f t="shared" si="15"/>
        <v>17.852309999999999</v>
      </c>
      <c r="K36" s="75">
        <f t="shared" si="15"/>
        <v>21.694192000000001</v>
      </c>
      <c r="L36" s="75">
        <f t="shared" si="15"/>
        <v>16.094364000000002</v>
      </c>
      <c r="M36" s="75">
        <f t="shared" si="15"/>
        <v>24.551397000000001</v>
      </c>
      <c r="N36" s="75">
        <f t="shared" si="15"/>
        <v>16.748068999999997</v>
      </c>
    </row>
    <row r="37" spans="1:14" x14ac:dyDescent="0.2">
      <c r="B37" s="66" t="s">
        <v>55</v>
      </c>
      <c r="C37" s="90">
        <f t="shared" si="5"/>
        <v>37.953665999999998</v>
      </c>
      <c r="D37" s="90">
        <f t="shared" ref="D37:N37" si="16">+D$10*D23</f>
        <v>36.077616999999996</v>
      </c>
      <c r="E37" s="90">
        <f t="shared" si="16"/>
        <v>36.582189</v>
      </c>
      <c r="F37" s="90">
        <f t="shared" si="16"/>
        <v>47.847646000000005</v>
      </c>
      <c r="G37" s="90">
        <f t="shared" si="16"/>
        <v>45.068809999999999</v>
      </c>
      <c r="H37" s="90">
        <f t="shared" si="16"/>
        <v>42.132879000000003</v>
      </c>
      <c r="I37" s="90">
        <f t="shared" si="16"/>
        <v>43.218580000000003</v>
      </c>
      <c r="J37" s="90">
        <f t="shared" si="16"/>
        <v>41.410242000000004</v>
      </c>
      <c r="K37" s="90">
        <f t="shared" si="16"/>
        <v>48.882080000000002</v>
      </c>
      <c r="L37" s="90">
        <f t="shared" si="16"/>
        <v>36.264360000000003</v>
      </c>
      <c r="M37" s="90">
        <f t="shared" si="16"/>
        <v>55.320030000000003</v>
      </c>
      <c r="N37" s="90">
        <f t="shared" si="16"/>
        <v>37.737310000000001</v>
      </c>
    </row>
    <row r="38" spans="1:14" x14ac:dyDescent="0.2">
      <c r="C38" s="75">
        <f>SUM(C27:C37)</f>
        <v>117.53999999999999</v>
      </c>
      <c r="D38" s="75">
        <f t="shared" ref="D38:N38" si="17">SUM(D27:D37)</f>
        <v>111.72999999999999</v>
      </c>
      <c r="E38" s="75">
        <f t="shared" si="17"/>
        <v>104.78999999999999</v>
      </c>
      <c r="F38" s="75">
        <f t="shared" si="17"/>
        <v>137.06</v>
      </c>
      <c r="G38" s="75">
        <f t="shared" si="17"/>
        <v>129.09999999999997</v>
      </c>
      <c r="H38" s="75">
        <f t="shared" si="17"/>
        <v>120.69</v>
      </c>
      <c r="I38" s="75">
        <f t="shared" si="17"/>
        <v>123.8</v>
      </c>
      <c r="J38" s="75">
        <f t="shared" si="17"/>
        <v>118.62</v>
      </c>
      <c r="K38" s="75">
        <f t="shared" si="17"/>
        <v>147.68</v>
      </c>
      <c r="L38" s="75">
        <f t="shared" si="17"/>
        <v>109.56</v>
      </c>
      <c r="M38" s="75">
        <f t="shared" si="17"/>
        <v>167.13</v>
      </c>
      <c r="N38" s="75">
        <f t="shared" si="17"/>
        <v>114.00999999999999</v>
      </c>
    </row>
    <row r="40" spans="1:14" x14ac:dyDescent="0.2">
      <c r="A40" s="83" t="s">
        <v>57</v>
      </c>
    </row>
    <row r="41" spans="1:14" x14ac:dyDescent="0.2">
      <c r="B41" s="66" t="s">
        <v>23</v>
      </c>
      <c r="C41" s="94">
        <v>1</v>
      </c>
      <c r="D41" s="95">
        <v>1</v>
      </c>
      <c r="E41" s="95">
        <v>1</v>
      </c>
      <c r="F41" s="95">
        <v>1</v>
      </c>
      <c r="G41" s="95">
        <v>1</v>
      </c>
      <c r="H41" s="95">
        <v>1</v>
      </c>
      <c r="I41" s="95">
        <v>1</v>
      </c>
      <c r="J41" s="95">
        <v>1</v>
      </c>
      <c r="K41" s="95">
        <v>1</v>
      </c>
      <c r="L41" s="95">
        <v>1</v>
      </c>
      <c r="M41" s="95">
        <v>1</v>
      </c>
      <c r="N41" s="95">
        <v>1</v>
      </c>
    </row>
    <row r="42" spans="1:14" x14ac:dyDescent="0.2">
      <c r="B42" s="66" t="s">
        <v>27</v>
      </c>
      <c r="C42" s="94">
        <v>1</v>
      </c>
      <c r="D42" s="95">
        <v>1</v>
      </c>
      <c r="E42" s="95">
        <v>1</v>
      </c>
      <c r="F42" s="95">
        <v>1</v>
      </c>
      <c r="G42" s="95">
        <v>1</v>
      </c>
      <c r="H42" s="95">
        <v>1</v>
      </c>
      <c r="I42" s="95">
        <v>1</v>
      </c>
      <c r="J42" s="95">
        <v>1</v>
      </c>
      <c r="K42" s="95">
        <v>1</v>
      </c>
      <c r="L42" s="95">
        <v>1</v>
      </c>
      <c r="M42" s="95">
        <v>1</v>
      </c>
      <c r="N42" s="95">
        <v>1</v>
      </c>
    </row>
    <row r="43" spans="1:14" x14ac:dyDescent="0.2">
      <c r="B43" s="66" t="s">
        <v>49</v>
      </c>
      <c r="C43" s="94">
        <v>1</v>
      </c>
      <c r="D43" s="95">
        <v>1</v>
      </c>
      <c r="E43" s="95">
        <v>1</v>
      </c>
      <c r="F43" s="95">
        <v>1</v>
      </c>
      <c r="G43" s="95">
        <v>1</v>
      </c>
      <c r="H43" s="95">
        <v>1</v>
      </c>
      <c r="I43" s="95">
        <v>1</v>
      </c>
      <c r="J43" s="95">
        <v>1</v>
      </c>
      <c r="K43" s="95">
        <v>1</v>
      </c>
      <c r="L43" s="95">
        <v>1</v>
      </c>
      <c r="M43" s="95">
        <v>1</v>
      </c>
      <c r="N43" s="95">
        <v>1</v>
      </c>
    </row>
    <row r="44" spans="1:14" x14ac:dyDescent="0.2">
      <c r="B44" s="66" t="s">
        <v>50</v>
      </c>
      <c r="C44" s="94">
        <v>1</v>
      </c>
      <c r="D44" s="95">
        <v>1</v>
      </c>
      <c r="E44" s="95">
        <v>1</v>
      </c>
      <c r="F44" s="95">
        <v>1</v>
      </c>
      <c r="G44" s="95">
        <v>1</v>
      </c>
      <c r="H44" s="95">
        <v>1</v>
      </c>
      <c r="I44" s="95">
        <v>1</v>
      </c>
      <c r="J44" s="95">
        <v>1</v>
      </c>
      <c r="K44" s="95">
        <v>1</v>
      </c>
      <c r="L44" s="95">
        <v>1</v>
      </c>
      <c r="M44" s="95">
        <v>1</v>
      </c>
      <c r="N44" s="95">
        <v>1</v>
      </c>
    </row>
    <row r="45" spans="1:14" x14ac:dyDescent="0.2">
      <c r="B45" s="66" t="s">
        <v>51</v>
      </c>
      <c r="C45" s="94">
        <v>1</v>
      </c>
      <c r="D45" s="95">
        <v>1</v>
      </c>
      <c r="E45" s="95">
        <v>1</v>
      </c>
      <c r="F45" s="95">
        <v>1</v>
      </c>
      <c r="G45" s="95">
        <v>1</v>
      </c>
      <c r="H45" s="95">
        <v>1</v>
      </c>
      <c r="I45" s="95">
        <v>1</v>
      </c>
      <c r="J45" s="95">
        <v>1</v>
      </c>
      <c r="K45" s="95">
        <v>1</v>
      </c>
      <c r="L45" s="95">
        <v>1</v>
      </c>
      <c r="M45" s="95">
        <v>1</v>
      </c>
      <c r="N45" s="95">
        <v>1</v>
      </c>
    </row>
    <row r="46" spans="1:14" x14ac:dyDescent="0.2">
      <c r="B46" s="66" t="s">
        <v>52</v>
      </c>
      <c r="C46" s="94">
        <v>1</v>
      </c>
      <c r="D46" s="95">
        <v>1</v>
      </c>
      <c r="E46" s="95">
        <v>1</v>
      </c>
      <c r="F46" s="95">
        <v>1</v>
      </c>
      <c r="G46" s="95">
        <v>1</v>
      </c>
      <c r="H46" s="95">
        <v>1</v>
      </c>
      <c r="I46" s="95">
        <v>1</v>
      </c>
      <c r="J46" s="95">
        <v>1</v>
      </c>
      <c r="K46" s="95">
        <v>1</v>
      </c>
      <c r="L46" s="95">
        <v>1</v>
      </c>
      <c r="M46" s="95">
        <v>1</v>
      </c>
      <c r="N46" s="95">
        <v>1</v>
      </c>
    </row>
    <row r="47" spans="1:14" x14ac:dyDescent="0.2">
      <c r="B47" s="66" t="s">
        <v>53</v>
      </c>
      <c r="C47" s="94">
        <v>1</v>
      </c>
      <c r="D47" s="95">
        <v>1</v>
      </c>
      <c r="E47" s="95">
        <v>1</v>
      </c>
      <c r="F47" s="95">
        <v>1</v>
      </c>
      <c r="G47" s="95">
        <v>1</v>
      </c>
      <c r="H47" s="95">
        <v>1</v>
      </c>
      <c r="I47" s="95">
        <v>1</v>
      </c>
      <c r="J47" s="95">
        <v>1</v>
      </c>
      <c r="K47" s="95">
        <v>1</v>
      </c>
      <c r="L47" s="95">
        <v>1</v>
      </c>
      <c r="M47" s="95">
        <v>1</v>
      </c>
      <c r="N47" s="95">
        <v>1</v>
      </c>
    </row>
    <row r="48" spans="1:14" x14ac:dyDescent="0.2">
      <c r="B48" s="66" t="s">
        <v>22</v>
      </c>
      <c r="C48" s="94">
        <v>1</v>
      </c>
      <c r="D48" s="95">
        <v>1</v>
      </c>
      <c r="E48" s="95">
        <v>1</v>
      </c>
      <c r="F48" s="95">
        <v>1</v>
      </c>
      <c r="G48" s="95">
        <v>1</v>
      </c>
      <c r="H48" s="95">
        <v>1</v>
      </c>
      <c r="I48" s="95">
        <v>1</v>
      </c>
      <c r="J48" s="95">
        <v>1</v>
      </c>
      <c r="K48" s="95">
        <v>1</v>
      </c>
      <c r="L48" s="95">
        <v>1</v>
      </c>
      <c r="M48" s="95">
        <v>1</v>
      </c>
      <c r="N48" s="95">
        <v>1</v>
      </c>
    </row>
    <row r="49" spans="1:14" x14ac:dyDescent="0.2">
      <c r="B49" s="66" t="s">
        <v>87</v>
      </c>
      <c r="C49" s="94">
        <v>1</v>
      </c>
      <c r="D49" s="95">
        <v>1</v>
      </c>
      <c r="E49" s="95">
        <v>1</v>
      </c>
      <c r="F49" s="95">
        <v>1</v>
      </c>
      <c r="G49" s="95">
        <v>1</v>
      </c>
      <c r="H49" s="95">
        <v>1</v>
      </c>
      <c r="I49" s="95">
        <v>1</v>
      </c>
      <c r="J49" s="95">
        <v>1</v>
      </c>
      <c r="K49" s="95">
        <v>1</v>
      </c>
      <c r="L49" s="95">
        <v>1</v>
      </c>
      <c r="M49" s="95">
        <v>1</v>
      </c>
      <c r="N49" s="95">
        <v>1</v>
      </c>
    </row>
    <row r="50" spans="1:14" x14ac:dyDescent="0.2">
      <c r="B50" s="66" t="s">
        <v>54</v>
      </c>
      <c r="C50" s="94">
        <v>1</v>
      </c>
      <c r="D50" s="95">
        <v>1</v>
      </c>
      <c r="E50" s="95">
        <v>1</v>
      </c>
      <c r="F50" s="95">
        <v>1</v>
      </c>
      <c r="G50" s="95">
        <v>1</v>
      </c>
      <c r="H50" s="95">
        <v>1</v>
      </c>
      <c r="I50" s="95">
        <v>1</v>
      </c>
      <c r="J50" s="95">
        <v>1</v>
      </c>
      <c r="K50" s="95">
        <v>1</v>
      </c>
      <c r="L50" s="95">
        <v>1</v>
      </c>
      <c r="M50" s="95">
        <v>1</v>
      </c>
      <c r="N50" s="95">
        <v>1</v>
      </c>
    </row>
    <row r="51" spans="1:14" ht="14.25" customHeight="1" x14ac:dyDescent="0.2">
      <c r="C51" s="93"/>
      <c r="D51" s="95"/>
      <c r="E51" s="95"/>
      <c r="F51" s="95"/>
      <c r="G51" s="95"/>
      <c r="H51" s="95"/>
      <c r="I51" s="95"/>
      <c r="J51" s="95"/>
      <c r="K51" s="95"/>
      <c r="L51" s="95"/>
      <c r="M51" s="95"/>
      <c r="N51" s="95"/>
    </row>
    <row r="52" spans="1:14" x14ac:dyDescent="0.2">
      <c r="A52" s="66" t="s">
        <v>55</v>
      </c>
      <c r="C52" s="93">
        <f>+C65/C37</f>
        <v>1</v>
      </c>
      <c r="D52" s="95">
        <v>1</v>
      </c>
      <c r="E52" s="95">
        <v>1</v>
      </c>
      <c r="F52" s="95">
        <v>1</v>
      </c>
      <c r="G52" s="95">
        <v>1</v>
      </c>
      <c r="H52" s="95">
        <v>1</v>
      </c>
      <c r="I52" s="95">
        <v>1</v>
      </c>
      <c r="J52" s="95">
        <v>1</v>
      </c>
      <c r="K52" s="95">
        <v>1</v>
      </c>
      <c r="L52" s="95">
        <v>1</v>
      </c>
      <c r="M52" s="95">
        <v>1</v>
      </c>
      <c r="N52" s="95">
        <v>1</v>
      </c>
    </row>
    <row r="53" spans="1:14" x14ac:dyDescent="0.2">
      <c r="L53" s="93"/>
      <c r="N53" s="95"/>
    </row>
    <row r="54" spans="1:14" x14ac:dyDescent="0.2">
      <c r="A54" s="83" t="s">
        <v>58</v>
      </c>
      <c r="L54" s="93"/>
      <c r="N54" s="95"/>
    </row>
    <row r="55" spans="1:14" x14ac:dyDescent="0.2">
      <c r="B55" s="66" t="s">
        <v>23</v>
      </c>
      <c r="C55" s="75">
        <f t="shared" ref="C55:C64" si="18">+C27*C41</f>
        <v>0</v>
      </c>
      <c r="D55" s="75">
        <f t="shared" ref="D55:N55" si="19">+D27*D41</f>
        <v>0</v>
      </c>
      <c r="E55" s="75">
        <f>+E27*E41</f>
        <v>0</v>
      </c>
      <c r="F55" s="75">
        <f t="shared" si="19"/>
        <v>0</v>
      </c>
      <c r="G55" s="75">
        <f t="shared" si="19"/>
        <v>0</v>
      </c>
      <c r="H55" s="75">
        <f t="shared" si="19"/>
        <v>0</v>
      </c>
      <c r="I55" s="75">
        <f t="shared" si="19"/>
        <v>0</v>
      </c>
      <c r="J55" s="75">
        <f t="shared" si="19"/>
        <v>0</v>
      </c>
      <c r="K55" s="75">
        <f t="shared" si="19"/>
        <v>0</v>
      </c>
      <c r="L55" s="75">
        <f t="shared" si="19"/>
        <v>0</v>
      </c>
      <c r="M55" s="75">
        <f t="shared" si="19"/>
        <v>0</v>
      </c>
      <c r="N55" s="75">
        <f t="shared" si="19"/>
        <v>0</v>
      </c>
    </row>
    <row r="56" spans="1:14" x14ac:dyDescent="0.2">
      <c r="B56" s="66" t="s">
        <v>27</v>
      </c>
      <c r="C56" s="75">
        <f t="shared" si="18"/>
        <v>28.832561999999996</v>
      </c>
      <c r="D56" s="75">
        <f t="shared" ref="D56:N56" si="20">+D28*D42</f>
        <v>27.407368999999996</v>
      </c>
      <c r="E56" s="75">
        <f t="shared" si="20"/>
        <v>26.501390999999998</v>
      </c>
      <c r="F56" s="75">
        <f t="shared" si="20"/>
        <v>34.662474000000003</v>
      </c>
      <c r="G56" s="75">
        <f t="shared" si="20"/>
        <v>32.649389999999997</v>
      </c>
      <c r="H56" s="75">
        <f t="shared" si="20"/>
        <v>30.522501000000002</v>
      </c>
      <c r="I56" s="75">
        <f t="shared" si="20"/>
        <v>31.30902</v>
      </c>
      <c r="J56" s="75">
        <f t="shared" si="20"/>
        <v>29.998998000000004</v>
      </c>
      <c r="K56" s="75">
        <f t="shared" si="20"/>
        <v>38.54448</v>
      </c>
      <c r="L56" s="75">
        <f t="shared" si="20"/>
        <v>28.59516</v>
      </c>
      <c r="M56" s="75">
        <f t="shared" si="20"/>
        <v>43.620930000000001</v>
      </c>
      <c r="N56" s="75">
        <f t="shared" si="20"/>
        <v>29.756609999999998</v>
      </c>
    </row>
    <row r="57" spans="1:14" x14ac:dyDescent="0.2">
      <c r="B57" s="66" t="s">
        <v>49</v>
      </c>
      <c r="C57" s="75">
        <f t="shared" si="18"/>
        <v>0</v>
      </c>
      <c r="D57" s="75">
        <f t="shared" ref="D57:N57" si="21">+D29*D43</f>
        <v>0</v>
      </c>
      <c r="E57" s="75">
        <f t="shared" si="21"/>
        <v>0</v>
      </c>
      <c r="F57" s="75">
        <f t="shared" si="21"/>
        <v>0</v>
      </c>
      <c r="G57" s="75">
        <f t="shared" si="21"/>
        <v>0</v>
      </c>
      <c r="H57" s="75">
        <f t="shared" si="21"/>
        <v>0</v>
      </c>
      <c r="I57" s="75">
        <f t="shared" si="21"/>
        <v>0</v>
      </c>
      <c r="J57" s="75">
        <f t="shared" si="21"/>
        <v>0</v>
      </c>
      <c r="K57" s="75">
        <f t="shared" si="21"/>
        <v>0</v>
      </c>
      <c r="L57" s="75">
        <f t="shared" si="21"/>
        <v>0</v>
      </c>
      <c r="M57" s="75">
        <f t="shared" si="21"/>
        <v>0</v>
      </c>
      <c r="N57" s="75">
        <f t="shared" si="21"/>
        <v>0</v>
      </c>
    </row>
    <row r="58" spans="1:14" x14ac:dyDescent="0.2">
      <c r="B58" s="66" t="s">
        <v>50</v>
      </c>
      <c r="C58" s="75">
        <f t="shared" si="18"/>
        <v>1.657314</v>
      </c>
      <c r="D58" s="75">
        <f t="shared" ref="D58:N58" si="22">+D30*D44</f>
        <v>1.5753929999999998</v>
      </c>
      <c r="E58" s="75">
        <f t="shared" si="22"/>
        <v>1.5928079999999998</v>
      </c>
      <c r="F58" s="75">
        <f t="shared" si="22"/>
        <v>2.0833119999999998</v>
      </c>
      <c r="G58" s="75">
        <f t="shared" si="22"/>
        <v>1.9623199999999998</v>
      </c>
      <c r="H58" s="75">
        <f t="shared" si="22"/>
        <v>1.8344879999999999</v>
      </c>
      <c r="I58" s="75">
        <f t="shared" si="22"/>
        <v>1.8817599999999999</v>
      </c>
      <c r="J58" s="75">
        <f t="shared" si="22"/>
        <v>1.803024</v>
      </c>
      <c r="K58" s="75">
        <f t="shared" si="22"/>
        <v>2.1708959999999999</v>
      </c>
      <c r="L58" s="75">
        <f t="shared" si="22"/>
        <v>1.6105320000000001</v>
      </c>
      <c r="M58" s="75">
        <f t="shared" si="22"/>
        <v>2.4568109999999996</v>
      </c>
      <c r="N58" s="75">
        <f t="shared" si="22"/>
        <v>1.6759469999999999</v>
      </c>
    </row>
    <row r="59" spans="1:14" x14ac:dyDescent="0.2">
      <c r="B59" s="66" t="s">
        <v>51</v>
      </c>
      <c r="C59" s="75">
        <f t="shared" si="18"/>
        <v>4.2079319999999996</v>
      </c>
      <c r="D59" s="75">
        <f t="shared" ref="D59:N59" si="23">+D31*D45</f>
        <v>3.9999339999999997</v>
      </c>
      <c r="E59" s="75">
        <f t="shared" si="23"/>
        <v>4.7679449999999992</v>
      </c>
      <c r="F59" s="75">
        <f t="shared" si="23"/>
        <v>6.2362299999999999</v>
      </c>
      <c r="G59" s="75">
        <f t="shared" si="23"/>
        <v>5.8740499999999995</v>
      </c>
      <c r="H59" s="75">
        <f t="shared" si="23"/>
        <v>5.4913949999999998</v>
      </c>
      <c r="I59" s="75">
        <f t="shared" si="23"/>
        <v>5.6328999999999994</v>
      </c>
      <c r="J59" s="75">
        <f t="shared" si="23"/>
        <v>5.3972100000000003</v>
      </c>
      <c r="K59" s="75">
        <f t="shared" si="23"/>
        <v>7.2658560000000003</v>
      </c>
      <c r="L59" s="75">
        <f t="shared" si="23"/>
        <v>5.390352</v>
      </c>
      <c r="M59" s="75">
        <f t="shared" si="23"/>
        <v>8.2227960000000007</v>
      </c>
      <c r="N59" s="75">
        <f t="shared" si="23"/>
        <v>5.6092919999999999</v>
      </c>
    </row>
    <row r="60" spans="1:14" x14ac:dyDescent="0.2">
      <c r="B60" s="66" t="s">
        <v>52</v>
      </c>
      <c r="C60" s="96">
        <f t="shared" si="18"/>
        <v>1.9159019999999998</v>
      </c>
      <c r="D60" s="96">
        <f t="shared" ref="D60:N60" si="24">+D32*D46</f>
        <v>1.8211989999999996</v>
      </c>
      <c r="E60" s="96">
        <f t="shared" si="24"/>
        <v>1.8443039999999999</v>
      </c>
      <c r="F60" s="96">
        <f t="shared" si="24"/>
        <v>2.4122560000000002</v>
      </c>
      <c r="G60" s="96">
        <f t="shared" si="24"/>
        <v>2.27216</v>
      </c>
      <c r="H60" s="96">
        <f t="shared" si="24"/>
        <v>2.1241440000000003</v>
      </c>
      <c r="I60" s="96">
        <f t="shared" si="24"/>
        <v>2.1788799999999999</v>
      </c>
      <c r="J60" s="96">
        <f t="shared" si="24"/>
        <v>2.0877120000000002</v>
      </c>
      <c r="K60" s="96">
        <f t="shared" si="24"/>
        <v>2.6287039999999999</v>
      </c>
      <c r="L60" s="96">
        <f t="shared" si="24"/>
        <v>1.9501680000000001</v>
      </c>
      <c r="M60" s="96">
        <f t="shared" si="24"/>
        <v>2.9749140000000001</v>
      </c>
      <c r="N60" s="96">
        <f t="shared" si="24"/>
        <v>2.0293779999999999</v>
      </c>
    </row>
    <row r="61" spans="1:14" x14ac:dyDescent="0.2">
      <c r="B61" s="66" t="s">
        <v>53</v>
      </c>
      <c r="C61" s="75">
        <f t="shared" si="18"/>
        <v>0.24683399999999997</v>
      </c>
      <c r="D61" s="75">
        <f t="shared" ref="D61:N61" si="25">+D33*D47</f>
        <v>0.23463299999999995</v>
      </c>
      <c r="E61" s="75">
        <f t="shared" si="25"/>
        <v>0.22005899999999998</v>
      </c>
      <c r="F61" s="75">
        <f t="shared" si="25"/>
        <v>0.28782599999999997</v>
      </c>
      <c r="G61" s="75">
        <f t="shared" si="25"/>
        <v>0.27110999999999996</v>
      </c>
      <c r="H61" s="75">
        <f t="shared" si="25"/>
        <v>0.25344899999999998</v>
      </c>
      <c r="I61" s="75">
        <f t="shared" si="25"/>
        <v>0.25997999999999999</v>
      </c>
      <c r="J61" s="75">
        <f t="shared" si="25"/>
        <v>0.24910199999999999</v>
      </c>
      <c r="K61" s="75">
        <f t="shared" si="25"/>
        <v>0.28059200000000001</v>
      </c>
      <c r="L61" s="75">
        <f t="shared" si="25"/>
        <v>0.20816400000000002</v>
      </c>
      <c r="M61" s="75">
        <f t="shared" si="25"/>
        <v>0.31754699999999997</v>
      </c>
      <c r="N61" s="75">
        <f t="shared" si="25"/>
        <v>0.21661899999999998</v>
      </c>
    </row>
    <row r="62" spans="1:14" x14ac:dyDescent="0.2">
      <c r="B62" s="66" t="s">
        <v>46</v>
      </c>
      <c r="C62" s="75">
        <f t="shared" si="18"/>
        <v>14.574959999999999</v>
      </c>
      <c r="D62" s="75">
        <f t="shared" ref="D62:N62" si="26">+D34*D48</f>
        <v>13.854519999999999</v>
      </c>
      <c r="E62" s="75">
        <f t="shared" si="26"/>
        <v>17.510408999999999</v>
      </c>
      <c r="F62" s="75">
        <f t="shared" si="26"/>
        <v>22.902726000000001</v>
      </c>
      <c r="G62" s="75">
        <f t="shared" si="26"/>
        <v>21.572609999999997</v>
      </c>
      <c r="H62" s="75">
        <f t="shared" si="26"/>
        <v>20.167299</v>
      </c>
      <c r="I62" s="75">
        <f t="shared" si="26"/>
        <v>20.686979999999998</v>
      </c>
      <c r="J62" s="75">
        <f t="shared" si="26"/>
        <v>19.821401999999999</v>
      </c>
      <c r="K62" s="75">
        <f t="shared" si="26"/>
        <v>26.213200000000001</v>
      </c>
      <c r="L62" s="75">
        <f t="shared" si="26"/>
        <v>19.446899999999999</v>
      </c>
      <c r="M62" s="75">
        <f t="shared" si="26"/>
        <v>29.665574999999997</v>
      </c>
      <c r="N62" s="75">
        <f t="shared" si="26"/>
        <v>20.236774999999998</v>
      </c>
    </row>
    <row r="63" spans="1:14" x14ac:dyDescent="0.2">
      <c r="B63" s="66" t="s">
        <v>87</v>
      </c>
      <c r="C63" s="75">
        <f t="shared" si="18"/>
        <v>0</v>
      </c>
      <c r="D63" s="75">
        <f t="shared" ref="D63:N63" si="27">+D35*D49</f>
        <v>0</v>
      </c>
      <c r="E63" s="75">
        <f t="shared" si="27"/>
        <v>0</v>
      </c>
      <c r="F63" s="75">
        <f t="shared" si="27"/>
        <v>0</v>
      </c>
      <c r="G63" s="75">
        <f t="shared" si="27"/>
        <v>0</v>
      </c>
      <c r="H63" s="75">
        <f t="shared" si="27"/>
        <v>0</v>
      </c>
      <c r="I63" s="75">
        <f t="shared" si="27"/>
        <v>0</v>
      </c>
      <c r="J63" s="75">
        <f t="shared" si="27"/>
        <v>0</v>
      </c>
      <c r="K63" s="75">
        <f t="shared" si="27"/>
        <v>0</v>
      </c>
      <c r="L63" s="75">
        <f t="shared" si="27"/>
        <v>0</v>
      </c>
      <c r="M63" s="75">
        <f t="shared" si="27"/>
        <v>0</v>
      </c>
      <c r="N63" s="75">
        <f t="shared" si="27"/>
        <v>0</v>
      </c>
    </row>
    <row r="64" spans="1:14" x14ac:dyDescent="0.2">
      <c r="B64" s="66" t="s">
        <v>54</v>
      </c>
      <c r="C64" s="75">
        <f t="shared" si="18"/>
        <v>28.150829999999996</v>
      </c>
      <c r="D64" s="75">
        <f t="shared" ref="D64:N64" si="28">+D36*D50</f>
        <v>26.759334999999997</v>
      </c>
      <c r="E64" s="75">
        <f t="shared" si="28"/>
        <v>15.770894999999998</v>
      </c>
      <c r="F64" s="75">
        <f t="shared" si="28"/>
        <v>20.62753</v>
      </c>
      <c r="G64" s="75">
        <f t="shared" si="28"/>
        <v>19.429549999999999</v>
      </c>
      <c r="H64" s="75">
        <f t="shared" si="28"/>
        <v>18.163844999999998</v>
      </c>
      <c r="I64" s="75">
        <f t="shared" si="28"/>
        <v>18.631899999999998</v>
      </c>
      <c r="J64" s="75">
        <f t="shared" si="28"/>
        <v>17.852309999999999</v>
      </c>
      <c r="K64" s="75">
        <f t="shared" si="28"/>
        <v>21.694192000000001</v>
      </c>
      <c r="L64" s="75">
        <f t="shared" si="28"/>
        <v>16.094364000000002</v>
      </c>
      <c r="M64" s="75">
        <f t="shared" si="28"/>
        <v>24.551397000000001</v>
      </c>
      <c r="N64" s="75">
        <f t="shared" si="28"/>
        <v>16.748068999999997</v>
      </c>
    </row>
    <row r="65" spans="1:22" x14ac:dyDescent="0.2">
      <c r="B65" s="66" t="s">
        <v>55</v>
      </c>
      <c r="C65" s="90">
        <f>+C7-SUM(C55:C64)</f>
        <v>37.953665999999998</v>
      </c>
      <c r="D65" s="90">
        <f t="shared" ref="D65:N65" si="29">+D7-SUM(D55:D64)</f>
        <v>36.077617000000004</v>
      </c>
      <c r="E65" s="90">
        <f t="shared" si="29"/>
        <v>36.582189</v>
      </c>
      <c r="F65" s="90">
        <f t="shared" si="29"/>
        <v>47.847645999999997</v>
      </c>
      <c r="G65" s="90">
        <f t="shared" si="29"/>
        <v>45.068810000000013</v>
      </c>
      <c r="H65" s="90">
        <f t="shared" si="29"/>
        <v>42.132879000000003</v>
      </c>
      <c r="I65" s="90">
        <f t="shared" si="29"/>
        <v>43.218580000000003</v>
      </c>
      <c r="J65" s="90">
        <f t="shared" si="29"/>
        <v>41.410241999999997</v>
      </c>
      <c r="K65" s="90">
        <f t="shared" si="29"/>
        <v>48.882080000000016</v>
      </c>
      <c r="L65" s="90">
        <f t="shared" si="29"/>
        <v>36.264360000000011</v>
      </c>
      <c r="M65" s="90">
        <f t="shared" si="29"/>
        <v>55.320030000000003</v>
      </c>
      <c r="N65" s="90">
        <f t="shared" si="29"/>
        <v>37.737309999999994</v>
      </c>
    </row>
    <row r="66" spans="1:22" x14ac:dyDescent="0.2">
      <c r="C66" s="75">
        <f>SUM(C55:C65)</f>
        <v>117.53999999999999</v>
      </c>
      <c r="D66" s="75">
        <f t="shared" ref="D66:N66" si="30">SUM(D55:D65)</f>
        <v>111.72999999999999</v>
      </c>
      <c r="E66" s="75">
        <f t="shared" si="30"/>
        <v>104.78999999999999</v>
      </c>
      <c r="F66" s="75">
        <f t="shared" si="30"/>
        <v>137.06</v>
      </c>
      <c r="G66" s="75">
        <f t="shared" si="30"/>
        <v>129.1</v>
      </c>
      <c r="H66" s="75">
        <f t="shared" si="30"/>
        <v>120.69</v>
      </c>
      <c r="I66" s="75">
        <f t="shared" si="30"/>
        <v>123.8</v>
      </c>
      <c r="J66" s="75">
        <f t="shared" si="30"/>
        <v>118.62</v>
      </c>
      <c r="K66" s="75">
        <f t="shared" si="30"/>
        <v>147.68</v>
      </c>
      <c r="L66" s="75">
        <f t="shared" si="30"/>
        <v>109.56</v>
      </c>
      <c r="M66" s="75">
        <f t="shared" si="30"/>
        <v>167.13</v>
      </c>
      <c r="N66" s="75">
        <f t="shared" si="30"/>
        <v>114.00999999999999</v>
      </c>
    </row>
    <row r="67" spans="1:22" ht="8.1" customHeight="1" x14ac:dyDescent="0.2"/>
    <row r="68" spans="1:22" ht="15" x14ac:dyDescent="0.25">
      <c r="A68" s="97" t="s">
        <v>59</v>
      </c>
      <c r="S68" s="147"/>
      <c r="T68" s="147"/>
    </row>
    <row r="69" spans="1:22" ht="12.75" x14ac:dyDescent="0.2">
      <c r="B69" s="66" t="s">
        <v>23</v>
      </c>
      <c r="C69" s="174">
        <v>0</v>
      </c>
      <c r="D69" s="174">
        <v>0</v>
      </c>
      <c r="E69" s="174">
        <v>0</v>
      </c>
      <c r="F69" s="174">
        <v>0</v>
      </c>
      <c r="G69" s="175">
        <v>0</v>
      </c>
      <c r="H69" s="175">
        <v>0</v>
      </c>
      <c r="I69" s="174">
        <v>0</v>
      </c>
      <c r="J69" s="174">
        <v>0</v>
      </c>
      <c r="K69" s="174">
        <v>0</v>
      </c>
      <c r="L69" s="176">
        <v>0</v>
      </c>
      <c r="M69" s="176">
        <v>0</v>
      </c>
      <c r="N69" s="174">
        <v>0</v>
      </c>
      <c r="Q69" s="149"/>
      <c r="R69" s="60"/>
      <c r="S69" s="150"/>
      <c r="T69" s="150"/>
      <c r="U69" s="150"/>
      <c r="V69" s="150"/>
    </row>
    <row r="70" spans="1:22" ht="12.75" x14ac:dyDescent="0.2">
      <c r="B70" s="66" t="s">
        <v>27</v>
      </c>
      <c r="C70" s="174">
        <v>131.50399999999999</v>
      </c>
      <c r="D70" s="174">
        <v>154.096</v>
      </c>
      <c r="E70" s="174">
        <v>142.16800000000001</v>
      </c>
      <c r="F70" s="174">
        <v>146.29600000000002</v>
      </c>
      <c r="G70" s="175">
        <v>153.20000000000002</v>
      </c>
      <c r="H70" s="175">
        <v>151.29600000000002</v>
      </c>
      <c r="I70" s="174">
        <v>129.08800000000002</v>
      </c>
      <c r="J70" s="174">
        <v>119.28</v>
      </c>
      <c r="K70" s="174">
        <v>83.224000000000004</v>
      </c>
      <c r="L70" s="174">
        <v>107.94400000000002</v>
      </c>
      <c r="M70" s="174">
        <v>104.48800000000001</v>
      </c>
      <c r="N70" s="174">
        <v>105.84000000000002</v>
      </c>
      <c r="Q70" s="149"/>
      <c r="R70" s="60"/>
      <c r="S70" s="150"/>
      <c r="T70" s="150"/>
      <c r="U70" s="150"/>
      <c r="V70" s="150"/>
    </row>
    <row r="71" spans="1:22" ht="12.75" x14ac:dyDescent="0.2">
      <c r="B71" s="66" t="s">
        <v>49</v>
      </c>
      <c r="C71" s="174">
        <v>0</v>
      </c>
      <c r="D71" s="174">
        <v>0</v>
      </c>
      <c r="E71" s="174">
        <v>0</v>
      </c>
      <c r="F71" s="174">
        <v>0</v>
      </c>
      <c r="G71" s="175">
        <v>0</v>
      </c>
      <c r="H71" s="175">
        <v>0</v>
      </c>
      <c r="I71" s="174">
        <v>0</v>
      </c>
      <c r="J71" s="174">
        <v>0</v>
      </c>
      <c r="K71" s="174">
        <v>0</v>
      </c>
      <c r="L71" s="174">
        <v>0</v>
      </c>
      <c r="M71" s="174">
        <v>0</v>
      </c>
      <c r="N71" s="174">
        <v>0</v>
      </c>
      <c r="Q71" s="149"/>
      <c r="R71" s="60"/>
      <c r="S71" s="150"/>
      <c r="T71" s="150"/>
      <c r="U71" s="150"/>
      <c r="V71" s="150"/>
    </row>
    <row r="72" spans="1:22" ht="12.75" x14ac:dyDescent="0.2">
      <c r="B72" s="66" t="s">
        <v>50</v>
      </c>
      <c r="C72" s="174">
        <v>176.12800000000001</v>
      </c>
      <c r="D72" s="174">
        <v>209.16800000000001</v>
      </c>
      <c r="E72" s="174">
        <v>189.88</v>
      </c>
      <c r="F72" s="174">
        <v>171.78399999999999</v>
      </c>
      <c r="G72" s="175">
        <v>154.28</v>
      </c>
      <c r="H72" s="175">
        <v>155.34400000000002</v>
      </c>
      <c r="I72" s="174">
        <v>160.65600000000001</v>
      </c>
      <c r="J72" s="174">
        <v>168.928</v>
      </c>
      <c r="K72" s="174">
        <v>112.04000000000002</v>
      </c>
      <c r="L72" s="174">
        <v>131.26400000000001</v>
      </c>
      <c r="M72" s="174">
        <v>134.50399999999999</v>
      </c>
      <c r="N72" s="174">
        <v>158.15200000000002</v>
      </c>
      <c r="Q72" s="149"/>
      <c r="R72" s="60"/>
      <c r="S72" s="150"/>
      <c r="T72" s="150"/>
      <c r="U72" s="150"/>
      <c r="V72" s="150"/>
    </row>
    <row r="73" spans="1:22" ht="12.75" x14ac:dyDescent="0.2">
      <c r="B73" s="66" t="s">
        <v>51</v>
      </c>
      <c r="C73" s="174">
        <v>299.36916201117322</v>
      </c>
      <c r="D73" s="174">
        <v>444.90221229050275</v>
      </c>
      <c r="E73" s="174">
        <v>363.43238681318684</v>
      </c>
      <c r="F73" s="174">
        <v>436.22767472527471</v>
      </c>
      <c r="G73" s="175">
        <v>382.05673846153849</v>
      </c>
      <c r="H73" s="175">
        <v>262.97128791208803</v>
      </c>
      <c r="I73" s="174">
        <v>275.3715692307693</v>
      </c>
      <c r="J73" s="174">
        <v>235.31657142857139</v>
      </c>
      <c r="K73" s="174">
        <v>150.52624390243903</v>
      </c>
      <c r="L73" s="174">
        <v>212.95260162601627</v>
      </c>
      <c r="M73" s="174">
        <v>268.1524552845529</v>
      </c>
      <c r="N73" s="174">
        <v>324.94946341463418</v>
      </c>
      <c r="Q73" s="149"/>
      <c r="R73" s="60"/>
      <c r="S73" s="150"/>
      <c r="T73" s="150"/>
      <c r="U73" s="150"/>
      <c r="V73" s="150"/>
    </row>
    <row r="74" spans="1:22" ht="12.75" x14ac:dyDescent="0.2">
      <c r="B74" s="66" t="s">
        <v>52</v>
      </c>
      <c r="C74" s="174">
        <v>1189.808</v>
      </c>
      <c r="D74" s="174">
        <v>1217.48</v>
      </c>
      <c r="E74" s="174">
        <v>1261.6320000000001</v>
      </c>
      <c r="F74" s="174">
        <v>1291.5920000000001</v>
      </c>
      <c r="G74" s="175">
        <v>1399.9680000000001</v>
      </c>
      <c r="H74" s="175">
        <v>1432.5680000000002</v>
      </c>
      <c r="I74" s="174">
        <v>1208.28</v>
      </c>
      <c r="J74" s="174">
        <v>1267.616</v>
      </c>
      <c r="K74" s="174">
        <v>1508.5120000000002</v>
      </c>
      <c r="L74" s="174">
        <v>1715.4240000000002</v>
      </c>
      <c r="M74" s="174">
        <v>1859.6560000000002</v>
      </c>
      <c r="N74" s="174">
        <v>1816.8400000000001</v>
      </c>
      <c r="Q74" s="149"/>
      <c r="R74" s="60"/>
      <c r="S74" s="150"/>
      <c r="T74" s="150"/>
      <c r="U74" s="150"/>
      <c r="V74" s="150"/>
    </row>
    <row r="75" spans="1:22" ht="12.75" x14ac:dyDescent="0.2">
      <c r="B75" s="66" t="s">
        <v>53</v>
      </c>
      <c r="C75" s="174">
        <v>142.04000000000002</v>
      </c>
      <c r="D75" s="174">
        <v>165.69600000000003</v>
      </c>
      <c r="E75" s="174">
        <v>150.072</v>
      </c>
      <c r="F75" s="174">
        <v>138.85599999999999</v>
      </c>
      <c r="G75" s="175">
        <v>123.49600000000001</v>
      </c>
      <c r="H75" s="175">
        <v>135.40799999999999</v>
      </c>
      <c r="I75" s="174">
        <v>145.80799999999999</v>
      </c>
      <c r="J75" s="174">
        <v>152.82400000000001</v>
      </c>
      <c r="K75" s="174">
        <v>86.968000000000004</v>
      </c>
      <c r="L75" s="174">
        <v>107.78399999999999</v>
      </c>
      <c r="M75" s="174">
        <v>152.54400000000001</v>
      </c>
      <c r="N75" s="174">
        <v>185.48000000000002</v>
      </c>
      <c r="Q75" s="103"/>
      <c r="R75" s="60"/>
      <c r="S75" s="150"/>
      <c r="T75" s="150"/>
      <c r="U75" s="150"/>
      <c r="V75" s="150"/>
    </row>
    <row r="76" spans="1:22" ht="15" x14ac:dyDescent="0.25">
      <c r="B76" s="66" t="s">
        <v>46</v>
      </c>
      <c r="C76" s="174">
        <v>-24.73</v>
      </c>
      <c r="D76" s="174">
        <v>-9.94</v>
      </c>
      <c r="E76" s="174">
        <v>-46.2</v>
      </c>
      <c r="F76" s="174">
        <v>-52.58</v>
      </c>
      <c r="G76" s="175">
        <v>-48.34</v>
      </c>
      <c r="H76" s="175">
        <v>-46.82</v>
      </c>
      <c r="I76" s="174">
        <v>-57.68</v>
      </c>
      <c r="J76" s="174">
        <v>-51.06</v>
      </c>
      <c r="K76" s="174">
        <v>-77.319999999999993</v>
      </c>
      <c r="L76" s="174">
        <v>-65.19</v>
      </c>
      <c r="M76" s="174">
        <v>-73.39</v>
      </c>
      <c r="N76" s="174">
        <v>-55.61</v>
      </c>
      <c r="Q76" s="151"/>
      <c r="R76" s="60"/>
      <c r="S76" s="150"/>
      <c r="T76" s="150"/>
      <c r="U76" s="150"/>
      <c r="V76" s="150"/>
    </row>
    <row r="77" spans="1:22" x14ac:dyDescent="0.2">
      <c r="B77" s="66" t="s">
        <v>87</v>
      </c>
      <c r="C77" s="176">
        <v>0</v>
      </c>
      <c r="D77" s="176">
        <v>0</v>
      </c>
      <c r="E77" s="176">
        <v>0</v>
      </c>
      <c r="F77" s="176">
        <v>0</v>
      </c>
      <c r="G77" s="177">
        <v>0</v>
      </c>
      <c r="H77" s="177">
        <v>0</v>
      </c>
      <c r="I77" s="176">
        <v>0</v>
      </c>
      <c r="J77" s="176">
        <v>0</v>
      </c>
      <c r="K77" s="176">
        <v>0</v>
      </c>
      <c r="L77" s="176">
        <v>0</v>
      </c>
      <c r="M77" s="176">
        <v>0</v>
      </c>
      <c r="N77" s="176">
        <v>0</v>
      </c>
    </row>
    <row r="78" spans="1:22" x14ac:dyDescent="0.2">
      <c r="B78" s="66" t="s">
        <v>54</v>
      </c>
      <c r="C78" s="176">
        <v>-155.82</v>
      </c>
      <c r="D78" s="176">
        <v>-163.55000000000001</v>
      </c>
      <c r="E78" s="176">
        <v>-164.36</v>
      </c>
      <c r="F78" s="176">
        <v>-161.54</v>
      </c>
      <c r="G78" s="177">
        <v>-160.65</v>
      </c>
      <c r="H78" s="177">
        <v>-160.65</v>
      </c>
      <c r="I78" s="176">
        <v>-159.69999999999999</v>
      </c>
      <c r="J78" s="176">
        <v>-163.71</v>
      </c>
      <c r="K78" s="176">
        <v>-166.72</v>
      </c>
      <c r="L78" s="176">
        <v>-166.81</v>
      </c>
      <c r="M78" s="176">
        <v>-167.13</v>
      </c>
      <c r="N78" s="176">
        <v>-167.08</v>
      </c>
    </row>
    <row r="79" spans="1:22" ht="15" x14ac:dyDescent="0.25">
      <c r="B79" s="66" t="s">
        <v>55</v>
      </c>
      <c r="C79" s="174">
        <v>46.64</v>
      </c>
      <c r="D79" s="174">
        <v>64.088000000000008</v>
      </c>
      <c r="E79" s="174">
        <v>50.080000000000005</v>
      </c>
      <c r="F79" s="174">
        <v>57.176000000000002</v>
      </c>
      <c r="G79" s="175">
        <v>53.296000000000006</v>
      </c>
      <c r="H79" s="175">
        <v>60.591999999999999</v>
      </c>
      <c r="I79" s="174">
        <v>32.848000000000006</v>
      </c>
      <c r="J79" s="174">
        <v>-8.57</v>
      </c>
      <c r="K79" s="174">
        <v>-3.4</v>
      </c>
      <c r="L79" s="174">
        <v>-23.28</v>
      </c>
      <c r="M79" s="174">
        <v>-17.3</v>
      </c>
      <c r="N79" s="176">
        <v>-7.91</v>
      </c>
      <c r="O79" s="111">
        <f>SUM(C69:N79)</f>
        <v>23700.812367100742</v>
      </c>
      <c r="Q79" s="147"/>
      <c r="R79" s="147"/>
      <c r="S79" s="148"/>
      <c r="T79" s="148"/>
    </row>
    <row r="80" spans="1:22" ht="8.1" customHeight="1" x14ac:dyDescent="0.2"/>
    <row r="81" spans="1:16" x14ac:dyDescent="0.2">
      <c r="A81" s="83" t="s">
        <v>60</v>
      </c>
    </row>
    <row r="82" spans="1:16" x14ac:dyDescent="0.2">
      <c r="B82" s="66" t="s">
        <v>23</v>
      </c>
      <c r="C82" s="98">
        <f>+C69*C55</f>
        <v>0</v>
      </c>
      <c r="D82" s="75">
        <f t="shared" ref="D82:M82" si="31">+D69*D55</f>
        <v>0</v>
      </c>
      <c r="E82" s="75">
        <f>+E69*E55</f>
        <v>0</v>
      </c>
      <c r="F82" s="75">
        <f>+F69*F55</f>
        <v>0</v>
      </c>
      <c r="G82" s="75">
        <f t="shared" si="31"/>
        <v>0</v>
      </c>
      <c r="H82" s="75">
        <f t="shared" si="31"/>
        <v>0</v>
      </c>
      <c r="I82" s="75">
        <f>+I69*I55</f>
        <v>0</v>
      </c>
      <c r="J82" s="75">
        <f t="shared" si="31"/>
        <v>0</v>
      </c>
      <c r="K82" s="75">
        <f t="shared" si="31"/>
        <v>0</v>
      </c>
      <c r="L82" s="75">
        <f t="shared" si="31"/>
        <v>0</v>
      </c>
      <c r="M82" s="75">
        <f t="shared" si="31"/>
        <v>0</v>
      </c>
      <c r="N82" s="75">
        <f>+N69*N55</f>
        <v>0</v>
      </c>
    </row>
    <row r="83" spans="1:16" x14ac:dyDescent="0.2">
      <c r="B83" s="66" t="s">
        <v>27</v>
      </c>
      <c r="C83" s="98">
        <f t="shared" ref="C83:N83" si="32">+C70*C56</f>
        <v>3791.5972332479992</v>
      </c>
      <c r="D83" s="75">
        <f t="shared" si="32"/>
        <v>4223.3659334239992</v>
      </c>
      <c r="E83" s="75">
        <f t="shared" si="32"/>
        <v>3767.6497556879999</v>
      </c>
      <c r="F83" s="75">
        <f t="shared" si="32"/>
        <v>5070.9812963040013</v>
      </c>
      <c r="G83" s="75">
        <f t="shared" si="32"/>
        <v>5001.8865480000004</v>
      </c>
      <c r="H83" s="75">
        <f>+H70*H56</f>
        <v>4617.932311296001</v>
      </c>
      <c r="I83" s="75">
        <f t="shared" si="32"/>
        <v>4041.6187737600007</v>
      </c>
      <c r="J83" s="75">
        <f t="shared" si="32"/>
        <v>3578.2804814400006</v>
      </c>
      <c r="K83" s="75">
        <f t="shared" si="32"/>
        <v>3207.8258035200001</v>
      </c>
      <c r="L83" s="75">
        <f t="shared" si="32"/>
        <v>3086.6759510400007</v>
      </c>
      <c r="M83" s="75">
        <f t="shared" si="32"/>
        <v>4557.8637338400004</v>
      </c>
      <c r="N83" s="75">
        <f t="shared" si="32"/>
        <v>3149.4396024000002</v>
      </c>
    </row>
    <row r="84" spans="1:16" x14ac:dyDescent="0.2">
      <c r="B84" s="66" t="s">
        <v>49</v>
      </c>
      <c r="C84" s="98">
        <f t="shared" ref="C84:N84" si="33">+C71*C57</f>
        <v>0</v>
      </c>
      <c r="D84" s="75">
        <f t="shared" si="33"/>
        <v>0</v>
      </c>
      <c r="E84" s="75">
        <f t="shared" si="33"/>
        <v>0</v>
      </c>
      <c r="F84" s="75">
        <f t="shared" si="33"/>
        <v>0</v>
      </c>
      <c r="G84" s="75">
        <f t="shared" si="33"/>
        <v>0</v>
      </c>
      <c r="H84" s="75">
        <f t="shared" si="33"/>
        <v>0</v>
      </c>
      <c r="I84" s="75"/>
      <c r="J84" s="75">
        <f t="shared" si="33"/>
        <v>0</v>
      </c>
      <c r="K84" s="75">
        <f t="shared" si="33"/>
        <v>0</v>
      </c>
      <c r="L84" s="75">
        <f t="shared" si="33"/>
        <v>0</v>
      </c>
      <c r="M84" s="75">
        <f t="shared" si="33"/>
        <v>0</v>
      </c>
      <c r="N84" s="75">
        <f t="shared" si="33"/>
        <v>0</v>
      </c>
    </row>
    <row r="85" spans="1:16" x14ac:dyDescent="0.2">
      <c r="B85" s="66" t="s">
        <v>50</v>
      </c>
      <c r="C85" s="98">
        <f t="shared" ref="C85:N85" si="34">+C72*C58</f>
        <v>291.89940019200003</v>
      </c>
      <c r="D85" s="75">
        <f t="shared" si="34"/>
        <v>329.52180302399995</v>
      </c>
      <c r="E85" s="75">
        <f t="shared" si="34"/>
        <v>302.44238303999992</v>
      </c>
      <c r="F85" s="75">
        <f t="shared" si="34"/>
        <v>357.87966860799997</v>
      </c>
      <c r="G85" s="75">
        <f t="shared" si="34"/>
        <v>302.74672959999998</v>
      </c>
      <c r="H85" s="75">
        <f t="shared" si="34"/>
        <v>284.97670387200003</v>
      </c>
      <c r="I85" s="75">
        <f t="shared" si="34"/>
        <v>302.31603455999999</v>
      </c>
      <c r="J85" s="75">
        <f t="shared" si="34"/>
        <v>304.58123827200001</v>
      </c>
      <c r="K85" s="75">
        <f t="shared" si="34"/>
        <v>243.22718784000003</v>
      </c>
      <c r="L85" s="75">
        <f t="shared" si="34"/>
        <v>211.40487244800002</v>
      </c>
      <c r="M85" s="75">
        <f t="shared" si="34"/>
        <v>330.45090674399995</v>
      </c>
      <c r="N85" s="75">
        <f t="shared" si="34"/>
        <v>265.05436994400003</v>
      </c>
    </row>
    <row r="86" spans="1:16" x14ac:dyDescent="0.2">
      <c r="B86" s="66" t="s">
        <v>51</v>
      </c>
      <c r="C86" s="98">
        <f t="shared" ref="C86:N86" si="35">+C73*C59</f>
        <v>1259.72507664</v>
      </c>
      <c r="D86" s="75">
        <f t="shared" si="35"/>
        <v>1779.5794856159996</v>
      </c>
      <c r="E86" s="75">
        <f t="shared" si="35"/>
        <v>1732.8256315439999</v>
      </c>
      <c r="F86" s="75">
        <f t="shared" si="35"/>
        <v>2720.4161119519999</v>
      </c>
      <c r="G86" s="75">
        <f t="shared" si="35"/>
        <v>2244.2203845600002</v>
      </c>
      <c r="H86" s="75">
        <f t="shared" si="35"/>
        <v>1444.0792155840006</v>
      </c>
      <c r="I86" s="75">
        <f t="shared" si="35"/>
        <v>1551.1405123200002</v>
      </c>
      <c r="J86" s="75">
        <f t="shared" si="35"/>
        <v>1270.0529524799999</v>
      </c>
      <c r="K86" s="75">
        <f t="shared" si="35"/>
        <v>1093.7020124160001</v>
      </c>
      <c r="L86" s="75">
        <f t="shared" si="35"/>
        <v>1147.8894820800001</v>
      </c>
      <c r="M86" s="75">
        <f t="shared" si="35"/>
        <v>2204.9629367040006</v>
      </c>
      <c r="N86" s="75">
        <f t="shared" si="35"/>
        <v>1822.7364255360001</v>
      </c>
    </row>
    <row r="87" spans="1:16" x14ac:dyDescent="0.2">
      <c r="B87" s="66" t="s">
        <v>52</v>
      </c>
      <c r="C87" s="98">
        <f t="shared" ref="C87:N87" si="36">+C74*C60</f>
        <v>2279.5555268159997</v>
      </c>
      <c r="D87" s="75">
        <f t="shared" si="36"/>
        <v>2217.2733585199994</v>
      </c>
      <c r="E87" s="75">
        <f t="shared" si="36"/>
        <v>2326.8329441280002</v>
      </c>
      <c r="F87" s="75">
        <f t="shared" si="36"/>
        <v>3115.6505515520003</v>
      </c>
      <c r="G87" s="75">
        <f t="shared" si="36"/>
        <v>3180.9512908800002</v>
      </c>
      <c r="H87" s="75">
        <f t="shared" si="36"/>
        <v>3042.9807217920006</v>
      </c>
      <c r="I87" s="75">
        <f t="shared" si="36"/>
        <v>2632.6971263999999</v>
      </c>
      <c r="J87" s="75">
        <f t="shared" si="36"/>
        <v>2646.4171345920004</v>
      </c>
      <c r="K87" s="75">
        <f t="shared" si="36"/>
        <v>3965.4315284480003</v>
      </c>
      <c r="L87" s="75">
        <f t="shared" si="36"/>
        <v>3345.3649912320006</v>
      </c>
      <c r="M87" s="75">
        <f t="shared" si="36"/>
        <v>5532.3166695840009</v>
      </c>
      <c r="N87" s="75">
        <f t="shared" si="36"/>
        <v>3687.0551255200003</v>
      </c>
    </row>
    <row r="88" spans="1:16" x14ac:dyDescent="0.2">
      <c r="B88" s="66" t="s">
        <v>53</v>
      </c>
      <c r="C88" s="98">
        <f t="shared" ref="C88:N88" si="37">+C75*C61</f>
        <v>35.060301360000004</v>
      </c>
      <c r="D88" s="75">
        <f t="shared" si="37"/>
        <v>38.877749567999999</v>
      </c>
      <c r="E88" s="75">
        <f t="shared" si="37"/>
        <v>33.024694247999996</v>
      </c>
      <c r="F88" s="75">
        <f t="shared" si="37"/>
        <v>39.966367055999996</v>
      </c>
      <c r="G88" s="75">
        <f t="shared" si="37"/>
        <v>33.481000559999998</v>
      </c>
      <c r="H88" s="75">
        <f t="shared" si="37"/>
        <v>34.319022191999991</v>
      </c>
      <c r="I88" s="75">
        <f t="shared" si="37"/>
        <v>37.907163839999996</v>
      </c>
      <c r="J88" s="75">
        <f t="shared" si="37"/>
        <v>38.068764047999998</v>
      </c>
      <c r="K88" s="75">
        <f t="shared" si="37"/>
        <v>24.402525056000002</v>
      </c>
      <c r="L88" s="75">
        <f t="shared" si="37"/>
        <v>22.436748575999999</v>
      </c>
      <c r="M88" s="75">
        <f t="shared" si="37"/>
        <v>48.439889567999998</v>
      </c>
      <c r="N88" s="75">
        <f t="shared" si="37"/>
        <v>40.178492120000001</v>
      </c>
    </row>
    <row r="89" spans="1:16" x14ac:dyDescent="0.2">
      <c r="B89" s="66" t="s">
        <v>46</v>
      </c>
      <c r="C89" s="98">
        <f t="shared" ref="C89:N89" si="38">+C76*C62</f>
        <v>-360.43876079999995</v>
      </c>
      <c r="D89" s="75">
        <f t="shared" si="38"/>
        <v>-137.71392879999999</v>
      </c>
      <c r="E89" s="75">
        <f t="shared" si="38"/>
        <v>-808.98089579999998</v>
      </c>
      <c r="F89" s="75">
        <f t="shared" si="38"/>
        <v>-1204.2253330799999</v>
      </c>
      <c r="G89" s="75">
        <f t="shared" si="38"/>
        <v>-1042.8199674</v>
      </c>
      <c r="H89" s="75">
        <f t="shared" si="38"/>
        <v>-944.23293918000002</v>
      </c>
      <c r="I89" s="75">
        <f t="shared" si="38"/>
        <v>-1193.2250064</v>
      </c>
      <c r="J89" s="75">
        <f t="shared" si="38"/>
        <v>-1012.08078612</v>
      </c>
      <c r="K89" s="75">
        <f t="shared" si="38"/>
        <v>-2026.8046239999999</v>
      </c>
      <c r="L89" s="75">
        <f t="shared" si="38"/>
        <v>-1267.7434109999999</v>
      </c>
      <c r="M89" s="75">
        <f t="shared" si="38"/>
        <v>-2177.1565492499999</v>
      </c>
      <c r="N89" s="75">
        <f t="shared" si="38"/>
        <v>-1125.36705775</v>
      </c>
    </row>
    <row r="90" spans="1:16" x14ac:dyDescent="0.2">
      <c r="B90" s="66" t="s">
        <v>87</v>
      </c>
      <c r="C90" s="98">
        <f t="shared" ref="C90:N90" si="39">+C77*C63</f>
        <v>0</v>
      </c>
      <c r="D90" s="75">
        <f t="shared" si="39"/>
        <v>0</v>
      </c>
      <c r="E90" s="75">
        <f t="shared" si="39"/>
        <v>0</v>
      </c>
      <c r="F90" s="75">
        <f t="shared" si="39"/>
        <v>0</v>
      </c>
      <c r="G90" s="75">
        <f t="shared" si="39"/>
        <v>0</v>
      </c>
      <c r="H90" s="75">
        <f t="shared" si="39"/>
        <v>0</v>
      </c>
      <c r="I90" s="75">
        <f t="shared" si="39"/>
        <v>0</v>
      </c>
      <c r="J90" s="75">
        <f t="shared" si="39"/>
        <v>0</v>
      </c>
      <c r="K90" s="75">
        <f t="shared" si="39"/>
        <v>0</v>
      </c>
      <c r="L90" s="75">
        <f t="shared" si="39"/>
        <v>0</v>
      </c>
      <c r="M90" s="75">
        <f t="shared" si="39"/>
        <v>0</v>
      </c>
      <c r="N90" s="75">
        <f t="shared" si="39"/>
        <v>0</v>
      </c>
    </row>
    <row r="91" spans="1:16" x14ac:dyDescent="0.2">
      <c r="B91" s="66" t="s">
        <v>54</v>
      </c>
      <c r="C91" s="98">
        <f t="shared" ref="C91:N91" si="40">+C78*C64</f>
        <v>-4386.4623305999994</v>
      </c>
      <c r="D91" s="75">
        <f t="shared" si="40"/>
        <v>-4376.4892392499996</v>
      </c>
      <c r="E91" s="75">
        <f t="shared" si="40"/>
        <v>-2592.1043021999999</v>
      </c>
      <c r="F91" s="75">
        <f t="shared" si="40"/>
        <v>-3332.1711961999999</v>
      </c>
      <c r="G91" s="75">
        <f t="shared" si="40"/>
        <v>-3121.3572074999997</v>
      </c>
      <c r="H91" s="75">
        <f t="shared" si="40"/>
        <v>-2918.02169925</v>
      </c>
      <c r="I91" s="75">
        <f t="shared" si="40"/>
        <v>-2975.5144299999993</v>
      </c>
      <c r="J91" s="75">
        <f t="shared" si="40"/>
        <v>-2922.6016700999999</v>
      </c>
      <c r="K91" s="75">
        <f t="shared" si="40"/>
        <v>-3616.8556902400001</v>
      </c>
      <c r="L91" s="75">
        <f t="shared" si="40"/>
        <v>-2684.7008588400004</v>
      </c>
      <c r="M91" s="75">
        <f t="shared" si="40"/>
        <v>-4103.2749806100001</v>
      </c>
      <c r="N91" s="75">
        <f t="shared" si="40"/>
        <v>-2798.2673685199998</v>
      </c>
    </row>
    <row r="92" spans="1:16" x14ac:dyDescent="0.2">
      <c r="B92" s="66" t="s">
        <v>55</v>
      </c>
      <c r="C92" s="99">
        <f t="shared" ref="C92:N92" si="41">+C79*C65</f>
        <v>1770.1589822399999</v>
      </c>
      <c r="D92" s="90">
        <f t="shared" si="41"/>
        <v>2312.1423182960007</v>
      </c>
      <c r="E92" s="90">
        <f t="shared" si="41"/>
        <v>1832.0360251200002</v>
      </c>
      <c r="F92" s="90">
        <f t="shared" si="41"/>
        <v>2735.7370076960001</v>
      </c>
      <c r="G92" s="90">
        <f t="shared" si="41"/>
        <v>2401.9872977600012</v>
      </c>
      <c r="H92" s="90">
        <f t="shared" si="41"/>
        <v>2552.9154043680001</v>
      </c>
      <c r="I92" s="90">
        <f t="shared" si="41"/>
        <v>1419.6439158400003</v>
      </c>
      <c r="J92" s="90">
        <f t="shared" si="41"/>
        <v>-354.88577393999998</v>
      </c>
      <c r="K92" s="75">
        <f t="shared" si="41"/>
        <v>-166.19907200000006</v>
      </c>
      <c r="L92" s="75">
        <f t="shared" si="41"/>
        <v>-844.23430080000026</v>
      </c>
      <c r="M92" s="75">
        <f t="shared" si="41"/>
        <v>-957.03651900000011</v>
      </c>
      <c r="N92" s="75">
        <f t="shared" si="41"/>
        <v>-298.50212209999995</v>
      </c>
    </row>
    <row r="93" spans="1:16" x14ac:dyDescent="0.2">
      <c r="A93" s="83" t="s">
        <v>61</v>
      </c>
      <c r="B93" s="83"/>
      <c r="C93" s="100">
        <f t="shared" ref="C93:N93" si="42">SUM(C82:C92)</f>
        <v>4681.0954290959999</v>
      </c>
      <c r="D93" s="101">
        <f t="shared" si="42"/>
        <v>6386.5574803980007</v>
      </c>
      <c r="E93" s="101">
        <f t="shared" si="42"/>
        <v>6593.7262357679992</v>
      </c>
      <c r="F93" s="101">
        <f t="shared" si="42"/>
        <v>9504.234473888002</v>
      </c>
      <c r="G93" s="101">
        <f t="shared" si="42"/>
        <v>9001.0960764600004</v>
      </c>
      <c r="H93" s="101">
        <f t="shared" si="42"/>
        <v>8114.9487406740027</v>
      </c>
      <c r="I93" s="101">
        <f t="shared" si="42"/>
        <v>5816.5840903200024</v>
      </c>
      <c r="J93" s="101">
        <f t="shared" si="42"/>
        <v>3547.832340672001</v>
      </c>
      <c r="K93" s="110">
        <f t="shared" si="42"/>
        <v>2724.7296710400014</v>
      </c>
      <c r="L93" s="110">
        <f t="shared" si="42"/>
        <v>3017.0934747360011</v>
      </c>
      <c r="M93" s="110">
        <f t="shared" si="42"/>
        <v>5436.5660875800031</v>
      </c>
      <c r="N93" s="110">
        <f t="shared" si="42"/>
        <v>4742.3274671500003</v>
      </c>
      <c r="O93" s="111">
        <f>SUM(C93:N93)</f>
        <v>69566.791567782013</v>
      </c>
      <c r="P93" s="111">
        <f>O93/2</f>
        <v>34783.395783891006</v>
      </c>
    </row>
    <row r="94" spans="1:16" x14ac:dyDescent="0.2">
      <c r="A94" s="83" t="s">
        <v>62</v>
      </c>
      <c r="B94" s="83"/>
      <c r="C94" s="100">
        <f>+C93/C66</f>
        <v>39.825552399999999</v>
      </c>
      <c r="D94" s="101">
        <f t="shared" ref="D94:M94" si="43">+D93/D66</f>
        <v>57.160632600000014</v>
      </c>
      <c r="E94" s="101">
        <f>+E93/E66</f>
        <v>62.923239199999998</v>
      </c>
      <c r="F94" s="101">
        <f t="shared" si="43"/>
        <v>69.343604800000008</v>
      </c>
      <c r="G94" s="101">
        <f t="shared" si="43"/>
        <v>69.721890600000009</v>
      </c>
      <c r="H94" s="101">
        <f t="shared" si="43"/>
        <v>67.237954600000023</v>
      </c>
      <c r="I94" s="101">
        <f t="shared" si="43"/>
        <v>46.98371640000002</v>
      </c>
      <c r="J94" s="101">
        <f t="shared" si="43"/>
        <v>29.909225600000006</v>
      </c>
      <c r="K94" s="75">
        <f t="shared" si="43"/>
        <v>18.45022800000001</v>
      </c>
      <c r="L94" s="75">
        <f t="shared" si="43"/>
        <v>27.538275600000009</v>
      </c>
      <c r="M94" s="75">
        <f t="shared" si="43"/>
        <v>32.528966000000018</v>
      </c>
      <c r="N94" s="75">
        <f>+N93/N66</f>
        <v>41.595715000000006</v>
      </c>
    </row>
    <row r="95" spans="1:16" ht="8.1" customHeight="1" x14ac:dyDescent="0.2"/>
    <row r="96" spans="1:16" x14ac:dyDescent="0.2">
      <c r="A96" s="83"/>
      <c r="C96" s="111">
        <v>39.83</v>
      </c>
      <c r="D96" s="111">
        <v>57.16</v>
      </c>
      <c r="E96" s="111">
        <v>62.92</v>
      </c>
      <c r="F96" s="111">
        <v>69.34</v>
      </c>
      <c r="G96" s="111">
        <v>69.72</v>
      </c>
      <c r="H96" s="111">
        <v>67.239999999999995</v>
      </c>
      <c r="I96" s="111">
        <v>46.98</v>
      </c>
      <c r="J96" s="111">
        <v>29.91</v>
      </c>
      <c r="K96" s="111">
        <v>18.45</v>
      </c>
      <c r="L96" s="111">
        <v>27.54</v>
      </c>
      <c r="M96" s="111">
        <v>32.53</v>
      </c>
      <c r="N96" s="111">
        <v>41.6</v>
      </c>
    </row>
    <row r="97" spans="1:14" x14ac:dyDescent="0.2">
      <c r="C97" s="98">
        <f>C94-C96</f>
        <v>-4.4475999999988858E-3</v>
      </c>
      <c r="D97" s="98">
        <f t="shared" ref="D97:N97" si="44">D94-D96</f>
        <v>6.3260000001719163E-4</v>
      </c>
      <c r="E97" s="98">
        <f t="shared" si="44"/>
        <v>3.2391999999958898E-3</v>
      </c>
      <c r="F97" s="98">
        <f t="shared" si="44"/>
        <v>3.6048000000050706E-3</v>
      </c>
      <c r="G97" s="98">
        <f t="shared" si="44"/>
        <v>1.8906000000100676E-3</v>
      </c>
      <c r="H97" s="98">
        <f t="shared" si="44"/>
        <v>-2.0453999999716643E-3</v>
      </c>
      <c r="I97" s="98">
        <f t="shared" si="44"/>
        <v>3.7164000000231567E-3</v>
      </c>
      <c r="J97" s="98">
        <f t="shared" si="44"/>
        <v>-7.7439999999384668E-4</v>
      </c>
      <c r="K97" s="98">
        <f t="shared" si="44"/>
        <v>2.2800000001055309E-4</v>
      </c>
      <c r="L97" s="98">
        <f t="shared" si="44"/>
        <v>-1.7243999999898563E-3</v>
      </c>
      <c r="M97" s="98">
        <f t="shared" si="44"/>
        <v>-1.0339999999828819E-3</v>
      </c>
      <c r="N97" s="98">
        <f t="shared" si="44"/>
        <v>-4.2849999999958754E-3</v>
      </c>
    </row>
    <row r="98" spans="1:14" x14ac:dyDescent="0.2">
      <c r="A98" s="83"/>
      <c r="B98" s="83"/>
      <c r="C98" s="100"/>
      <c r="D98" s="100"/>
      <c r="E98" s="100"/>
      <c r="F98" s="100"/>
      <c r="G98" s="100"/>
      <c r="H98" s="100"/>
      <c r="I98" s="100"/>
      <c r="J98" s="104"/>
    </row>
    <row r="99" spans="1:14" x14ac:dyDescent="0.2">
      <c r="C99" s="111"/>
      <c r="D99" s="111"/>
      <c r="E99" s="111"/>
      <c r="F99" s="111"/>
      <c r="G99" s="111"/>
      <c r="H99" s="111"/>
      <c r="I99" s="111"/>
      <c r="J99" s="111"/>
      <c r="K99" s="111"/>
      <c r="L99" s="111"/>
      <c r="M99" s="111"/>
      <c r="N99" s="111"/>
    </row>
    <row r="100" spans="1:14" x14ac:dyDescent="0.2">
      <c r="A100" s="83"/>
      <c r="B100" s="83"/>
      <c r="C100" s="98"/>
      <c r="D100" s="98"/>
      <c r="E100" s="98"/>
      <c r="F100" s="98"/>
      <c r="G100" s="98"/>
      <c r="H100" s="98"/>
      <c r="I100" s="98"/>
      <c r="J100" s="98"/>
      <c r="K100" s="98"/>
      <c r="L100" s="98"/>
      <c r="M100" s="98"/>
      <c r="N100" s="98"/>
    </row>
    <row r="101" spans="1:14" ht="8.1" customHeight="1" x14ac:dyDescent="0.2">
      <c r="C101" s="103"/>
      <c r="D101" s="103"/>
      <c r="E101" s="103"/>
      <c r="F101" s="103"/>
      <c r="G101" s="103"/>
      <c r="H101" s="103"/>
      <c r="I101" s="103"/>
      <c r="J101" s="103"/>
    </row>
    <row r="102" spans="1:14" x14ac:dyDescent="0.2">
      <c r="A102" s="83"/>
      <c r="C102" s="102"/>
      <c r="D102" s="102"/>
      <c r="E102" s="102"/>
      <c r="F102" s="102"/>
      <c r="G102" s="102"/>
      <c r="H102" s="102"/>
      <c r="I102" s="102"/>
      <c r="J102" s="105"/>
    </row>
    <row r="105" spans="1:14" x14ac:dyDescent="0.2">
      <c r="B105" s="66" t="str">
        <f ca="1">CELL("filename")</f>
        <v>Z:\Division\Accounting II\WUTC Filings\Commodity Credits\Filing June 2022\Kent\[Kent Meridian Single Family Commodity Credit Template - June 2022.xls]WUTC_KENT_SF</v>
      </c>
    </row>
  </sheetData>
  <phoneticPr fontId="0" type="noConversion"/>
  <pageMargins left="0.5" right="0.5" top="0.75" bottom="0.75" header="0.5" footer="0.5"/>
  <pageSetup scale="60" fitToWidth="0" orientation="portrait" r:id="rId1"/>
  <headerFooter alignWithMargins="0"/>
  <rowBreaks count="1" manualBreakCount="1">
    <brk id="53" max="1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24"/>
  <sheetViews>
    <sheetView workbookViewId="0"/>
  </sheetViews>
  <sheetFormatPr defaultRowHeight="12.75" x14ac:dyDescent="0.2"/>
  <cols>
    <col min="1" max="1" width="29" customWidth="1"/>
    <col min="3" max="3" width="10.140625" bestFit="1" customWidth="1"/>
    <col min="4" max="4" width="12.28515625" bestFit="1" customWidth="1"/>
    <col min="5" max="5" width="10.7109375" bestFit="1" customWidth="1"/>
  </cols>
  <sheetData>
    <row r="3" spans="1:6" ht="13.5" thickBot="1" x14ac:dyDescent="0.25"/>
    <row r="4" spans="1:6" ht="13.5" thickBot="1" x14ac:dyDescent="0.25">
      <c r="A4" s="164" t="s">
        <v>90</v>
      </c>
      <c r="B4" s="165"/>
      <c r="C4" s="166"/>
      <c r="D4" s="179"/>
    </row>
    <row r="5" spans="1:6" x14ac:dyDescent="0.2">
      <c r="C5" s="167"/>
      <c r="D5" s="167"/>
    </row>
    <row r="6" spans="1:6" x14ac:dyDescent="0.2">
      <c r="A6" s="168" t="s">
        <v>91</v>
      </c>
      <c r="E6" s="168" t="s">
        <v>92</v>
      </c>
      <c r="F6" s="168" t="s">
        <v>93</v>
      </c>
    </row>
    <row r="7" spans="1:6" x14ac:dyDescent="0.2">
      <c r="A7" s="171" t="s">
        <v>94</v>
      </c>
      <c r="C7" s="167" t="e">
        <f>$C$4*(D12/$D$15)</f>
        <v>#DIV/0!</v>
      </c>
      <c r="D7" s="167"/>
      <c r="E7" s="169" t="e">
        <f>C7*E12</f>
        <v>#DIV/0!</v>
      </c>
      <c r="F7" s="170" t="e">
        <f>C7*F12</f>
        <v>#DIV/0!</v>
      </c>
    </row>
    <row r="8" spans="1:6" x14ac:dyDescent="0.2">
      <c r="A8" s="171" t="s">
        <v>95</v>
      </c>
      <c r="C8" s="167" t="e">
        <f>$C$4*(D13/$D$15)</f>
        <v>#DIV/0!</v>
      </c>
      <c r="D8" s="167"/>
      <c r="E8" s="169" t="e">
        <f>C8*E13</f>
        <v>#DIV/0!</v>
      </c>
      <c r="F8" s="170" t="e">
        <f>C8*F13</f>
        <v>#DIV/0!</v>
      </c>
    </row>
    <row r="9" spans="1:6" x14ac:dyDescent="0.2">
      <c r="A9" s="171" t="s">
        <v>96</v>
      </c>
      <c r="C9" s="167" t="e">
        <f>$C$4*(D14/$D$15)</f>
        <v>#DIV/0!</v>
      </c>
      <c r="D9" s="167"/>
      <c r="E9" s="169" t="e">
        <f>C9*E14</f>
        <v>#DIV/0!</v>
      </c>
      <c r="F9" s="170" t="e">
        <f>C9*F14</f>
        <v>#DIV/0!</v>
      </c>
    </row>
    <row r="11" spans="1:6" x14ac:dyDescent="0.2">
      <c r="A11" t="s">
        <v>97</v>
      </c>
      <c r="B11" t="s">
        <v>98</v>
      </c>
      <c r="C11" t="s">
        <v>99</v>
      </c>
      <c r="D11" t="s">
        <v>29</v>
      </c>
      <c r="E11" t="s">
        <v>100</v>
      </c>
      <c r="F11" t="s">
        <v>101</v>
      </c>
    </row>
    <row r="12" spans="1:6" x14ac:dyDescent="0.2">
      <c r="A12">
        <v>4172</v>
      </c>
      <c r="B12" s="180"/>
      <c r="C12" s="180"/>
      <c r="D12" s="180">
        <f>B12+C12</f>
        <v>0</v>
      </c>
      <c r="E12" s="181" t="e">
        <f>B12/$D$12</f>
        <v>#DIV/0!</v>
      </c>
      <c r="F12" s="181" t="e">
        <f>C12/$D$12</f>
        <v>#DIV/0!</v>
      </c>
    </row>
    <row r="13" spans="1:6" x14ac:dyDescent="0.2">
      <c r="A13">
        <v>4176</v>
      </c>
      <c r="B13" s="182"/>
      <c r="C13" s="182"/>
      <c r="D13" s="180">
        <f>B13+C13</f>
        <v>0</v>
      </c>
      <c r="E13" s="181" t="e">
        <f>B13/$D$13</f>
        <v>#DIV/0!</v>
      </c>
      <c r="F13" s="181" t="e">
        <f>C13/$D$13</f>
        <v>#DIV/0!</v>
      </c>
    </row>
    <row r="14" spans="1:6" x14ac:dyDescent="0.2">
      <c r="A14">
        <v>4183</v>
      </c>
      <c r="B14" s="182"/>
      <c r="C14" s="182"/>
      <c r="D14" s="180">
        <f>B14+C14</f>
        <v>0</v>
      </c>
      <c r="E14" s="181" t="e">
        <f>B14/$D$14</f>
        <v>#DIV/0!</v>
      </c>
      <c r="F14" s="181" t="e">
        <f>C14/$D$14</f>
        <v>#DIV/0!</v>
      </c>
    </row>
    <row r="15" spans="1:6" x14ac:dyDescent="0.2">
      <c r="D15" s="183">
        <f>SUM(D12:D14)</f>
        <v>0</v>
      </c>
      <c r="E15" s="172"/>
      <c r="F15" s="172"/>
    </row>
    <row r="20" spans="1:5" x14ac:dyDescent="0.2">
      <c r="A20" s="171" t="s">
        <v>108</v>
      </c>
      <c r="E20" s="167" t="e">
        <f>+E9</f>
        <v>#DIV/0!</v>
      </c>
    </row>
    <row r="22" spans="1:5" x14ac:dyDescent="0.2">
      <c r="A22" s="171" t="s">
        <v>20</v>
      </c>
      <c r="E22" s="173">
        <v>261628</v>
      </c>
    </row>
    <row r="24" spans="1:5" x14ac:dyDescent="0.2">
      <c r="A24" s="171" t="s">
        <v>102</v>
      </c>
      <c r="E24" s="184" t="e">
        <f>E20/E22</f>
        <v>#DIV/0!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D6499-236A-41BE-A9D1-EE1EFF27DEB3}">
  <dimension ref="A1:S42"/>
  <sheetViews>
    <sheetView workbookViewId="0"/>
  </sheetViews>
  <sheetFormatPr defaultRowHeight="12.75" x14ac:dyDescent="0.2"/>
  <cols>
    <col min="1" max="1" width="20.28515625" customWidth="1"/>
    <col min="2" max="3" width="12.5703125" bestFit="1" customWidth="1"/>
    <col min="4" max="4" width="25.85546875" customWidth="1"/>
    <col min="5" max="5" width="13.42578125" style="186" customWidth="1"/>
    <col min="9" max="9" width="34.5703125" bestFit="1" customWidth="1"/>
    <col min="10" max="10" width="12.28515625" bestFit="1" customWidth="1"/>
    <col min="12" max="12" width="18.42578125" bestFit="1" customWidth="1"/>
    <col min="14" max="14" width="24.85546875" bestFit="1" customWidth="1"/>
    <col min="17" max="17" width="19.42578125" style="187" bestFit="1" customWidth="1"/>
    <col min="19" max="19" width="11.28515625" bestFit="1" customWidth="1"/>
    <col min="257" max="257" width="20.28515625" customWidth="1"/>
    <col min="258" max="259" width="12.5703125" bestFit="1" customWidth="1"/>
    <col min="260" max="260" width="25.85546875" customWidth="1"/>
    <col min="261" max="261" width="13.42578125" customWidth="1"/>
    <col min="265" max="265" width="34.5703125" bestFit="1" customWidth="1"/>
    <col min="266" max="266" width="12.28515625" bestFit="1" customWidth="1"/>
    <col min="268" max="268" width="18.42578125" bestFit="1" customWidth="1"/>
    <col min="270" max="270" width="24.85546875" bestFit="1" customWidth="1"/>
    <col min="273" max="273" width="19.42578125" bestFit="1" customWidth="1"/>
    <col min="275" max="275" width="11.28515625" bestFit="1" customWidth="1"/>
    <col min="513" max="513" width="20.28515625" customWidth="1"/>
    <col min="514" max="515" width="12.5703125" bestFit="1" customWidth="1"/>
    <col min="516" max="516" width="25.85546875" customWidth="1"/>
    <col min="517" max="517" width="13.42578125" customWidth="1"/>
    <col min="521" max="521" width="34.5703125" bestFit="1" customWidth="1"/>
    <col min="522" max="522" width="12.28515625" bestFit="1" customWidth="1"/>
    <col min="524" max="524" width="18.42578125" bestFit="1" customWidth="1"/>
    <col min="526" max="526" width="24.85546875" bestFit="1" customWidth="1"/>
    <col min="529" max="529" width="19.42578125" bestFit="1" customWidth="1"/>
    <col min="531" max="531" width="11.28515625" bestFit="1" customWidth="1"/>
    <col min="769" max="769" width="20.28515625" customWidth="1"/>
    <col min="770" max="771" width="12.5703125" bestFit="1" customWidth="1"/>
    <col min="772" max="772" width="25.85546875" customWidth="1"/>
    <col min="773" max="773" width="13.42578125" customWidth="1"/>
    <col min="777" max="777" width="34.5703125" bestFit="1" customWidth="1"/>
    <col min="778" max="778" width="12.28515625" bestFit="1" customWidth="1"/>
    <col min="780" max="780" width="18.42578125" bestFit="1" customWidth="1"/>
    <col min="782" max="782" width="24.85546875" bestFit="1" customWidth="1"/>
    <col min="785" max="785" width="19.42578125" bestFit="1" customWidth="1"/>
    <col min="787" max="787" width="11.28515625" bestFit="1" customWidth="1"/>
    <col min="1025" max="1025" width="20.28515625" customWidth="1"/>
    <col min="1026" max="1027" width="12.5703125" bestFit="1" customWidth="1"/>
    <col min="1028" max="1028" width="25.85546875" customWidth="1"/>
    <col min="1029" max="1029" width="13.42578125" customWidth="1"/>
    <col min="1033" max="1033" width="34.5703125" bestFit="1" customWidth="1"/>
    <col min="1034" max="1034" width="12.28515625" bestFit="1" customWidth="1"/>
    <col min="1036" max="1036" width="18.42578125" bestFit="1" customWidth="1"/>
    <col min="1038" max="1038" width="24.85546875" bestFit="1" customWidth="1"/>
    <col min="1041" max="1041" width="19.42578125" bestFit="1" customWidth="1"/>
    <col min="1043" max="1043" width="11.28515625" bestFit="1" customWidth="1"/>
    <col min="1281" max="1281" width="20.28515625" customWidth="1"/>
    <col min="1282" max="1283" width="12.5703125" bestFit="1" customWidth="1"/>
    <col min="1284" max="1284" width="25.85546875" customWidth="1"/>
    <col min="1285" max="1285" width="13.42578125" customWidth="1"/>
    <col min="1289" max="1289" width="34.5703125" bestFit="1" customWidth="1"/>
    <col min="1290" max="1290" width="12.28515625" bestFit="1" customWidth="1"/>
    <col min="1292" max="1292" width="18.42578125" bestFit="1" customWidth="1"/>
    <col min="1294" max="1294" width="24.85546875" bestFit="1" customWidth="1"/>
    <col min="1297" max="1297" width="19.42578125" bestFit="1" customWidth="1"/>
    <col min="1299" max="1299" width="11.28515625" bestFit="1" customWidth="1"/>
    <col min="1537" max="1537" width="20.28515625" customWidth="1"/>
    <col min="1538" max="1539" width="12.5703125" bestFit="1" customWidth="1"/>
    <col min="1540" max="1540" width="25.85546875" customWidth="1"/>
    <col min="1541" max="1541" width="13.42578125" customWidth="1"/>
    <col min="1545" max="1545" width="34.5703125" bestFit="1" customWidth="1"/>
    <col min="1546" max="1546" width="12.28515625" bestFit="1" customWidth="1"/>
    <col min="1548" max="1548" width="18.42578125" bestFit="1" customWidth="1"/>
    <col min="1550" max="1550" width="24.85546875" bestFit="1" customWidth="1"/>
    <col min="1553" max="1553" width="19.42578125" bestFit="1" customWidth="1"/>
    <col min="1555" max="1555" width="11.28515625" bestFit="1" customWidth="1"/>
    <col min="1793" max="1793" width="20.28515625" customWidth="1"/>
    <col min="1794" max="1795" width="12.5703125" bestFit="1" customWidth="1"/>
    <col min="1796" max="1796" width="25.85546875" customWidth="1"/>
    <col min="1797" max="1797" width="13.42578125" customWidth="1"/>
    <col min="1801" max="1801" width="34.5703125" bestFit="1" customWidth="1"/>
    <col min="1802" max="1802" width="12.28515625" bestFit="1" customWidth="1"/>
    <col min="1804" max="1804" width="18.42578125" bestFit="1" customWidth="1"/>
    <col min="1806" max="1806" width="24.85546875" bestFit="1" customWidth="1"/>
    <col min="1809" max="1809" width="19.42578125" bestFit="1" customWidth="1"/>
    <col min="1811" max="1811" width="11.28515625" bestFit="1" customWidth="1"/>
    <col min="2049" max="2049" width="20.28515625" customWidth="1"/>
    <col min="2050" max="2051" width="12.5703125" bestFit="1" customWidth="1"/>
    <col min="2052" max="2052" width="25.85546875" customWidth="1"/>
    <col min="2053" max="2053" width="13.42578125" customWidth="1"/>
    <col min="2057" max="2057" width="34.5703125" bestFit="1" customWidth="1"/>
    <col min="2058" max="2058" width="12.28515625" bestFit="1" customWidth="1"/>
    <col min="2060" max="2060" width="18.42578125" bestFit="1" customWidth="1"/>
    <col min="2062" max="2062" width="24.85546875" bestFit="1" customWidth="1"/>
    <col min="2065" max="2065" width="19.42578125" bestFit="1" customWidth="1"/>
    <col min="2067" max="2067" width="11.28515625" bestFit="1" customWidth="1"/>
    <col min="2305" max="2305" width="20.28515625" customWidth="1"/>
    <col min="2306" max="2307" width="12.5703125" bestFit="1" customWidth="1"/>
    <col min="2308" max="2308" width="25.85546875" customWidth="1"/>
    <col min="2309" max="2309" width="13.42578125" customWidth="1"/>
    <col min="2313" max="2313" width="34.5703125" bestFit="1" customWidth="1"/>
    <col min="2314" max="2314" width="12.28515625" bestFit="1" customWidth="1"/>
    <col min="2316" max="2316" width="18.42578125" bestFit="1" customWidth="1"/>
    <col min="2318" max="2318" width="24.85546875" bestFit="1" customWidth="1"/>
    <col min="2321" max="2321" width="19.42578125" bestFit="1" customWidth="1"/>
    <col min="2323" max="2323" width="11.28515625" bestFit="1" customWidth="1"/>
    <col min="2561" max="2561" width="20.28515625" customWidth="1"/>
    <col min="2562" max="2563" width="12.5703125" bestFit="1" customWidth="1"/>
    <col min="2564" max="2564" width="25.85546875" customWidth="1"/>
    <col min="2565" max="2565" width="13.42578125" customWidth="1"/>
    <col min="2569" max="2569" width="34.5703125" bestFit="1" customWidth="1"/>
    <col min="2570" max="2570" width="12.28515625" bestFit="1" customWidth="1"/>
    <col min="2572" max="2572" width="18.42578125" bestFit="1" customWidth="1"/>
    <col min="2574" max="2574" width="24.85546875" bestFit="1" customWidth="1"/>
    <col min="2577" max="2577" width="19.42578125" bestFit="1" customWidth="1"/>
    <col min="2579" max="2579" width="11.28515625" bestFit="1" customWidth="1"/>
    <col min="2817" max="2817" width="20.28515625" customWidth="1"/>
    <col min="2818" max="2819" width="12.5703125" bestFit="1" customWidth="1"/>
    <col min="2820" max="2820" width="25.85546875" customWidth="1"/>
    <col min="2821" max="2821" width="13.42578125" customWidth="1"/>
    <col min="2825" max="2825" width="34.5703125" bestFit="1" customWidth="1"/>
    <col min="2826" max="2826" width="12.28515625" bestFit="1" customWidth="1"/>
    <col min="2828" max="2828" width="18.42578125" bestFit="1" customWidth="1"/>
    <col min="2830" max="2830" width="24.85546875" bestFit="1" customWidth="1"/>
    <col min="2833" max="2833" width="19.42578125" bestFit="1" customWidth="1"/>
    <col min="2835" max="2835" width="11.28515625" bestFit="1" customWidth="1"/>
    <col min="3073" max="3073" width="20.28515625" customWidth="1"/>
    <col min="3074" max="3075" width="12.5703125" bestFit="1" customWidth="1"/>
    <col min="3076" max="3076" width="25.85546875" customWidth="1"/>
    <col min="3077" max="3077" width="13.42578125" customWidth="1"/>
    <col min="3081" max="3081" width="34.5703125" bestFit="1" customWidth="1"/>
    <col min="3082" max="3082" width="12.28515625" bestFit="1" customWidth="1"/>
    <col min="3084" max="3084" width="18.42578125" bestFit="1" customWidth="1"/>
    <col min="3086" max="3086" width="24.85546875" bestFit="1" customWidth="1"/>
    <col min="3089" max="3089" width="19.42578125" bestFit="1" customWidth="1"/>
    <col min="3091" max="3091" width="11.28515625" bestFit="1" customWidth="1"/>
    <col min="3329" max="3329" width="20.28515625" customWidth="1"/>
    <col min="3330" max="3331" width="12.5703125" bestFit="1" customWidth="1"/>
    <col min="3332" max="3332" width="25.85546875" customWidth="1"/>
    <col min="3333" max="3333" width="13.42578125" customWidth="1"/>
    <col min="3337" max="3337" width="34.5703125" bestFit="1" customWidth="1"/>
    <col min="3338" max="3338" width="12.28515625" bestFit="1" customWidth="1"/>
    <col min="3340" max="3340" width="18.42578125" bestFit="1" customWidth="1"/>
    <col min="3342" max="3342" width="24.85546875" bestFit="1" customWidth="1"/>
    <col min="3345" max="3345" width="19.42578125" bestFit="1" customWidth="1"/>
    <col min="3347" max="3347" width="11.28515625" bestFit="1" customWidth="1"/>
    <col min="3585" max="3585" width="20.28515625" customWidth="1"/>
    <col min="3586" max="3587" width="12.5703125" bestFit="1" customWidth="1"/>
    <col min="3588" max="3588" width="25.85546875" customWidth="1"/>
    <col min="3589" max="3589" width="13.42578125" customWidth="1"/>
    <col min="3593" max="3593" width="34.5703125" bestFit="1" customWidth="1"/>
    <col min="3594" max="3594" width="12.28515625" bestFit="1" customWidth="1"/>
    <col min="3596" max="3596" width="18.42578125" bestFit="1" customWidth="1"/>
    <col min="3598" max="3598" width="24.85546875" bestFit="1" customWidth="1"/>
    <col min="3601" max="3601" width="19.42578125" bestFit="1" customWidth="1"/>
    <col min="3603" max="3603" width="11.28515625" bestFit="1" customWidth="1"/>
    <col min="3841" max="3841" width="20.28515625" customWidth="1"/>
    <col min="3842" max="3843" width="12.5703125" bestFit="1" customWidth="1"/>
    <col min="3844" max="3844" width="25.85546875" customWidth="1"/>
    <col min="3845" max="3845" width="13.42578125" customWidth="1"/>
    <col min="3849" max="3849" width="34.5703125" bestFit="1" customWidth="1"/>
    <col min="3850" max="3850" width="12.28515625" bestFit="1" customWidth="1"/>
    <col min="3852" max="3852" width="18.42578125" bestFit="1" customWidth="1"/>
    <col min="3854" max="3854" width="24.85546875" bestFit="1" customWidth="1"/>
    <col min="3857" max="3857" width="19.42578125" bestFit="1" customWidth="1"/>
    <col min="3859" max="3859" width="11.28515625" bestFit="1" customWidth="1"/>
    <col min="4097" max="4097" width="20.28515625" customWidth="1"/>
    <col min="4098" max="4099" width="12.5703125" bestFit="1" customWidth="1"/>
    <col min="4100" max="4100" width="25.85546875" customWidth="1"/>
    <col min="4101" max="4101" width="13.42578125" customWidth="1"/>
    <col min="4105" max="4105" width="34.5703125" bestFit="1" customWidth="1"/>
    <col min="4106" max="4106" width="12.28515625" bestFit="1" customWidth="1"/>
    <col min="4108" max="4108" width="18.42578125" bestFit="1" customWidth="1"/>
    <col min="4110" max="4110" width="24.85546875" bestFit="1" customWidth="1"/>
    <col min="4113" max="4113" width="19.42578125" bestFit="1" customWidth="1"/>
    <col min="4115" max="4115" width="11.28515625" bestFit="1" customWidth="1"/>
    <col min="4353" max="4353" width="20.28515625" customWidth="1"/>
    <col min="4354" max="4355" width="12.5703125" bestFit="1" customWidth="1"/>
    <col min="4356" max="4356" width="25.85546875" customWidth="1"/>
    <col min="4357" max="4357" width="13.42578125" customWidth="1"/>
    <col min="4361" max="4361" width="34.5703125" bestFit="1" customWidth="1"/>
    <col min="4362" max="4362" width="12.28515625" bestFit="1" customWidth="1"/>
    <col min="4364" max="4364" width="18.42578125" bestFit="1" customWidth="1"/>
    <col min="4366" max="4366" width="24.85546875" bestFit="1" customWidth="1"/>
    <col min="4369" max="4369" width="19.42578125" bestFit="1" customWidth="1"/>
    <col min="4371" max="4371" width="11.28515625" bestFit="1" customWidth="1"/>
    <col min="4609" max="4609" width="20.28515625" customWidth="1"/>
    <col min="4610" max="4611" width="12.5703125" bestFit="1" customWidth="1"/>
    <col min="4612" max="4612" width="25.85546875" customWidth="1"/>
    <col min="4613" max="4613" width="13.42578125" customWidth="1"/>
    <col min="4617" max="4617" width="34.5703125" bestFit="1" customWidth="1"/>
    <col min="4618" max="4618" width="12.28515625" bestFit="1" customWidth="1"/>
    <col min="4620" max="4620" width="18.42578125" bestFit="1" customWidth="1"/>
    <col min="4622" max="4622" width="24.85546875" bestFit="1" customWidth="1"/>
    <col min="4625" max="4625" width="19.42578125" bestFit="1" customWidth="1"/>
    <col min="4627" max="4627" width="11.28515625" bestFit="1" customWidth="1"/>
    <col min="4865" max="4865" width="20.28515625" customWidth="1"/>
    <col min="4866" max="4867" width="12.5703125" bestFit="1" customWidth="1"/>
    <col min="4868" max="4868" width="25.85546875" customWidth="1"/>
    <col min="4869" max="4869" width="13.42578125" customWidth="1"/>
    <col min="4873" max="4873" width="34.5703125" bestFit="1" customWidth="1"/>
    <col min="4874" max="4874" width="12.28515625" bestFit="1" customWidth="1"/>
    <col min="4876" max="4876" width="18.42578125" bestFit="1" customWidth="1"/>
    <col min="4878" max="4878" width="24.85546875" bestFit="1" customWidth="1"/>
    <col min="4881" max="4881" width="19.42578125" bestFit="1" customWidth="1"/>
    <col min="4883" max="4883" width="11.28515625" bestFit="1" customWidth="1"/>
    <col min="5121" max="5121" width="20.28515625" customWidth="1"/>
    <col min="5122" max="5123" width="12.5703125" bestFit="1" customWidth="1"/>
    <col min="5124" max="5124" width="25.85546875" customWidth="1"/>
    <col min="5125" max="5125" width="13.42578125" customWidth="1"/>
    <col min="5129" max="5129" width="34.5703125" bestFit="1" customWidth="1"/>
    <col min="5130" max="5130" width="12.28515625" bestFit="1" customWidth="1"/>
    <col min="5132" max="5132" width="18.42578125" bestFit="1" customWidth="1"/>
    <col min="5134" max="5134" width="24.85546875" bestFit="1" customWidth="1"/>
    <col min="5137" max="5137" width="19.42578125" bestFit="1" customWidth="1"/>
    <col min="5139" max="5139" width="11.28515625" bestFit="1" customWidth="1"/>
    <col min="5377" max="5377" width="20.28515625" customWidth="1"/>
    <col min="5378" max="5379" width="12.5703125" bestFit="1" customWidth="1"/>
    <col min="5380" max="5380" width="25.85546875" customWidth="1"/>
    <col min="5381" max="5381" width="13.42578125" customWidth="1"/>
    <col min="5385" max="5385" width="34.5703125" bestFit="1" customWidth="1"/>
    <col min="5386" max="5386" width="12.28515625" bestFit="1" customWidth="1"/>
    <col min="5388" max="5388" width="18.42578125" bestFit="1" customWidth="1"/>
    <col min="5390" max="5390" width="24.85546875" bestFit="1" customWidth="1"/>
    <col min="5393" max="5393" width="19.42578125" bestFit="1" customWidth="1"/>
    <col min="5395" max="5395" width="11.28515625" bestFit="1" customWidth="1"/>
    <col min="5633" max="5633" width="20.28515625" customWidth="1"/>
    <col min="5634" max="5635" width="12.5703125" bestFit="1" customWidth="1"/>
    <col min="5636" max="5636" width="25.85546875" customWidth="1"/>
    <col min="5637" max="5637" width="13.42578125" customWidth="1"/>
    <col min="5641" max="5641" width="34.5703125" bestFit="1" customWidth="1"/>
    <col min="5642" max="5642" width="12.28515625" bestFit="1" customWidth="1"/>
    <col min="5644" max="5644" width="18.42578125" bestFit="1" customWidth="1"/>
    <col min="5646" max="5646" width="24.85546875" bestFit="1" customWidth="1"/>
    <col min="5649" max="5649" width="19.42578125" bestFit="1" customWidth="1"/>
    <col min="5651" max="5651" width="11.28515625" bestFit="1" customWidth="1"/>
    <col min="5889" max="5889" width="20.28515625" customWidth="1"/>
    <col min="5890" max="5891" width="12.5703125" bestFit="1" customWidth="1"/>
    <col min="5892" max="5892" width="25.85546875" customWidth="1"/>
    <col min="5893" max="5893" width="13.42578125" customWidth="1"/>
    <col min="5897" max="5897" width="34.5703125" bestFit="1" customWidth="1"/>
    <col min="5898" max="5898" width="12.28515625" bestFit="1" customWidth="1"/>
    <col min="5900" max="5900" width="18.42578125" bestFit="1" customWidth="1"/>
    <col min="5902" max="5902" width="24.85546875" bestFit="1" customWidth="1"/>
    <col min="5905" max="5905" width="19.42578125" bestFit="1" customWidth="1"/>
    <col min="5907" max="5907" width="11.28515625" bestFit="1" customWidth="1"/>
    <col min="6145" max="6145" width="20.28515625" customWidth="1"/>
    <col min="6146" max="6147" width="12.5703125" bestFit="1" customWidth="1"/>
    <col min="6148" max="6148" width="25.85546875" customWidth="1"/>
    <col min="6149" max="6149" width="13.42578125" customWidth="1"/>
    <col min="6153" max="6153" width="34.5703125" bestFit="1" customWidth="1"/>
    <col min="6154" max="6154" width="12.28515625" bestFit="1" customWidth="1"/>
    <col min="6156" max="6156" width="18.42578125" bestFit="1" customWidth="1"/>
    <col min="6158" max="6158" width="24.85546875" bestFit="1" customWidth="1"/>
    <col min="6161" max="6161" width="19.42578125" bestFit="1" customWidth="1"/>
    <col min="6163" max="6163" width="11.28515625" bestFit="1" customWidth="1"/>
    <col min="6401" max="6401" width="20.28515625" customWidth="1"/>
    <col min="6402" max="6403" width="12.5703125" bestFit="1" customWidth="1"/>
    <col min="6404" max="6404" width="25.85546875" customWidth="1"/>
    <col min="6405" max="6405" width="13.42578125" customWidth="1"/>
    <col min="6409" max="6409" width="34.5703125" bestFit="1" customWidth="1"/>
    <col min="6410" max="6410" width="12.28515625" bestFit="1" customWidth="1"/>
    <col min="6412" max="6412" width="18.42578125" bestFit="1" customWidth="1"/>
    <col min="6414" max="6414" width="24.85546875" bestFit="1" customWidth="1"/>
    <col min="6417" max="6417" width="19.42578125" bestFit="1" customWidth="1"/>
    <col min="6419" max="6419" width="11.28515625" bestFit="1" customWidth="1"/>
    <col min="6657" max="6657" width="20.28515625" customWidth="1"/>
    <col min="6658" max="6659" width="12.5703125" bestFit="1" customWidth="1"/>
    <col min="6660" max="6660" width="25.85546875" customWidth="1"/>
    <col min="6661" max="6661" width="13.42578125" customWidth="1"/>
    <col min="6665" max="6665" width="34.5703125" bestFit="1" customWidth="1"/>
    <col min="6666" max="6666" width="12.28515625" bestFit="1" customWidth="1"/>
    <col min="6668" max="6668" width="18.42578125" bestFit="1" customWidth="1"/>
    <col min="6670" max="6670" width="24.85546875" bestFit="1" customWidth="1"/>
    <col min="6673" max="6673" width="19.42578125" bestFit="1" customWidth="1"/>
    <col min="6675" max="6675" width="11.28515625" bestFit="1" customWidth="1"/>
    <col min="6913" max="6913" width="20.28515625" customWidth="1"/>
    <col min="6914" max="6915" width="12.5703125" bestFit="1" customWidth="1"/>
    <col min="6916" max="6916" width="25.85546875" customWidth="1"/>
    <col min="6917" max="6917" width="13.42578125" customWidth="1"/>
    <col min="6921" max="6921" width="34.5703125" bestFit="1" customWidth="1"/>
    <col min="6922" max="6922" width="12.28515625" bestFit="1" customWidth="1"/>
    <col min="6924" max="6924" width="18.42578125" bestFit="1" customWidth="1"/>
    <col min="6926" max="6926" width="24.85546875" bestFit="1" customWidth="1"/>
    <col min="6929" max="6929" width="19.42578125" bestFit="1" customWidth="1"/>
    <col min="6931" max="6931" width="11.28515625" bestFit="1" customWidth="1"/>
    <col min="7169" max="7169" width="20.28515625" customWidth="1"/>
    <col min="7170" max="7171" width="12.5703125" bestFit="1" customWidth="1"/>
    <col min="7172" max="7172" width="25.85546875" customWidth="1"/>
    <col min="7173" max="7173" width="13.42578125" customWidth="1"/>
    <col min="7177" max="7177" width="34.5703125" bestFit="1" customWidth="1"/>
    <col min="7178" max="7178" width="12.28515625" bestFit="1" customWidth="1"/>
    <col min="7180" max="7180" width="18.42578125" bestFit="1" customWidth="1"/>
    <col min="7182" max="7182" width="24.85546875" bestFit="1" customWidth="1"/>
    <col min="7185" max="7185" width="19.42578125" bestFit="1" customWidth="1"/>
    <col min="7187" max="7187" width="11.28515625" bestFit="1" customWidth="1"/>
    <col min="7425" max="7425" width="20.28515625" customWidth="1"/>
    <col min="7426" max="7427" width="12.5703125" bestFit="1" customWidth="1"/>
    <col min="7428" max="7428" width="25.85546875" customWidth="1"/>
    <col min="7429" max="7429" width="13.42578125" customWidth="1"/>
    <col min="7433" max="7433" width="34.5703125" bestFit="1" customWidth="1"/>
    <col min="7434" max="7434" width="12.28515625" bestFit="1" customWidth="1"/>
    <col min="7436" max="7436" width="18.42578125" bestFit="1" customWidth="1"/>
    <col min="7438" max="7438" width="24.85546875" bestFit="1" customWidth="1"/>
    <col min="7441" max="7441" width="19.42578125" bestFit="1" customWidth="1"/>
    <col min="7443" max="7443" width="11.28515625" bestFit="1" customWidth="1"/>
    <col min="7681" max="7681" width="20.28515625" customWidth="1"/>
    <col min="7682" max="7683" width="12.5703125" bestFit="1" customWidth="1"/>
    <col min="7684" max="7684" width="25.85546875" customWidth="1"/>
    <col min="7685" max="7685" width="13.42578125" customWidth="1"/>
    <col min="7689" max="7689" width="34.5703125" bestFit="1" customWidth="1"/>
    <col min="7690" max="7690" width="12.28515625" bestFit="1" customWidth="1"/>
    <col min="7692" max="7692" width="18.42578125" bestFit="1" customWidth="1"/>
    <col min="7694" max="7694" width="24.85546875" bestFit="1" customWidth="1"/>
    <col min="7697" max="7697" width="19.42578125" bestFit="1" customWidth="1"/>
    <col min="7699" max="7699" width="11.28515625" bestFit="1" customWidth="1"/>
    <col min="7937" max="7937" width="20.28515625" customWidth="1"/>
    <col min="7938" max="7939" width="12.5703125" bestFit="1" customWidth="1"/>
    <col min="7940" max="7940" width="25.85546875" customWidth="1"/>
    <col min="7941" max="7941" width="13.42578125" customWidth="1"/>
    <col min="7945" max="7945" width="34.5703125" bestFit="1" customWidth="1"/>
    <col min="7946" max="7946" width="12.28515625" bestFit="1" customWidth="1"/>
    <col min="7948" max="7948" width="18.42578125" bestFit="1" customWidth="1"/>
    <col min="7950" max="7950" width="24.85546875" bestFit="1" customWidth="1"/>
    <col min="7953" max="7953" width="19.42578125" bestFit="1" customWidth="1"/>
    <col min="7955" max="7955" width="11.28515625" bestFit="1" customWidth="1"/>
    <col min="8193" max="8193" width="20.28515625" customWidth="1"/>
    <col min="8194" max="8195" width="12.5703125" bestFit="1" customWidth="1"/>
    <col min="8196" max="8196" width="25.85546875" customWidth="1"/>
    <col min="8197" max="8197" width="13.42578125" customWidth="1"/>
    <col min="8201" max="8201" width="34.5703125" bestFit="1" customWidth="1"/>
    <col min="8202" max="8202" width="12.28515625" bestFit="1" customWidth="1"/>
    <col min="8204" max="8204" width="18.42578125" bestFit="1" customWidth="1"/>
    <col min="8206" max="8206" width="24.85546875" bestFit="1" customWidth="1"/>
    <col min="8209" max="8209" width="19.42578125" bestFit="1" customWidth="1"/>
    <col min="8211" max="8211" width="11.28515625" bestFit="1" customWidth="1"/>
    <col min="8449" max="8449" width="20.28515625" customWidth="1"/>
    <col min="8450" max="8451" width="12.5703125" bestFit="1" customWidth="1"/>
    <col min="8452" max="8452" width="25.85546875" customWidth="1"/>
    <col min="8453" max="8453" width="13.42578125" customWidth="1"/>
    <col min="8457" max="8457" width="34.5703125" bestFit="1" customWidth="1"/>
    <col min="8458" max="8458" width="12.28515625" bestFit="1" customWidth="1"/>
    <col min="8460" max="8460" width="18.42578125" bestFit="1" customWidth="1"/>
    <col min="8462" max="8462" width="24.85546875" bestFit="1" customWidth="1"/>
    <col min="8465" max="8465" width="19.42578125" bestFit="1" customWidth="1"/>
    <col min="8467" max="8467" width="11.28515625" bestFit="1" customWidth="1"/>
    <col min="8705" max="8705" width="20.28515625" customWidth="1"/>
    <col min="8706" max="8707" width="12.5703125" bestFit="1" customWidth="1"/>
    <col min="8708" max="8708" width="25.85546875" customWidth="1"/>
    <col min="8709" max="8709" width="13.42578125" customWidth="1"/>
    <col min="8713" max="8713" width="34.5703125" bestFit="1" customWidth="1"/>
    <col min="8714" max="8714" width="12.28515625" bestFit="1" customWidth="1"/>
    <col min="8716" max="8716" width="18.42578125" bestFit="1" customWidth="1"/>
    <col min="8718" max="8718" width="24.85546875" bestFit="1" customWidth="1"/>
    <col min="8721" max="8721" width="19.42578125" bestFit="1" customWidth="1"/>
    <col min="8723" max="8723" width="11.28515625" bestFit="1" customWidth="1"/>
    <col min="8961" max="8961" width="20.28515625" customWidth="1"/>
    <col min="8962" max="8963" width="12.5703125" bestFit="1" customWidth="1"/>
    <col min="8964" max="8964" width="25.85546875" customWidth="1"/>
    <col min="8965" max="8965" width="13.42578125" customWidth="1"/>
    <col min="8969" max="8969" width="34.5703125" bestFit="1" customWidth="1"/>
    <col min="8970" max="8970" width="12.28515625" bestFit="1" customWidth="1"/>
    <col min="8972" max="8972" width="18.42578125" bestFit="1" customWidth="1"/>
    <col min="8974" max="8974" width="24.85546875" bestFit="1" customWidth="1"/>
    <col min="8977" max="8977" width="19.42578125" bestFit="1" customWidth="1"/>
    <col min="8979" max="8979" width="11.28515625" bestFit="1" customWidth="1"/>
    <col min="9217" max="9217" width="20.28515625" customWidth="1"/>
    <col min="9218" max="9219" width="12.5703125" bestFit="1" customWidth="1"/>
    <col min="9220" max="9220" width="25.85546875" customWidth="1"/>
    <col min="9221" max="9221" width="13.42578125" customWidth="1"/>
    <col min="9225" max="9225" width="34.5703125" bestFit="1" customWidth="1"/>
    <col min="9226" max="9226" width="12.28515625" bestFit="1" customWidth="1"/>
    <col min="9228" max="9228" width="18.42578125" bestFit="1" customWidth="1"/>
    <col min="9230" max="9230" width="24.85546875" bestFit="1" customWidth="1"/>
    <col min="9233" max="9233" width="19.42578125" bestFit="1" customWidth="1"/>
    <col min="9235" max="9235" width="11.28515625" bestFit="1" customWidth="1"/>
    <col min="9473" max="9473" width="20.28515625" customWidth="1"/>
    <col min="9474" max="9475" width="12.5703125" bestFit="1" customWidth="1"/>
    <col min="9476" max="9476" width="25.85546875" customWidth="1"/>
    <col min="9477" max="9477" width="13.42578125" customWidth="1"/>
    <col min="9481" max="9481" width="34.5703125" bestFit="1" customWidth="1"/>
    <col min="9482" max="9482" width="12.28515625" bestFit="1" customWidth="1"/>
    <col min="9484" max="9484" width="18.42578125" bestFit="1" customWidth="1"/>
    <col min="9486" max="9486" width="24.85546875" bestFit="1" customWidth="1"/>
    <col min="9489" max="9489" width="19.42578125" bestFit="1" customWidth="1"/>
    <col min="9491" max="9491" width="11.28515625" bestFit="1" customWidth="1"/>
    <col min="9729" max="9729" width="20.28515625" customWidth="1"/>
    <col min="9730" max="9731" width="12.5703125" bestFit="1" customWidth="1"/>
    <col min="9732" max="9732" width="25.85546875" customWidth="1"/>
    <col min="9733" max="9733" width="13.42578125" customWidth="1"/>
    <col min="9737" max="9737" width="34.5703125" bestFit="1" customWidth="1"/>
    <col min="9738" max="9738" width="12.28515625" bestFit="1" customWidth="1"/>
    <col min="9740" max="9740" width="18.42578125" bestFit="1" customWidth="1"/>
    <col min="9742" max="9742" width="24.85546875" bestFit="1" customWidth="1"/>
    <col min="9745" max="9745" width="19.42578125" bestFit="1" customWidth="1"/>
    <col min="9747" max="9747" width="11.28515625" bestFit="1" customWidth="1"/>
    <col min="9985" max="9985" width="20.28515625" customWidth="1"/>
    <col min="9986" max="9987" width="12.5703125" bestFit="1" customWidth="1"/>
    <col min="9988" max="9988" width="25.85546875" customWidth="1"/>
    <col min="9989" max="9989" width="13.42578125" customWidth="1"/>
    <col min="9993" max="9993" width="34.5703125" bestFit="1" customWidth="1"/>
    <col min="9994" max="9994" width="12.28515625" bestFit="1" customWidth="1"/>
    <col min="9996" max="9996" width="18.42578125" bestFit="1" customWidth="1"/>
    <col min="9998" max="9998" width="24.85546875" bestFit="1" customWidth="1"/>
    <col min="10001" max="10001" width="19.42578125" bestFit="1" customWidth="1"/>
    <col min="10003" max="10003" width="11.28515625" bestFit="1" customWidth="1"/>
    <col min="10241" max="10241" width="20.28515625" customWidth="1"/>
    <col min="10242" max="10243" width="12.5703125" bestFit="1" customWidth="1"/>
    <col min="10244" max="10244" width="25.85546875" customWidth="1"/>
    <col min="10245" max="10245" width="13.42578125" customWidth="1"/>
    <col min="10249" max="10249" width="34.5703125" bestFit="1" customWidth="1"/>
    <col min="10250" max="10250" width="12.28515625" bestFit="1" customWidth="1"/>
    <col min="10252" max="10252" width="18.42578125" bestFit="1" customWidth="1"/>
    <col min="10254" max="10254" width="24.85546875" bestFit="1" customWidth="1"/>
    <col min="10257" max="10257" width="19.42578125" bestFit="1" customWidth="1"/>
    <col min="10259" max="10259" width="11.28515625" bestFit="1" customWidth="1"/>
    <col min="10497" max="10497" width="20.28515625" customWidth="1"/>
    <col min="10498" max="10499" width="12.5703125" bestFit="1" customWidth="1"/>
    <col min="10500" max="10500" width="25.85546875" customWidth="1"/>
    <col min="10501" max="10501" width="13.42578125" customWidth="1"/>
    <col min="10505" max="10505" width="34.5703125" bestFit="1" customWidth="1"/>
    <col min="10506" max="10506" width="12.28515625" bestFit="1" customWidth="1"/>
    <col min="10508" max="10508" width="18.42578125" bestFit="1" customWidth="1"/>
    <col min="10510" max="10510" width="24.85546875" bestFit="1" customWidth="1"/>
    <col min="10513" max="10513" width="19.42578125" bestFit="1" customWidth="1"/>
    <col min="10515" max="10515" width="11.28515625" bestFit="1" customWidth="1"/>
    <col min="10753" max="10753" width="20.28515625" customWidth="1"/>
    <col min="10754" max="10755" width="12.5703125" bestFit="1" customWidth="1"/>
    <col min="10756" max="10756" width="25.85546875" customWidth="1"/>
    <col min="10757" max="10757" width="13.42578125" customWidth="1"/>
    <col min="10761" max="10761" width="34.5703125" bestFit="1" customWidth="1"/>
    <col min="10762" max="10762" width="12.28515625" bestFit="1" customWidth="1"/>
    <col min="10764" max="10764" width="18.42578125" bestFit="1" customWidth="1"/>
    <col min="10766" max="10766" width="24.85546875" bestFit="1" customWidth="1"/>
    <col min="10769" max="10769" width="19.42578125" bestFit="1" customWidth="1"/>
    <col min="10771" max="10771" width="11.28515625" bestFit="1" customWidth="1"/>
    <col min="11009" max="11009" width="20.28515625" customWidth="1"/>
    <col min="11010" max="11011" width="12.5703125" bestFit="1" customWidth="1"/>
    <col min="11012" max="11012" width="25.85546875" customWidth="1"/>
    <col min="11013" max="11013" width="13.42578125" customWidth="1"/>
    <col min="11017" max="11017" width="34.5703125" bestFit="1" customWidth="1"/>
    <col min="11018" max="11018" width="12.28515625" bestFit="1" customWidth="1"/>
    <col min="11020" max="11020" width="18.42578125" bestFit="1" customWidth="1"/>
    <col min="11022" max="11022" width="24.85546875" bestFit="1" customWidth="1"/>
    <col min="11025" max="11025" width="19.42578125" bestFit="1" customWidth="1"/>
    <col min="11027" max="11027" width="11.28515625" bestFit="1" customWidth="1"/>
    <col min="11265" max="11265" width="20.28515625" customWidth="1"/>
    <col min="11266" max="11267" width="12.5703125" bestFit="1" customWidth="1"/>
    <col min="11268" max="11268" width="25.85546875" customWidth="1"/>
    <col min="11269" max="11269" width="13.42578125" customWidth="1"/>
    <col min="11273" max="11273" width="34.5703125" bestFit="1" customWidth="1"/>
    <col min="11274" max="11274" width="12.28515625" bestFit="1" customWidth="1"/>
    <col min="11276" max="11276" width="18.42578125" bestFit="1" customWidth="1"/>
    <col min="11278" max="11278" width="24.85546875" bestFit="1" customWidth="1"/>
    <col min="11281" max="11281" width="19.42578125" bestFit="1" customWidth="1"/>
    <col min="11283" max="11283" width="11.28515625" bestFit="1" customWidth="1"/>
    <col min="11521" max="11521" width="20.28515625" customWidth="1"/>
    <col min="11522" max="11523" width="12.5703125" bestFit="1" customWidth="1"/>
    <col min="11524" max="11524" width="25.85546875" customWidth="1"/>
    <col min="11525" max="11525" width="13.42578125" customWidth="1"/>
    <col min="11529" max="11529" width="34.5703125" bestFit="1" customWidth="1"/>
    <col min="11530" max="11530" width="12.28515625" bestFit="1" customWidth="1"/>
    <col min="11532" max="11532" width="18.42578125" bestFit="1" customWidth="1"/>
    <col min="11534" max="11534" width="24.85546875" bestFit="1" customWidth="1"/>
    <col min="11537" max="11537" width="19.42578125" bestFit="1" customWidth="1"/>
    <col min="11539" max="11539" width="11.28515625" bestFit="1" customWidth="1"/>
    <col min="11777" max="11777" width="20.28515625" customWidth="1"/>
    <col min="11778" max="11779" width="12.5703125" bestFit="1" customWidth="1"/>
    <col min="11780" max="11780" width="25.85546875" customWidth="1"/>
    <col min="11781" max="11781" width="13.42578125" customWidth="1"/>
    <col min="11785" max="11785" width="34.5703125" bestFit="1" customWidth="1"/>
    <col min="11786" max="11786" width="12.28515625" bestFit="1" customWidth="1"/>
    <col min="11788" max="11788" width="18.42578125" bestFit="1" customWidth="1"/>
    <col min="11790" max="11790" width="24.85546875" bestFit="1" customWidth="1"/>
    <col min="11793" max="11793" width="19.42578125" bestFit="1" customWidth="1"/>
    <col min="11795" max="11795" width="11.28515625" bestFit="1" customWidth="1"/>
    <col min="12033" max="12033" width="20.28515625" customWidth="1"/>
    <col min="12034" max="12035" width="12.5703125" bestFit="1" customWidth="1"/>
    <col min="12036" max="12036" width="25.85546875" customWidth="1"/>
    <col min="12037" max="12037" width="13.42578125" customWidth="1"/>
    <col min="12041" max="12041" width="34.5703125" bestFit="1" customWidth="1"/>
    <col min="12042" max="12042" width="12.28515625" bestFit="1" customWidth="1"/>
    <col min="12044" max="12044" width="18.42578125" bestFit="1" customWidth="1"/>
    <col min="12046" max="12046" width="24.85546875" bestFit="1" customWidth="1"/>
    <col min="12049" max="12049" width="19.42578125" bestFit="1" customWidth="1"/>
    <col min="12051" max="12051" width="11.28515625" bestFit="1" customWidth="1"/>
    <col min="12289" max="12289" width="20.28515625" customWidth="1"/>
    <col min="12290" max="12291" width="12.5703125" bestFit="1" customWidth="1"/>
    <col min="12292" max="12292" width="25.85546875" customWidth="1"/>
    <col min="12293" max="12293" width="13.42578125" customWidth="1"/>
    <col min="12297" max="12297" width="34.5703125" bestFit="1" customWidth="1"/>
    <col min="12298" max="12298" width="12.28515625" bestFit="1" customWidth="1"/>
    <col min="12300" max="12300" width="18.42578125" bestFit="1" customWidth="1"/>
    <col min="12302" max="12302" width="24.85546875" bestFit="1" customWidth="1"/>
    <col min="12305" max="12305" width="19.42578125" bestFit="1" customWidth="1"/>
    <col min="12307" max="12307" width="11.28515625" bestFit="1" customWidth="1"/>
    <col min="12545" max="12545" width="20.28515625" customWidth="1"/>
    <col min="12546" max="12547" width="12.5703125" bestFit="1" customWidth="1"/>
    <col min="12548" max="12548" width="25.85546875" customWidth="1"/>
    <col min="12549" max="12549" width="13.42578125" customWidth="1"/>
    <col min="12553" max="12553" width="34.5703125" bestFit="1" customWidth="1"/>
    <col min="12554" max="12554" width="12.28515625" bestFit="1" customWidth="1"/>
    <col min="12556" max="12556" width="18.42578125" bestFit="1" customWidth="1"/>
    <col min="12558" max="12558" width="24.85546875" bestFit="1" customWidth="1"/>
    <col min="12561" max="12561" width="19.42578125" bestFit="1" customWidth="1"/>
    <col min="12563" max="12563" width="11.28515625" bestFit="1" customWidth="1"/>
    <col min="12801" max="12801" width="20.28515625" customWidth="1"/>
    <col min="12802" max="12803" width="12.5703125" bestFit="1" customWidth="1"/>
    <col min="12804" max="12804" width="25.85546875" customWidth="1"/>
    <col min="12805" max="12805" width="13.42578125" customWidth="1"/>
    <col min="12809" max="12809" width="34.5703125" bestFit="1" customWidth="1"/>
    <col min="12810" max="12810" width="12.28515625" bestFit="1" customWidth="1"/>
    <col min="12812" max="12812" width="18.42578125" bestFit="1" customWidth="1"/>
    <col min="12814" max="12814" width="24.85546875" bestFit="1" customWidth="1"/>
    <col min="12817" max="12817" width="19.42578125" bestFit="1" customWidth="1"/>
    <col min="12819" max="12819" width="11.28515625" bestFit="1" customWidth="1"/>
    <col min="13057" max="13057" width="20.28515625" customWidth="1"/>
    <col min="13058" max="13059" width="12.5703125" bestFit="1" customWidth="1"/>
    <col min="13060" max="13060" width="25.85546875" customWidth="1"/>
    <col min="13061" max="13061" width="13.42578125" customWidth="1"/>
    <col min="13065" max="13065" width="34.5703125" bestFit="1" customWidth="1"/>
    <col min="13066" max="13066" width="12.28515625" bestFit="1" customWidth="1"/>
    <col min="13068" max="13068" width="18.42578125" bestFit="1" customWidth="1"/>
    <col min="13070" max="13070" width="24.85546875" bestFit="1" customWidth="1"/>
    <col min="13073" max="13073" width="19.42578125" bestFit="1" customWidth="1"/>
    <col min="13075" max="13075" width="11.28515625" bestFit="1" customWidth="1"/>
    <col min="13313" max="13313" width="20.28515625" customWidth="1"/>
    <col min="13314" max="13315" width="12.5703125" bestFit="1" customWidth="1"/>
    <col min="13316" max="13316" width="25.85546875" customWidth="1"/>
    <col min="13317" max="13317" width="13.42578125" customWidth="1"/>
    <col min="13321" max="13321" width="34.5703125" bestFit="1" customWidth="1"/>
    <col min="13322" max="13322" width="12.28515625" bestFit="1" customWidth="1"/>
    <col min="13324" max="13324" width="18.42578125" bestFit="1" customWidth="1"/>
    <col min="13326" max="13326" width="24.85546875" bestFit="1" customWidth="1"/>
    <col min="13329" max="13329" width="19.42578125" bestFit="1" customWidth="1"/>
    <col min="13331" max="13331" width="11.28515625" bestFit="1" customWidth="1"/>
    <col min="13569" max="13569" width="20.28515625" customWidth="1"/>
    <col min="13570" max="13571" width="12.5703125" bestFit="1" customWidth="1"/>
    <col min="13572" max="13572" width="25.85546875" customWidth="1"/>
    <col min="13573" max="13573" width="13.42578125" customWidth="1"/>
    <col min="13577" max="13577" width="34.5703125" bestFit="1" customWidth="1"/>
    <col min="13578" max="13578" width="12.28515625" bestFit="1" customWidth="1"/>
    <col min="13580" max="13580" width="18.42578125" bestFit="1" customWidth="1"/>
    <col min="13582" max="13582" width="24.85546875" bestFit="1" customWidth="1"/>
    <col min="13585" max="13585" width="19.42578125" bestFit="1" customWidth="1"/>
    <col min="13587" max="13587" width="11.28515625" bestFit="1" customWidth="1"/>
    <col min="13825" max="13825" width="20.28515625" customWidth="1"/>
    <col min="13826" max="13827" width="12.5703125" bestFit="1" customWidth="1"/>
    <col min="13828" max="13828" width="25.85546875" customWidth="1"/>
    <col min="13829" max="13829" width="13.42578125" customWidth="1"/>
    <col min="13833" max="13833" width="34.5703125" bestFit="1" customWidth="1"/>
    <col min="13834" max="13834" width="12.28515625" bestFit="1" customWidth="1"/>
    <col min="13836" max="13836" width="18.42578125" bestFit="1" customWidth="1"/>
    <col min="13838" max="13838" width="24.85546875" bestFit="1" customWidth="1"/>
    <col min="13841" max="13841" width="19.42578125" bestFit="1" customWidth="1"/>
    <col min="13843" max="13843" width="11.28515625" bestFit="1" customWidth="1"/>
    <col min="14081" max="14081" width="20.28515625" customWidth="1"/>
    <col min="14082" max="14083" width="12.5703125" bestFit="1" customWidth="1"/>
    <col min="14084" max="14084" width="25.85546875" customWidth="1"/>
    <col min="14085" max="14085" width="13.42578125" customWidth="1"/>
    <col min="14089" max="14089" width="34.5703125" bestFit="1" customWidth="1"/>
    <col min="14090" max="14090" width="12.28515625" bestFit="1" customWidth="1"/>
    <col min="14092" max="14092" width="18.42578125" bestFit="1" customWidth="1"/>
    <col min="14094" max="14094" width="24.85546875" bestFit="1" customWidth="1"/>
    <col min="14097" max="14097" width="19.42578125" bestFit="1" customWidth="1"/>
    <col min="14099" max="14099" width="11.28515625" bestFit="1" customWidth="1"/>
    <col min="14337" max="14337" width="20.28515625" customWidth="1"/>
    <col min="14338" max="14339" width="12.5703125" bestFit="1" customWidth="1"/>
    <col min="14340" max="14340" width="25.85546875" customWidth="1"/>
    <col min="14341" max="14341" width="13.42578125" customWidth="1"/>
    <col min="14345" max="14345" width="34.5703125" bestFit="1" customWidth="1"/>
    <col min="14346" max="14346" width="12.28515625" bestFit="1" customWidth="1"/>
    <col min="14348" max="14348" width="18.42578125" bestFit="1" customWidth="1"/>
    <col min="14350" max="14350" width="24.85546875" bestFit="1" customWidth="1"/>
    <col min="14353" max="14353" width="19.42578125" bestFit="1" customWidth="1"/>
    <col min="14355" max="14355" width="11.28515625" bestFit="1" customWidth="1"/>
    <col min="14593" max="14593" width="20.28515625" customWidth="1"/>
    <col min="14594" max="14595" width="12.5703125" bestFit="1" customWidth="1"/>
    <col min="14596" max="14596" width="25.85546875" customWidth="1"/>
    <col min="14597" max="14597" width="13.42578125" customWidth="1"/>
    <col min="14601" max="14601" width="34.5703125" bestFit="1" customWidth="1"/>
    <col min="14602" max="14602" width="12.28515625" bestFit="1" customWidth="1"/>
    <col min="14604" max="14604" width="18.42578125" bestFit="1" customWidth="1"/>
    <col min="14606" max="14606" width="24.85546875" bestFit="1" customWidth="1"/>
    <col min="14609" max="14609" width="19.42578125" bestFit="1" customWidth="1"/>
    <col min="14611" max="14611" width="11.28515625" bestFit="1" customWidth="1"/>
    <col min="14849" max="14849" width="20.28515625" customWidth="1"/>
    <col min="14850" max="14851" width="12.5703125" bestFit="1" customWidth="1"/>
    <col min="14852" max="14852" width="25.85546875" customWidth="1"/>
    <col min="14853" max="14853" width="13.42578125" customWidth="1"/>
    <col min="14857" max="14857" width="34.5703125" bestFit="1" customWidth="1"/>
    <col min="14858" max="14858" width="12.28515625" bestFit="1" customWidth="1"/>
    <col min="14860" max="14860" width="18.42578125" bestFit="1" customWidth="1"/>
    <col min="14862" max="14862" width="24.85546875" bestFit="1" customWidth="1"/>
    <col min="14865" max="14865" width="19.42578125" bestFit="1" customWidth="1"/>
    <col min="14867" max="14867" width="11.28515625" bestFit="1" customWidth="1"/>
    <col min="15105" max="15105" width="20.28515625" customWidth="1"/>
    <col min="15106" max="15107" width="12.5703125" bestFit="1" customWidth="1"/>
    <col min="15108" max="15108" width="25.85546875" customWidth="1"/>
    <col min="15109" max="15109" width="13.42578125" customWidth="1"/>
    <col min="15113" max="15113" width="34.5703125" bestFit="1" customWidth="1"/>
    <col min="15114" max="15114" width="12.28515625" bestFit="1" customWidth="1"/>
    <col min="15116" max="15116" width="18.42578125" bestFit="1" customWidth="1"/>
    <col min="15118" max="15118" width="24.85546875" bestFit="1" customWidth="1"/>
    <col min="15121" max="15121" width="19.42578125" bestFit="1" customWidth="1"/>
    <col min="15123" max="15123" width="11.28515625" bestFit="1" customWidth="1"/>
    <col min="15361" max="15361" width="20.28515625" customWidth="1"/>
    <col min="15362" max="15363" width="12.5703125" bestFit="1" customWidth="1"/>
    <col min="15364" max="15364" width="25.85546875" customWidth="1"/>
    <col min="15365" max="15365" width="13.42578125" customWidth="1"/>
    <col min="15369" max="15369" width="34.5703125" bestFit="1" customWidth="1"/>
    <col min="15370" max="15370" width="12.28515625" bestFit="1" customWidth="1"/>
    <col min="15372" max="15372" width="18.42578125" bestFit="1" customWidth="1"/>
    <col min="15374" max="15374" width="24.85546875" bestFit="1" customWidth="1"/>
    <col min="15377" max="15377" width="19.42578125" bestFit="1" customWidth="1"/>
    <col min="15379" max="15379" width="11.28515625" bestFit="1" customWidth="1"/>
    <col min="15617" max="15617" width="20.28515625" customWidth="1"/>
    <col min="15618" max="15619" width="12.5703125" bestFit="1" customWidth="1"/>
    <col min="15620" max="15620" width="25.85546875" customWidth="1"/>
    <col min="15621" max="15621" width="13.42578125" customWidth="1"/>
    <col min="15625" max="15625" width="34.5703125" bestFit="1" customWidth="1"/>
    <col min="15626" max="15626" width="12.28515625" bestFit="1" customWidth="1"/>
    <col min="15628" max="15628" width="18.42578125" bestFit="1" customWidth="1"/>
    <col min="15630" max="15630" width="24.85546875" bestFit="1" customWidth="1"/>
    <col min="15633" max="15633" width="19.42578125" bestFit="1" customWidth="1"/>
    <col min="15635" max="15635" width="11.28515625" bestFit="1" customWidth="1"/>
    <col min="15873" max="15873" width="20.28515625" customWidth="1"/>
    <col min="15874" max="15875" width="12.5703125" bestFit="1" customWidth="1"/>
    <col min="15876" max="15876" width="25.85546875" customWidth="1"/>
    <col min="15877" max="15877" width="13.42578125" customWidth="1"/>
    <col min="15881" max="15881" width="34.5703125" bestFit="1" customWidth="1"/>
    <col min="15882" max="15882" width="12.28515625" bestFit="1" customWidth="1"/>
    <col min="15884" max="15884" width="18.42578125" bestFit="1" customWidth="1"/>
    <col min="15886" max="15886" width="24.85546875" bestFit="1" customWidth="1"/>
    <col min="15889" max="15889" width="19.42578125" bestFit="1" customWidth="1"/>
    <col min="15891" max="15891" width="11.28515625" bestFit="1" customWidth="1"/>
    <col min="16129" max="16129" width="20.28515625" customWidth="1"/>
    <col min="16130" max="16131" width="12.5703125" bestFit="1" customWidth="1"/>
    <col min="16132" max="16132" width="25.85546875" customWidth="1"/>
    <col min="16133" max="16133" width="13.42578125" customWidth="1"/>
    <col min="16137" max="16137" width="34.5703125" bestFit="1" customWidth="1"/>
    <col min="16138" max="16138" width="12.28515625" bestFit="1" customWidth="1"/>
    <col min="16140" max="16140" width="18.42578125" bestFit="1" customWidth="1"/>
    <col min="16142" max="16142" width="24.85546875" bestFit="1" customWidth="1"/>
    <col min="16145" max="16145" width="19.42578125" bestFit="1" customWidth="1"/>
    <col min="16147" max="16147" width="11.28515625" bestFit="1" customWidth="1"/>
  </cols>
  <sheetData>
    <row r="1" spans="1:19" x14ac:dyDescent="0.2">
      <c r="A1" s="185" t="s">
        <v>112</v>
      </c>
      <c r="B1" s="185"/>
      <c r="C1" s="185"/>
      <c r="H1" t="s">
        <v>113</v>
      </c>
      <c r="Q1" s="187" t="s">
        <v>114</v>
      </c>
      <c r="S1" t="s">
        <v>115</v>
      </c>
    </row>
    <row r="2" spans="1:19" ht="15.75" x14ac:dyDescent="0.25">
      <c r="A2" s="185" t="s">
        <v>116</v>
      </c>
      <c r="B2" s="188">
        <v>44317</v>
      </c>
      <c r="C2" s="189">
        <v>45046</v>
      </c>
      <c r="H2" t="s">
        <v>29</v>
      </c>
      <c r="I2" s="190" t="str">
        <f>"Revenue Retained "</f>
        <v xml:space="preserve">Revenue Retained </v>
      </c>
      <c r="J2" s="191"/>
      <c r="K2" s="192"/>
      <c r="L2" s="191"/>
      <c r="M2" s="192"/>
      <c r="N2" s="192"/>
      <c r="O2" s="193"/>
    </row>
    <row r="3" spans="1:19" x14ac:dyDescent="0.2">
      <c r="I3" s="194" t="s">
        <v>117</v>
      </c>
      <c r="J3" s="195"/>
      <c r="K3" s="196"/>
      <c r="L3" s="195"/>
      <c r="M3" s="196"/>
      <c r="N3" s="196"/>
      <c r="O3" s="197"/>
    </row>
    <row r="4" spans="1:19" ht="13.5" thickBot="1" x14ac:dyDescent="0.25">
      <c r="B4" s="251" t="s">
        <v>118</v>
      </c>
      <c r="C4" s="251"/>
      <c r="D4" s="252"/>
      <c r="I4" s="171"/>
      <c r="J4" s="198" t="s">
        <v>29</v>
      </c>
      <c r="K4" s="171"/>
      <c r="L4" s="199" t="s">
        <v>119</v>
      </c>
      <c r="M4" s="171"/>
      <c r="N4" s="200" t="s">
        <v>120</v>
      </c>
      <c r="O4" s="171"/>
      <c r="Q4" s="187" t="s">
        <v>121</v>
      </c>
      <c r="S4" t="s">
        <v>115</v>
      </c>
    </row>
    <row r="5" spans="1:19" x14ac:dyDescent="0.2">
      <c r="B5" s="201" t="s">
        <v>122</v>
      </c>
      <c r="C5" s="201" t="s">
        <v>123</v>
      </c>
      <c r="D5" s="201" t="s">
        <v>29</v>
      </c>
      <c r="F5" s="202"/>
      <c r="G5" s="202"/>
      <c r="I5" t="s">
        <v>124</v>
      </c>
      <c r="J5" s="203">
        <f>L5*2</f>
        <v>193977.4</v>
      </c>
      <c r="K5" s="171"/>
      <c r="L5" s="204">
        <f>L19+L33</f>
        <v>96988.7</v>
      </c>
      <c r="M5" s="171"/>
      <c r="N5" s="204">
        <f>L5</f>
        <v>96988.7</v>
      </c>
      <c r="O5" s="171"/>
      <c r="Q5" s="187">
        <f>Q19+Q33</f>
        <v>96982.003057108028</v>
      </c>
      <c r="S5" s="183">
        <f>L5-Q5</f>
        <v>6.6969428919692291</v>
      </c>
    </row>
    <row r="6" spans="1:19" x14ac:dyDescent="0.2">
      <c r="A6" s="201" t="s">
        <v>125</v>
      </c>
      <c r="B6" s="205">
        <f>'[2]King County RSA Spend 2021-2022'!P32</f>
        <v>215.88</v>
      </c>
      <c r="C6" s="205">
        <f>'[2]King County RSA Spend 2022-2023'!P29</f>
        <v>0</v>
      </c>
      <c r="D6" s="205">
        <f>SUM(B6:C6)</f>
        <v>215.88</v>
      </c>
      <c r="E6" s="206"/>
      <c r="F6" s="185"/>
      <c r="G6" s="185"/>
      <c r="I6" t="s">
        <v>126</v>
      </c>
      <c r="J6" s="203">
        <f>L6*2</f>
        <v>17375.439999999999</v>
      </c>
      <c r="K6" s="171"/>
      <c r="L6" s="204">
        <f>L20+L34</f>
        <v>8687.7199999999993</v>
      </c>
      <c r="M6" s="171"/>
      <c r="N6" s="204">
        <f t="shared" ref="N6:N12" si="0">L6</f>
        <v>8687.7199999999993</v>
      </c>
      <c r="O6" s="171"/>
      <c r="Q6" s="187">
        <f t="shared" ref="Q6:Q12" si="1">Q20+Q34</f>
        <v>8687.0586567710016</v>
      </c>
      <c r="S6" s="183">
        <f t="shared" ref="S6:S14" si="2">L6-Q6</f>
        <v>0.66134322899779363</v>
      </c>
    </row>
    <row r="7" spans="1:19" x14ac:dyDescent="0.2">
      <c r="A7" s="201" t="s">
        <v>127</v>
      </c>
      <c r="B7" s="205">
        <v>11000</v>
      </c>
      <c r="C7" s="205">
        <v>11000</v>
      </c>
      <c r="D7" s="205">
        <f>SUM(B7:C7)</f>
        <v>22000</v>
      </c>
      <c r="E7" s="206"/>
      <c r="F7" s="185"/>
      <c r="G7" s="185"/>
      <c r="I7" s="171"/>
      <c r="J7" s="203"/>
      <c r="K7" s="171"/>
      <c r="L7" s="204"/>
      <c r="M7" s="171"/>
      <c r="N7" s="204"/>
      <c r="O7" s="171"/>
      <c r="S7" s="183">
        <f t="shared" si="2"/>
        <v>0</v>
      </c>
    </row>
    <row r="8" spans="1:19" x14ac:dyDescent="0.2">
      <c r="A8" s="201" t="s">
        <v>128</v>
      </c>
      <c r="B8" s="205">
        <f>'[2]Labor Expense'!P25+'[2]2021-2022 Admin Time'!I38</f>
        <v>20957.53666666667</v>
      </c>
      <c r="C8" s="205">
        <f>'[2]Labor Expense'!P34+'[2]2022-2023 Admin Time'!I38</f>
        <v>0</v>
      </c>
      <c r="D8" s="205">
        <f>SUM(B8:C8)</f>
        <v>20957.53666666667</v>
      </c>
      <c r="I8" t="s">
        <v>129</v>
      </c>
      <c r="J8" s="203">
        <f>L8*2</f>
        <v>341028.22</v>
      </c>
      <c r="K8" s="171"/>
      <c r="L8" s="204">
        <f>L22+L36</f>
        <v>170514.11</v>
      </c>
      <c r="M8" s="171"/>
      <c r="N8" s="204">
        <f t="shared" si="0"/>
        <v>170514.11</v>
      </c>
      <c r="O8" s="171"/>
      <c r="Q8" s="187">
        <f t="shared" si="1"/>
        <v>170494.83</v>
      </c>
      <c r="S8" s="183">
        <f t="shared" si="2"/>
        <v>19.279999999998836</v>
      </c>
    </row>
    <row r="9" spans="1:19" x14ac:dyDescent="0.2">
      <c r="A9" s="201" t="s">
        <v>29</v>
      </c>
      <c r="B9" s="207">
        <f>SUM(B6:B8)</f>
        <v>32173.416666666672</v>
      </c>
      <c r="C9" s="207">
        <f>SUM(C6:C8)</f>
        <v>11000</v>
      </c>
      <c r="D9" s="207">
        <f>SUM(D6:D8)</f>
        <v>43173.416666666672</v>
      </c>
      <c r="I9" t="s">
        <v>130</v>
      </c>
      <c r="J9" s="203">
        <f>L9*2</f>
        <v>3476.92</v>
      </c>
      <c r="K9" s="171"/>
      <c r="L9" s="204">
        <f>L23+L37</f>
        <v>1738.46</v>
      </c>
      <c r="M9" s="171"/>
      <c r="N9" s="204">
        <f t="shared" si="0"/>
        <v>1738.46</v>
      </c>
      <c r="O9" s="171"/>
      <c r="Q9" s="187">
        <f t="shared" si="1"/>
        <v>1738.33</v>
      </c>
      <c r="S9" s="183">
        <f t="shared" si="2"/>
        <v>0.13000000000010914</v>
      </c>
    </row>
    <row r="10" spans="1:19" x14ac:dyDescent="0.2">
      <c r="A10" s="208" t="s">
        <v>131</v>
      </c>
      <c r="B10" s="183">
        <f>0.05*B9</f>
        <v>1608.6708333333336</v>
      </c>
      <c r="C10" s="183">
        <f>0.05*C9</f>
        <v>550</v>
      </c>
      <c r="D10" s="183">
        <f>D9+B10+C10</f>
        <v>45332.087500000009</v>
      </c>
      <c r="F10" s="209"/>
      <c r="G10" s="209"/>
      <c r="I10" s="171"/>
      <c r="J10" s="203"/>
      <c r="K10" s="171"/>
      <c r="L10" s="204"/>
      <c r="M10" s="171"/>
      <c r="N10" s="204"/>
      <c r="O10" s="171"/>
      <c r="S10" s="183">
        <f t="shared" si="2"/>
        <v>0</v>
      </c>
    </row>
    <row r="11" spans="1:19" x14ac:dyDescent="0.2">
      <c r="B11" s="251" t="s">
        <v>132</v>
      </c>
      <c r="C11" s="251"/>
      <c r="D11" s="252"/>
      <c r="I11" t="s">
        <v>133</v>
      </c>
      <c r="J11" s="203">
        <f>L11*2</f>
        <v>69572.399999999994</v>
      </c>
      <c r="K11" s="171"/>
      <c r="L11" s="204">
        <f>L25+L39</f>
        <v>34786.199999999997</v>
      </c>
      <c r="M11" s="171"/>
      <c r="N11" s="204">
        <f t="shared" si="0"/>
        <v>34786.199999999997</v>
      </c>
      <c r="O11" s="171"/>
      <c r="Q11" s="187">
        <f t="shared" si="1"/>
        <v>34783.4</v>
      </c>
      <c r="S11" s="183">
        <f t="shared" si="2"/>
        <v>2.7999999999956344</v>
      </c>
    </row>
    <row r="12" spans="1:19" x14ac:dyDescent="0.2">
      <c r="B12" s="201" t="s">
        <v>122</v>
      </c>
      <c r="C12" s="201" t="s">
        <v>134</v>
      </c>
      <c r="D12" s="201" t="s">
        <v>29</v>
      </c>
      <c r="I12" t="s">
        <v>135</v>
      </c>
      <c r="J12" s="203">
        <f>L12*2</f>
        <v>3801.96</v>
      </c>
      <c r="K12" s="171"/>
      <c r="L12" s="204">
        <f>L26+L40</f>
        <v>1900.98</v>
      </c>
      <c r="M12" s="171"/>
      <c r="N12" s="204">
        <f t="shared" si="0"/>
        <v>1900.98</v>
      </c>
      <c r="O12" s="171"/>
      <c r="Q12" s="187">
        <f t="shared" si="1"/>
        <v>1900.79</v>
      </c>
      <c r="S12" s="183">
        <f t="shared" si="2"/>
        <v>0.19000000000005457</v>
      </c>
    </row>
    <row r="13" spans="1:19" x14ac:dyDescent="0.2">
      <c r="B13" s="205">
        <f>'[2]Single Family'!F17+'[2]Single Family'!M17+'[2]Single Family'!T17+'[2]Multi Family'!F17+'[2]Multi Family'!M17+'[2]Multi Family'!T17</f>
        <v>314616.17</v>
      </c>
      <c r="C13" s="205">
        <f>'[2]Single Family'!F33+'[2]Single Family'!M33+'[2]Single Family'!T33+'[2]Multi Family'!F34+'[2]Multi Family'!M34+'[2]Multi Family'!T34</f>
        <v>0</v>
      </c>
      <c r="D13" s="205">
        <f>SUM(B13:C13)</f>
        <v>314616.17</v>
      </c>
      <c r="I13" s="171"/>
      <c r="J13" s="203"/>
      <c r="K13" s="171"/>
      <c r="M13" s="171"/>
      <c r="N13" s="204"/>
      <c r="O13" s="171"/>
      <c r="S13" s="183">
        <f t="shared" si="2"/>
        <v>0</v>
      </c>
    </row>
    <row r="14" spans="1:19" ht="13.5" thickBot="1" x14ac:dyDescent="0.25">
      <c r="I14" s="210" t="s">
        <v>136</v>
      </c>
      <c r="J14" s="211">
        <f>SUM(J5,J6,J8,J9,J11,J12)</f>
        <v>629232.34</v>
      </c>
      <c r="K14" s="171"/>
      <c r="L14" s="211">
        <f>SUM(L5:L12)</f>
        <v>314616.17</v>
      </c>
      <c r="M14" s="212"/>
      <c r="N14" s="213">
        <f>L14</f>
        <v>314616.17</v>
      </c>
      <c r="O14" s="171"/>
      <c r="Q14" s="211">
        <f>SUM(Q5:Q12)</f>
        <v>314586.41171387903</v>
      </c>
      <c r="S14" s="211">
        <f t="shared" si="2"/>
        <v>29.758286120952107</v>
      </c>
    </row>
    <row r="15" spans="1:19" x14ac:dyDescent="0.2">
      <c r="B15" s="253" t="s">
        <v>137</v>
      </c>
      <c r="C15" s="253"/>
      <c r="D15" s="253"/>
    </row>
    <row r="16" spans="1:19" ht="15.75" x14ac:dyDescent="0.25">
      <c r="B16" s="214"/>
      <c r="C16" s="214"/>
      <c r="D16" s="205">
        <f>D13-(B9+B10)</f>
        <v>280834.08249999996</v>
      </c>
      <c r="H16" t="s">
        <v>138</v>
      </c>
      <c r="I16" s="190" t="str">
        <f>"Revenue Retained "</f>
        <v xml:space="preserve">Revenue Retained </v>
      </c>
      <c r="J16" s="191"/>
      <c r="K16" s="192"/>
      <c r="L16" s="191"/>
      <c r="M16" s="192"/>
      <c r="N16" s="192"/>
      <c r="O16" s="193"/>
    </row>
    <row r="17" spans="1:19" x14ac:dyDescent="0.2">
      <c r="I17" s="194" t="s">
        <v>122</v>
      </c>
      <c r="J17" s="195"/>
      <c r="K17" s="196"/>
      <c r="L17" s="195"/>
      <c r="M17" s="196"/>
      <c r="N17" s="196"/>
      <c r="O17" s="197"/>
    </row>
    <row r="18" spans="1:19" ht="15.75" thickBot="1" x14ac:dyDescent="0.3">
      <c r="A18" s="215"/>
      <c r="B18" s="254" t="s">
        <v>139</v>
      </c>
      <c r="C18" s="255"/>
      <c r="D18" s="256"/>
      <c r="I18" s="171"/>
      <c r="J18" s="198" t="s">
        <v>29</v>
      </c>
      <c r="K18" s="171"/>
      <c r="L18" s="199" t="s">
        <v>119</v>
      </c>
      <c r="M18" s="171"/>
      <c r="N18" s="200" t="s">
        <v>120</v>
      </c>
      <c r="O18" s="171"/>
      <c r="Q18" s="187" t="s">
        <v>121</v>
      </c>
      <c r="S18" t="s">
        <v>115</v>
      </c>
    </row>
    <row r="19" spans="1:19" ht="15" x14ac:dyDescent="0.25">
      <c r="A19" s="215"/>
      <c r="B19" s="216" t="s">
        <v>122</v>
      </c>
      <c r="C19" s="217" t="s">
        <v>123</v>
      </c>
      <c r="D19" s="218" t="s">
        <v>29</v>
      </c>
      <c r="I19" t="s">
        <v>124</v>
      </c>
      <c r="J19" s="203">
        <f>L19*2</f>
        <v>193977.4</v>
      </c>
      <c r="K19" s="171"/>
      <c r="L19" s="219">
        <v>96988.7</v>
      </c>
      <c r="M19" s="171"/>
      <c r="N19" s="204">
        <f>L19</f>
        <v>96988.7</v>
      </c>
      <c r="O19" s="171"/>
      <c r="Q19" s="220">
        <v>96982.003057108028</v>
      </c>
      <c r="S19" s="183">
        <f>L19-Q19</f>
        <v>6.6969428919692291</v>
      </c>
    </row>
    <row r="20" spans="1:19" x14ac:dyDescent="0.2">
      <c r="A20" s="221">
        <v>4172</v>
      </c>
      <c r="B20" s="222">
        <f>SUM('[2]King County RSA Spend 2021-2022'!P34+'[2]Labor Expense'!P22)</f>
        <v>720.80013333333341</v>
      </c>
      <c r="C20" s="222">
        <f>SUM([2]Ledger!P29+'[2]Labor Expense'!P31)</f>
        <v>0</v>
      </c>
      <c r="D20" s="222">
        <f>SUM(B20:C20)</f>
        <v>720.80013333333341</v>
      </c>
      <c r="I20" t="s">
        <v>126</v>
      </c>
      <c r="J20" s="203">
        <f>L20*2</f>
        <v>17375.439999999999</v>
      </c>
      <c r="K20" s="171"/>
      <c r="L20" s="219">
        <v>8687.7199999999993</v>
      </c>
      <c r="M20" s="171"/>
      <c r="N20" s="204">
        <f t="shared" ref="N20:N26" si="3">L20</f>
        <v>8687.7199999999993</v>
      </c>
      <c r="O20" s="171"/>
      <c r="Q20" s="220">
        <v>8687.0586567710016</v>
      </c>
      <c r="S20" s="183">
        <f t="shared" ref="S20:S28" si="4">L20-Q20</f>
        <v>0.66134322899779363</v>
      </c>
    </row>
    <row r="21" spans="1:19" x14ac:dyDescent="0.2">
      <c r="A21" s="217">
        <v>4176</v>
      </c>
      <c r="B21" s="222">
        <f>SUM('[2]King County RSA Spend 2021-2022'!P35+'[2]Labor Expense'!P23)</f>
        <v>10723.1296</v>
      </c>
      <c r="C21" s="222">
        <f>SUM([2]Ledger!P30+'[2]Labor Expense'!P32)</f>
        <v>0</v>
      </c>
      <c r="D21" s="222">
        <f t="shared" ref="D21:D22" si="5">SUM(B21:C21)</f>
        <v>10723.1296</v>
      </c>
      <c r="I21" s="171"/>
      <c r="J21" s="203"/>
      <c r="K21" s="171"/>
      <c r="L21" s="204"/>
      <c r="M21" s="171"/>
      <c r="N21" s="204"/>
      <c r="O21" s="171"/>
      <c r="S21" s="183">
        <f t="shared" si="4"/>
        <v>0</v>
      </c>
    </row>
    <row r="22" spans="1:19" x14ac:dyDescent="0.2">
      <c r="A22" s="221">
        <v>4183</v>
      </c>
      <c r="B22" s="222">
        <f>SUM('[2]King County RSA Spend 2021-2022'!P36+'[2]Labor Expense'!P24)</f>
        <v>7099.8202666666693</v>
      </c>
      <c r="C22" s="222">
        <f>SUM([2]Ledger!P31+'[2]Labor Expense'!P33)</f>
        <v>0</v>
      </c>
      <c r="D22" s="222">
        <f t="shared" si="5"/>
        <v>7099.8202666666693</v>
      </c>
      <c r="I22" t="s">
        <v>129</v>
      </c>
      <c r="J22" s="203">
        <f>L22*2</f>
        <v>341028.22</v>
      </c>
      <c r="K22" s="171"/>
      <c r="L22" s="219">
        <v>170514.11</v>
      </c>
      <c r="M22" s="171"/>
      <c r="N22" s="204">
        <f t="shared" si="3"/>
        <v>170514.11</v>
      </c>
      <c r="O22" s="171"/>
      <c r="Q22" s="220">
        <v>170494.83</v>
      </c>
      <c r="S22" s="183">
        <f t="shared" si="4"/>
        <v>19.279999999998836</v>
      </c>
    </row>
    <row r="23" spans="1:19" ht="15" x14ac:dyDescent="0.25">
      <c r="A23" s="215"/>
      <c r="B23" s="223">
        <f>SUM(B20:B22)</f>
        <v>18543.750000000004</v>
      </c>
      <c r="C23" s="224">
        <f>SUM(C20:C22)</f>
        <v>0</v>
      </c>
      <c r="D23" s="225">
        <f>SUM(D20:D22)</f>
        <v>18543.750000000004</v>
      </c>
      <c r="I23" t="s">
        <v>130</v>
      </c>
      <c r="J23" s="203">
        <f>L23*2</f>
        <v>3476.92</v>
      </c>
      <c r="K23" s="171"/>
      <c r="L23" s="219">
        <v>1738.46</v>
      </c>
      <c r="M23" s="171"/>
      <c r="N23" s="204">
        <f t="shared" si="3"/>
        <v>1738.46</v>
      </c>
      <c r="O23" s="171"/>
      <c r="Q23" s="220">
        <v>1738.33</v>
      </c>
      <c r="S23" s="183">
        <f t="shared" si="4"/>
        <v>0.13000000000010914</v>
      </c>
    </row>
    <row r="24" spans="1:19" x14ac:dyDescent="0.2">
      <c r="I24" s="171"/>
      <c r="J24" s="203"/>
      <c r="K24" s="171"/>
      <c r="L24" s="204"/>
      <c r="M24" s="171"/>
      <c r="N24" s="204"/>
      <c r="O24" s="171"/>
      <c r="S24" s="183">
        <f t="shared" si="4"/>
        <v>0</v>
      </c>
    </row>
    <row r="25" spans="1:19" x14ac:dyDescent="0.2">
      <c r="I25" t="s">
        <v>133</v>
      </c>
      <c r="J25" s="203">
        <f>L25*2</f>
        <v>69572.399999999994</v>
      </c>
      <c r="K25" s="171"/>
      <c r="L25" s="219">
        <v>34786.199999999997</v>
      </c>
      <c r="M25" s="171"/>
      <c r="N25" s="204">
        <f t="shared" si="3"/>
        <v>34786.199999999997</v>
      </c>
      <c r="O25" s="171"/>
      <c r="Q25" s="220">
        <v>34783.4</v>
      </c>
      <c r="S25" s="183">
        <f t="shared" si="4"/>
        <v>2.7999999999956344</v>
      </c>
    </row>
    <row r="26" spans="1:19" x14ac:dyDescent="0.2">
      <c r="I26" t="s">
        <v>135</v>
      </c>
      <c r="J26" s="203">
        <f>L26*2</f>
        <v>3801.96</v>
      </c>
      <c r="K26" s="171"/>
      <c r="L26" s="219">
        <v>1900.98</v>
      </c>
      <c r="M26" s="171"/>
      <c r="N26" s="204">
        <f t="shared" si="3"/>
        <v>1900.98</v>
      </c>
      <c r="O26" s="171"/>
      <c r="Q26" s="220">
        <v>1900.79</v>
      </c>
      <c r="S26" s="183">
        <f t="shared" si="4"/>
        <v>0.19000000000005457</v>
      </c>
    </row>
    <row r="27" spans="1:19" x14ac:dyDescent="0.2">
      <c r="A27" s="226" t="s">
        <v>140</v>
      </c>
      <c r="B27" s="227"/>
      <c r="C27" s="228"/>
      <c r="D27" s="229" t="s">
        <v>141</v>
      </c>
      <c r="E27" s="230"/>
      <c r="I27" s="171"/>
      <c r="J27" s="203"/>
      <c r="K27" s="171"/>
      <c r="M27" s="171"/>
      <c r="N27" s="231"/>
      <c r="O27" s="171"/>
      <c r="S27" s="183">
        <f t="shared" si="4"/>
        <v>0</v>
      </c>
    </row>
    <row r="28" spans="1:19" ht="15.75" thickBot="1" x14ac:dyDescent="0.3">
      <c r="A28" s="232" t="s">
        <v>142</v>
      </c>
      <c r="B28" s="233">
        <v>25</v>
      </c>
      <c r="D28" s="234" t="s">
        <v>142</v>
      </c>
      <c r="E28" s="235">
        <v>25</v>
      </c>
      <c r="I28" s="210" t="s">
        <v>136</v>
      </c>
      <c r="J28" s="211">
        <f>SUM(J19,J20,J22,J23,J25,J26)</f>
        <v>629232.34</v>
      </c>
      <c r="K28" s="171"/>
      <c r="L28" s="211">
        <f>SUM(L19:L26)</f>
        <v>314616.17</v>
      </c>
      <c r="M28" s="212"/>
      <c r="N28" s="213">
        <f>L28</f>
        <v>314616.17</v>
      </c>
      <c r="O28" s="171"/>
      <c r="Q28" s="211">
        <f>SUM(Q19:Q26)</f>
        <v>314586.41171387903</v>
      </c>
      <c r="S28" s="211">
        <f t="shared" si="4"/>
        <v>29.758286120952107</v>
      </c>
    </row>
    <row r="29" spans="1:19" x14ac:dyDescent="0.2">
      <c r="A29" s="236" t="s">
        <v>143</v>
      </c>
      <c r="B29" s="237">
        <f>('[2]Single Family'!V17+'[2]Multi Family'!V17)/3</f>
        <v>4475.0099999999993</v>
      </c>
      <c r="D29" s="234" t="s">
        <v>143</v>
      </c>
      <c r="E29" s="238">
        <v>2272</v>
      </c>
    </row>
    <row r="30" spans="1:19" ht="15.75" x14ac:dyDescent="0.25">
      <c r="A30" s="232" t="s">
        <v>144</v>
      </c>
      <c r="B30" s="239">
        <v>0</v>
      </c>
      <c r="D30" s="234" t="s">
        <v>144</v>
      </c>
      <c r="E30" s="240">
        <v>12</v>
      </c>
      <c r="H30" t="s">
        <v>145</v>
      </c>
      <c r="I30" s="190" t="str">
        <f>"Revenue Retained "</f>
        <v xml:space="preserve">Revenue Retained </v>
      </c>
      <c r="J30" s="191"/>
      <c r="K30" s="192"/>
      <c r="L30" s="191"/>
      <c r="M30" s="192"/>
      <c r="N30" s="192"/>
      <c r="O30" s="193"/>
    </row>
    <row r="31" spans="1:19" x14ac:dyDescent="0.2">
      <c r="A31" s="241" t="s">
        <v>146</v>
      </c>
      <c r="B31" s="242">
        <f>B13+((B29*B28)*B30)</f>
        <v>314616.17</v>
      </c>
      <c r="D31" s="234" t="s">
        <v>147</v>
      </c>
      <c r="E31" s="243">
        <f>C13+((E29*E28)*E30)</f>
        <v>681600</v>
      </c>
      <c r="I31" s="194" t="s">
        <v>123</v>
      </c>
      <c r="J31" s="195"/>
      <c r="K31" s="196"/>
      <c r="L31" s="195"/>
      <c r="M31" s="196"/>
      <c r="N31" s="196"/>
      <c r="O31" s="197"/>
    </row>
    <row r="32" spans="1:19" ht="15.75" thickBot="1" x14ac:dyDescent="0.3">
      <c r="A32" s="244" t="s">
        <v>148</v>
      </c>
      <c r="B32" s="183">
        <f>B7+(((B6+B8+B9+B10)/7)*12)</f>
        <v>105209.43571428573</v>
      </c>
      <c r="D32" s="245" t="s">
        <v>149</v>
      </c>
      <c r="E32" s="246">
        <f>B8+B10</f>
        <v>22566.207500000004</v>
      </c>
      <c r="I32" s="171"/>
      <c r="J32" s="198" t="s">
        <v>29</v>
      </c>
      <c r="K32" s="171"/>
      <c r="L32" s="199" t="s">
        <v>119</v>
      </c>
      <c r="M32" s="171"/>
      <c r="N32" s="200" t="s">
        <v>120</v>
      </c>
      <c r="O32" s="171"/>
      <c r="Q32" s="187" t="s">
        <v>121</v>
      </c>
      <c r="S32" t="s">
        <v>115</v>
      </c>
    </row>
    <row r="33" spans="1:19" ht="26.25" x14ac:dyDescent="0.25">
      <c r="A33" s="247" t="s">
        <v>150</v>
      </c>
      <c r="B33" s="183">
        <f>B31-B32</f>
        <v>209406.73428571425</v>
      </c>
      <c r="D33" s="248" t="s">
        <v>151</v>
      </c>
      <c r="E33" s="249"/>
      <c r="I33" t="s">
        <v>124</v>
      </c>
      <c r="J33" s="203">
        <f>L33*2</f>
        <v>0</v>
      </c>
      <c r="K33" s="171"/>
      <c r="L33" s="219"/>
      <c r="M33" s="171"/>
      <c r="N33" s="204">
        <f>L33</f>
        <v>0</v>
      </c>
      <c r="O33" s="171"/>
      <c r="Q33" s="220"/>
      <c r="S33" s="183">
        <f>L33-Q33</f>
        <v>0</v>
      </c>
    </row>
    <row r="34" spans="1:19" x14ac:dyDescent="0.2">
      <c r="A34" s="186"/>
      <c r="D34" s="202" t="s">
        <v>152</v>
      </c>
      <c r="E34" s="250">
        <f>(E33+E31)-E32</f>
        <v>659033.79249999998</v>
      </c>
      <c r="I34" t="s">
        <v>126</v>
      </c>
      <c r="J34" s="203">
        <f>L34*2</f>
        <v>0</v>
      </c>
      <c r="K34" s="171"/>
      <c r="L34" s="219"/>
      <c r="M34" s="171"/>
      <c r="N34" s="204">
        <f t="shared" ref="N34:N40" si="6">L34</f>
        <v>0</v>
      </c>
      <c r="O34" s="171"/>
      <c r="Q34" s="220"/>
      <c r="S34" s="183">
        <f t="shared" ref="S34:S42" si="7">L34-Q34</f>
        <v>0</v>
      </c>
    </row>
    <row r="35" spans="1:19" x14ac:dyDescent="0.2">
      <c r="D35" s="202"/>
      <c r="E35" s="250"/>
      <c r="I35" s="171"/>
      <c r="J35" s="203"/>
      <c r="K35" s="171"/>
      <c r="L35" s="204"/>
      <c r="M35" s="171"/>
      <c r="N35" s="204"/>
      <c r="O35" s="171"/>
      <c r="S35" s="183">
        <f t="shared" si="7"/>
        <v>0</v>
      </c>
    </row>
    <row r="36" spans="1:19" x14ac:dyDescent="0.2">
      <c r="I36" t="s">
        <v>129</v>
      </c>
      <c r="J36" s="203">
        <f>L36*2</f>
        <v>0</v>
      </c>
      <c r="K36" s="171"/>
      <c r="L36" s="219"/>
      <c r="M36" s="171"/>
      <c r="N36" s="204">
        <f t="shared" si="6"/>
        <v>0</v>
      </c>
      <c r="O36" s="171"/>
      <c r="Q36" s="220"/>
      <c r="S36" s="183">
        <f t="shared" si="7"/>
        <v>0</v>
      </c>
    </row>
    <row r="37" spans="1:19" x14ac:dyDescent="0.2">
      <c r="I37" t="s">
        <v>130</v>
      </c>
      <c r="J37" s="203">
        <f>L37*2</f>
        <v>0</v>
      </c>
      <c r="K37" s="171"/>
      <c r="L37" s="219"/>
      <c r="M37" s="171"/>
      <c r="N37" s="204">
        <f t="shared" si="6"/>
        <v>0</v>
      </c>
      <c r="O37" s="171"/>
      <c r="Q37" s="220"/>
      <c r="S37" s="183">
        <f t="shared" si="7"/>
        <v>0</v>
      </c>
    </row>
    <row r="38" spans="1:19" x14ac:dyDescent="0.2">
      <c r="I38" s="171"/>
      <c r="J38" s="203"/>
      <c r="K38" s="171"/>
      <c r="L38" s="204"/>
      <c r="M38" s="171"/>
      <c r="N38" s="204"/>
      <c r="O38" s="171"/>
      <c r="S38" s="183">
        <f t="shared" si="7"/>
        <v>0</v>
      </c>
    </row>
    <row r="39" spans="1:19" x14ac:dyDescent="0.2">
      <c r="I39" t="s">
        <v>133</v>
      </c>
      <c r="J39" s="203">
        <f>L39*2</f>
        <v>0</v>
      </c>
      <c r="K39" s="171"/>
      <c r="L39" s="219"/>
      <c r="M39" s="171"/>
      <c r="N39" s="204">
        <f t="shared" si="6"/>
        <v>0</v>
      </c>
      <c r="O39" s="171"/>
      <c r="Q39" s="220"/>
      <c r="S39" s="183">
        <f t="shared" si="7"/>
        <v>0</v>
      </c>
    </row>
    <row r="40" spans="1:19" x14ac:dyDescent="0.2">
      <c r="I40" t="s">
        <v>135</v>
      </c>
      <c r="J40" s="203">
        <f>L40*2</f>
        <v>0</v>
      </c>
      <c r="K40" s="171"/>
      <c r="L40" s="219"/>
      <c r="M40" s="171"/>
      <c r="N40" s="204">
        <f t="shared" si="6"/>
        <v>0</v>
      </c>
      <c r="O40" s="171"/>
      <c r="Q40" s="220"/>
      <c r="S40" s="183">
        <f t="shared" si="7"/>
        <v>0</v>
      </c>
    </row>
    <row r="41" spans="1:19" x14ac:dyDescent="0.2">
      <c r="I41" s="171"/>
      <c r="J41" s="203"/>
      <c r="K41" s="171"/>
      <c r="M41" s="171"/>
      <c r="N41" s="231"/>
      <c r="O41" s="171"/>
      <c r="S41" s="183">
        <f t="shared" si="7"/>
        <v>0</v>
      </c>
    </row>
    <row r="42" spans="1:19" ht="13.5" thickBot="1" x14ac:dyDescent="0.25">
      <c r="I42" s="210" t="s">
        <v>136</v>
      </c>
      <c r="J42" s="211">
        <f>SUM(J33,J34,J36,J37,J39,J40)</f>
        <v>0</v>
      </c>
      <c r="K42" s="171"/>
      <c r="L42" s="211">
        <f>SUM(L33:L40)</f>
        <v>0</v>
      </c>
      <c r="M42" s="212"/>
      <c r="N42" s="213">
        <f>L42</f>
        <v>0</v>
      </c>
      <c r="O42" s="171"/>
      <c r="Q42" s="211">
        <f>SUM(Q33:Q40)</f>
        <v>0</v>
      </c>
      <c r="S42" s="211">
        <f t="shared" si="7"/>
        <v>0</v>
      </c>
    </row>
  </sheetData>
  <mergeCells count="4">
    <mergeCell ref="B4:D4"/>
    <mergeCell ref="B11:D11"/>
    <mergeCell ref="B15:D15"/>
    <mergeCell ref="B18:D18"/>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A3689A827EA764E91F45A0B68955CE8" ma:contentTypeVersion="28" ma:contentTypeDescription="" ma:contentTypeScope="" ma:versionID="b54353c770c146798997f442216de84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2022-06-15T07:00:00+00:00</OpenedDate>
    <SignificantOrder xmlns="dc463f71-b30c-4ab2-9473-d307f9d35888">false</SignificantOrder>
    <Date1 xmlns="dc463f71-b30c-4ab2-9473-d307f9d35888">2022-06-15T07:00:00+00:00</Date1>
    <IsDocumentOrder xmlns="dc463f71-b30c-4ab2-9473-d307f9d35888">false</IsDocumentOrder>
    <IsHighlyConfidential xmlns="dc463f71-b30c-4ab2-9473-d307f9d35888">false</IsHighlyConfidential>
    <CaseCompanyNames xmlns="dc463f71-b30c-4ab2-9473-d307f9d35888">RABANCO LTD.            </CaseCompanyNames>
    <Nickname xmlns="http://schemas.microsoft.com/sharepoint/v3" xsi:nil="true"/>
    <DocketNumber xmlns="dc463f71-b30c-4ab2-9473-d307f9d35888">220452</DocketNumber>
    <DelegatedOrder xmlns="dc463f71-b30c-4ab2-9473-d307f9d35888">false</DelegatedOrder>
  </documentManagement>
</p:properties>
</file>

<file path=customXml/itemProps1.xml><?xml version="1.0" encoding="utf-8"?>
<ds:datastoreItem xmlns:ds="http://schemas.openxmlformats.org/officeDocument/2006/customXml" ds:itemID="{E3AD748D-8ECA-4288-8853-E422B2AC509B}"/>
</file>

<file path=customXml/itemProps2.xml><?xml version="1.0" encoding="utf-8"?>
<ds:datastoreItem xmlns:ds="http://schemas.openxmlformats.org/officeDocument/2006/customXml" ds:itemID="{CF060B4D-5A8E-4EFF-A0D9-622C322F611C}"/>
</file>

<file path=customXml/itemProps3.xml><?xml version="1.0" encoding="utf-8"?>
<ds:datastoreItem xmlns:ds="http://schemas.openxmlformats.org/officeDocument/2006/customXml" ds:itemID="{FEAFE396-5397-42E9-A4E6-379AF0DEFEA5}"/>
</file>

<file path=customXml/itemProps4.xml><?xml version="1.0" encoding="utf-8"?>
<ds:datastoreItem xmlns:ds="http://schemas.openxmlformats.org/officeDocument/2006/customXml" ds:itemID="{E326ED1D-7E1E-4D1A-A5D2-2B79789536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WUTC_LYNNWOOD_SF</vt:lpstr>
      <vt:lpstr>WUTC_AW of Kent (SeaTac)_SF</vt:lpstr>
      <vt:lpstr>Value</vt:lpstr>
      <vt:lpstr>Commodity Tonnages</vt:lpstr>
      <vt:lpstr>Pricing</vt:lpstr>
      <vt:lpstr>Single Family</vt:lpstr>
      <vt:lpstr>RSA</vt:lpstr>
      <vt:lpstr>Recap</vt:lpstr>
      <vt:lpstr>Pricing!Print_Area</vt:lpstr>
      <vt:lpstr>'Single Family'!Print_Area</vt:lpstr>
      <vt:lpstr>'WUTC_AW of Kent (SeaTac)_SF'!Print_Area</vt:lpstr>
      <vt:lpstr>WUTC_LYNNWOOD_SF!Print_Area</vt:lpstr>
      <vt:lpstr>'Single Family'!Print_Titles</vt:lpstr>
    </vt:vector>
  </TitlesOfParts>
  <Company>Allied Waste Industries,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JG00116</dc:creator>
  <cp:lastModifiedBy>Gualberto, Christopher</cp:lastModifiedBy>
  <cp:lastPrinted>2019-06-14T19:27:42Z</cp:lastPrinted>
  <dcterms:created xsi:type="dcterms:W3CDTF">2008-05-23T15:47:44Z</dcterms:created>
  <dcterms:modified xsi:type="dcterms:W3CDTF">2022-06-14T21:07:04Z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0x0101006E56B4D1795A2E4DB2F0B01679ED314A006A3689A827EA764E91F45A0B68955CE8</vt:lpwstr>
  </property>
  <property fmtid="{D5CDD505-2E9C-101B-9397-08002B2CF9AE}" pid="5" name="_docset_NoMedatataSyncRequired">
    <vt:lpwstr>False</vt:lpwstr>
  </property>
  <property fmtid="{D5CDD505-2E9C-101B-9397-08002B2CF9AE}" pid="6" name="IsEFSEC">
    <vt:bool>false</vt:bool>
  </property>
</Properties>
</file>