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updateLinks="never" codeName="ThisWorkbook" hidePivotFieldList="1" defaultThemeVersion="124226"/>
  <xr:revisionPtr revIDLastSave="0" documentId="8_{8167CEE2-C12E-4283-B5A5-5B06D16538DC}" xr6:coauthVersionLast="46" xr6:coauthVersionMax="46" xr10:uidLastSave="{00000000-0000-0000-0000-000000000000}"/>
  <bookViews>
    <workbookView xWindow="-120" yWindow="-120" windowWidth="29040" windowHeight="15990" firstSheet="3" activeTab="6" xr2:uid="{00000000-000D-0000-FFFF-FFFF00000000}"/>
  </bookViews>
  <sheets>
    <sheet name="Chart2" sheetId="1" state="hidden" r:id="rId1"/>
    <sheet name="Table A - Combined" sheetId="44" r:id="rId2"/>
    <sheet name="Table B - Energy" sheetId="6" r:id="rId3"/>
    <sheet name="Table C - Capacity" sheetId="37" r:id="rId4"/>
    <sheet name="Table D - Integration" sheetId="17" r:id="rId5"/>
    <sheet name="Exhibit 1 - Market Capacity" sheetId="36" r:id="rId6"/>
    <sheet name="CONF Exhibit 2 - Planned Cap" sheetId="43" r:id="rId7"/>
    <sheet name="Exhibit 3 - Levelized Capacity" sheetId="47" r:id="rId8"/>
    <sheet name="Exhibit 4 - Comparison" sheetId="14" r:id="rId9"/>
    <sheet name="XX Support Pages - Do Not Print" sheetId="18" r:id="rId10"/>
    <sheet name="Profiles" sheetId="45" r:id="rId11"/>
    <sheet name="Portfolio" sheetId="46" r:id="rId12"/>
  </sheets>
  <externalReferences>
    <externalReference r:id="rId13"/>
    <externalReference r:id="rId14"/>
  </externalReferences>
  <definedNames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5" hidden="1">#REF!</definedName>
    <definedName name="_Fill" localSheetId="7" hidden="1">#REF!</definedName>
    <definedName name="_Fill" localSheetId="10" hidden="1">#REF!</definedName>
    <definedName name="_Fill" localSheetId="1" hidden="1">#REF!</definedName>
    <definedName name="_Fill" localSheetId="3" hidden="1">#REF!</definedName>
    <definedName name="_Fill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localSheetId="7" hidden="1">#REF!</definedName>
    <definedName name="_Key1" localSheetId="10" hidden="1">#REF!</definedName>
    <definedName name="_Key1" localSheetId="1" hidden="1">#REF!</definedName>
    <definedName name="_Key1" localSheetId="3" hidden="1">#REF!</definedName>
    <definedName name="_Key1" hidden="1">#REF!</definedName>
    <definedName name="_Key2" localSheetId="5" hidden="1">#REF!</definedName>
    <definedName name="_Key2" localSheetId="7" hidden="1">#REF!</definedName>
    <definedName name="_Key2" localSheetId="10" hidden="1">#REF!</definedName>
    <definedName name="_Key2" localSheetId="1" hidden="1">#REF!</definedName>
    <definedName name="_Key2" localSheetId="3" hidden="1">#REF!</definedName>
    <definedName name="_Key2" hidden="1">#REF!</definedName>
    <definedName name="_Order1" hidden="1">255</definedName>
    <definedName name="_Order2" hidden="1">0</definedName>
    <definedName name="_Sort" localSheetId="5" hidden="1">#REF!</definedName>
    <definedName name="_Sort" localSheetId="7" hidden="1">#REF!</definedName>
    <definedName name="_Sort" localSheetId="10" hidden="1">#REF!</definedName>
    <definedName name="_Sort" localSheetId="1" hidden="1">#REF!</definedName>
    <definedName name="_Sort" localSheetId="3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DiscountRate">'Exhibit 4 - Comparison'!$R$36</definedName>
    <definedName name="limcount" hidden="1">1</definedName>
    <definedName name="_xlnm.Print_Area" localSheetId="6">'CONF Exhibit 2 - Planned Cap'!$B$1:$L$56</definedName>
    <definedName name="_xlnm.Print_Area" localSheetId="5">'Exhibit 1 - Market Capacity'!$B$1:$K$60</definedName>
    <definedName name="_xlnm.Print_Area" localSheetId="7">'Exhibit 3 - Levelized Capacity'!$B$1:$L$46</definedName>
    <definedName name="_xlnm.Print_Area" localSheetId="8">'Exhibit 4 - Comparison'!$A$1:$O$39</definedName>
    <definedName name="_xlnm.Print_Area" localSheetId="11">Portfolio!$A$1:$Y$87</definedName>
    <definedName name="_xlnm.Print_Area" localSheetId="1">'Table A - Combined'!$A$1:$Y$41</definedName>
    <definedName name="_xlnm.Print_Area" localSheetId="2">'Table B - Energy'!$A$1:$Y$38</definedName>
    <definedName name="_xlnm.Print_Area" localSheetId="3">'Table C - Capacity'!$A$1:$W$39</definedName>
    <definedName name="_xlnm.Print_Area" localSheetId="4">'Table D - Integration'!$A$1:$D$34</definedName>
    <definedName name="SAPBEXrevision" hidden="1">1</definedName>
    <definedName name="SAPBEXsysID" hidden="1">"BWP"</definedName>
    <definedName name="SAPBEXwbID" hidden="1">"45EQYSCWE9WJMGB34OOD1BOQZ"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ll._.Pages." localSheetId="5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36" l="1"/>
  <c r="B9" i="47"/>
  <c r="B10" i="47" s="1"/>
  <c r="B11" i="47" s="1"/>
  <c r="B12" i="47" s="1"/>
  <c r="B13" i="47" s="1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11" i="44"/>
  <c r="I13" i="37" s="1"/>
  <c r="I14" i="37" s="1"/>
  <c r="I15" i="37" s="1"/>
  <c r="I16" i="37" s="1"/>
  <c r="I17" i="37" s="1"/>
  <c r="I18" i="37" s="1"/>
  <c r="I19" i="37" s="1"/>
  <c r="I20" i="37" s="1"/>
  <c r="I21" i="37" s="1"/>
  <c r="I22" i="37" s="1"/>
  <c r="I23" i="37" s="1"/>
  <c r="I24" i="37" s="1"/>
  <c r="I25" i="37" s="1"/>
  <c r="I26" i="37" s="1"/>
  <c r="I27" i="37" s="1"/>
  <c r="I28" i="37" s="1"/>
  <c r="I29" i="37" s="1"/>
  <c r="I30" i="37" s="1"/>
  <c r="I31" i="37" s="1"/>
  <c r="I32" i="37" s="1"/>
  <c r="H46" i="47"/>
  <c r="H45" i="47"/>
  <c r="H44" i="47"/>
  <c r="H43" i="47"/>
  <c r="D38" i="47"/>
  <c r="C38" i="47"/>
  <c r="D48" i="43"/>
  <c r="C48" i="43"/>
  <c r="D52" i="36"/>
  <c r="C52" i="36"/>
  <c r="C37" i="47"/>
  <c r="C47" i="43"/>
  <c r="C51" i="36"/>
  <c r="B13" i="37" l="1"/>
  <c r="B14" i="37" s="1"/>
  <c r="B15" i="37" s="1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32" i="37" s="1"/>
  <c r="N11" i="44"/>
  <c r="N12" i="44" s="1"/>
  <c r="N13" i="44" s="1"/>
  <c r="N14" i="44" s="1"/>
  <c r="N15" i="44" s="1"/>
  <c r="N16" i="44" s="1"/>
  <c r="N17" i="44" s="1"/>
  <c r="N18" i="44" s="1"/>
  <c r="N19" i="44" s="1"/>
  <c r="N20" i="44" s="1"/>
  <c r="N21" i="44" s="1"/>
  <c r="N22" i="44" s="1"/>
  <c r="N23" i="44" s="1"/>
  <c r="N24" i="44" s="1"/>
  <c r="N25" i="44" s="1"/>
  <c r="N26" i="44" s="1"/>
  <c r="N27" i="44" s="1"/>
  <c r="N28" i="44" s="1"/>
  <c r="N29" i="44" s="1"/>
  <c r="N30" i="44" s="1"/>
  <c r="H8" i="47"/>
  <c r="B11" i="45"/>
  <c r="B10" i="14"/>
  <c r="B11" i="6"/>
  <c r="S13" i="37"/>
  <c r="S14" i="37" s="1"/>
  <c r="S15" i="37" s="1"/>
  <c r="S16" i="37" s="1"/>
  <c r="S17" i="37" s="1"/>
  <c r="S18" i="37" s="1"/>
  <c r="S19" i="37" s="1"/>
  <c r="S20" i="37" s="1"/>
  <c r="S21" i="37" s="1"/>
  <c r="S22" i="37" s="1"/>
  <c r="S23" i="37" s="1"/>
  <c r="S24" i="37" s="1"/>
  <c r="S25" i="37" s="1"/>
  <c r="S26" i="37" s="1"/>
  <c r="S27" i="37" s="1"/>
  <c r="S28" i="37" s="1"/>
  <c r="S29" i="37" s="1"/>
  <c r="S30" i="37" s="1"/>
  <c r="S31" i="37" s="1"/>
  <c r="S32" i="37" s="1"/>
  <c r="N11" i="6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W11" i="6" l="1"/>
  <c r="O11" i="6"/>
  <c r="E11" i="6"/>
  <c r="X11" i="6"/>
  <c r="V11" i="6"/>
  <c r="L11" i="6"/>
  <c r="D11" i="6"/>
  <c r="J11" i="6"/>
  <c r="U11" i="6"/>
  <c r="K11" i="6"/>
  <c r="C11" i="6"/>
  <c r="T11" i="6"/>
  <c r="P11" i="6"/>
  <c r="S11" i="6"/>
  <c r="I11" i="6"/>
  <c r="G11" i="6"/>
  <c r="F11" i="6"/>
  <c r="R11" i="6"/>
  <c r="H11" i="6"/>
  <c r="Q11" i="6"/>
  <c r="R11" i="45"/>
  <c r="J11" i="45"/>
  <c r="Q11" i="45"/>
  <c r="I11" i="45"/>
  <c r="P11" i="45"/>
  <c r="H11" i="45"/>
  <c r="O11" i="45"/>
  <c r="G11" i="45"/>
  <c r="V11" i="45"/>
  <c r="N11" i="45"/>
  <c r="F11" i="45"/>
  <c r="U11" i="45"/>
  <c r="M11" i="45"/>
  <c r="E11" i="45"/>
  <c r="T11" i="45"/>
  <c r="L11" i="45"/>
  <c r="D11" i="45"/>
  <c r="C11" i="45"/>
  <c r="S11" i="45"/>
  <c r="K11" i="45"/>
  <c r="B12" i="6"/>
  <c r="S12" i="6" l="1"/>
  <c r="I12" i="6"/>
  <c r="R12" i="6"/>
  <c r="H12" i="6"/>
  <c r="X12" i="6"/>
  <c r="F12" i="6"/>
  <c r="J12" i="6"/>
  <c r="Q12" i="6"/>
  <c r="G12" i="6"/>
  <c r="P12" i="6"/>
  <c r="W12" i="6"/>
  <c r="O12" i="6"/>
  <c r="E12" i="6"/>
  <c r="U12" i="6"/>
  <c r="C12" i="6"/>
  <c r="T12" i="6"/>
  <c r="V12" i="6"/>
  <c r="L12" i="6"/>
  <c r="D12" i="6"/>
  <c r="K12" i="6"/>
  <c r="B13" i="6"/>
  <c r="Q8" i="43"/>
  <c r="Q9" i="43"/>
  <c r="Q10" i="43"/>
  <c r="Q11" i="43"/>
  <c r="Q12" i="43"/>
  <c r="Q13" i="43"/>
  <c r="Q14" i="43"/>
  <c r="Q15" i="43"/>
  <c r="Q16" i="43"/>
  <c r="Q17" i="43"/>
  <c r="Q18" i="43"/>
  <c r="Q19" i="43"/>
  <c r="Q20" i="43"/>
  <c r="Q21" i="43"/>
  <c r="Q22" i="43"/>
  <c r="Q23" i="43"/>
  <c r="Q24" i="43"/>
  <c r="Q25" i="43"/>
  <c r="Q26" i="43" s="1"/>
  <c r="Q27" i="43" s="1"/>
  <c r="Q28" i="43" s="1"/>
  <c r="Q29" i="43" s="1"/>
  <c r="Q30" i="43" s="1"/>
  <c r="Q7" i="43"/>
  <c r="O7" i="43"/>
  <c r="O8" i="43" s="1"/>
  <c r="O9" i="43" s="1"/>
  <c r="O10" i="43" s="1"/>
  <c r="O11" i="43" s="1"/>
  <c r="O12" i="43" s="1"/>
  <c r="O13" i="43" s="1"/>
  <c r="O14" i="43" s="1"/>
  <c r="O15" i="43" s="1"/>
  <c r="O16" i="43" s="1"/>
  <c r="O17" i="43" s="1"/>
  <c r="O18" i="43" s="1"/>
  <c r="O19" i="43" s="1"/>
  <c r="O20" i="43" s="1"/>
  <c r="O21" i="43" s="1"/>
  <c r="O22" i="43" s="1"/>
  <c r="O23" i="43" s="1"/>
  <c r="O24" i="43" s="1"/>
  <c r="O25" i="43" s="1"/>
  <c r="O26" i="43" s="1"/>
  <c r="O27" i="43" s="1"/>
  <c r="O28" i="43" s="1"/>
  <c r="O29" i="43" s="1"/>
  <c r="O30" i="43" s="1"/>
  <c r="W13" i="6" l="1"/>
  <c r="O13" i="6"/>
  <c r="E13" i="6"/>
  <c r="P13" i="6"/>
  <c r="V13" i="6"/>
  <c r="L13" i="6"/>
  <c r="D13" i="6"/>
  <c r="T13" i="6"/>
  <c r="X13" i="6"/>
  <c r="U13" i="6"/>
  <c r="K13" i="6"/>
  <c r="C13" i="6"/>
  <c r="J13" i="6"/>
  <c r="S13" i="6"/>
  <c r="I13" i="6"/>
  <c r="Q13" i="6"/>
  <c r="R13" i="6"/>
  <c r="H13" i="6"/>
  <c r="G13" i="6"/>
  <c r="F13" i="6"/>
  <c r="B14" i="6"/>
  <c r="S14" i="6" l="1"/>
  <c r="I14" i="6"/>
  <c r="X14" i="6"/>
  <c r="T14" i="6"/>
  <c r="R14" i="6"/>
  <c r="H14" i="6"/>
  <c r="P14" i="6"/>
  <c r="Q14" i="6"/>
  <c r="G14" i="6"/>
  <c r="F14" i="6"/>
  <c r="W14" i="6"/>
  <c r="O14" i="6"/>
  <c r="E14" i="6"/>
  <c r="K14" i="6"/>
  <c r="J14" i="6"/>
  <c r="V14" i="6"/>
  <c r="L14" i="6"/>
  <c r="D14" i="6"/>
  <c r="U14" i="6"/>
  <c r="C14" i="6"/>
  <c r="B15" i="6"/>
  <c r="W15" i="6" l="1"/>
  <c r="O15" i="6"/>
  <c r="E15" i="6"/>
  <c r="P15" i="6"/>
  <c r="V15" i="6"/>
  <c r="L15" i="6"/>
  <c r="D15" i="6"/>
  <c r="T15" i="6"/>
  <c r="U15" i="6"/>
  <c r="K15" i="6"/>
  <c r="C15" i="6"/>
  <c r="J15" i="6"/>
  <c r="S15" i="6"/>
  <c r="I15" i="6"/>
  <c r="G15" i="6"/>
  <c r="X15" i="6"/>
  <c r="R15" i="6"/>
  <c r="H15" i="6"/>
  <c r="Q15" i="6"/>
  <c r="F15" i="6"/>
  <c r="B16" i="6"/>
  <c r="J36" i="37"/>
  <c r="J37" i="37"/>
  <c r="J38" i="37"/>
  <c r="J39" i="37"/>
  <c r="S16" i="6" l="1"/>
  <c r="I16" i="6"/>
  <c r="R16" i="6"/>
  <c r="H16" i="6"/>
  <c r="P16" i="6"/>
  <c r="J16" i="6"/>
  <c r="Q16" i="6"/>
  <c r="G16" i="6"/>
  <c r="X16" i="6"/>
  <c r="F16" i="6"/>
  <c r="W16" i="6"/>
  <c r="O16" i="6"/>
  <c r="E16" i="6"/>
  <c r="C16" i="6"/>
  <c r="V16" i="6"/>
  <c r="L16" i="6"/>
  <c r="D16" i="6"/>
  <c r="U16" i="6"/>
  <c r="K16" i="6"/>
  <c r="T16" i="6"/>
  <c r="B17" i="6"/>
  <c r="Z28" i="45"/>
  <c r="Z29" i="45" s="1"/>
  <c r="AA25" i="45"/>
  <c r="AB25" i="45" s="1"/>
  <c r="AA24" i="45"/>
  <c r="AB24" i="45" s="1"/>
  <c r="AA23" i="45"/>
  <c r="AB23" i="45" s="1"/>
  <c r="AA22" i="45"/>
  <c r="AB22" i="45" s="1"/>
  <c r="AA21" i="45"/>
  <c r="AB21" i="45" s="1"/>
  <c r="AA20" i="45"/>
  <c r="AB20" i="45" s="1"/>
  <c r="AA19" i="45"/>
  <c r="AA18" i="45"/>
  <c r="AB18" i="45" s="1"/>
  <c r="AA17" i="45"/>
  <c r="AB17" i="45" s="1"/>
  <c r="AA16" i="45"/>
  <c r="AB16" i="45" s="1"/>
  <c r="AA15" i="45"/>
  <c r="AB15" i="45" s="1"/>
  <c r="AA14" i="45"/>
  <c r="AB14" i="45" s="1"/>
  <c r="AA28" i="45" l="1"/>
  <c r="AA29" i="45" s="1"/>
  <c r="T17" i="6"/>
  <c r="J17" i="6"/>
  <c r="R17" i="6"/>
  <c r="H17" i="6"/>
  <c r="Q17" i="6"/>
  <c r="X17" i="6"/>
  <c r="P17" i="6"/>
  <c r="F17" i="6"/>
  <c r="W17" i="6"/>
  <c r="O17" i="6"/>
  <c r="E17" i="6"/>
  <c r="G17" i="6"/>
  <c r="D17" i="6"/>
  <c r="U17" i="6"/>
  <c r="V17" i="6"/>
  <c r="C17" i="6"/>
  <c r="I17" i="6"/>
  <c r="S17" i="6"/>
  <c r="K17" i="6"/>
  <c r="L17" i="6"/>
  <c r="AB19" i="45"/>
  <c r="AB28" i="45" s="1"/>
  <c r="AB29" i="45" s="1"/>
  <c r="B18" i="6"/>
  <c r="Q18" i="6" l="1"/>
  <c r="G18" i="6"/>
  <c r="X18" i="6"/>
  <c r="P18" i="6"/>
  <c r="F18" i="6"/>
  <c r="V18" i="6"/>
  <c r="L18" i="6"/>
  <c r="D18" i="6"/>
  <c r="U18" i="6"/>
  <c r="K18" i="6"/>
  <c r="C18" i="6"/>
  <c r="T18" i="6"/>
  <c r="J18" i="6"/>
  <c r="S18" i="6"/>
  <c r="I18" i="6"/>
  <c r="H18" i="6"/>
  <c r="O18" i="6"/>
  <c r="E18" i="6"/>
  <c r="W18" i="6"/>
  <c r="R18" i="6"/>
  <c r="B19" i="6"/>
  <c r="U19" i="6" l="1"/>
  <c r="K19" i="6"/>
  <c r="C19" i="6"/>
  <c r="T19" i="6"/>
  <c r="J19" i="6"/>
  <c r="R19" i="6"/>
  <c r="H19" i="6"/>
  <c r="Q19" i="6"/>
  <c r="G19" i="6"/>
  <c r="X19" i="6"/>
  <c r="P19" i="6"/>
  <c r="F19" i="6"/>
  <c r="W19" i="6"/>
  <c r="O19" i="6"/>
  <c r="E19" i="6"/>
  <c r="V19" i="6"/>
  <c r="S19" i="6"/>
  <c r="L19" i="6"/>
  <c r="I19" i="6"/>
  <c r="D19" i="6"/>
  <c r="B20" i="6"/>
  <c r="B35" i="14"/>
  <c r="Q20" i="6" l="1"/>
  <c r="G20" i="6"/>
  <c r="X20" i="6"/>
  <c r="P20" i="6"/>
  <c r="F20" i="6"/>
  <c r="V20" i="6"/>
  <c r="L20" i="6"/>
  <c r="D20" i="6"/>
  <c r="U20" i="6"/>
  <c r="K20" i="6"/>
  <c r="C20" i="6"/>
  <c r="T20" i="6"/>
  <c r="J20" i="6"/>
  <c r="S20" i="6"/>
  <c r="I20" i="6"/>
  <c r="W20" i="6"/>
  <c r="R20" i="6"/>
  <c r="H20" i="6"/>
  <c r="E20" i="6"/>
  <c r="O20" i="6"/>
  <c r="B21" i="6"/>
  <c r="U21" i="6" l="1"/>
  <c r="K21" i="6"/>
  <c r="C21" i="6"/>
  <c r="T21" i="6"/>
  <c r="J21" i="6"/>
  <c r="R21" i="6"/>
  <c r="H21" i="6"/>
  <c r="Q21" i="6"/>
  <c r="G21" i="6"/>
  <c r="X21" i="6"/>
  <c r="P21" i="6"/>
  <c r="F21" i="6"/>
  <c r="W21" i="6"/>
  <c r="O21" i="6"/>
  <c r="E21" i="6"/>
  <c r="L21" i="6"/>
  <c r="I21" i="6"/>
  <c r="D21" i="6"/>
  <c r="V21" i="6"/>
  <c r="S21" i="6"/>
  <c r="B22" i="6"/>
  <c r="Q22" i="6" l="1"/>
  <c r="G22" i="6"/>
  <c r="X22" i="6"/>
  <c r="P22" i="6"/>
  <c r="F22" i="6"/>
  <c r="V22" i="6"/>
  <c r="L22" i="6"/>
  <c r="D22" i="6"/>
  <c r="U22" i="6"/>
  <c r="K22" i="6"/>
  <c r="C22" i="6"/>
  <c r="T22" i="6"/>
  <c r="J22" i="6"/>
  <c r="S22" i="6"/>
  <c r="I22" i="6"/>
  <c r="W22" i="6"/>
  <c r="R22" i="6"/>
  <c r="O22" i="6"/>
  <c r="H22" i="6"/>
  <c r="E22" i="6"/>
  <c r="B23" i="6"/>
  <c r="S34" i="37"/>
  <c r="I35" i="37"/>
  <c r="S35" i="37" s="1"/>
  <c r="I36" i="37"/>
  <c r="S36" i="37" s="1"/>
  <c r="T36" i="37"/>
  <c r="I37" i="37"/>
  <c r="S37" i="37" s="1"/>
  <c r="T37" i="37"/>
  <c r="I38" i="37"/>
  <c r="S38" i="37" s="1"/>
  <c r="T38" i="37"/>
  <c r="I39" i="37"/>
  <c r="S39" i="37" s="1"/>
  <c r="T39" i="37"/>
  <c r="U23" i="6" l="1"/>
  <c r="K23" i="6"/>
  <c r="C23" i="6"/>
  <c r="T23" i="6"/>
  <c r="J23" i="6"/>
  <c r="R23" i="6"/>
  <c r="H23" i="6"/>
  <c r="Q23" i="6"/>
  <c r="G23" i="6"/>
  <c r="X23" i="6"/>
  <c r="P23" i="6"/>
  <c r="F23" i="6"/>
  <c r="W23" i="6"/>
  <c r="O23" i="6"/>
  <c r="E23" i="6"/>
  <c r="D23" i="6"/>
  <c r="I23" i="6"/>
  <c r="V23" i="6"/>
  <c r="L23" i="6"/>
  <c r="S23" i="6"/>
  <c r="B24" i="6"/>
  <c r="Q24" i="6" l="1"/>
  <c r="G24" i="6"/>
  <c r="X24" i="6"/>
  <c r="P24" i="6"/>
  <c r="F24" i="6"/>
  <c r="V24" i="6"/>
  <c r="L24" i="6"/>
  <c r="D24" i="6"/>
  <c r="U24" i="6"/>
  <c r="K24" i="6"/>
  <c r="C24" i="6"/>
  <c r="T24" i="6"/>
  <c r="J24" i="6"/>
  <c r="S24" i="6"/>
  <c r="I24" i="6"/>
  <c r="R24" i="6"/>
  <c r="O24" i="6"/>
  <c r="E24" i="6"/>
  <c r="H24" i="6"/>
  <c r="W24" i="6"/>
  <c r="B25" i="6"/>
  <c r="U25" i="6" l="1"/>
  <c r="K25" i="6"/>
  <c r="C25" i="6"/>
  <c r="T25" i="6"/>
  <c r="J25" i="6"/>
  <c r="R25" i="6"/>
  <c r="H25" i="6"/>
  <c r="Q25" i="6"/>
  <c r="G25" i="6"/>
  <c r="X25" i="6"/>
  <c r="P25" i="6"/>
  <c r="F25" i="6"/>
  <c r="W25" i="6"/>
  <c r="O25" i="6"/>
  <c r="E25" i="6"/>
  <c r="V25" i="6"/>
  <c r="S25" i="6"/>
  <c r="L25" i="6"/>
  <c r="D25" i="6"/>
  <c r="I25" i="6"/>
  <c r="B26" i="6"/>
  <c r="Q26" i="6" l="1"/>
  <c r="G26" i="6"/>
  <c r="X26" i="6"/>
  <c r="P26" i="6"/>
  <c r="F26" i="6"/>
  <c r="V26" i="6"/>
  <c r="L26" i="6"/>
  <c r="D26" i="6"/>
  <c r="U26" i="6"/>
  <c r="K26" i="6"/>
  <c r="C26" i="6"/>
  <c r="T26" i="6"/>
  <c r="J26" i="6"/>
  <c r="S26" i="6"/>
  <c r="I26" i="6"/>
  <c r="H26" i="6"/>
  <c r="O26" i="6"/>
  <c r="E26" i="6"/>
  <c r="W26" i="6"/>
  <c r="R26" i="6"/>
  <c r="B27" i="6"/>
  <c r="U27" i="6" l="1"/>
  <c r="K27" i="6"/>
  <c r="C27" i="6"/>
  <c r="T27" i="6"/>
  <c r="J27" i="6"/>
  <c r="R27" i="6"/>
  <c r="H27" i="6"/>
  <c r="Q27" i="6"/>
  <c r="G27" i="6"/>
  <c r="X27" i="6"/>
  <c r="P27" i="6"/>
  <c r="F27" i="6"/>
  <c r="W27" i="6"/>
  <c r="O27" i="6"/>
  <c r="E27" i="6"/>
  <c r="V27" i="6"/>
  <c r="S27" i="6"/>
  <c r="L27" i="6"/>
  <c r="I27" i="6"/>
  <c r="D27" i="6"/>
  <c r="B28" i="6"/>
  <c r="Q28" i="6" l="1"/>
  <c r="G28" i="6"/>
  <c r="X28" i="6"/>
  <c r="P28" i="6"/>
  <c r="F28" i="6"/>
  <c r="V28" i="6"/>
  <c r="L28" i="6"/>
  <c r="D28" i="6"/>
  <c r="U28" i="6"/>
  <c r="K28" i="6"/>
  <c r="C28" i="6"/>
  <c r="T28" i="6"/>
  <c r="J28" i="6"/>
  <c r="S28" i="6"/>
  <c r="I28" i="6"/>
  <c r="W28" i="6"/>
  <c r="R28" i="6"/>
  <c r="H28" i="6"/>
  <c r="E28" i="6"/>
  <c r="O28" i="6"/>
  <c r="B29" i="6"/>
  <c r="U29" i="6" l="1"/>
  <c r="K29" i="6"/>
  <c r="C29" i="6"/>
  <c r="T29" i="6"/>
  <c r="J29" i="6"/>
  <c r="R29" i="6"/>
  <c r="H29" i="6"/>
  <c r="Q29" i="6"/>
  <c r="G29" i="6"/>
  <c r="X29" i="6"/>
  <c r="P29" i="6"/>
  <c r="F29" i="6"/>
  <c r="W29" i="6"/>
  <c r="O29" i="6"/>
  <c r="E29" i="6"/>
  <c r="L29" i="6"/>
  <c r="I29" i="6"/>
  <c r="D29" i="6"/>
  <c r="V29" i="6"/>
  <c r="S29" i="6"/>
  <c r="B30" i="6"/>
  <c r="Q30" i="6" l="1"/>
  <c r="G30" i="6"/>
  <c r="X30" i="6"/>
  <c r="P30" i="6"/>
  <c r="F30" i="6"/>
  <c r="W30" i="6"/>
  <c r="V30" i="6"/>
  <c r="L30" i="6"/>
  <c r="D30" i="6"/>
  <c r="U30" i="6"/>
  <c r="K30" i="6"/>
  <c r="C30" i="6"/>
  <c r="T30" i="6"/>
  <c r="J30" i="6"/>
  <c r="S30" i="6"/>
  <c r="I30" i="6"/>
  <c r="R30" i="6"/>
  <c r="O30" i="6"/>
  <c r="H30" i="6"/>
  <c r="E30" i="6"/>
  <c r="N34" i="44"/>
  <c r="C39" i="44" l="1"/>
  <c r="O39" i="44" s="1"/>
  <c r="C38" i="44"/>
  <c r="C37" i="44"/>
  <c r="C36" i="44"/>
  <c r="C35" i="44"/>
  <c r="B39" i="44"/>
  <c r="N39" i="44" s="1"/>
  <c r="B38" i="44"/>
  <c r="N38" i="44" s="1"/>
  <c r="B37" i="44"/>
  <c r="N37" i="44" s="1"/>
  <c r="B36" i="44"/>
  <c r="N36" i="44" s="1"/>
  <c r="B32" i="44"/>
  <c r="N32" i="44" s="1"/>
  <c r="O38" i="6"/>
  <c r="O37" i="6"/>
  <c r="N37" i="6"/>
  <c r="O36" i="6"/>
  <c r="N36" i="6"/>
  <c r="O35" i="6"/>
  <c r="N35" i="6"/>
  <c r="O34" i="6"/>
  <c r="N32" i="6"/>
  <c r="N38" i="6"/>
  <c r="B33" i="6"/>
  <c r="N33" i="6" s="1"/>
  <c r="O35" i="44" l="1"/>
  <c r="O36" i="44"/>
  <c r="B33" i="44"/>
  <c r="N33" i="44" s="1"/>
  <c r="O37" i="44"/>
  <c r="O38" i="44"/>
  <c r="D37" i="43" l="1"/>
  <c r="B34" i="6" l="1"/>
  <c r="B35" i="44" l="1"/>
  <c r="N35" i="44" s="1"/>
  <c r="N34" i="6"/>
  <c r="D40" i="36"/>
  <c r="D38" i="36"/>
  <c r="B42" i="17" l="1"/>
  <c r="B10" i="17"/>
  <c r="B11" i="17" s="1"/>
  <c r="D38" i="43"/>
  <c r="D53" i="36" l="1"/>
  <c r="D49" i="43"/>
  <c r="D39" i="47"/>
  <c r="C49" i="43"/>
  <c r="C39" i="47"/>
  <c r="C53" i="36"/>
  <c r="B43" i="17"/>
  <c r="B12" i="45"/>
  <c r="D54" i="36" l="1"/>
  <c r="D40" i="47"/>
  <c r="D50" i="43"/>
  <c r="V12" i="45"/>
  <c r="N12" i="45"/>
  <c r="F12" i="45"/>
  <c r="U12" i="45"/>
  <c r="M12" i="45"/>
  <c r="E12" i="45"/>
  <c r="T12" i="45"/>
  <c r="L12" i="45"/>
  <c r="D12" i="45"/>
  <c r="S12" i="45"/>
  <c r="K12" i="45"/>
  <c r="C12" i="45"/>
  <c r="R12" i="45"/>
  <c r="J12" i="45"/>
  <c r="Q12" i="45"/>
  <c r="I12" i="45"/>
  <c r="P12" i="45"/>
  <c r="H12" i="45"/>
  <c r="O12" i="45"/>
  <c r="G12" i="45"/>
  <c r="C54" i="36"/>
  <c r="C40" i="47"/>
  <c r="C50" i="43"/>
  <c r="B44" i="17"/>
  <c r="B13" i="45"/>
  <c r="B12" i="44"/>
  <c r="D41" i="47" l="1"/>
  <c r="D55" i="36"/>
  <c r="D51" i="43"/>
  <c r="R13" i="45"/>
  <c r="J13" i="45"/>
  <c r="Q13" i="45"/>
  <c r="I13" i="45"/>
  <c r="P13" i="45"/>
  <c r="H13" i="45"/>
  <c r="O13" i="45"/>
  <c r="G13" i="45"/>
  <c r="V13" i="45"/>
  <c r="N13" i="45"/>
  <c r="F13" i="45"/>
  <c r="U13" i="45"/>
  <c r="M13" i="45"/>
  <c r="E13" i="45"/>
  <c r="T13" i="45"/>
  <c r="L13" i="45"/>
  <c r="D13" i="45"/>
  <c r="S13" i="45"/>
  <c r="K13" i="45"/>
  <c r="C13" i="45"/>
  <c r="C51" i="43"/>
  <c r="C41" i="47"/>
  <c r="C55" i="36"/>
  <c r="B45" i="17"/>
  <c r="B14" i="45"/>
  <c r="B13" i="44"/>
  <c r="D52" i="43" l="1"/>
  <c r="D42" i="47"/>
  <c r="D56" i="36"/>
  <c r="C42" i="47"/>
  <c r="C52" i="43"/>
  <c r="C56" i="36"/>
  <c r="V14" i="45"/>
  <c r="N14" i="45"/>
  <c r="F14" i="45"/>
  <c r="U14" i="45"/>
  <c r="M14" i="45"/>
  <c r="E14" i="45"/>
  <c r="T14" i="45"/>
  <c r="L14" i="45"/>
  <c r="D14" i="45"/>
  <c r="S14" i="45"/>
  <c r="K14" i="45"/>
  <c r="C14" i="45"/>
  <c r="R14" i="45"/>
  <c r="J14" i="45"/>
  <c r="Q14" i="45"/>
  <c r="I14" i="45"/>
  <c r="P14" i="45"/>
  <c r="H14" i="45"/>
  <c r="G14" i="45"/>
  <c r="O14" i="45"/>
  <c r="B46" i="17"/>
  <c r="B15" i="45"/>
  <c r="B14" i="44"/>
  <c r="D43" i="47" l="1"/>
  <c r="D53" i="43"/>
  <c r="D57" i="36"/>
  <c r="G43" i="47"/>
  <c r="R15" i="45"/>
  <c r="J15" i="45"/>
  <c r="Q15" i="45"/>
  <c r="I15" i="45"/>
  <c r="P15" i="45"/>
  <c r="H15" i="45"/>
  <c r="O15" i="45"/>
  <c r="G15" i="45"/>
  <c r="V15" i="45"/>
  <c r="N15" i="45"/>
  <c r="F15" i="45"/>
  <c r="U15" i="45"/>
  <c r="M15" i="45"/>
  <c r="E15" i="45"/>
  <c r="T15" i="45"/>
  <c r="L15" i="45"/>
  <c r="D15" i="45"/>
  <c r="S15" i="45"/>
  <c r="C15" i="45"/>
  <c r="K15" i="45"/>
  <c r="C53" i="43"/>
  <c r="C43" i="47"/>
  <c r="C57" i="36"/>
  <c r="B47" i="17"/>
  <c r="B16" i="45"/>
  <c r="B15" i="44"/>
  <c r="D54" i="43" l="1"/>
  <c r="D44" i="47"/>
  <c r="D58" i="36"/>
  <c r="G44" i="47"/>
  <c r="V16" i="45"/>
  <c r="N16" i="45"/>
  <c r="F16" i="45"/>
  <c r="U16" i="45"/>
  <c r="M16" i="45"/>
  <c r="E16" i="45"/>
  <c r="T16" i="45"/>
  <c r="L16" i="45"/>
  <c r="D16" i="45"/>
  <c r="S16" i="45"/>
  <c r="K16" i="45"/>
  <c r="C16" i="45"/>
  <c r="R16" i="45"/>
  <c r="J16" i="45"/>
  <c r="Q16" i="45"/>
  <c r="I16" i="45"/>
  <c r="P16" i="45"/>
  <c r="H16" i="45"/>
  <c r="O16" i="45"/>
  <c r="G16" i="45"/>
  <c r="C58" i="36"/>
  <c r="C44" i="47"/>
  <c r="C54" i="43"/>
  <c r="B48" i="17"/>
  <c r="B17" i="45"/>
  <c r="B16" i="44"/>
  <c r="E41" i="17" l="1"/>
  <c r="G45" i="47"/>
  <c r="R17" i="45"/>
  <c r="J17" i="45"/>
  <c r="Q17" i="45"/>
  <c r="I17" i="45"/>
  <c r="P17" i="45"/>
  <c r="H17" i="45"/>
  <c r="O17" i="45"/>
  <c r="G17" i="45"/>
  <c r="V17" i="45"/>
  <c r="N17" i="45"/>
  <c r="F17" i="45"/>
  <c r="U17" i="45"/>
  <c r="M17" i="45"/>
  <c r="E17" i="45"/>
  <c r="T17" i="45"/>
  <c r="L17" i="45"/>
  <c r="D17" i="45"/>
  <c r="K17" i="45"/>
  <c r="C17" i="45"/>
  <c r="S17" i="45"/>
  <c r="C55" i="43"/>
  <c r="C45" i="47"/>
  <c r="I10" i="47" s="1"/>
  <c r="C59" i="36"/>
  <c r="B18" i="45"/>
  <c r="B17" i="44"/>
  <c r="D55" i="43" l="1"/>
  <c r="D45" i="47"/>
  <c r="D59" i="36"/>
  <c r="E38" i="47"/>
  <c r="E48" i="43"/>
  <c r="F52" i="36"/>
  <c r="E42" i="17"/>
  <c r="I11" i="47"/>
  <c r="I12" i="47" s="1"/>
  <c r="I13" i="47" s="1"/>
  <c r="I14" i="47" s="1"/>
  <c r="I15" i="47" s="1"/>
  <c r="G46" i="47"/>
  <c r="V18" i="45"/>
  <c r="N18" i="45"/>
  <c r="F18" i="45"/>
  <c r="U18" i="45"/>
  <c r="M18" i="45"/>
  <c r="E18" i="45"/>
  <c r="T18" i="45"/>
  <c r="L18" i="45"/>
  <c r="D18" i="45"/>
  <c r="S18" i="45"/>
  <c r="K18" i="45"/>
  <c r="C18" i="45"/>
  <c r="R18" i="45"/>
  <c r="J18" i="45"/>
  <c r="Q18" i="45"/>
  <c r="I18" i="45"/>
  <c r="P18" i="45"/>
  <c r="H18" i="45"/>
  <c r="G18" i="45"/>
  <c r="O18" i="45"/>
  <c r="B19" i="45"/>
  <c r="B18" i="44"/>
  <c r="F38" i="47" l="1"/>
  <c r="G52" i="36"/>
  <c r="F48" i="43"/>
  <c r="E39" i="47"/>
  <c r="E49" i="43"/>
  <c r="F53" i="36"/>
  <c r="I16" i="47"/>
  <c r="E43" i="17"/>
  <c r="R19" i="45"/>
  <c r="J19" i="45"/>
  <c r="Q19" i="45"/>
  <c r="I19" i="45"/>
  <c r="P19" i="45"/>
  <c r="H19" i="45"/>
  <c r="O19" i="45"/>
  <c r="G19" i="45"/>
  <c r="V19" i="45"/>
  <c r="N19" i="45"/>
  <c r="F19" i="45"/>
  <c r="U19" i="45"/>
  <c r="M19" i="45"/>
  <c r="E19" i="45"/>
  <c r="T19" i="45"/>
  <c r="L19" i="45"/>
  <c r="D19" i="45"/>
  <c r="S19" i="45"/>
  <c r="K19" i="45"/>
  <c r="C19" i="45"/>
  <c r="B20" i="45"/>
  <c r="B19" i="44"/>
  <c r="E50" i="43" l="1"/>
  <c r="F54" i="36"/>
  <c r="E40" i="47"/>
  <c r="I17" i="47"/>
  <c r="G53" i="36"/>
  <c r="F39" i="47"/>
  <c r="F49" i="43"/>
  <c r="E44" i="17"/>
  <c r="V20" i="45"/>
  <c r="N20" i="45"/>
  <c r="F20" i="45"/>
  <c r="U20" i="45"/>
  <c r="M20" i="45"/>
  <c r="E20" i="45"/>
  <c r="T20" i="45"/>
  <c r="L20" i="45"/>
  <c r="D20" i="45"/>
  <c r="S20" i="45"/>
  <c r="K20" i="45"/>
  <c r="C20" i="45"/>
  <c r="R20" i="45"/>
  <c r="J20" i="45"/>
  <c r="Q20" i="45"/>
  <c r="I20" i="45"/>
  <c r="P20" i="45"/>
  <c r="H20" i="45"/>
  <c r="O20" i="45"/>
  <c r="G20" i="45"/>
  <c r="B21" i="45"/>
  <c r="B20" i="44"/>
  <c r="F55" i="36" l="1"/>
  <c r="E41" i="47"/>
  <c r="E51" i="43"/>
  <c r="G54" i="36"/>
  <c r="F40" i="47"/>
  <c r="I18" i="47" s="1"/>
  <c r="F50" i="43"/>
  <c r="E45" i="17"/>
  <c r="R21" i="45"/>
  <c r="J21" i="45"/>
  <c r="Q21" i="45"/>
  <c r="I21" i="45"/>
  <c r="P21" i="45"/>
  <c r="H21" i="45"/>
  <c r="O21" i="45"/>
  <c r="G21" i="45"/>
  <c r="V21" i="45"/>
  <c r="N21" i="45"/>
  <c r="F21" i="45"/>
  <c r="U21" i="45"/>
  <c r="M21" i="45"/>
  <c r="E21" i="45"/>
  <c r="T21" i="45"/>
  <c r="L21" i="45"/>
  <c r="D21" i="45"/>
  <c r="K21" i="45"/>
  <c r="C21" i="45"/>
  <c r="S21" i="45"/>
  <c r="B22" i="45"/>
  <c r="B21" i="44"/>
  <c r="I19" i="47" l="1"/>
  <c r="E42" i="47"/>
  <c r="E52" i="43"/>
  <c r="F56" i="36"/>
  <c r="F51" i="43"/>
  <c r="F41" i="47"/>
  <c r="G55" i="36"/>
  <c r="E46" i="17"/>
  <c r="V22" i="45"/>
  <c r="N22" i="45"/>
  <c r="F22" i="45"/>
  <c r="U22" i="45"/>
  <c r="M22" i="45"/>
  <c r="E22" i="45"/>
  <c r="T22" i="45"/>
  <c r="L22" i="45"/>
  <c r="D22" i="45"/>
  <c r="S22" i="45"/>
  <c r="K22" i="45"/>
  <c r="C22" i="45"/>
  <c r="R22" i="45"/>
  <c r="J22" i="45"/>
  <c r="Q22" i="45"/>
  <c r="I22" i="45"/>
  <c r="P22" i="45"/>
  <c r="H22" i="45"/>
  <c r="O22" i="45"/>
  <c r="G22" i="45"/>
  <c r="B23" i="45"/>
  <c r="B22" i="44"/>
  <c r="F57" i="36" l="1"/>
  <c r="E43" i="47"/>
  <c r="E53" i="43"/>
  <c r="F52" i="43"/>
  <c r="G56" i="36"/>
  <c r="F42" i="47"/>
  <c r="I20" i="47"/>
  <c r="E47" i="17"/>
  <c r="R23" i="45"/>
  <c r="J23" i="45"/>
  <c r="Q23" i="45"/>
  <c r="I23" i="45"/>
  <c r="P23" i="45"/>
  <c r="H23" i="45"/>
  <c r="O23" i="45"/>
  <c r="G23" i="45"/>
  <c r="V23" i="45"/>
  <c r="N23" i="45"/>
  <c r="F23" i="45"/>
  <c r="U23" i="45"/>
  <c r="M23" i="45"/>
  <c r="E23" i="45"/>
  <c r="T23" i="45"/>
  <c r="L23" i="45"/>
  <c r="D23" i="45"/>
  <c r="S23" i="45"/>
  <c r="K23" i="45"/>
  <c r="C23" i="45"/>
  <c r="B24" i="45"/>
  <c r="B23" i="44"/>
  <c r="F43" i="47" l="1"/>
  <c r="F53" i="43"/>
  <c r="G57" i="36"/>
  <c r="I21" i="47"/>
  <c r="F58" i="36"/>
  <c r="E54" i="43"/>
  <c r="E44" i="47"/>
  <c r="E48" i="17"/>
  <c r="V24" i="45"/>
  <c r="N24" i="45"/>
  <c r="F24" i="45"/>
  <c r="U24" i="45"/>
  <c r="M24" i="45"/>
  <c r="E24" i="45"/>
  <c r="T24" i="45"/>
  <c r="L24" i="45"/>
  <c r="D24" i="45"/>
  <c r="S24" i="45"/>
  <c r="K24" i="45"/>
  <c r="C24" i="45"/>
  <c r="R24" i="45"/>
  <c r="J24" i="45"/>
  <c r="Q24" i="45"/>
  <c r="I24" i="45"/>
  <c r="P24" i="45"/>
  <c r="H24" i="45"/>
  <c r="O24" i="45"/>
  <c r="G24" i="45"/>
  <c r="B25" i="45"/>
  <c r="B24" i="44"/>
  <c r="F54" i="43" l="1"/>
  <c r="G58" i="36"/>
  <c r="F44" i="47"/>
  <c r="I22" i="47" s="1"/>
  <c r="E45" i="47"/>
  <c r="F59" i="36"/>
  <c r="E55" i="43"/>
  <c r="H41" i="17"/>
  <c r="R25" i="45"/>
  <c r="J25" i="45"/>
  <c r="Q25" i="45"/>
  <c r="I25" i="45"/>
  <c r="P25" i="45"/>
  <c r="H25" i="45"/>
  <c r="O25" i="45"/>
  <c r="G25" i="45"/>
  <c r="V25" i="45"/>
  <c r="N25" i="45"/>
  <c r="F25" i="45"/>
  <c r="U25" i="45"/>
  <c r="M25" i="45"/>
  <c r="E25" i="45"/>
  <c r="T25" i="45"/>
  <c r="L25" i="45"/>
  <c r="D25" i="45"/>
  <c r="S25" i="45"/>
  <c r="K25" i="45"/>
  <c r="C25" i="45"/>
  <c r="B26" i="45"/>
  <c r="B25" i="44"/>
  <c r="G38" i="47" l="1"/>
  <c r="I52" i="36"/>
  <c r="G48" i="43"/>
  <c r="F45" i="47"/>
  <c r="I23" i="47" s="1"/>
  <c r="G59" i="36"/>
  <c r="F55" i="43"/>
  <c r="H42" i="17"/>
  <c r="V26" i="45"/>
  <c r="N26" i="45"/>
  <c r="F26" i="45"/>
  <c r="U26" i="45"/>
  <c r="M26" i="45"/>
  <c r="E26" i="45"/>
  <c r="T26" i="45"/>
  <c r="L26" i="45"/>
  <c r="D26" i="45"/>
  <c r="S26" i="45"/>
  <c r="K26" i="45"/>
  <c r="C26" i="45"/>
  <c r="R26" i="45"/>
  <c r="J26" i="45"/>
  <c r="Q26" i="45"/>
  <c r="I26" i="45"/>
  <c r="P26" i="45"/>
  <c r="H26" i="45"/>
  <c r="O26" i="45"/>
  <c r="G26" i="45"/>
  <c r="B27" i="45"/>
  <c r="B26" i="44"/>
  <c r="I24" i="47" l="1"/>
  <c r="I8" i="47"/>
  <c r="G49" i="43"/>
  <c r="I53" i="36"/>
  <c r="G39" i="47"/>
  <c r="J52" i="36"/>
  <c r="H48" i="43"/>
  <c r="H38" i="47"/>
  <c r="H43" i="17"/>
  <c r="R27" i="45"/>
  <c r="J27" i="45"/>
  <c r="Q27" i="45"/>
  <c r="I27" i="45"/>
  <c r="P27" i="45"/>
  <c r="H27" i="45"/>
  <c r="O27" i="45"/>
  <c r="G27" i="45"/>
  <c r="V27" i="45"/>
  <c r="N27" i="45"/>
  <c r="F27" i="45"/>
  <c r="U27" i="45"/>
  <c r="M27" i="45"/>
  <c r="E27" i="45"/>
  <c r="T27" i="45"/>
  <c r="L27" i="45"/>
  <c r="D27" i="45"/>
  <c r="C27" i="45"/>
  <c r="K27" i="45"/>
  <c r="S27" i="45"/>
  <c r="B28" i="45"/>
  <c r="B27" i="44"/>
  <c r="G40" i="47" l="1"/>
  <c r="G50" i="43"/>
  <c r="I54" i="36"/>
  <c r="J53" i="36"/>
  <c r="H49" i="43"/>
  <c r="H39" i="47"/>
  <c r="I25" i="47"/>
  <c r="H44" i="17"/>
  <c r="V28" i="45"/>
  <c r="N28" i="45"/>
  <c r="F28" i="45"/>
  <c r="U28" i="45"/>
  <c r="M28" i="45"/>
  <c r="E28" i="45"/>
  <c r="T28" i="45"/>
  <c r="L28" i="45"/>
  <c r="D28" i="45"/>
  <c r="S28" i="45"/>
  <c r="K28" i="45"/>
  <c r="C28" i="45"/>
  <c r="R28" i="45"/>
  <c r="J28" i="45"/>
  <c r="Q28" i="45"/>
  <c r="I28" i="45"/>
  <c r="P28" i="45"/>
  <c r="H28" i="45"/>
  <c r="O28" i="45"/>
  <c r="G28" i="45"/>
  <c r="B29" i="45"/>
  <c r="B28" i="44"/>
  <c r="I55" i="36" l="1"/>
  <c r="G51" i="43"/>
  <c r="G41" i="47"/>
  <c r="I26" i="47"/>
  <c r="H40" i="47"/>
  <c r="H50" i="43"/>
  <c r="J54" i="36"/>
  <c r="H45" i="17"/>
  <c r="R29" i="45"/>
  <c r="J29" i="45"/>
  <c r="Q29" i="45"/>
  <c r="I29" i="45"/>
  <c r="P29" i="45"/>
  <c r="H29" i="45"/>
  <c r="O29" i="45"/>
  <c r="G29" i="45"/>
  <c r="V29" i="45"/>
  <c r="N29" i="45"/>
  <c r="F29" i="45"/>
  <c r="U29" i="45"/>
  <c r="M29" i="45"/>
  <c r="E29" i="45"/>
  <c r="T29" i="45"/>
  <c r="L29" i="45"/>
  <c r="D29" i="45"/>
  <c r="S29" i="45"/>
  <c r="K29" i="45"/>
  <c r="C29" i="45"/>
  <c r="B30" i="45"/>
  <c r="B29" i="44"/>
  <c r="G52" i="43" l="1"/>
  <c r="I56" i="36"/>
  <c r="G42" i="47"/>
  <c r="I27" i="47"/>
  <c r="H51" i="43"/>
  <c r="H41" i="47"/>
  <c r="J55" i="36"/>
  <c r="D10" i="17"/>
  <c r="D11" i="17" s="1"/>
  <c r="C10" i="17"/>
  <c r="C11" i="17" s="1"/>
  <c r="V30" i="45"/>
  <c r="N30" i="45"/>
  <c r="F30" i="45"/>
  <c r="U30" i="45"/>
  <c r="M30" i="45"/>
  <c r="E30" i="45"/>
  <c r="F11" i="37" s="1"/>
  <c r="T30" i="45"/>
  <c r="V11" i="37" s="1"/>
  <c r="L30" i="45"/>
  <c r="D30" i="45"/>
  <c r="S30" i="45"/>
  <c r="K30" i="45"/>
  <c r="C30" i="45"/>
  <c r="R30" i="45"/>
  <c r="J30" i="45"/>
  <c r="L11" i="37" s="1"/>
  <c r="Q30" i="45"/>
  <c r="Q11" i="37" s="1"/>
  <c r="I30" i="45"/>
  <c r="P30" i="45"/>
  <c r="H30" i="45"/>
  <c r="G30" i="45"/>
  <c r="O30" i="45"/>
  <c r="P11" i="37" s="1"/>
  <c r="B30" i="44"/>
  <c r="G11" i="37" l="1"/>
  <c r="W11" i="37"/>
  <c r="M11" i="37"/>
  <c r="H52" i="43"/>
  <c r="J56" i="36"/>
  <c r="H42" i="47"/>
  <c r="I28" i="47"/>
  <c r="E5" i="43" l="1"/>
  <c r="B11" i="43"/>
  <c r="C35" i="43"/>
  <c r="C36" i="43"/>
  <c r="C37" i="43"/>
  <c r="C38" i="43"/>
  <c r="C41" i="43"/>
  <c r="D10" i="43"/>
  <c r="D11" i="43" l="1"/>
  <c r="B12" i="43"/>
  <c r="D12" i="43" l="1"/>
  <c r="B13" i="43"/>
  <c r="D13" i="43" l="1"/>
  <c r="B14" i="43"/>
  <c r="D14" i="43" s="1"/>
  <c r="B15" i="43" l="1"/>
  <c r="D15" i="43" s="1"/>
  <c r="B16" i="43" l="1"/>
  <c r="D16" i="43" s="1"/>
  <c r="B17" i="43" l="1"/>
  <c r="D17" i="43" s="1"/>
  <c r="E17" i="43" s="1"/>
  <c r="I11" i="43" l="1"/>
  <c r="B18" i="43"/>
  <c r="D18" i="43" s="1"/>
  <c r="E18" i="43"/>
  <c r="I12" i="43" l="1"/>
  <c r="I13" i="43" s="1"/>
  <c r="I14" i="43" s="1"/>
  <c r="I15" i="43" s="1"/>
  <c r="I16" i="43" s="1"/>
  <c r="I17" i="43" s="1"/>
  <c r="I18" i="43" s="1"/>
  <c r="B19" i="43"/>
  <c r="D19" i="43" s="1"/>
  <c r="E19" i="43" l="1"/>
  <c r="E20" i="43" s="1"/>
  <c r="B20" i="43"/>
  <c r="D20" i="43" s="1"/>
  <c r="I19" i="43"/>
  <c r="I20" i="43" l="1"/>
  <c r="B21" i="43"/>
  <c r="D21" i="43" s="1"/>
  <c r="E21" i="43" l="1"/>
  <c r="E22" i="43" s="1"/>
  <c r="B22" i="43"/>
  <c r="D22" i="43" s="1"/>
  <c r="I21" i="43"/>
  <c r="I22" i="43" l="1"/>
  <c r="B23" i="43"/>
  <c r="D23" i="43" s="1"/>
  <c r="E23" i="43" l="1"/>
  <c r="E24" i="43" s="1"/>
  <c r="B24" i="43"/>
  <c r="D24" i="43" s="1"/>
  <c r="I23" i="43"/>
  <c r="I24" i="43" l="1"/>
  <c r="I8" i="43" s="1"/>
  <c r="B25" i="43"/>
  <c r="D25" i="43" s="1"/>
  <c r="E25" i="43" l="1"/>
  <c r="E26" i="43" s="1"/>
  <c r="I25" i="43"/>
  <c r="B26" i="43"/>
  <c r="D26" i="43" s="1"/>
  <c r="B27" i="43" l="1"/>
  <c r="D27" i="43" s="1"/>
  <c r="I26" i="43"/>
  <c r="E27" i="43" l="1"/>
  <c r="E28" i="43" s="1"/>
  <c r="I27" i="43"/>
  <c r="B28" i="43"/>
  <c r="D28" i="43" s="1"/>
  <c r="B29" i="43" l="1"/>
  <c r="I28" i="43"/>
  <c r="D29" i="43" l="1"/>
  <c r="B30" i="43"/>
  <c r="E29" i="43"/>
  <c r="E30" i="43" s="1"/>
  <c r="I29" i="43"/>
  <c r="I30" i="43" s="1"/>
  <c r="D30" i="43" l="1"/>
  <c r="F29" i="43"/>
  <c r="F30" i="43"/>
  <c r="D28" i="47" s="1"/>
  <c r="C28" i="47" s="1"/>
  <c r="E28" i="47" s="1"/>
  <c r="F10" i="43"/>
  <c r="F11" i="43"/>
  <c r="D9" i="47" l="1"/>
  <c r="F12" i="43"/>
  <c r="D10" i="47" l="1"/>
  <c r="F13" i="43"/>
  <c r="D11" i="47" l="1"/>
  <c r="F14" i="43"/>
  <c r="D12" i="47" l="1"/>
  <c r="F15" i="43"/>
  <c r="D13" i="47" l="1"/>
  <c r="F16" i="43"/>
  <c r="D14" i="47" l="1"/>
  <c r="F17" i="43"/>
  <c r="D15" i="47" s="1"/>
  <c r="F18" i="43" l="1"/>
  <c r="D16" i="47" l="1"/>
  <c r="C16" i="47" s="1"/>
  <c r="E16" i="47" s="1"/>
  <c r="F19" i="43"/>
  <c r="D17" i="47" s="1"/>
  <c r="C17" i="47" s="1"/>
  <c r="E17" i="47" s="1"/>
  <c r="F20" i="43" l="1"/>
  <c r="D18" i="47" s="1"/>
  <c r="C18" i="47" s="1"/>
  <c r="E18" i="47" s="1"/>
  <c r="F21" i="43" l="1"/>
  <c r="D19" i="47" s="1"/>
  <c r="C19" i="47" s="1"/>
  <c r="E19" i="47" s="1"/>
  <c r="F22" i="43" l="1"/>
  <c r="D20" i="47" s="1"/>
  <c r="C20" i="47" s="1"/>
  <c r="E20" i="47" s="1"/>
  <c r="F23" i="43" l="1"/>
  <c r="D21" i="47" s="1"/>
  <c r="C21" i="47" s="1"/>
  <c r="E21" i="47" s="1"/>
  <c r="F24" i="43" l="1"/>
  <c r="D22" i="47" s="1"/>
  <c r="C22" i="47" s="1"/>
  <c r="E22" i="47" s="1"/>
  <c r="F25" i="43" l="1"/>
  <c r="B9" i="36"/>
  <c r="B3" i="36" s="1"/>
  <c r="B11" i="36"/>
  <c r="B12" i="36" s="1"/>
  <c r="B13" i="36" s="1"/>
  <c r="C37" i="36"/>
  <c r="C39" i="36"/>
  <c r="C40" i="36"/>
  <c r="C10" i="36"/>
  <c r="D10" i="36" s="1"/>
  <c r="D37" i="36"/>
  <c r="D23" i="47" l="1"/>
  <c r="C23" i="47" s="1"/>
  <c r="E23" i="47" s="1"/>
  <c r="F26" i="43"/>
  <c r="D24" i="47" s="1"/>
  <c r="C24" i="47" s="1"/>
  <c r="E24" i="47" s="1"/>
  <c r="C47" i="36"/>
  <c r="E10" i="36" s="1"/>
  <c r="B14" i="36"/>
  <c r="B15" i="36" l="1"/>
  <c r="F27" i="43"/>
  <c r="D25" i="47" s="1"/>
  <c r="C25" i="47" s="1"/>
  <c r="E25" i="47" s="1"/>
  <c r="F28" i="43" l="1"/>
  <c r="B16" i="36"/>
  <c r="D26" i="47" l="1"/>
  <c r="C26" i="47" s="1"/>
  <c r="E26" i="47" s="1"/>
  <c r="D27" i="47"/>
  <c r="C27" i="47" s="1"/>
  <c r="E27" i="47" s="1"/>
  <c r="B17" i="36"/>
  <c r="B18" i="36" l="1"/>
  <c r="B19" i="36" l="1"/>
  <c r="B20" i="36" l="1"/>
  <c r="E11" i="36"/>
  <c r="E12" i="36" s="1"/>
  <c r="E13" i="36" s="1"/>
  <c r="E14" i="36" s="1"/>
  <c r="E15" i="36" s="1"/>
  <c r="E16" i="36" s="1"/>
  <c r="E17" i="36" s="1"/>
  <c r="E18" i="36" s="1"/>
  <c r="E19" i="36" s="1"/>
  <c r="E20" i="36" s="1"/>
  <c r="D11" i="36"/>
  <c r="D12" i="36" s="1"/>
  <c r="D13" i="36" s="1"/>
  <c r="G13" i="36" l="1"/>
  <c r="B21" i="36"/>
  <c r="E21" i="36" s="1"/>
  <c r="D14" i="36"/>
  <c r="G14" i="36" s="1"/>
  <c r="B22" i="36" l="1"/>
  <c r="E22" i="36"/>
  <c r="I13" i="36"/>
  <c r="D15" i="36"/>
  <c r="G15" i="36" s="1"/>
  <c r="B23" i="36" l="1"/>
  <c r="I14" i="36"/>
  <c r="D16" i="36"/>
  <c r="G16" i="36" s="1"/>
  <c r="B24" i="36" l="1"/>
  <c r="E23" i="36"/>
  <c r="E24" i="36" s="1"/>
  <c r="I15" i="36"/>
  <c r="D17" i="36"/>
  <c r="G17" i="36" s="1"/>
  <c r="B25" i="36" l="1"/>
  <c r="E25" i="36" s="1"/>
  <c r="I16" i="36"/>
  <c r="D18" i="36"/>
  <c r="G18" i="36" s="1"/>
  <c r="C9" i="47" l="1"/>
  <c r="E9" i="47" s="1"/>
  <c r="B26" i="36"/>
  <c r="I17" i="36"/>
  <c r="D19" i="36"/>
  <c r="G19" i="36" s="1"/>
  <c r="C10" i="47" l="1"/>
  <c r="E10" i="47" s="1"/>
  <c r="B27" i="36"/>
  <c r="E26" i="36"/>
  <c r="I18" i="36"/>
  <c r="D20" i="36"/>
  <c r="G20" i="36" s="1"/>
  <c r="C11" i="47" l="1"/>
  <c r="E11" i="47" s="1"/>
  <c r="E27" i="36"/>
  <c r="B28" i="36"/>
  <c r="I19" i="36"/>
  <c r="D21" i="36"/>
  <c r="G21" i="36" s="1"/>
  <c r="C12" i="47" l="1"/>
  <c r="E12" i="47" s="1"/>
  <c r="B29" i="36"/>
  <c r="E28" i="36"/>
  <c r="I20" i="36"/>
  <c r="D22" i="36"/>
  <c r="G22" i="36" s="1"/>
  <c r="C13" i="47" l="1"/>
  <c r="E13" i="47" s="1"/>
  <c r="E29" i="36"/>
  <c r="B30" i="36"/>
  <c r="I21" i="36"/>
  <c r="C15" i="47" s="1"/>
  <c r="E15" i="47" s="1"/>
  <c r="D23" i="36"/>
  <c r="G23" i="36" s="1"/>
  <c r="C14" i="47" l="1"/>
  <c r="E14" i="47" s="1"/>
  <c r="F9" i="47" s="1"/>
  <c r="B31" i="36"/>
  <c r="B32" i="36" s="1"/>
  <c r="B33" i="36" s="1"/>
  <c r="B34" i="36" s="1"/>
  <c r="E30" i="36"/>
  <c r="E31" i="36" s="1"/>
  <c r="E32" i="36" s="1"/>
  <c r="E33" i="36" s="1"/>
  <c r="E34" i="36" s="1"/>
  <c r="E35" i="36" s="1"/>
  <c r="I22" i="36"/>
  <c r="D24" i="36"/>
  <c r="G24" i="36" s="1"/>
  <c r="C13" i="37" l="1"/>
  <c r="T13" i="37" s="1"/>
  <c r="V13" i="37" s="1"/>
  <c r="F10" i="47"/>
  <c r="F11" i="47" s="1"/>
  <c r="I23" i="36"/>
  <c r="D25" i="36"/>
  <c r="G25" i="36" s="1"/>
  <c r="J13" i="37" l="1"/>
  <c r="L13" i="37" s="1"/>
  <c r="D13" i="37"/>
  <c r="F13" i="37" s="1"/>
  <c r="N13" i="37"/>
  <c r="P13" i="37" s="1"/>
  <c r="O13" i="37"/>
  <c r="Q13" i="37" s="1"/>
  <c r="K13" i="37"/>
  <c r="M13" i="37" s="1"/>
  <c r="U13" i="37"/>
  <c r="W13" i="37" s="1"/>
  <c r="E13" i="37"/>
  <c r="G13" i="37" s="1"/>
  <c r="C14" i="37"/>
  <c r="N14" i="37" s="1"/>
  <c r="P14" i="37" s="1"/>
  <c r="F12" i="47"/>
  <c r="C15" i="37"/>
  <c r="I24" i="36"/>
  <c r="D26" i="36"/>
  <c r="G26" i="36" s="1"/>
  <c r="U14" i="37" l="1"/>
  <c r="W14" i="37" s="1"/>
  <c r="T14" i="37"/>
  <c r="V14" i="37" s="1"/>
  <c r="E14" i="37"/>
  <c r="G14" i="37" s="1"/>
  <c r="D14" i="37"/>
  <c r="F14" i="37" s="1"/>
  <c r="K14" i="37"/>
  <c r="M14" i="37" s="1"/>
  <c r="J14" i="37"/>
  <c r="L14" i="37" s="1"/>
  <c r="O14" i="37"/>
  <c r="Q14" i="37" s="1"/>
  <c r="U15" i="37"/>
  <c r="W15" i="37" s="1"/>
  <c r="T15" i="37"/>
  <c r="V15" i="37" s="1"/>
  <c r="O15" i="37"/>
  <c r="N15" i="37"/>
  <c r="P15" i="37" s="1"/>
  <c r="K15" i="37"/>
  <c r="M15" i="37" s="1"/>
  <c r="J15" i="37"/>
  <c r="L15" i="37" s="1"/>
  <c r="E15" i="37"/>
  <c r="G15" i="37" s="1"/>
  <c r="D15" i="37"/>
  <c r="F15" i="37" s="1"/>
  <c r="F13" i="47"/>
  <c r="C16" i="37"/>
  <c r="I25" i="36"/>
  <c r="D27" i="36"/>
  <c r="G27" i="36" s="1"/>
  <c r="Q15" i="37" l="1"/>
  <c r="T16" i="37"/>
  <c r="V16" i="37" s="1"/>
  <c r="U16" i="37"/>
  <c r="W16" i="37" s="1"/>
  <c r="D16" i="37"/>
  <c r="F16" i="37" s="1"/>
  <c r="N16" i="37"/>
  <c r="P16" i="37" s="1"/>
  <c r="O16" i="37"/>
  <c r="J16" i="37"/>
  <c r="L16" i="37" s="1"/>
  <c r="E16" i="37"/>
  <c r="G16" i="37" s="1"/>
  <c r="K16" i="37"/>
  <c r="M16" i="37" s="1"/>
  <c r="F14" i="47"/>
  <c r="C17" i="37"/>
  <c r="I26" i="36"/>
  <c r="D28" i="36"/>
  <c r="G28" i="36" s="1"/>
  <c r="Q16" i="37" l="1"/>
  <c r="U17" i="37"/>
  <c r="W17" i="37" s="1"/>
  <c r="T17" i="37"/>
  <c r="V17" i="37" s="1"/>
  <c r="K17" i="37"/>
  <c r="M17" i="37" s="1"/>
  <c r="N17" i="37"/>
  <c r="P17" i="37" s="1"/>
  <c r="O17" i="37"/>
  <c r="J17" i="37"/>
  <c r="L17" i="37" s="1"/>
  <c r="D17" i="37"/>
  <c r="F17" i="37" s="1"/>
  <c r="E17" i="37"/>
  <c r="G17" i="37" s="1"/>
  <c r="F15" i="47"/>
  <c r="C18" i="37"/>
  <c r="I27" i="36"/>
  <c r="D29" i="36"/>
  <c r="G29" i="36" s="1"/>
  <c r="Q17" i="37" l="1"/>
  <c r="T18" i="37"/>
  <c r="V18" i="37" s="1"/>
  <c r="U18" i="37"/>
  <c r="W18" i="37" s="1"/>
  <c r="N18" i="37"/>
  <c r="P18" i="37" s="1"/>
  <c r="O18" i="37"/>
  <c r="Q18" i="37" s="1"/>
  <c r="K18" i="37"/>
  <c r="M18" i="37" s="1"/>
  <c r="E18" i="37"/>
  <c r="G18" i="37" s="1"/>
  <c r="J18" i="37"/>
  <c r="L18" i="37" s="1"/>
  <c r="D18" i="37"/>
  <c r="F18" i="37" s="1"/>
  <c r="F16" i="47"/>
  <c r="C19" i="37"/>
  <c r="I28" i="36"/>
  <c r="D30" i="36"/>
  <c r="G30" i="36" s="1"/>
  <c r="U19" i="37" l="1"/>
  <c r="W19" i="37" s="1"/>
  <c r="T19" i="37"/>
  <c r="V19" i="37" s="1"/>
  <c r="O19" i="37"/>
  <c r="N19" i="37"/>
  <c r="P19" i="37" s="1"/>
  <c r="K19" i="37"/>
  <c r="M19" i="37" s="1"/>
  <c r="J19" i="37"/>
  <c r="L19" i="37" s="1"/>
  <c r="E19" i="37"/>
  <c r="G19" i="37" s="1"/>
  <c r="D19" i="37"/>
  <c r="F19" i="37" s="1"/>
  <c r="F17" i="47"/>
  <c r="C20" i="37"/>
  <c r="I29" i="36"/>
  <c r="D31" i="36"/>
  <c r="G31" i="36" s="1"/>
  <c r="Q19" i="37" l="1"/>
  <c r="T20" i="37"/>
  <c r="V20" i="37" s="1"/>
  <c r="U20" i="37"/>
  <c r="W20" i="37" s="1"/>
  <c r="J20" i="37"/>
  <c r="L20" i="37" s="1"/>
  <c r="N20" i="37"/>
  <c r="P20" i="37" s="1"/>
  <c r="O20" i="37"/>
  <c r="K20" i="37"/>
  <c r="M20" i="37" s="1"/>
  <c r="D20" i="37"/>
  <c r="F20" i="37" s="1"/>
  <c r="E20" i="37"/>
  <c r="G20" i="37" s="1"/>
  <c r="F18" i="47"/>
  <c r="C21" i="37"/>
  <c r="I30" i="36"/>
  <c r="D32" i="36"/>
  <c r="G32" i="36" s="1"/>
  <c r="Q20" i="37" l="1"/>
  <c r="U21" i="37"/>
  <c r="W21" i="37" s="1"/>
  <c r="T21" i="37"/>
  <c r="V21" i="37" s="1"/>
  <c r="O21" i="37"/>
  <c r="J21" i="37"/>
  <c r="L21" i="37" s="1"/>
  <c r="D21" i="37"/>
  <c r="F21" i="37" s="1"/>
  <c r="N21" i="37"/>
  <c r="P21" i="37" s="1"/>
  <c r="K21" i="37"/>
  <c r="M21" i="37" s="1"/>
  <c r="E21" i="37"/>
  <c r="G21" i="37" s="1"/>
  <c r="F19" i="47"/>
  <c r="C22" i="37"/>
  <c r="I31" i="36"/>
  <c r="D33" i="36"/>
  <c r="G33" i="36" s="1"/>
  <c r="Q21" i="37" l="1"/>
  <c r="T22" i="37"/>
  <c r="V22" i="37" s="1"/>
  <c r="U22" i="37"/>
  <c r="W22" i="37" s="1"/>
  <c r="E22" i="37"/>
  <c r="G22" i="37" s="1"/>
  <c r="N22" i="37"/>
  <c r="P22" i="37" s="1"/>
  <c r="O22" i="37"/>
  <c r="K22" i="37"/>
  <c r="M22" i="37" s="1"/>
  <c r="J22" i="37"/>
  <c r="L22" i="37" s="1"/>
  <c r="D22" i="37"/>
  <c r="F22" i="37" s="1"/>
  <c r="F20" i="47"/>
  <c r="C23" i="37"/>
  <c r="I32" i="36"/>
  <c r="D34" i="36"/>
  <c r="D35" i="36" s="1"/>
  <c r="G35" i="36" s="1"/>
  <c r="I35" i="36" s="1"/>
  <c r="Q22" i="37" l="1"/>
  <c r="U23" i="37"/>
  <c r="W23" i="37" s="1"/>
  <c r="T23" i="37"/>
  <c r="V23" i="37" s="1"/>
  <c r="O23" i="37"/>
  <c r="N23" i="37"/>
  <c r="P23" i="37" s="1"/>
  <c r="K23" i="37"/>
  <c r="M23" i="37" s="1"/>
  <c r="J23" i="37"/>
  <c r="L23" i="37" s="1"/>
  <c r="E23" i="37"/>
  <c r="G23" i="37" s="1"/>
  <c r="D23" i="37"/>
  <c r="F23" i="37" s="1"/>
  <c r="F21" i="47"/>
  <c r="C24" i="37"/>
  <c r="G34" i="36"/>
  <c r="I34" i="36" s="1"/>
  <c r="I33" i="36"/>
  <c r="Q23" i="37" l="1"/>
  <c r="T24" i="37"/>
  <c r="V24" i="37" s="1"/>
  <c r="U24" i="37"/>
  <c r="W24" i="37" s="1"/>
  <c r="D24" i="37"/>
  <c r="F24" i="37" s="1"/>
  <c r="E24" i="37"/>
  <c r="G24" i="37" s="1"/>
  <c r="N24" i="37"/>
  <c r="P24" i="37" s="1"/>
  <c r="O24" i="37"/>
  <c r="Q24" i="37" s="1"/>
  <c r="J24" i="37"/>
  <c r="L24" i="37" s="1"/>
  <c r="K24" i="37"/>
  <c r="M24" i="37" s="1"/>
  <c r="F22" i="47"/>
  <c r="C25" i="37"/>
  <c r="V12" i="44"/>
  <c r="P12" i="44"/>
  <c r="X12" i="44"/>
  <c r="R12" i="44"/>
  <c r="S12" i="44"/>
  <c r="W12" i="44"/>
  <c r="Q12" i="44"/>
  <c r="U12" i="44"/>
  <c r="I12" i="44"/>
  <c r="G12" i="44"/>
  <c r="K12" i="44"/>
  <c r="L12" i="44"/>
  <c r="J12" i="44"/>
  <c r="F12" i="44"/>
  <c r="E12" i="44"/>
  <c r="D12" i="44"/>
  <c r="W11" i="44"/>
  <c r="Q11" i="44"/>
  <c r="U11" i="44"/>
  <c r="S11" i="44"/>
  <c r="V11" i="44"/>
  <c r="P11" i="44"/>
  <c r="J11" i="44"/>
  <c r="D11" i="44"/>
  <c r="X11" i="44"/>
  <c r="K11" i="44"/>
  <c r="G11" i="44"/>
  <c r="E11" i="44"/>
  <c r="R11" i="44"/>
  <c r="I11" i="44"/>
  <c r="F11" i="44"/>
  <c r="L11" i="44"/>
  <c r="H12" i="44" l="1"/>
  <c r="C11" i="44"/>
  <c r="C12" i="44"/>
  <c r="T12" i="44"/>
  <c r="T11" i="44"/>
  <c r="H11" i="44"/>
  <c r="O11" i="44"/>
  <c r="O12" i="44"/>
  <c r="E25" i="37"/>
  <c r="G25" i="37" s="1"/>
  <c r="N25" i="37"/>
  <c r="P25" i="37" s="1"/>
  <c r="K25" i="37"/>
  <c r="M25" i="37" s="1"/>
  <c r="D25" i="37"/>
  <c r="F25" i="37" s="1"/>
  <c r="U25" i="37"/>
  <c r="W25" i="37" s="1"/>
  <c r="T25" i="37"/>
  <c r="V25" i="37" s="1"/>
  <c r="O25" i="37"/>
  <c r="Q25" i="37" s="1"/>
  <c r="J25" i="37"/>
  <c r="L25" i="37" s="1"/>
  <c r="F23" i="47"/>
  <c r="C26" i="37"/>
  <c r="X14" i="44"/>
  <c r="R14" i="44"/>
  <c r="V14" i="44"/>
  <c r="P14" i="44"/>
  <c r="W14" i="44"/>
  <c r="Q14" i="44"/>
  <c r="U14" i="44"/>
  <c r="K14" i="44"/>
  <c r="E14" i="44"/>
  <c r="L14" i="44"/>
  <c r="F14" i="44"/>
  <c r="D14" i="44"/>
  <c r="J14" i="44"/>
  <c r="G14" i="44"/>
  <c r="S14" i="44"/>
  <c r="I14" i="44"/>
  <c r="U13" i="44"/>
  <c r="S13" i="44"/>
  <c r="W13" i="44"/>
  <c r="Q13" i="44"/>
  <c r="X13" i="44"/>
  <c r="R13" i="44"/>
  <c r="L13" i="44"/>
  <c r="F13" i="44"/>
  <c r="P13" i="44"/>
  <c r="K13" i="44"/>
  <c r="E13" i="44"/>
  <c r="D13" i="44"/>
  <c r="J13" i="44"/>
  <c r="G13" i="44"/>
  <c r="V13" i="44"/>
  <c r="I13" i="44"/>
  <c r="T14" i="44" l="1"/>
  <c r="H14" i="44"/>
  <c r="O13" i="44"/>
  <c r="T13" i="44"/>
  <c r="H13" i="44"/>
  <c r="C13" i="44"/>
  <c r="C14" i="44"/>
  <c r="O14" i="44"/>
  <c r="T26" i="37"/>
  <c r="V26" i="37" s="1"/>
  <c r="U26" i="37"/>
  <c r="W26" i="37" s="1"/>
  <c r="N26" i="37"/>
  <c r="P26" i="37" s="1"/>
  <c r="O26" i="37"/>
  <c r="J26" i="37"/>
  <c r="L26" i="37" s="1"/>
  <c r="K26" i="37"/>
  <c r="M26" i="37" s="1"/>
  <c r="D26" i="37"/>
  <c r="F26" i="37" s="1"/>
  <c r="E26" i="37"/>
  <c r="G26" i="37" s="1"/>
  <c r="F24" i="47"/>
  <c r="C27" i="37"/>
  <c r="V16" i="44"/>
  <c r="P16" i="44"/>
  <c r="X16" i="44"/>
  <c r="R16" i="44"/>
  <c r="U16" i="44"/>
  <c r="S16" i="44"/>
  <c r="I16" i="44"/>
  <c r="G16" i="44"/>
  <c r="L16" i="44"/>
  <c r="D16" i="44"/>
  <c r="F16" i="44"/>
  <c r="E16" i="44"/>
  <c r="W16" i="44"/>
  <c r="K16" i="44"/>
  <c r="Q16" i="44"/>
  <c r="J16" i="44"/>
  <c r="W15" i="44"/>
  <c r="Q15" i="44"/>
  <c r="U15" i="44"/>
  <c r="S15" i="44"/>
  <c r="X15" i="44"/>
  <c r="R15" i="44"/>
  <c r="V15" i="44"/>
  <c r="P15" i="44"/>
  <c r="J15" i="44"/>
  <c r="D15" i="44"/>
  <c r="L15" i="44"/>
  <c r="K15" i="44"/>
  <c r="G15" i="44"/>
  <c r="F15" i="44"/>
  <c r="E15" i="44"/>
  <c r="I15" i="44"/>
  <c r="O15" i="44" l="1"/>
  <c r="H15" i="44"/>
  <c r="T15" i="44"/>
  <c r="H16" i="44"/>
  <c r="C15" i="44"/>
  <c r="C16" i="44"/>
  <c r="O16" i="44"/>
  <c r="T16" i="44"/>
  <c r="Q26" i="37"/>
  <c r="U27" i="37"/>
  <c r="W27" i="37" s="1"/>
  <c r="T27" i="37"/>
  <c r="V27" i="37" s="1"/>
  <c r="O27" i="37"/>
  <c r="N27" i="37"/>
  <c r="P27" i="37" s="1"/>
  <c r="K27" i="37"/>
  <c r="M27" i="37" s="1"/>
  <c r="J27" i="37"/>
  <c r="L27" i="37" s="1"/>
  <c r="E27" i="37"/>
  <c r="G27" i="37" s="1"/>
  <c r="D27" i="37"/>
  <c r="F27" i="37" s="1"/>
  <c r="F25" i="47"/>
  <c r="C28" i="37"/>
  <c r="U17" i="44"/>
  <c r="S17" i="44"/>
  <c r="W17" i="44"/>
  <c r="Q17" i="44"/>
  <c r="X17" i="44"/>
  <c r="R17" i="44"/>
  <c r="V17" i="44"/>
  <c r="P17" i="44"/>
  <c r="L17" i="44"/>
  <c r="F17" i="44"/>
  <c r="D17" i="44"/>
  <c r="K17" i="44"/>
  <c r="G17" i="44"/>
  <c r="I17" i="44"/>
  <c r="E17" i="44"/>
  <c r="J17" i="44"/>
  <c r="O17" i="44" l="1"/>
  <c r="H17" i="44"/>
  <c r="C17" i="44"/>
  <c r="T17" i="44"/>
  <c r="Q27" i="37"/>
  <c r="T28" i="37"/>
  <c r="V28" i="37" s="1"/>
  <c r="U28" i="37"/>
  <c r="W28" i="37" s="1"/>
  <c r="N28" i="37"/>
  <c r="P28" i="37" s="1"/>
  <c r="O28" i="37"/>
  <c r="Q28" i="37" s="1"/>
  <c r="J28" i="37"/>
  <c r="L28" i="37" s="1"/>
  <c r="K28" i="37"/>
  <c r="M28" i="37" s="1"/>
  <c r="D28" i="37"/>
  <c r="F28" i="37" s="1"/>
  <c r="E28" i="37"/>
  <c r="G28" i="37" s="1"/>
  <c r="F26" i="47"/>
  <c r="C29" i="37"/>
  <c r="X18" i="44"/>
  <c r="R18" i="44"/>
  <c r="V18" i="44"/>
  <c r="P18" i="44"/>
  <c r="S18" i="44"/>
  <c r="W18" i="44"/>
  <c r="Q18" i="44"/>
  <c r="K18" i="44"/>
  <c r="E18" i="44"/>
  <c r="U18" i="44"/>
  <c r="D18" i="44"/>
  <c r="I18" i="44"/>
  <c r="F18" i="44"/>
  <c r="L18" i="44"/>
  <c r="J18" i="44"/>
  <c r="G18" i="44"/>
  <c r="T18" i="44" l="1"/>
  <c r="H18" i="44"/>
  <c r="O18" i="44"/>
  <c r="C18" i="44"/>
  <c r="U29" i="37"/>
  <c r="W29" i="37" s="1"/>
  <c r="T29" i="37"/>
  <c r="V29" i="37" s="1"/>
  <c r="E29" i="37"/>
  <c r="G29" i="37" s="1"/>
  <c r="O29" i="37"/>
  <c r="Q29" i="37" s="1"/>
  <c r="J29" i="37"/>
  <c r="L29" i="37" s="1"/>
  <c r="K29" i="37"/>
  <c r="M29" i="37" s="1"/>
  <c r="D29" i="37"/>
  <c r="F29" i="37" s="1"/>
  <c r="N29" i="37"/>
  <c r="P29" i="37" s="1"/>
  <c r="F27" i="47"/>
  <c r="C30" i="37"/>
  <c r="W19" i="44"/>
  <c r="Q19" i="44"/>
  <c r="U19" i="44"/>
  <c r="S19" i="44"/>
  <c r="V19" i="44"/>
  <c r="P19" i="44"/>
  <c r="L19" i="44"/>
  <c r="J19" i="44"/>
  <c r="D19" i="44"/>
  <c r="R19" i="44"/>
  <c r="E19" i="44"/>
  <c r="X19" i="44"/>
  <c r="I19" i="44"/>
  <c r="F19" i="44"/>
  <c r="K19" i="44"/>
  <c r="G19" i="44"/>
  <c r="T19" i="44" l="1"/>
  <c r="O19" i="44"/>
  <c r="H19" i="44"/>
  <c r="C19" i="44"/>
  <c r="T30" i="37"/>
  <c r="V30" i="37" s="1"/>
  <c r="U30" i="37"/>
  <c r="W30" i="37" s="1"/>
  <c r="N30" i="37"/>
  <c r="P30" i="37" s="1"/>
  <c r="O30" i="37"/>
  <c r="J30" i="37"/>
  <c r="L30" i="37" s="1"/>
  <c r="K30" i="37"/>
  <c r="M30" i="37" s="1"/>
  <c r="D30" i="37"/>
  <c r="F30" i="37" s="1"/>
  <c r="E30" i="37"/>
  <c r="G30" i="37" s="1"/>
  <c r="F28" i="47"/>
  <c r="C32" i="37" s="1"/>
  <c r="C31" i="37"/>
  <c r="V20" i="44"/>
  <c r="P20" i="44"/>
  <c r="X20" i="44"/>
  <c r="R20" i="44"/>
  <c r="S20" i="44"/>
  <c r="K20" i="44"/>
  <c r="W20" i="44"/>
  <c r="Q20" i="44"/>
  <c r="U20" i="44"/>
  <c r="I20" i="44"/>
  <c r="G20" i="44"/>
  <c r="J20" i="44"/>
  <c r="E20" i="44"/>
  <c r="D20" i="44"/>
  <c r="L20" i="44"/>
  <c r="F20" i="44"/>
  <c r="C20" i="44" l="1"/>
  <c r="H20" i="44"/>
  <c r="O20" i="44"/>
  <c r="T20" i="44"/>
  <c r="K31" i="37"/>
  <c r="M31" i="37" s="1"/>
  <c r="J31" i="37"/>
  <c r="L31" i="37" s="1"/>
  <c r="E31" i="37"/>
  <c r="G31" i="37" s="1"/>
  <c r="D31" i="37"/>
  <c r="F31" i="37" s="1"/>
  <c r="U31" i="37"/>
  <c r="W31" i="37" s="1"/>
  <c r="T31" i="37"/>
  <c r="V31" i="37" s="1"/>
  <c r="O31" i="37"/>
  <c r="N31" i="37"/>
  <c r="P31" i="37" s="1"/>
  <c r="D32" i="37"/>
  <c r="F32" i="37" s="1"/>
  <c r="E32" i="37"/>
  <c r="G32" i="37" s="1"/>
  <c r="N32" i="37"/>
  <c r="P32" i="37" s="1"/>
  <c r="O32" i="37"/>
  <c r="J32" i="37"/>
  <c r="L32" i="37" s="1"/>
  <c r="K32" i="37"/>
  <c r="M32" i="37" s="1"/>
  <c r="T32" i="37"/>
  <c r="V32" i="37" s="1"/>
  <c r="U32" i="37"/>
  <c r="W32" i="37" s="1"/>
  <c r="Q30" i="37"/>
  <c r="U21" i="44"/>
  <c r="S21" i="44"/>
  <c r="W21" i="44"/>
  <c r="Q21" i="44"/>
  <c r="J21" i="44"/>
  <c r="X21" i="44"/>
  <c r="R21" i="44"/>
  <c r="L21" i="44"/>
  <c r="F21" i="44"/>
  <c r="E21" i="44"/>
  <c r="P21" i="44"/>
  <c r="O21" i="44" s="1"/>
  <c r="G21" i="44"/>
  <c r="K21" i="44"/>
  <c r="D21" i="44"/>
  <c r="V21" i="44"/>
  <c r="I21" i="44"/>
  <c r="C21" i="44" l="1"/>
  <c r="T21" i="44"/>
  <c r="H21" i="44"/>
  <c r="Q32" i="37"/>
  <c r="Q31" i="37"/>
  <c r="X22" i="44"/>
  <c r="R22" i="44"/>
  <c r="V22" i="44"/>
  <c r="P22" i="44"/>
  <c r="W22" i="44"/>
  <c r="Q22" i="44"/>
  <c r="I22" i="44"/>
  <c r="U22" i="44"/>
  <c r="K22" i="44"/>
  <c r="E22" i="44"/>
  <c r="F22" i="44"/>
  <c r="J22" i="44"/>
  <c r="D22" i="44"/>
  <c r="G22" i="44"/>
  <c r="S22" i="44"/>
  <c r="L22" i="44"/>
  <c r="C22" i="44" l="1"/>
  <c r="T22" i="44"/>
  <c r="O22" i="44"/>
  <c r="H22" i="44"/>
  <c r="W23" i="44"/>
  <c r="Q23" i="44"/>
  <c r="U23" i="44"/>
  <c r="S23" i="44"/>
  <c r="L23" i="44"/>
  <c r="X23" i="44"/>
  <c r="R23" i="44"/>
  <c r="V23" i="44"/>
  <c r="P23" i="44"/>
  <c r="J23" i="44"/>
  <c r="D23" i="44"/>
  <c r="K23" i="44"/>
  <c r="F23" i="44"/>
  <c r="G23" i="44"/>
  <c r="I23" i="44"/>
  <c r="E23" i="44"/>
  <c r="H23" i="44" l="1"/>
  <c r="C23" i="44"/>
  <c r="T23" i="44"/>
  <c r="O23" i="44"/>
  <c r="V24" i="44"/>
  <c r="P24" i="44"/>
  <c r="X24" i="44"/>
  <c r="R24" i="44"/>
  <c r="U24" i="44"/>
  <c r="K24" i="44"/>
  <c r="J24" i="44"/>
  <c r="S24" i="44"/>
  <c r="I24" i="44"/>
  <c r="G24" i="44"/>
  <c r="W24" i="44"/>
  <c r="F24" i="44"/>
  <c r="Q24" i="44"/>
  <c r="E24" i="44"/>
  <c r="L24" i="44"/>
  <c r="D24" i="44"/>
  <c r="C24" i="44" l="1"/>
  <c r="O24" i="44"/>
  <c r="H24" i="44"/>
  <c r="T24" i="44"/>
  <c r="U25" i="44"/>
  <c r="S25" i="44"/>
  <c r="K25" i="44"/>
  <c r="W25" i="44"/>
  <c r="Q25" i="44"/>
  <c r="X25" i="44"/>
  <c r="R25" i="44"/>
  <c r="J25" i="44"/>
  <c r="V25" i="44"/>
  <c r="P25" i="44"/>
  <c r="I25" i="44"/>
  <c r="F25" i="44"/>
  <c r="G25" i="44"/>
  <c r="L25" i="44"/>
  <c r="E25" i="44"/>
  <c r="D25" i="44"/>
  <c r="O25" i="44" l="1"/>
  <c r="C25" i="44"/>
  <c r="T25" i="44"/>
  <c r="H25" i="44"/>
  <c r="X26" i="44"/>
  <c r="R26" i="44"/>
  <c r="J26" i="44"/>
  <c r="V26" i="44"/>
  <c r="P26" i="44"/>
  <c r="L26" i="44"/>
  <c r="S26" i="44"/>
  <c r="K26" i="44"/>
  <c r="W26" i="44"/>
  <c r="Q26" i="44"/>
  <c r="I26" i="44"/>
  <c r="E26" i="44"/>
  <c r="G26" i="44"/>
  <c r="F26" i="44"/>
  <c r="U26" i="44"/>
  <c r="D26" i="44"/>
  <c r="H26" i="44" l="1"/>
  <c r="O26" i="44"/>
  <c r="C26" i="44"/>
  <c r="T26" i="44"/>
  <c r="W27" i="44"/>
  <c r="Q27" i="44"/>
  <c r="I27" i="44"/>
  <c r="U27" i="44"/>
  <c r="S27" i="44"/>
  <c r="K27" i="44"/>
  <c r="V27" i="44"/>
  <c r="P27" i="44"/>
  <c r="L27" i="44"/>
  <c r="D27" i="44"/>
  <c r="J27" i="44"/>
  <c r="G27" i="44"/>
  <c r="R27" i="44"/>
  <c r="F27" i="44"/>
  <c r="X27" i="44"/>
  <c r="E27" i="44"/>
  <c r="C27" i="44" l="1"/>
  <c r="O27" i="44"/>
  <c r="T27" i="44"/>
  <c r="H27" i="44"/>
  <c r="V28" i="44"/>
  <c r="P28" i="44"/>
  <c r="L28" i="44"/>
  <c r="X28" i="44"/>
  <c r="R28" i="44"/>
  <c r="J28" i="44"/>
  <c r="S28" i="44"/>
  <c r="K28" i="44"/>
  <c r="W28" i="44"/>
  <c r="Q28" i="44"/>
  <c r="I28" i="44"/>
  <c r="U28" i="44"/>
  <c r="G28" i="44"/>
  <c r="F28" i="44"/>
  <c r="D28" i="44"/>
  <c r="E28" i="44"/>
  <c r="T28" i="44" l="1"/>
  <c r="C28" i="44"/>
  <c r="H28" i="44"/>
  <c r="O28" i="44"/>
  <c r="U29" i="44"/>
  <c r="S29" i="44"/>
  <c r="K29" i="44"/>
  <c r="X29" i="44"/>
  <c r="W29" i="44"/>
  <c r="Q29" i="44"/>
  <c r="I29" i="44"/>
  <c r="V29" i="44"/>
  <c r="L29" i="44"/>
  <c r="R29" i="44"/>
  <c r="J29" i="44"/>
  <c r="F29" i="44"/>
  <c r="D29" i="44"/>
  <c r="G29" i="44"/>
  <c r="P29" i="44"/>
  <c r="E29" i="44"/>
  <c r="O29" i="44" l="1"/>
  <c r="C29" i="44"/>
  <c r="T29" i="44"/>
  <c r="H29" i="44"/>
  <c r="X30" i="44"/>
  <c r="R30" i="44"/>
  <c r="J30" i="44"/>
  <c r="W30" i="44"/>
  <c r="V30" i="44"/>
  <c r="P30" i="44"/>
  <c r="L30" i="44"/>
  <c r="Q30" i="44"/>
  <c r="I30" i="44"/>
  <c r="E30" i="44"/>
  <c r="U30" i="44"/>
  <c r="S30" i="44"/>
  <c r="G30" i="44"/>
  <c r="D30" i="44"/>
  <c r="K30" i="44"/>
  <c r="F30" i="44"/>
  <c r="T30" i="44" l="1"/>
  <c r="C30" i="44"/>
  <c r="H30" i="44"/>
  <c r="O30" i="44"/>
  <c r="I10" i="14"/>
  <c r="L10" i="14"/>
  <c r="F10" i="14"/>
  <c r="C10" i="14"/>
  <c r="B11" i="14"/>
  <c r="I11" i="14" l="1"/>
  <c r="L11" i="14"/>
  <c r="F11" i="14"/>
  <c r="C11" i="14"/>
  <c r="K10" i="14"/>
  <c r="B12" i="14"/>
  <c r="L12" i="14" l="1"/>
  <c r="F12" i="14"/>
  <c r="C12" i="14"/>
  <c r="I12" i="14"/>
  <c r="K11" i="14"/>
  <c r="B13" i="14"/>
  <c r="K12" i="14" l="1"/>
  <c r="C13" i="14"/>
  <c r="I13" i="14"/>
  <c r="L13" i="14"/>
  <c r="F13" i="14"/>
  <c r="B14" i="14"/>
  <c r="K13" i="14" l="1"/>
  <c r="I14" i="14"/>
  <c r="L14" i="14"/>
  <c r="F14" i="14"/>
  <c r="C14" i="14"/>
  <c r="B15" i="14"/>
  <c r="K14" i="14" l="1"/>
  <c r="I15" i="14"/>
  <c r="L15" i="14"/>
  <c r="F15" i="14"/>
  <c r="C15" i="14"/>
  <c r="B16" i="14"/>
  <c r="L16" i="14" l="1"/>
  <c r="F16" i="14"/>
  <c r="C16" i="14"/>
  <c r="I16" i="14"/>
  <c r="K15" i="14"/>
  <c r="B17" i="14"/>
  <c r="K16" i="14" l="1"/>
  <c r="C17" i="14"/>
  <c r="I17" i="14"/>
  <c r="F17" i="14"/>
  <c r="L17" i="14"/>
  <c r="B18" i="14"/>
  <c r="K17" i="14" l="1"/>
  <c r="I18" i="14"/>
  <c r="L18" i="14"/>
  <c r="F18" i="14"/>
  <c r="C18" i="14"/>
  <c r="B19" i="14"/>
  <c r="N18" i="14" l="1"/>
  <c r="K18" i="14"/>
  <c r="I19" i="14"/>
  <c r="L19" i="14"/>
  <c r="N19" i="14" s="1"/>
  <c r="F19" i="14"/>
  <c r="C19" i="14"/>
  <c r="B20" i="14"/>
  <c r="K19" i="14" l="1"/>
  <c r="E19" i="14"/>
  <c r="H19" i="14"/>
  <c r="L20" i="14"/>
  <c r="F20" i="14"/>
  <c r="C20" i="14"/>
  <c r="I20" i="14"/>
  <c r="B21" i="14"/>
  <c r="K20" i="14" l="1"/>
  <c r="H20" i="14"/>
  <c r="E20" i="14"/>
  <c r="N20" i="14"/>
  <c r="C21" i="14"/>
  <c r="I21" i="14"/>
  <c r="L21" i="14"/>
  <c r="F21" i="14"/>
  <c r="B22" i="14"/>
  <c r="N21" i="14" l="1"/>
  <c r="H21" i="14"/>
  <c r="E21" i="14"/>
  <c r="K21" i="14"/>
  <c r="I22" i="14"/>
  <c r="K22" i="14" s="1"/>
  <c r="L22" i="14"/>
  <c r="F22" i="14"/>
  <c r="C22" i="14"/>
  <c r="B23" i="14"/>
  <c r="N22" i="14" l="1"/>
  <c r="H22" i="14"/>
  <c r="E22" i="14"/>
  <c r="I23" i="14"/>
  <c r="L23" i="14"/>
  <c r="F23" i="14"/>
  <c r="C23" i="14"/>
  <c r="B24" i="14"/>
  <c r="N23" i="14" l="1"/>
  <c r="E23" i="14"/>
  <c r="D36" i="14"/>
  <c r="M36" i="14"/>
  <c r="B36" i="14"/>
  <c r="H23" i="14"/>
  <c r="K23" i="14"/>
  <c r="L24" i="14"/>
  <c r="F24" i="14"/>
  <c r="F36" i="14" s="1"/>
  <c r="C24" i="14"/>
  <c r="I24" i="14"/>
  <c r="I36" i="14" s="1"/>
  <c r="B25" i="14"/>
  <c r="G37" i="14" l="1"/>
  <c r="B37" i="14"/>
  <c r="E24" i="14"/>
  <c r="C36" i="14"/>
  <c r="E36" i="14" s="1"/>
  <c r="G36" i="14"/>
  <c r="H36" i="14" s="1"/>
  <c r="N24" i="14"/>
  <c r="L36" i="14"/>
  <c r="N36" i="14" s="1"/>
  <c r="J37" i="14"/>
  <c r="J36" i="14"/>
  <c r="K36" i="14" s="1"/>
  <c r="H24" i="14"/>
  <c r="K24" i="14"/>
  <c r="C25" i="14"/>
  <c r="I25" i="14"/>
  <c r="L25" i="14"/>
  <c r="F25" i="14"/>
  <c r="B26" i="14"/>
  <c r="G38" i="14" l="1"/>
  <c r="J38" i="14"/>
  <c r="B38" i="14"/>
  <c r="M37" i="14"/>
  <c r="D37" i="14"/>
  <c r="H25" i="14"/>
  <c r="F37" i="14"/>
  <c r="H37" i="14" s="1"/>
  <c r="N25" i="14"/>
  <c r="L37" i="14"/>
  <c r="K25" i="14"/>
  <c r="I37" i="14"/>
  <c r="K37" i="14" s="1"/>
  <c r="E25" i="14"/>
  <c r="C37" i="14"/>
  <c r="I26" i="14"/>
  <c r="L26" i="14"/>
  <c r="L38" i="14" s="1"/>
  <c r="F26" i="14"/>
  <c r="C26" i="14"/>
  <c r="C38" i="14" s="1"/>
  <c r="B27" i="14"/>
  <c r="E37" i="14" l="1"/>
  <c r="N37" i="14"/>
  <c r="H26" i="14"/>
  <c r="F38" i="14"/>
  <c r="H38" i="14" s="1"/>
  <c r="K26" i="14"/>
  <c r="I38" i="14"/>
  <c r="K38" i="14" s="1"/>
  <c r="D38" i="14"/>
  <c r="E38" i="14" s="1"/>
  <c r="M38" i="14"/>
  <c r="N38" i="14" s="1"/>
  <c r="E26" i="14"/>
  <c r="N26" i="14"/>
  <c r="I27" i="14"/>
  <c r="L27" i="14"/>
  <c r="F27" i="14"/>
  <c r="C27" i="14"/>
  <c r="B28" i="14"/>
  <c r="H27" i="14" l="1"/>
  <c r="E27" i="14"/>
  <c r="N27" i="14"/>
  <c r="K27" i="14"/>
  <c r="L28" i="14"/>
  <c r="F28" i="14"/>
  <c r="C28" i="14"/>
  <c r="I28" i="14"/>
  <c r="B29" i="14"/>
  <c r="M29" i="14" l="1"/>
  <c r="J29" i="14"/>
  <c r="G29" i="14"/>
  <c r="D29" i="14"/>
  <c r="N28" i="14"/>
  <c r="K28" i="14"/>
  <c r="H28" i="14"/>
  <c r="E28" i="14"/>
  <c r="C29" i="14"/>
  <c r="I29" i="14"/>
  <c r="L29" i="14"/>
  <c r="F29" i="14"/>
  <c r="N29" i="14" l="1"/>
  <c r="H29" i="14"/>
  <c r="E29" i="14"/>
  <c r="K29" i="14"/>
  <c r="B12" i="17"/>
  <c r="B13" i="17" l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D12" i="17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C12" i="17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l="1"/>
  <c r="D24" i="17"/>
  <c r="B25" i="17"/>
  <c r="B26" i="17" s="1"/>
  <c r="B27" i="17" s="1"/>
  <c r="B28" i="17" s="1"/>
  <c r="B29" i="17" s="1"/>
  <c r="B30" i="17" s="1"/>
  <c r="C25" i="17" l="1"/>
  <c r="C26" i="17" s="1"/>
  <c r="C27" i="17" s="1"/>
  <c r="C28" i="17" s="1"/>
  <c r="C29" i="17" s="1"/>
  <c r="C30" i="17" s="1"/>
  <c r="C31" i="17" s="1"/>
  <c r="C32" i="17" s="1"/>
  <c r="C33" i="17" s="1"/>
  <c r="C34" i="17" s="1"/>
  <c r="D25" i="17"/>
  <c r="D26" i="17" s="1"/>
  <c r="D27" i="17" s="1"/>
  <c r="D28" i="17" s="1"/>
  <c r="D29" i="17" s="1"/>
  <c r="D30" i="17" s="1"/>
  <c r="D31" i="17" s="1"/>
  <c r="D32" i="17" s="1"/>
  <c r="D33" i="17" s="1"/>
  <c r="D34" i="17" s="1"/>
  <c r="B31" i="17"/>
  <c r="B32" i="17" s="1"/>
  <c r="B33" i="17" s="1"/>
  <c r="B34" i="17" s="1"/>
  <c r="E10" i="14" l="1"/>
  <c r="H10" i="14"/>
  <c r="E13" i="14"/>
  <c r="E16" i="14"/>
  <c r="H13" i="14"/>
  <c r="N13" i="14"/>
  <c r="N15" i="14"/>
  <c r="H17" i="14"/>
  <c r="H12" i="14"/>
  <c r="E14" i="14"/>
  <c r="E12" i="14"/>
  <c r="H15" i="14"/>
  <c r="E11" i="14"/>
  <c r="N12" i="14"/>
  <c r="N17" i="14"/>
  <c r="N16" i="14"/>
  <c r="N14" i="14"/>
  <c r="E15" i="14"/>
  <c r="H11" i="14"/>
  <c r="N11" i="14"/>
  <c r="N10" i="14"/>
  <c r="E17" i="14"/>
  <c r="H14" i="14"/>
  <c r="H16" i="14"/>
  <c r="E18" i="14" l="1"/>
  <c r="H18" i="14"/>
</calcChain>
</file>

<file path=xl/sharedStrings.xml><?xml version="1.0" encoding="utf-8"?>
<sst xmlns="http://schemas.openxmlformats.org/spreadsheetml/2006/main" count="584" uniqueCount="224">
  <si>
    <t>On-Peak</t>
  </si>
  <si>
    <t>Off-Peak</t>
  </si>
  <si>
    <t>Year</t>
  </si>
  <si>
    <t>Costs</t>
  </si>
  <si>
    <t>(a)</t>
  </si>
  <si>
    <t>(b)</t>
  </si>
  <si>
    <t>(c)</t>
  </si>
  <si>
    <t>(d)</t>
  </si>
  <si>
    <t>(e)</t>
  </si>
  <si>
    <t>(f)</t>
  </si>
  <si>
    <t>Estimated Capital Cost</t>
  </si>
  <si>
    <t>Fixed Capital Cost at Real Levelized Rate</t>
  </si>
  <si>
    <t>Fixed O&amp;M</t>
  </si>
  <si>
    <t>Sources, Inputs and Assumptions</t>
  </si>
  <si>
    <t>($/MWh)</t>
  </si>
  <si>
    <t>$/MWh</t>
  </si>
  <si>
    <t xml:space="preserve">  MW Plant capacity</t>
  </si>
  <si>
    <t>Capacity (MW)</t>
  </si>
  <si>
    <t>Resource</t>
  </si>
  <si>
    <t>East</t>
  </si>
  <si>
    <t>DSM, Class 1 Total</t>
  </si>
  <si>
    <t>DSM, Class 2 Total</t>
  </si>
  <si>
    <t>West</t>
  </si>
  <si>
    <t>DSM, Class 2  Total</t>
  </si>
  <si>
    <t>Annual Additions, Long Term Resources</t>
  </si>
  <si>
    <t>Annual Additions, Short Term Resources</t>
  </si>
  <si>
    <t>Total Annual Additions</t>
  </si>
  <si>
    <t xml:space="preserve">  Fixed Pipeline</t>
  </si>
  <si>
    <t xml:space="preserve">  Fixed O&amp;M &amp; Capitalized O&amp;M</t>
  </si>
  <si>
    <t>Existing Plant Retirements/Conversions</t>
  </si>
  <si>
    <t>Expansion Resources</t>
  </si>
  <si>
    <t>DSM, Class 1  Total</t>
  </si>
  <si>
    <t>Wind Integration Cost</t>
  </si>
  <si>
    <t>Resource Totals 1/</t>
  </si>
  <si>
    <t>10-year</t>
  </si>
  <si>
    <t>20-year</t>
  </si>
  <si>
    <t>Hayden 1</t>
  </si>
  <si>
    <t>Hayden 2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</si>
  <si>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</si>
  <si>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</si>
  <si>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</si>
  <si>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</si>
  <si>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</si>
  <si>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</si>
  <si>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</si>
  <si>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</si>
  <si>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</si>
  <si>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Total CCCT</t>
  </si>
  <si>
    <t>DSM, Class 2, ID</t>
  </si>
  <si>
    <t>DSM, Class 2, UT</t>
  </si>
  <si>
    <t>DSM, Class 2, WY</t>
  </si>
  <si>
    <t>DSM, Class 1, OR-Curtail</t>
  </si>
  <si>
    <t>DSM, Class 1, OR-Irrigate</t>
  </si>
  <si>
    <t>DSM, Class 2, CA</t>
  </si>
  <si>
    <t>DSM, Class 2, OR</t>
  </si>
  <si>
    <t>DSM, Class 2, WA</t>
  </si>
  <si>
    <t>Fixed Solar QF</t>
  </si>
  <si>
    <t>Tracking Solar QF</t>
  </si>
  <si>
    <t>Comparison between Proposed and Current Standard Fixed Avoided Costs</t>
  </si>
  <si>
    <t>Source:</t>
  </si>
  <si>
    <t>Cost and Input Assumptions</t>
  </si>
  <si>
    <t>Standard</t>
  </si>
  <si>
    <t>CCCT - DJohns - J 1x1</t>
  </si>
  <si>
    <t>Integration Cost</t>
  </si>
  <si>
    <t>2017 IRP Volume II-Appendix F</t>
  </si>
  <si>
    <t>Solar Integration Cost</t>
  </si>
  <si>
    <t>2017 IRP Preferred Portfolio</t>
  </si>
  <si>
    <t>Excerpt from 2017 IRP Table 8.17</t>
  </si>
  <si>
    <t>Craig 1  (Coal Early Retirement/Conversions)</t>
  </si>
  <si>
    <t>Craig 2</t>
  </si>
  <si>
    <t>Wind - Repower Existing resource</t>
  </si>
  <si>
    <t>East Wind-Repower</t>
  </si>
  <si>
    <t>SCCT Frame DJ</t>
  </si>
  <si>
    <t>SCCT Frame UTN</t>
  </si>
  <si>
    <t>Wind, Djohnston</t>
  </si>
  <si>
    <t>Wind, GO</t>
  </si>
  <si>
    <t>Wind, WYAE</t>
  </si>
  <si>
    <t>Total Wind</t>
  </si>
  <si>
    <t>Utility Solar - PV - Utah-S</t>
  </si>
  <si>
    <t>DSM, Class 1, ID-Cool/WH</t>
  </si>
  <si>
    <t>DSM, Class 1, ID-Curtail</t>
  </si>
  <si>
    <t>DSM, Class 1, ID-Irrigate</t>
  </si>
  <si>
    <t>DSM, Class 1, UT-Cool/WH</t>
  </si>
  <si>
    <t>DSM, Class 1, UT-Curtail</t>
  </si>
  <si>
    <t>DSM, Class 1, UT-Irrigate</t>
  </si>
  <si>
    <t>DSM, Class 1, WY-Cool/WH</t>
  </si>
  <si>
    <t>DSM, Class 1, WY-Curtail</t>
  </si>
  <si>
    <t>DSM, Class 1, WY-Irrigate</t>
  </si>
  <si>
    <t>FOT Mona - SMR</t>
  </si>
  <si>
    <t>JimBridger 1  (Coal Early Retirement/Conversions)</t>
  </si>
  <si>
    <t>JimBridger 2  (Coal Early Retirement/Conversions)</t>
  </si>
  <si>
    <t>West Wind-Repower</t>
  </si>
  <si>
    <t>CCCT - WillamValcc - G 1x1</t>
  </si>
  <si>
    <t>Utility Solar - PV - Yakima</t>
  </si>
  <si>
    <t>DSM, Class 1, CA-Cool/WH</t>
  </si>
  <si>
    <t>DSM, Class 1, CA-Curtail</t>
  </si>
  <si>
    <t>DSM, Class 1, CA-Irrigate</t>
  </si>
  <si>
    <t>DSM, Class 1, OR-Cool/WH</t>
  </si>
  <si>
    <t>DSM, Class 1, WA-Cool/WH</t>
  </si>
  <si>
    <t>DSM, Class 1, WA-Curtail</t>
  </si>
  <si>
    <t>DSM, Class 1, WA-Irrigate</t>
  </si>
  <si>
    <t>Geothermal, Greenfield - West</t>
  </si>
  <si>
    <t>FOT COB - SMR</t>
  </si>
  <si>
    <t>FOT MidColumbia - SMR</t>
  </si>
  <si>
    <t>FOT MidColumbia - SMR - 2</t>
  </si>
  <si>
    <t>FOT NOB - SMR</t>
  </si>
  <si>
    <t>FOT MidColumbia - WTR</t>
  </si>
  <si>
    <t>FOT MidColumbia - WTR2</t>
  </si>
  <si>
    <t>FOT NOB - WTR</t>
  </si>
  <si>
    <t xml:space="preserve"> The 2017 IRP was prepared using a 13% planning reserve margin.  See 2017 IRP, page 10.</t>
  </si>
  <si>
    <t>Avoided Energy Prices</t>
  </si>
  <si>
    <t>Winter</t>
  </si>
  <si>
    <t>Summer</t>
  </si>
  <si>
    <t>2016 $</t>
  </si>
  <si>
    <t>Solar</t>
  </si>
  <si>
    <t>Total Capacity Cost @ 100% Contribution</t>
  </si>
  <si>
    <t xml:space="preserve">  Fixed O&amp;M including Fixed Pipeline &amp; Capitalized O&amp;M ($/kW-Yr)</t>
  </si>
  <si>
    <t xml:space="preserve">  Plant capacity cost - in $/kW</t>
  </si>
  <si>
    <t>SCCT Frame "F"x1 - West Side Options (1500')</t>
  </si>
  <si>
    <t>#</t>
  </si>
  <si>
    <t>$/MW-yr</t>
  </si>
  <si>
    <t>FOT Months</t>
  </si>
  <si>
    <t>Month</t>
  </si>
  <si>
    <t>LOLP %</t>
  </si>
  <si>
    <t>Winter Capacity</t>
  </si>
  <si>
    <t xml:space="preserve"> $/MWH</t>
  </si>
  <si>
    <t>Baseload</t>
  </si>
  <si>
    <t>Summer Capacity</t>
  </si>
  <si>
    <t>Capacity Contribution:</t>
  </si>
  <si>
    <t>$/MW</t>
  </si>
  <si>
    <t>Current Discount Rate: 2017 IRP Update</t>
  </si>
  <si>
    <t xml:space="preserve">  Capacity Contribution - 2017 IRP West Tracking Solar</t>
  </si>
  <si>
    <t>Capacity Factor</t>
  </si>
  <si>
    <t>%</t>
  </si>
  <si>
    <t>Inflation</t>
  </si>
  <si>
    <t>Real-Levelized PPA Cost</t>
  </si>
  <si>
    <t>2017S RFP: 2021 Solar (Oregon)</t>
  </si>
  <si>
    <t>Market Proxy Capacity Cost</t>
  </si>
  <si>
    <t>Market Proxy Capacity Costs</t>
  </si>
  <si>
    <t>Planned Resource Addition Capacity Costs</t>
  </si>
  <si>
    <t>All Hours</t>
  </si>
  <si>
    <t>Wind</t>
  </si>
  <si>
    <t>Fixed Tilt Solar</t>
  </si>
  <si>
    <t>Tracking Solar</t>
  </si>
  <si>
    <t>Weighted</t>
  </si>
  <si>
    <t>Average</t>
  </si>
  <si>
    <t>Total</t>
  </si>
  <si>
    <t>MWh</t>
  </si>
  <si>
    <t>Energy value of expected resource output</t>
  </si>
  <si>
    <t>2017S RFP Oregon Tracking Solar Bid</t>
  </si>
  <si>
    <t>Avoided Energy Prices (1)</t>
  </si>
  <si>
    <t>Combined Energy and Capacity Prices</t>
  </si>
  <si>
    <t>(1) Avoided cost prices have been reduced by wind and solar integration charges.</t>
  </si>
  <si>
    <t>MWh per MW Capacity</t>
  </si>
  <si>
    <t>Generation Profiles</t>
  </si>
  <si>
    <t>Discount Rate - 2017 IRP Update</t>
  </si>
  <si>
    <t>Standard Avoided Capacity Costs</t>
  </si>
  <si>
    <t>Standard Avoided Energy Costs</t>
  </si>
  <si>
    <t>Current Payment Factor: 2017 IRP Update</t>
  </si>
  <si>
    <t># of months of market purchases in IRP preferred portfolio</t>
  </si>
  <si>
    <t>2017 IRP Appendix N</t>
  </si>
  <si>
    <t>Nominal Levelized 2021-2035</t>
  </si>
  <si>
    <t>Off-peak Summer hours:  All other hours, June through September</t>
  </si>
  <si>
    <t>On-peak Summer hours:  2:00p - 10:00p PPT, June through September</t>
  </si>
  <si>
    <t>(d) reflected as Real-Levelized Payment Stream (2020-2034)</t>
  </si>
  <si>
    <t>Proposed</t>
  </si>
  <si>
    <t>Current</t>
  </si>
  <si>
    <t>Delta</t>
  </si>
  <si>
    <t>Combined Energy and Capacity Prices (1)</t>
  </si>
  <si>
    <t>On-peak Winter hours:  6:00a - 8:00a and 5:00p - 11:00p Pacific Prevailing Time (PPT), Oct. through May</t>
  </si>
  <si>
    <t>Off-peak Winter hours:  All other hours, Oct. through May</t>
  </si>
  <si>
    <t>Capacity Factor Weighting: The resource's annual capacity factor divided by season.</t>
  </si>
  <si>
    <t>Standard Combined Avoided Capacity and Energy Costs</t>
  </si>
  <si>
    <t>Degradation</t>
  </si>
  <si>
    <t>C.F. Weighting:</t>
  </si>
  <si>
    <t>Table D</t>
  </si>
  <si>
    <t>Table C-1</t>
  </si>
  <si>
    <t>Table C-2</t>
  </si>
  <si>
    <t>Table C-3</t>
  </si>
  <si>
    <t>Table A-1</t>
  </si>
  <si>
    <t>Table A-2</t>
  </si>
  <si>
    <t>Table B-1</t>
  </si>
  <si>
    <t>Table B-2</t>
  </si>
  <si>
    <t>Exhibit 1</t>
  </si>
  <si>
    <t>Exhibit 2</t>
  </si>
  <si>
    <t>Exhibit 3</t>
  </si>
  <si>
    <t>Avg.</t>
  </si>
  <si>
    <t>Levelized capacity cost at 100% capacity contribution</t>
  </si>
  <si>
    <t>Wtd. Avg.</t>
  </si>
  <si>
    <t>BASELOAD</t>
  </si>
  <si>
    <t>WIND</t>
  </si>
  <si>
    <t>FIXED TILT SOLAR</t>
  </si>
  <si>
    <t>TRACKING SOLAR</t>
  </si>
  <si>
    <t>Illustrative price for all hours</t>
  </si>
  <si>
    <t>Confidential</t>
  </si>
  <si>
    <t>PPA Price</t>
  </si>
  <si>
    <t>(x) Extrapolated</t>
  </si>
  <si>
    <t>Levelized Capacity Costs</t>
  </si>
  <si>
    <t>Market Capacity Cost</t>
  </si>
  <si>
    <t>Planned Capacity Cost</t>
  </si>
  <si>
    <t>Total Capacity Cost</t>
  </si>
  <si>
    <t>15-year Levelized Capacity Cost @ 100% Contribution</t>
  </si>
  <si>
    <t>Levelized Avoided Capacity Cost</t>
  </si>
  <si>
    <t>SCCT</t>
  </si>
  <si>
    <t>Winter
Capacity</t>
  </si>
  <si>
    <t>Winter Capacity Cost (b) divided by seasonal capacity factor weighting</t>
  </si>
  <si>
    <t>Summer Capacity Cost (c) divided by seasonal capacity factor weighting</t>
  </si>
  <si>
    <t>Summer-winter split based on months and 2017 IRP loss of load probability</t>
  </si>
  <si>
    <t>(b),(c)</t>
  </si>
  <si>
    <t>I_YK_PV50FT</t>
  </si>
  <si>
    <t>$/kW</t>
  </si>
  <si>
    <t>2017 IRP</t>
  </si>
  <si>
    <t>Escalation Rate</t>
  </si>
  <si>
    <t>(2) Capacity costs are based on a renewable resource starting in 2028.</t>
  </si>
  <si>
    <t>Exhibit 4</t>
  </si>
  <si>
    <t>Average Combined Energy and Capacity Price at Expected Output</t>
  </si>
  <si>
    <t>Payment Factor with 30% ITC</t>
  </si>
  <si>
    <t>Payment Factor with 10% ITC</t>
  </si>
  <si>
    <t>Cost with 2017 IRP Solar Escalation and Tax Changes</t>
  </si>
  <si>
    <t>Capacity Contribution: 2017 IRP, Appendix N (wind), UE-190666, Order 01 (solar)</t>
  </si>
  <si>
    <t>Capacity Contribution: UE-190666, Order 01 (solar)</t>
  </si>
  <si>
    <t>PPA cost at expected resource output. Redacted Formula: PPA Price * Capacity Factor * 1st Year Degradation * 8760</t>
  </si>
  <si>
    <t>Company Official Inflation Forecast Sept 2021</t>
  </si>
  <si>
    <t>Cell C10: Pasted Value due to Confidential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</si>
</sst>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_(&quot;$&quot;* #,##0.00_);_(&quot;$&quot;* \(#,##0.00\);_(&quot;$&quot;* &quot;-&quot;?_);_(@_)"/>
    <numFmt numFmtId="168" formatCode="0.0%"/>
    <numFmt numFmtId="169" formatCode="_(* #,##0.0_);_(* \(#,##0.0\);_(* &quot;-&quot;??_);_(@_)"/>
    <numFmt numFmtId="170" formatCode="_(* #,##0_);[Red]_(* \(#,##0\);_(* &quot;-&quot;_);_(@_)"/>
    <numFmt numFmtId="171" formatCode="_(* #,##0.00_);[Red]_(* \(#,##0.00\);_(* &quot;-&quot;_);_(@_)"/>
    <numFmt numFmtId="172" formatCode="&quot;$&quot;###0;[Red]\(&quot;$&quot;###0\)"/>
    <numFmt numFmtId="173" formatCode="0.0"/>
    <numFmt numFmtId="174" formatCode="0.000%"/>
    <numFmt numFmtId="175" formatCode="_-* #,##0\ &quot;F&quot;_-;\-* #,##0\ &quot;F&quot;_-;_-* &quot;-&quot;\ &quot;F&quot;_-;_-@_-"/>
    <numFmt numFmtId="176" formatCode="&quot;$&quot;#,##0\ ;\(&quot;$&quot;#,##0\)"/>
    <numFmt numFmtId="177" formatCode="mmmm\ d\,\ yyyy"/>
    <numFmt numFmtId="178" formatCode="#,##0.000;[Red]\-#,##0.000"/>
    <numFmt numFmtId="179" formatCode="[$-409]mmm\-yy;@"/>
    <numFmt numFmtId="180" formatCode="#,##0.0_);\(#,##0.0\);\-\ ;"/>
    <numFmt numFmtId="181" formatCode="#,##0.0000"/>
    <numFmt numFmtId="182" formatCode="#\ &quot;(p)&quot;"/>
    <numFmt numFmtId="183" formatCode="#\ &quot;(2)&quot;"/>
    <numFmt numFmtId="184" formatCode="&quot;$&quot;#.00\ &quot;(x)&quot;"/>
  </numFmts>
  <fonts count="53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i/>
      <sz val="8"/>
      <color indexed="18"/>
      <name val="Helv"/>
    </font>
    <font>
      <b/>
      <sz val="10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rgb="FFFF0000"/>
      <name val="Times New Roman"/>
      <family val="1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Geneva"/>
      <family val="2"/>
    </font>
    <font>
      <sz val="10"/>
      <color indexed="24"/>
      <name val="Courier New"/>
      <family val="3"/>
    </font>
    <font>
      <sz val="10"/>
      <name val="Helv"/>
    </font>
    <font>
      <sz val="11"/>
      <color indexed="8"/>
      <name val="TimesNewRomanPS"/>
    </font>
    <font>
      <sz val="12"/>
      <color theme="1"/>
      <name val="Times New Roman"/>
      <family val="2"/>
    </font>
    <font>
      <sz val="10"/>
      <color indexed="8"/>
      <name val="Arial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sz val="12"/>
      <name val="Arial MT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1F497D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6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11">
    <xf numFmtId="170" fontId="0" fillId="0" borderId="0"/>
    <xf numFmtId="44" fontId="10" fillId="0" borderId="0" applyFont="0" applyFill="0" applyBorder="0" applyAlignment="0" applyProtection="0"/>
    <xf numFmtId="0" fontId="21" fillId="0" borderId="0" applyNumberFormat="0" applyFill="0" applyBorder="0" applyAlignment="0">
      <protection locked="0"/>
    </xf>
    <xf numFmtId="41" fontId="12" fillId="0" borderId="0"/>
    <xf numFmtId="0" fontId="12" fillId="0" borderId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0" fontId="12" fillId="0" borderId="0"/>
    <xf numFmtId="170" fontId="10" fillId="0" borderId="0"/>
    <xf numFmtId="170" fontId="12" fillId="0" borderId="0"/>
    <xf numFmtId="0" fontId="10" fillId="0" borderId="0"/>
    <xf numFmtId="170" fontId="10" fillId="0" borderId="0"/>
    <xf numFmtId="0" fontId="10" fillId="0" borderId="0"/>
    <xf numFmtId="172" fontId="29" fillId="0" borderId="0" applyFont="0" applyFill="0" applyBorder="0" applyProtection="0">
      <alignment horizontal="right"/>
    </xf>
    <xf numFmtId="173" fontId="28" fillId="0" borderId="0" applyNumberFormat="0" applyFill="0" applyBorder="0" applyAlignment="0" applyProtection="0"/>
    <xf numFmtId="0" fontId="27" fillId="0" borderId="20" applyNumberFormat="0" applyBorder="0" applyAlignment="0"/>
    <xf numFmtId="12" fontId="26" fillId="3" borderId="13">
      <alignment horizontal="left"/>
    </xf>
    <xf numFmtId="37" fontId="27" fillId="4" borderId="0" applyNumberFormat="0" applyBorder="0" applyAlignment="0" applyProtection="0"/>
    <xf numFmtId="37" fontId="27" fillId="0" borderId="0"/>
    <xf numFmtId="3" fontId="30" fillId="5" borderId="21" applyProtection="0"/>
    <xf numFmtId="17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170" fontId="8" fillId="0" borderId="0"/>
    <xf numFmtId="0" fontId="34" fillId="7" borderId="6" applyNumberFormat="0" applyBorder="0" applyAlignment="0" applyProtection="0"/>
    <xf numFmtId="0" fontId="22" fillId="8" borderId="0" applyNumberFormat="0" applyBorder="0" applyAlignment="0" applyProtection="0"/>
    <xf numFmtId="0" fontId="35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1" fontId="36" fillId="0" borderId="0"/>
    <xf numFmtId="43" fontId="8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9" fillId="0" borderId="0"/>
    <xf numFmtId="0" fontId="39" fillId="0" borderId="0"/>
    <xf numFmtId="37" fontId="10" fillId="0" borderId="0" applyFill="0" applyBorder="0" applyAlignment="0" applyProtection="0"/>
    <xf numFmtId="0" fontId="39" fillId="0" borderId="0"/>
    <xf numFmtId="5" fontId="39" fillId="0" borderId="0"/>
    <xf numFmtId="176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/>
    <xf numFmtId="177" fontId="10" fillId="0" borderId="0" applyFill="0" applyBorder="0" applyAlignment="0" applyProtection="0"/>
    <xf numFmtId="2" fontId="38" fillId="0" borderId="0" applyFont="0" applyFill="0" applyBorder="0" applyAlignment="0" applyProtection="0"/>
    <xf numFmtId="38" fontId="27" fillId="2" borderId="0" applyNumberFormat="0" applyBorder="0" applyAlignment="0" applyProtection="0"/>
    <xf numFmtId="0" fontId="23" fillId="0" borderId="0"/>
    <xf numFmtId="0" fontId="26" fillId="0" borderId="11" applyNumberFormat="0" applyAlignment="0" applyProtection="0">
      <alignment horizontal="left" vertical="center"/>
    </xf>
    <xf numFmtId="0" fontId="26" fillId="0" borderId="30">
      <alignment horizontal="left" vertical="center"/>
    </xf>
    <xf numFmtId="10" fontId="27" fillId="9" borderId="6" applyNumberFormat="0" applyBorder="0" applyAlignment="0" applyProtection="0"/>
    <xf numFmtId="0" fontId="15" fillId="10" borderId="0"/>
    <xf numFmtId="0" fontId="15" fillId="11" borderId="0"/>
    <xf numFmtId="0" fontId="22" fillId="12" borderId="4" applyBorder="0"/>
    <xf numFmtId="0" fontId="10" fillId="13" borderId="7" applyNumberFormat="0" applyFont="0" applyBorder="0" applyAlignment="0" applyProtection="0"/>
    <xf numFmtId="37" fontId="40" fillId="0" borderId="0" applyNumberFormat="0" applyFill="0" applyBorder="0"/>
    <xf numFmtId="178" fontId="10" fillId="0" borderId="0"/>
    <xf numFmtId="179" fontId="8" fillId="0" borderId="0"/>
    <xf numFmtId="179" fontId="41" fillId="0" borderId="0"/>
    <xf numFmtId="0" fontId="10" fillId="0" borderId="0"/>
    <xf numFmtId="0" fontId="8" fillId="0" borderId="0"/>
    <xf numFmtId="170" fontId="10" fillId="0" borderId="0"/>
    <xf numFmtId="0" fontId="10" fillId="0" borderId="0"/>
    <xf numFmtId="0" fontId="37" fillId="0" borderId="0"/>
    <xf numFmtId="0" fontId="8" fillId="0" borderId="0"/>
    <xf numFmtId="37" fontId="39" fillId="0" borderId="0"/>
    <xf numFmtId="180" fontId="17" fillId="0" borderId="0" applyFont="0" applyFill="0" applyBorder="0" applyProtection="0"/>
    <xf numFmtId="0" fontId="39" fillId="0" borderId="0"/>
    <xf numFmtId="0" fontId="39" fillId="0" borderId="0"/>
    <xf numFmtId="10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3" fillId="0" borderId="0"/>
    <xf numFmtId="4" fontId="44" fillId="14" borderId="32" applyNumberFormat="0" applyProtection="0">
      <alignment vertical="center"/>
    </xf>
    <xf numFmtId="4" fontId="44" fillId="4" borderId="32" applyNumberFormat="0" applyProtection="0">
      <alignment horizontal="left" vertical="center" indent="1"/>
    </xf>
    <xf numFmtId="4" fontId="44" fillId="15" borderId="0" applyNumberFormat="0" applyProtection="0">
      <alignment horizontal="left" vertical="center" indent="1"/>
    </xf>
    <xf numFmtId="4" fontId="42" fillId="16" borderId="32" applyNumberFormat="0" applyProtection="0">
      <alignment horizontal="right" vertical="center"/>
    </xf>
    <xf numFmtId="4" fontId="42" fillId="17" borderId="32" applyNumberFormat="0" applyProtection="0">
      <alignment horizontal="left" vertical="center" indent="1"/>
    </xf>
    <xf numFmtId="0" fontId="42" fillId="15" borderId="32" applyNumberFormat="0" applyProtection="0">
      <alignment horizontal="left" vertical="top" indent="1"/>
    </xf>
    <xf numFmtId="37" fontId="45" fillId="18" borderId="0" applyNumberFormat="0" applyFont="0" applyBorder="0" applyAlignment="0" applyProtection="0"/>
    <xf numFmtId="181" fontId="10" fillId="0" borderId="5">
      <alignment horizontal="justify" vertical="top" wrapText="1"/>
    </xf>
    <xf numFmtId="0" fontId="10" fillId="0" borderId="0">
      <alignment horizontal="left" wrapText="1"/>
    </xf>
    <xf numFmtId="0" fontId="22" fillId="0" borderId="6">
      <alignment horizontal="center" vertical="center" wrapText="1"/>
    </xf>
    <xf numFmtId="0" fontId="39" fillId="0" borderId="33"/>
    <xf numFmtId="0" fontId="39" fillId="0" borderId="34"/>
    <xf numFmtId="38" fontId="42" fillId="0" borderId="3" applyFill="0" applyBorder="0" applyAlignment="0" applyProtection="0">
      <protection locked="0"/>
    </xf>
    <xf numFmtId="0" fontId="7" fillId="0" borderId="0"/>
    <xf numFmtId="170" fontId="6" fillId="0" borderId="0"/>
    <xf numFmtId="170" fontId="6" fillId="0" borderId="0"/>
    <xf numFmtId="9" fontId="10" fillId="0" borderId="0" applyFont="0" applyFill="0" applyBorder="0" applyAlignment="0" applyProtection="0"/>
    <xf numFmtId="170" fontId="12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73">
    <xf numFmtId="170" fontId="0" fillId="0" borderId="0" xfId="0"/>
    <xf numFmtId="170" fontId="20" fillId="0" borderId="0" xfId="0" applyFont="1" applyFill="1"/>
    <xf numFmtId="170" fontId="20" fillId="0" borderId="0" xfId="0" applyFont="1" applyFill="1" applyBorder="1"/>
    <xf numFmtId="170" fontId="12" fillId="0" borderId="0" xfId="0" applyFont="1" applyFill="1"/>
    <xf numFmtId="170" fontId="14" fillId="0" borderId="0" xfId="0" applyFont="1" applyFill="1" applyAlignment="1">
      <alignment horizontal="centerContinuous"/>
    </xf>
    <xf numFmtId="170" fontId="12" fillId="0" borderId="0" xfId="0" applyFont="1" applyFill="1" applyBorder="1"/>
    <xf numFmtId="170" fontId="12" fillId="0" borderId="0" xfId="0" applyFont="1" applyFill="1" applyBorder="1" applyAlignment="1">
      <alignment horizontal="center"/>
    </xf>
    <xf numFmtId="170" fontId="12" fillId="0" borderId="0" xfId="0" applyFont="1" applyFill="1" applyAlignment="1">
      <alignment horizontal="right"/>
    </xf>
    <xf numFmtId="166" fontId="12" fillId="0" borderId="0" xfId="0" applyNumberFormat="1" applyFont="1" applyFill="1" applyBorder="1" applyAlignment="1">
      <alignment horizontal="center"/>
    </xf>
    <xf numFmtId="170" fontId="12" fillId="0" borderId="0" xfId="0" quotePrefix="1" applyFont="1" applyFill="1" applyBorder="1" applyAlignment="1">
      <alignment horizontal="center"/>
    </xf>
    <xf numFmtId="170" fontId="12" fillId="0" borderId="0" xfId="0" quotePrefix="1" applyFont="1" applyFill="1"/>
    <xf numFmtId="170" fontId="20" fillId="0" borderId="0" xfId="0" applyFont="1" applyFill="1" applyBorder="1" applyAlignment="1">
      <alignment horizontal="center"/>
    </xf>
    <xf numFmtId="170" fontId="20" fillId="0" borderId="0" xfId="0" quotePrefix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0" fontId="12" fillId="0" borderId="3" xfId="4" applyFont="1" applyBorder="1" applyAlignment="1">
      <alignment horizontal="center"/>
    </xf>
    <xf numFmtId="0" fontId="12" fillId="0" borderId="0" xfId="4" quotePrefix="1" applyFont="1" applyBorder="1" applyAlignment="1">
      <alignment horizontal="center"/>
    </xf>
    <xf numFmtId="0" fontId="12" fillId="0" borderId="4" xfId="4" applyFont="1" applyBorder="1" applyAlignment="1">
      <alignment horizontal="center"/>
    </xf>
    <xf numFmtId="0" fontId="12" fillId="0" borderId="5" xfId="4" quotePrefix="1" applyFont="1" applyBorder="1" applyAlignment="1">
      <alignment horizontal="center"/>
    </xf>
    <xf numFmtId="2" fontId="12" fillId="0" borderId="0" xfId="0" applyNumberFormat="1" applyFont="1" applyFill="1" applyAlignment="1">
      <alignment horizontal="centerContinuous"/>
    </xf>
    <xf numFmtId="170" fontId="11" fillId="0" borderId="10" xfId="0" applyFont="1" applyFill="1" applyBorder="1" applyAlignment="1">
      <alignment horizontal="centerContinuous"/>
    </xf>
    <xf numFmtId="170" fontId="11" fillId="0" borderId="11" xfId="0" applyFont="1" applyFill="1" applyBorder="1" applyAlignment="1">
      <alignment horizontal="centerContinuous"/>
    </xf>
    <xf numFmtId="41" fontId="12" fillId="0" borderId="0" xfId="3" applyFont="1" applyFill="1"/>
    <xf numFmtId="41" fontId="11" fillId="0" borderId="12" xfId="3" applyFont="1" applyFill="1" applyBorder="1" applyAlignment="1">
      <alignment horizontal="centerContinuous"/>
    </xf>
    <xf numFmtId="41" fontId="19" fillId="0" borderId="0" xfId="3" applyFont="1" applyFill="1"/>
    <xf numFmtId="164" fontId="19" fillId="0" borderId="0" xfId="3" applyNumberFormat="1" applyFont="1" applyFill="1"/>
    <xf numFmtId="170" fontId="11" fillId="0" borderId="15" xfId="0" applyFont="1" applyFill="1" applyBorder="1" applyAlignment="1">
      <alignment horizontal="centerContinuous"/>
    </xf>
    <xf numFmtId="168" fontId="12" fillId="0" borderId="0" xfId="5" applyNumberFormat="1" applyFont="1" applyFill="1"/>
    <xf numFmtId="0" fontId="20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7" fontId="12" fillId="0" borderId="0" xfId="0" applyNumberFormat="1" applyFont="1" applyFill="1" applyBorder="1" applyAlignment="1">
      <alignment horizontal="center"/>
    </xf>
    <xf numFmtId="7" fontId="12" fillId="0" borderId="7" xfId="0" applyNumberFormat="1" applyFont="1" applyFill="1" applyBorder="1" applyAlignment="1">
      <alignment horizontal="center"/>
    </xf>
    <xf numFmtId="170" fontId="13" fillId="0" borderId="0" xfId="10" applyFont="1" applyFill="1" applyAlignment="1">
      <alignment horizontal="centerContinuous"/>
    </xf>
    <xf numFmtId="170" fontId="12" fillId="0" borderId="0" xfId="10" applyFont="1" applyFill="1" applyAlignment="1">
      <alignment horizontal="centerContinuous"/>
    </xf>
    <xf numFmtId="170" fontId="12" fillId="0" borderId="0" xfId="10" applyFont="1" applyFill="1"/>
    <xf numFmtId="170" fontId="12" fillId="0" borderId="0" xfId="10" applyFont="1" applyFill="1" applyBorder="1"/>
    <xf numFmtId="170" fontId="12" fillId="0" borderId="0" xfId="10" applyFont="1" applyFill="1" applyBorder="1" applyAlignment="1">
      <alignment horizontal="centerContinuous"/>
    </xf>
    <xf numFmtId="170" fontId="11" fillId="0" borderId="1" xfId="10" applyFont="1" applyFill="1" applyBorder="1" applyAlignment="1">
      <alignment horizontal="center"/>
    </xf>
    <xf numFmtId="170" fontId="11" fillId="0" borderId="1" xfId="10" applyFont="1" applyFill="1" applyBorder="1" applyAlignment="1">
      <alignment horizontal="center" wrapText="1"/>
    </xf>
    <xf numFmtId="170" fontId="24" fillId="0" borderId="5" xfId="10" applyFont="1" applyFill="1" applyBorder="1" applyAlignment="1">
      <alignment horizontal="centerContinuous"/>
    </xf>
    <xf numFmtId="170" fontId="25" fillId="0" borderId="5" xfId="10" quotePrefix="1" applyFont="1" applyFill="1" applyBorder="1" applyAlignment="1">
      <alignment horizontal="center" wrapText="1"/>
    </xf>
    <xf numFmtId="170" fontId="15" fillId="0" borderId="0" xfId="10" quotePrefix="1" applyFont="1" applyFill="1" applyBorder="1" applyAlignment="1">
      <alignment horizontal="center"/>
    </xf>
    <xf numFmtId="170" fontId="16" fillId="0" borderId="0" xfId="8" applyFont="1" applyFill="1" applyBorder="1"/>
    <xf numFmtId="0" fontId="12" fillId="0" borderId="0" xfId="10" applyNumberFormat="1" applyFont="1" applyFill="1"/>
    <xf numFmtId="170" fontId="11" fillId="0" borderId="11" xfId="10" applyFont="1" applyFill="1" applyBorder="1" applyAlignment="1">
      <alignment horizontal="centerContinuous"/>
    </xf>
    <xf numFmtId="1" fontId="12" fillId="0" borderId="0" xfId="13" applyNumberFormat="1" applyFont="1" applyFill="1" applyAlignment="1" applyProtection="1">
      <alignment horizontal="center"/>
      <protection locked="0"/>
    </xf>
    <xf numFmtId="0" fontId="12" fillId="0" borderId="0" xfId="11" applyFont="1"/>
    <xf numFmtId="14" fontId="12" fillId="0" borderId="0" xfId="12" applyNumberFormat="1" applyFont="1"/>
    <xf numFmtId="170" fontId="0" fillId="0" borderId="0" xfId="0" applyFont="1" applyFill="1"/>
    <xf numFmtId="170" fontId="17" fillId="0" borderId="0" xfId="0" applyFont="1" applyFill="1" applyAlignment="1">
      <alignment horizontal="center"/>
    </xf>
    <xf numFmtId="7" fontId="12" fillId="0" borderId="0" xfId="1" applyNumberFormat="1" applyFont="1" applyFill="1"/>
    <xf numFmtId="8" fontId="12" fillId="0" borderId="0" xfId="10" applyNumberFormat="1" applyFont="1" applyFill="1" applyAlignment="1">
      <alignment horizontal="center"/>
    </xf>
    <xf numFmtId="170" fontId="14" fillId="0" borderId="0" xfId="0" applyFont="1" applyFill="1" applyAlignment="1">
      <alignment horizontal="center"/>
    </xf>
    <xf numFmtId="170" fontId="0" fillId="0" borderId="0" xfId="0" applyAlignment="1">
      <alignment horizontal="center"/>
    </xf>
    <xf numFmtId="170" fontId="0" fillId="0" borderId="0" xfId="0" applyFont="1" applyFill="1" applyBorder="1"/>
    <xf numFmtId="170" fontId="17" fillId="0" borderId="0" xfId="0" applyFont="1" applyFill="1" applyAlignment="1"/>
    <xf numFmtId="170" fontId="18" fillId="0" borderId="0" xfId="0" applyFont="1" applyFill="1" applyAlignment="1"/>
    <xf numFmtId="170" fontId="20" fillId="0" borderId="0" xfId="0" applyFont="1" applyFill="1" applyAlignment="1">
      <alignment wrapText="1"/>
    </xf>
    <xf numFmtId="170" fontId="12" fillId="0" borderId="0" xfId="0" applyFont="1" applyFill="1" applyBorder="1" applyAlignment="1">
      <alignment wrapText="1"/>
    </xf>
    <xf numFmtId="0" fontId="12" fillId="0" borderId="0" xfId="10" applyNumberFormat="1" applyFont="1" applyFill="1" applyBorder="1"/>
    <xf numFmtId="170" fontId="12" fillId="0" borderId="0" xfId="21" applyFont="1"/>
    <xf numFmtId="164" fontId="17" fillId="0" borderId="6" xfId="22" applyNumberFormat="1" applyFont="1" applyBorder="1" applyAlignment="1">
      <alignment horizontal="center"/>
    </xf>
    <xf numFmtId="164" fontId="17" fillId="0" borderId="5" xfId="22" applyNumberFormat="1" applyFont="1" applyBorder="1" applyAlignment="1">
      <alignment horizontal="center"/>
    </xf>
    <xf numFmtId="164" fontId="17" fillId="0" borderId="14" xfId="22" applyNumberFormat="1" applyFont="1" applyBorder="1" applyAlignment="1">
      <alignment horizontal="center"/>
    </xf>
    <xf numFmtId="169" fontId="17" fillId="0" borderId="5" xfId="22" applyNumberFormat="1" applyFont="1" applyBorder="1" applyAlignment="1">
      <alignment horizontal="center"/>
    </xf>
    <xf numFmtId="169" fontId="17" fillId="0" borderId="6" xfId="22" applyNumberFormat="1" applyFont="1" applyBorder="1" applyAlignment="1">
      <alignment horizontal="center"/>
    </xf>
    <xf numFmtId="169" fontId="17" fillId="0" borderId="14" xfId="22" applyNumberFormat="1" applyFont="1" applyBorder="1" applyAlignment="1">
      <alignment horizontal="center"/>
    </xf>
    <xf numFmtId="164" fontId="17" fillId="0" borderId="3" xfId="22" applyNumberFormat="1" applyFont="1" applyBorder="1" applyAlignment="1">
      <alignment horizontal="center"/>
    </xf>
    <xf numFmtId="164" fontId="17" fillId="6" borderId="23" xfId="22" applyNumberFormat="1" applyFont="1" applyFill="1" applyBorder="1" applyAlignment="1">
      <alignment horizontal="center"/>
    </xf>
    <xf numFmtId="164" fontId="17" fillId="6" borderId="19" xfId="22" applyNumberFormat="1" applyFont="1" applyFill="1" applyBorder="1" applyAlignment="1">
      <alignment horizontal="center"/>
    </xf>
    <xf numFmtId="164" fontId="17" fillId="0" borderId="0" xfId="22" applyNumberFormat="1" applyFont="1" applyFill="1" applyBorder="1" applyAlignment="1">
      <alignment horizontal="center"/>
    </xf>
    <xf numFmtId="164" fontId="17" fillId="6" borderId="6" xfId="22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 wrapText="1"/>
    </xf>
    <xf numFmtId="170" fontId="0" fillId="0" borderId="0" xfId="0" applyAlignment="1"/>
    <xf numFmtId="170" fontId="0" fillId="0" borderId="0" xfId="0" applyFill="1" applyAlignment="1">
      <alignment horizontal="center"/>
    </xf>
    <xf numFmtId="170" fontId="12" fillId="0" borderId="5" xfId="0" quotePrefix="1" applyFont="1" applyFill="1" applyBorder="1" applyAlignment="1">
      <alignment horizontal="center"/>
    </xf>
    <xf numFmtId="170" fontId="12" fillId="0" borderId="9" xfId="0" quotePrefix="1" applyFont="1" applyFill="1" applyBorder="1" applyAlignment="1">
      <alignment horizontal="center"/>
    </xf>
    <xf numFmtId="170" fontId="12" fillId="0" borderId="27" xfId="0" quotePrefix="1" applyFont="1" applyFill="1" applyBorder="1" applyAlignment="1">
      <alignment horizontal="center"/>
    </xf>
    <xf numFmtId="170" fontId="12" fillId="0" borderId="24" xfId="0" quotePrefix="1" applyFont="1" applyFill="1" applyBorder="1" applyAlignment="1">
      <alignment horizontal="center"/>
    </xf>
    <xf numFmtId="170" fontId="11" fillId="0" borderId="12" xfId="10" applyFont="1" applyFill="1" applyBorder="1" applyAlignment="1">
      <alignment horizontal="centerContinuous"/>
    </xf>
    <xf numFmtId="170" fontId="13" fillId="0" borderId="0" xfId="10" applyFont="1" applyFill="1" applyAlignment="1">
      <alignment horizontal="centerContinuous" vertical="center"/>
    </xf>
    <xf numFmtId="170" fontId="13" fillId="0" borderId="0" xfId="10" applyFont="1" applyFill="1" applyAlignment="1">
      <alignment horizontal="centerContinuous" vertical="top"/>
    </xf>
    <xf numFmtId="170" fontId="12" fillId="0" borderId="0" xfId="10" applyFont="1" applyFill="1" applyAlignment="1">
      <alignment horizontal="centerContinuous" vertical="top"/>
    </xf>
    <xf numFmtId="170" fontId="11" fillId="0" borderId="28" xfId="10" applyFont="1" applyFill="1" applyBorder="1" applyAlignment="1">
      <alignment horizontal="center"/>
    </xf>
    <xf numFmtId="170" fontId="11" fillId="0" borderId="28" xfId="10" applyFont="1" applyFill="1" applyBorder="1" applyAlignment="1">
      <alignment horizontal="center" wrapText="1"/>
    </xf>
    <xf numFmtId="6" fontId="12" fillId="0" borderId="0" xfId="10" applyNumberFormat="1" applyFont="1" applyFill="1" applyAlignment="1">
      <alignment horizontal="right"/>
    </xf>
    <xf numFmtId="8" fontId="12" fillId="0" borderId="0" xfId="10" applyNumberFormat="1" applyFont="1" applyFill="1" applyBorder="1"/>
    <xf numFmtId="170" fontId="14" fillId="0" borderId="0" xfId="10" applyFont="1" applyFill="1" applyAlignment="1">
      <alignment horizontal="centerContinuous"/>
    </xf>
    <xf numFmtId="170" fontId="11" fillId="0" borderId="0" xfId="10" applyFont="1" applyFill="1" applyAlignment="1">
      <alignment horizontal="centerContinuous"/>
    </xf>
    <xf numFmtId="170" fontId="12" fillId="0" borderId="0" xfId="10" applyFont="1" applyFill="1" applyAlignment="1">
      <alignment horizontal="center"/>
    </xf>
    <xf numFmtId="170" fontId="11" fillId="0" borderId="10" xfId="8" applyFont="1" applyFill="1" applyBorder="1" applyAlignment="1">
      <alignment horizontal="centerContinuous"/>
    </xf>
    <xf numFmtId="170" fontId="11" fillId="0" borderId="10" xfId="10" applyFont="1" applyFill="1" applyBorder="1" applyAlignment="1">
      <alignment horizontal="center"/>
    </xf>
    <xf numFmtId="170" fontId="11" fillId="0" borderId="11" xfId="8" applyFont="1" applyFill="1" applyBorder="1" applyAlignment="1">
      <alignment horizontal="centerContinuous"/>
    </xf>
    <xf numFmtId="165" fontId="12" fillId="0" borderId="0" xfId="10" applyNumberFormat="1" applyFont="1" applyFill="1" applyBorder="1" applyAlignment="1">
      <alignment horizontal="center"/>
    </xf>
    <xf numFmtId="164" fontId="17" fillId="0" borderId="31" xfId="22" applyNumberFormat="1" applyFont="1" applyFill="1" applyBorder="1" applyAlignment="1">
      <alignment horizontal="center"/>
    </xf>
    <xf numFmtId="170" fontId="13" fillId="0" borderId="0" xfId="21" applyFont="1" applyAlignment="1">
      <alignment horizontal="centerContinuous"/>
    </xf>
    <xf numFmtId="170" fontId="12" fillId="0" borderId="0" xfId="21" applyFont="1" applyAlignment="1">
      <alignment horizontal="centerContinuous"/>
    </xf>
    <xf numFmtId="170" fontId="13" fillId="0" borderId="0" xfId="21" applyFont="1" applyFill="1" applyAlignment="1">
      <alignment horizontal="centerContinuous"/>
    </xf>
    <xf numFmtId="170" fontId="31" fillId="0" borderId="0" xfId="0" applyFont="1" applyAlignment="1">
      <alignment horizontal="right" vertical="center"/>
    </xf>
    <xf numFmtId="165" fontId="32" fillId="0" borderId="0" xfId="0" applyNumberFormat="1" applyFont="1" applyAlignment="1">
      <alignment horizontal="left" vertical="center"/>
    </xf>
    <xf numFmtId="170" fontId="17" fillId="6" borderId="6" xfId="0" applyFont="1" applyFill="1" applyBorder="1" applyAlignment="1">
      <alignment horizontal="centerContinuous" vertical="center"/>
    </xf>
    <xf numFmtId="170" fontId="17" fillId="6" borderId="6" xfId="0" applyFont="1" applyFill="1" applyBorder="1" applyAlignment="1">
      <alignment horizontal="centerContinuous"/>
    </xf>
    <xf numFmtId="170" fontId="17" fillId="0" borderId="9" xfId="0" applyFont="1" applyBorder="1" applyAlignment="1"/>
    <xf numFmtId="170" fontId="17" fillId="6" borderId="6" xfId="0" applyFont="1" applyFill="1" applyBorder="1" applyAlignment="1"/>
    <xf numFmtId="1" fontId="17" fillId="6" borderId="6" xfId="0" applyNumberFormat="1" applyFont="1" applyFill="1" applyBorder="1" applyAlignment="1">
      <alignment horizontal="center"/>
    </xf>
    <xf numFmtId="0" fontId="17" fillId="6" borderId="6" xfId="0" applyNumberFormat="1" applyFont="1" applyFill="1" applyBorder="1" applyAlignment="1">
      <alignment horizontal="center"/>
    </xf>
    <xf numFmtId="170" fontId="13" fillId="6" borderId="6" xfId="0" applyFont="1" applyFill="1" applyBorder="1" applyAlignment="1">
      <alignment horizontal="centerContinuous"/>
    </xf>
    <xf numFmtId="170" fontId="11" fillId="6" borderId="26" xfId="0" applyFont="1" applyFill="1" applyBorder="1" applyAlignment="1">
      <alignment horizontal="center" vertical="top"/>
    </xf>
    <xf numFmtId="170" fontId="11" fillId="6" borderId="3" xfId="0" applyFont="1" applyFill="1" applyBorder="1" applyAlignment="1">
      <alignment horizontal="center" vertical="top"/>
    </xf>
    <xf numFmtId="170" fontId="12" fillId="6" borderId="3" xfId="0" applyFont="1" applyFill="1" applyBorder="1" applyAlignment="1">
      <alignment horizontal="center" vertical="top"/>
    </xf>
    <xf numFmtId="170" fontId="12" fillId="2" borderId="7" xfId="0" applyFont="1" applyFill="1" applyBorder="1" applyAlignment="1"/>
    <xf numFmtId="170" fontId="12" fillId="2" borderId="4" xfId="0" applyFont="1" applyFill="1" applyBorder="1" applyAlignment="1"/>
    <xf numFmtId="170" fontId="12" fillId="0" borderId="25" xfId="0" applyFont="1" applyBorder="1" applyAlignment="1"/>
    <xf numFmtId="164" fontId="17" fillId="0" borderId="5" xfId="22" applyNumberFormat="1" applyFont="1" applyFill="1" applyBorder="1" applyAlignment="1">
      <alignment horizontal="center"/>
    </xf>
    <xf numFmtId="170" fontId="11" fillId="0" borderId="16" xfId="0" applyFont="1" applyBorder="1" applyAlignment="1"/>
    <xf numFmtId="170" fontId="12" fillId="0" borderId="8" xfId="0" applyFont="1" applyBorder="1" applyAlignment="1"/>
    <xf numFmtId="170" fontId="12" fillId="0" borderId="26" xfId="0" applyFont="1" applyBorder="1" applyAlignment="1"/>
    <xf numFmtId="170" fontId="11" fillId="6" borderId="7" xfId="0" applyFont="1" applyFill="1" applyBorder="1" applyAlignment="1">
      <alignment horizontal="center" vertical="top"/>
    </xf>
    <xf numFmtId="170" fontId="12" fillId="6" borderId="17" xfId="0" applyFont="1" applyFill="1" applyBorder="1" applyAlignment="1">
      <alignment horizontal="center" vertical="top"/>
    </xf>
    <xf numFmtId="170" fontId="12" fillId="0" borderId="29" xfId="0" applyFont="1" applyBorder="1" applyAlignment="1"/>
    <xf numFmtId="170" fontId="12" fillId="6" borderId="22" xfId="0" applyFont="1" applyFill="1" applyBorder="1" applyAlignment="1">
      <alignment horizontal="right"/>
    </xf>
    <xf numFmtId="170" fontId="12" fillId="0" borderId="4" xfId="0" applyFont="1" applyBorder="1" applyAlignment="1"/>
    <xf numFmtId="170" fontId="12" fillId="6" borderId="18" xfId="0" applyFont="1" applyFill="1" applyBorder="1" applyAlignment="1">
      <alignment horizontal="right"/>
    </xf>
    <xf numFmtId="170" fontId="12" fillId="0" borderId="0" xfId="0" applyFont="1" applyAlignment="1"/>
    <xf numFmtId="170" fontId="11" fillId="0" borderId="0" xfId="0" applyFont="1" applyFill="1"/>
    <xf numFmtId="2" fontId="33" fillId="0" borderId="0" xfId="0" applyNumberFormat="1" applyFont="1" applyFill="1" applyAlignment="1">
      <alignment horizontal="left" vertical="top"/>
    </xf>
    <xf numFmtId="164" fontId="17" fillId="0" borderId="6" xfId="22" applyNumberFormat="1" applyFont="1" applyFill="1" applyBorder="1" applyAlignment="1">
      <alignment horizontal="center"/>
    </xf>
    <xf numFmtId="164" fontId="17" fillId="0" borderId="14" xfId="22" applyNumberFormat="1" applyFont="1" applyFill="1" applyBorder="1" applyAlignment="1">
      <alignment horizontal="center"/>
    </xf>
    <xf numFmtId="164" fontId="17" fillId="0" borderId="35" xfId="22" applyNumberFormat="1" applyFont="1" applyBorder="1" applyAlignment="1">
      <alignment horizontal="center"/>
    </xf>
    <xf numFmtId="164" fontId="17" fillId="0" borderId="35" xfId="22" applyNumberFormat="1" applyFont="1" applyFill="1" applyBorder="1" applyAlignment="1">
      <alignment horizontal="center"/>
    </xf>
    <xf numFmtId="169" fontId="17" fillId="0" borderId="5" xfId="22" applyNumberFormat="1" applyFont="1" applyFill="1" applyBorder="1" applyAlignment="1">
      <alignment horizontal="center"/>
    </xf>
    <xf numFmtId="169" fontId="17" fillId="0" borderId="6" xfId="22" applyNumberFormat="1" applyFont="1" applyFill="1" applyBorder="1" applyAlignment="1">
      <alignment horizontal="center"/>
    </xf>
    <xf numFmtId="169" fontId="17" fillId="0" borderId="14" xfId="22" applyNumberFormat="1" applyFont="1" applyFill="1" applyBorder="1" applyAlignment="1">
      <alignment horizontal="center"/>
    </xf>
    <xf numFmtId="170" fontId="12" fillId="6" borderId="7" xfId="0" applyFont="1" applyFill="1" applyBorder="1" applyAlignment="1">
      <alignment horizontal="center" vertical="top"/>
    </xf>
    <xf numFmtId="170" fontId="12" fillId="0" borderId="6" xfId="0" applyFont="1" applyBorder="1" applyAlignment="1"/>
    <xf numFmtId="170" fontId="12" fillId="6" borderId="3" xfId="0" applyFont="1" applyFill="1" applyBorder="1" applyAlignment="1">
      <alignment horizontal="right" vertical="top"/>
    </xf>
    <xf numFmtId="164" fontId="17" fillId="20" borderId="5" xfId="22" applyNumberFormat="1" applyFont="1" applyFill="1" applyBorder="1" applyAlignment="1">
      <alignment horizontal="center"/>
    </xf>
    <xf numFmtId="164" fontId="17" fillId="20" borderId="6" xfId="22" applyNumberFormat="1" applyFont="1" applyFill="1" applyBorder="1" applyAlignment="1">
      <alignment horizontal="center"/>
    </xf>
    <xf numFmtId="170" fontId="12" fillId="6" borderId="5" xfId="0" applyFont="1" applyFill="1" applyBorder="1" applyAlignment="1">
      <alignment horizontal="right" vertical="top"/>
    </xf>
    <xf numFmtId="164" fontId="17" fillId="20" borderId="3" xfId="22" applyNumberFormat="1" applyFont="1" applyFill="1" applyBorder="1" applyAlignment="1">
      <alignment horizontal="center"/>
    </xf>
    <xf numFmtId="164" fontId="17" fillId="19" borderId="5" xfId="22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170" fontId="0" fillId="0" borderId="0" xfId="0" applyFont="1" applyFill="1" applyAlignment="1">
      <alignment horizontal="right"/>
    </xf>
    <xf numFmtId="168" fontId="0" fillId="0" borderId="0" xfId="5" applyNumberFormat="1" applyFont="1" applyFill="1"/>
    <xf numFmtId="170" fontId="0" fillId="0" borderId="0" xfId="8" applyFont="1" applyFill="1"/>
    <xf numFmtId="170" fontId="0" fillId="0" borderId="0" xfId="8" applyFont="1" applyFill="1" applyBorder="1"/>
    <xf numFmtId="1" fontId="0" fillId="0" borderId="0" xfId="13" applyNumberFormat="1" applyFont="1" applyFill="1" applyAlignment="1" applyProtection="1">
      <alignment horizontal="center"/>
      <protection locked="0"/>
    </xf>
    <xf numFmtId="170" fontId="0" fillId="0" borderId="12" xfId="0" applyFont="1" applyFill="1" applyBorder="1" applyAlignment="1">
      <alignment horizontal="centerContinuous"/>
    </xf>
    <xf numFmtId="168" fontId="12" fillId="0" borderId="0" xfId="98" applyNumberFormat="1" applyFont="1" applyFill="1"/>
    <xf numFmtId="168" fontId="12" fillId="0" borderId="0" xfId="10" applyNumberFormat="1" applyFont="1" applyFill="1"/>
    <xf numFmtId="6" fontId="12" fillId="0" borderId="0" xfId="10" applyNumberFormat="1" applyFont="1" applyFill="1" applyBorder="1"/>
    <xf numFmtId="170" fontId="11" fillId="0" borderId="28" xfId="9" applyFont="1" applyFill="1" applyBorder="1" applyAlignment="1">
      <alignment horizontal="center" wrapText="1"/>
    </xf>
    <xf numFmtId="8" fontId="0" fillId="0" borderId="0" xfId="1" applyNumberFormat="1" applyFont="1" applyFill="1"/>
    <xf numFmtId="8" fontId="19" fillId="0" borderId="0" xfId="1" applyNumberFormat="1" applyFont="1" applyFill="1"/>
    <xf numFmtId="6" fontId="0" fillId="0" borderId="0" xfId="1" applyNumberFormat="1" applyFont="1" applyFill="1"/>
    <xf numFmtId="0" fontId="0" fillId="0" borderId="0" xfId="8" applyNumberFormat="1" applyFont="1" applyFill="1"/>
    <xf numFmtId="170" fontId="0" fillId="0" borderId="0" xfId="8" applyFont="1" applyFill="1" applyBorder="1" applyAlignment="1">
      <alignment horizontal="centerContinuous"/>
    </xf>
    <xf numFmtId="170" fontId="0" fillId="0" borderId="0" xfId="8" applyFont="1" applyFill="1" applyAlignment="1">
      <alignment horizontal="centerContinuous"/>
    </xf>
    <xf numFmtId="170" fontId="13" fillId="0" borderId="0" xfId="8" applyFont="1" applyFill="1" applyAlignment="1">
      <alignment horizontal="centerContinuous"/>
    </xf>
    <xf numFmtId="41" fontId="0" fillId="0" borderId="0" xfId="3" applyFont="1" applyFill="1"/>
    <xf numFmtId="165" fontId="0" fillId="0" borderId="0" xfId="8" applyNumberFormat="1" applyFont="1" applyFill="1" applyAlignment="1">
      <alignment horizontal="center"/>
    </xf>
    <xf numFmtId="8" fontId="0" fillId="0" borderId="0" xfId="8" applyNumberFormat="1" applyFont="1" applyFill="1" applyBorder="1" applyAlignment="1">
      <alignment horizontal="right"/>
    </xf>
    <xf numFmtId="6" fontId="0" fillId="0" borderId="0" xfId="8" applyNumberFormat="1" applyFont="1" applyFill="1" applyAlignment="1">
      <alignment horizontal="right"/>
    </xf>
    <xf numFmtId="170" fontId="15" fillId="0" borderId="0" xfId="8" quotePrefix="1" applyFont="1" applyFill="1" applyBorder="1" applyAlignment="1">
      <alignment horizontal="center"/>
    </xf>
    <xf numFmtId="170" fontId="25" fillId="0" borderId="5" xfId="8" applyFont="1" applyFill="1" applyBorder="1" applyAlignment="1">
      <alignment horizontal="center" wrapText="1"/>
    </xf>
    <xf numFmtId="170" fontId="25" fillId="0" borderId="5" xfId="8" quotePrefix="1" applyFont="1" applyFill="1" applyBorder="1" applyAlignment="1">
      <alignment horizontal="center" wrapText="1"/>
    </xf>
    <xf numFmtId="170" fontId="24" fillId="0" borderId="5" xfId="8" applyFont="1" applyFill="1" applyBorder="1" applyAlignment="1">
      <alignment horizontal="centerContinuous"/>
    </xf>
    <xf numFmtId="170" fontId="11" fillId="0" borderId="28" xfId="8" applyFont="1" applyFill="1" applyBorder="1" applyAlignment="1">
      <alignment horizontal="center" wrapText="1"/>
    </xf>
    <xf numFmtId="170" fontId="11" fillId="0" borderId="28" xfId="8" applyFont="1" applyFill="1" applyBorder="1" applyAlignment="1">
      <alignment horizontal="center"/>
    </xf>
    <xf numFmtId="41" fontId="0" fillId="0" borderId="0" xfId="3" applyFont="1" applyFill="1" applyAlignment="1">
      <alignment horizontal="left"/>
    </xf>
    <xf numFmtId="170" fontId="11" fillId="0" borderId="14" xfId="8" applyFont="1" applyFill="1" applyBorder="1" applyAlignment="1">
      <alignment horizontal="centerContinuous"/>
    </xf>
    <xf numFmtId="170" fontId="11" fillId="0" borderId="10" xfId="99" applyFont="1" applyFill="1" applyBorder="1" applyAlignment="1">
      <alignment horizontal="centerContinuous"/>
    </xf>
    <xf numFmtId="8" fontId="0" fillId="0" borderId="0" xfId="3" applyNumberFormat="1" applyFont="1" applyFill="1" applyBorder="1"/>
    <xf numFmtId="41" fontId="0" fillId="0" borderId="0" xfId="3" applyFont="1" applyFill="1" applyAlignment="1">
      <alignment horizontal="center"/>
    </xf>
    <xf numFmtId="167" fontId="0" fillId="0" borderId="0" xfId="8" applyNumberFormat="1" applyFont="1" applyFill="1" applyBorder="1"/>
    <xf numFmtId="170" fontId="0" fillId="0" borderId="4" xfId="8" applyFont="1" applyFill="1" applyBorder="1"/>
    <xf numFmtId="170" fontId="14" fillId="0" borderId="0" xfId="0" applyFont="1" applyFill="1" applyAlignment="1">
      <alignment horizontal="center"/>
    </xf>
    <xf numFmtId="170" fontId="25" fillId="0" borderId="0" xfId="10" quotePrefix="1" applyFont="1" applyFill="1" applyBorder="1" applyAlignment="1">
      <alignment horizontal="center" wrapText="1"/>
    </xf>
    <xf numFmtId="170" fontId="11" fillId="0" borderId="0" xfId="0" applyFont="1"/>
    <xf numFmtId="170" fontId="11" fillId="0" borderId="2" xfId="0" applyFont="1" applyBorder="1"/>
    <xf numFmtId="9" fontId="12" fillId="0" borderId="0" xfId="5" applyFont="1" applyFill="1"/>
    <xf numFmtId="170" fontId="14" fillId="0" borderId="0" xfId="0" applyFont="1" applyFill="1" applyAlignment="1"/>
    <xf numFmtId="0" fontId="4" fillId="0" borderId="0" xfId="103"/>
    <xf numFmtId="168" fontId="0" fillId="0" borderId="0" xfId="104" applyNumberFormat="1" applyFont="1" applyFill="1"/>
    <xf numFmtId="0" fontId="4" fillId="0" borderId="0" xfId="103" applyFont="1" applyFill="1" applyBorder="1"/>
    <xf numFmtId="0" fontId="4" fillId="0" borderId="0" xfId="103" applyFont="1" applyFill="1"/>
    <xf numFmtId="0" fontId="11" fillId="0" borderId="12" xfId="103" applyFont="1" applyFill="1" applyBorder="1" applyAlignment="1">
      <alignment horizontal="centerContinuous"/>
    </xf>
    <xf numFmtId="0" fontId="11" fillId="0" borderId="11" xfId="103" applyFont="1" applyFill="1" applyBorder="1" applyAlignment="1">
      <alignment horizontal="centerContinuous"/>
    </xf>
    <xf numFmtId="10" fontId="12" fillId="0" borderId="0" xfId="104" applyNumberFormat="1" applyFont="1" applyFill="1"/>
    <xf numFmtId="170" fontId="12" fillId="0" borderId="12" xfId="10" applyFont="1" applyFill="1" applyBorder="1" applyAlignment="1">
      <alignment horizontal="centerContinuous"/>
    </xf>
    <xf numFmtId="171" fontId="0" fillId="0" borderId="0" xfId="8" applyNumberFormat="1" applyFont="1" applyFill="1"/>
    <xf numFmtId="9" fontId="0" fillId="0" borderId="0" xfId="104" applyFont="1" applyFill="1"/>
    <xf numFmtId="170" fontId="0" fillId="0" borderId="0" xfId="0" applyAlignment="1"/>
    <xf numFmtId="37" fontId="12" fillId="0" borderId="26" xfId="0" applyNumberFormat="1" applyFont="1" applyFill="1" applyBorder="1" applyAlignment="1">
      <alignment horizontal="center"/>
    </xf>
    <xf numFmtId="37" fontId="12" fillId="0" borderId="31" xfId="0" applyNumberFormat="1" applyFont="1" applyFill="1" applyBorder="1" applyAlignment="1">
      <alignment horizontal="center"/>
    </xf>
    <xf numFmtId="37" fontId="12" fillId="0" borderId="29" xfId="0" applyNumberFormat="1" applyFont="1" applyFill="1" applyBorder="1" applyAlignment="1">
      <alignment horizontal="center"/>
    </xf>
    <xf numFmtId="37" fontId="12" fillId="0" borderId="7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37" fontId="12" fillId="0" borderId="4" xfId="0" applyNumberFormat="1" applyFont="1" applyFill="1" applyBorder="1" applyAlignment="1">
      <alignment horizontal="center"/>
    </xf>
    <xf numFmtId="0" fontId="12" fillId="0" borderId="28" xfId="4" applyFont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left"/>
    </xf>
    <xf numFmtId="174" fontId="0" fillId="0" borderId="0" xfId="3" applyNumberFormat="1" applyFont="1" applyFill="1" applyBorder="1"/>
    <xf numFmtId="170" fontId="0" fillId="0" borderId="0" xfId="0" applyFont="1"/>
    <xf numFmtId="170" fontId="46" fillId="0" borderId="0" xfId="0" applyFont="1"/>
    <xf numFmtId="168" fontId="46" fillId="0" borderId="0" xfId="102" applyNumberFormat="1" applyFont="1"/>
    <xf numFmtId="168" fontId="46" fillId="0" borderId="2" xfId="102" applyNumberFormat="1" applyFont="1" applyBorder="1"/>
    <xf numFmtId="5" fontId="12" fillId="0" borderId="0" xfId="0" applyNumberFormat="1" applyFont="1" applyFill="1" applyBorder="1" applyAlignment="1">
      <alignment horizontal="center"/>
    </xf>
    <xf numFmtId="170" fontId="0" fillId="0" borderId="0" xfId="0" applyFont="1" applyFill="1" applyAlignment="1">
      <alignment horizontal="left"/>
    </xf>
    <xf numFmtId="170" fontId="0" fillId="0" borderId="0" xfId="0" applyAlignment="1"/>
    <xf numFmtId="170" fontId="0" fillId="0" borderId="0" xfId="0" applyAlignment="1">
      <alignment horizontal="center"/>
    </xf>
    <xf numFmtId="170" fontId="0" fillId="0" borderId="0" xfId="0" applyAlignment="1">
      <alignment horizontal="right"/>
    </xf>
    <xf numFmtId="170" fontId="12" fillId="0" borderId="0" xfId="0" quotePrefix="1" applyFont="1" applyFill="1" applyAlignment="1">
      <alignment horizontal="right"/>
    </xf>
    <xf numFmtId="170" fontId="47" fillId="0" borderId="39" xfId="0" applyFont="1" applyBorder="1" applyAlignment="1">
      <alignment vertical="center"/>
    </xf>
    <xf numFmtId="170" fontId="48" fillId="0" borderId="43" xfId="0" applyFont="1" applyBorder="1" applyAlignment="1">
      <alignment vertical="center"/>
    </xf>
    <xf numFmtId="170" fontId="48" fillId="0" borderId="47" xfId="0" applyFont="1" applyBorder="1" applyAlignment="1">
      <alignment horizontal="center" vertical="center"/>
    </xf>
    <xf numFmtId="170" fontId="48" fillId="0" borderId="0" xfId="0" applyFont="1" applyAlignment="1">
      <alignment horizontal="center" vertical="center"/>
    </xf>
    <xf numFmtId="170" fontId="48" fillId="0" borderId="51" xfId="0" applyFont="1" applyBorder="1" applyAlignment="1">
      <alignment horizontal="center" vertical="center"/>
    </xf>
    <xf numFmtId="170" fontId="48" fillId="0" borderId="13" xfId="0" applyFont="1" applyBorder="1" applyAlignment="1">
      <alignment horizontal="center" vertical="center"/>
    </xf>
    <xf numFmtId="170" fontId="48" fillId="0" borderId="53" xfId="0" applyFont="1" applyBorder="1" applyAlignment="1">
      <alignment horizontal="center" vertical="center"/>
    </xf>
    <xf numFmtId="170" fontId="48" fillId="0" borderId="43" xfId="0" applyFont="1" applyBorder="1" applyAlignment="1">
      <alignment horizontal="center" vertical="center"/>
    </xf>
    <xf numFmtId="170" fontId="48" fillId="0" borderId="54" xfId="0" applyFont="1" applyBorder="1" applyAlignment="1">
      <alignment horizontal="center" vertical="center"/>
    </xf>
    <xf numFmtId="8" fontId="50" fillId="0" borderId="48" xfId="0" applyNumberFormat="1" applyFont="1" applyBorder="1" applyAlignment="1">
      <alignment horizontal="center" vertical="center"/>
    </xf>
    <xf numFmtId="8" fontId="48" fillId="0" borderId="56" xfId="0" applyNumberFormat="1" applyFont="1" applyBorder="1" applyAlignment="1">
      <alignment horizontal="center" vertical="center"/>
    </xf>
    <xf numFmtId="8" fontId="48" fillId="0" borderId="48" xfId="0" applyNumberFormat="1" applyFont="1" applyBorder="1" applyAlignment="1">
      <alignment horizontal="center" vertical="center"/>
    </xf>
    <xf numFmtId="170" fontId="48" fillId="0" borderId="48" xfId="0" applyFont="1" applyBorder="1" applyAlignment="1">
      <alignment horizontal="center" vertical="center"/>
    </xf>
    <xf numFmtId="170" fontId="48" fillId="0" borderId="49" xfId="0" applyFont="1" applyBorder="1" applyAlignment="1">
      <alignment horizontal="center" vertical="center"/>
    </xf>
    <xf numFmtId="8" fontId="50" fillId="0" borderId="0" xfId="0" applyNumberFormat="1" applyFont="1" applyAlignment="1">
      <alignment horizontal="center" vertical="center"/>
    </xf>
    <xf numFmtId="8" fontId="48" fillId="0" borderId="47" xfId="0" applyNumberFormat="1" applyFont="1" applyBorder="1" applyAlignment="1">
      <alignment horizontal="center" vertical="center"/>
    </xf>
    <xf numFmtId="8" fontId="48" fillId="0" borderId="0" xfId="0" applyNumberFormat="1" applyFont="1" applyAlignment="1">
      <alignment horizontal="center" vertical="center"/>
    </xf>
    <xf numFmtId="8" fontId="48" fillId="0" borderId="54" xfId="0" applyNumberFormat="1" applyFont="1" applyBorder="1" applyAlignment="1">
      <alignment horizontal="center" vertical="center"/>
    </xf>
    <xf numFmtId="8" fontId="50" fillId="0" borderId="58" xfId="0" applyNumberFormat="1" applyFont="1" applyBorder="1" applyAlignment="1">
      <alignment horizontal="center" vertical="center"/>
    </xf>
    <xf numFmtId="8" fontId="48" fillId="0" borderId="59" xfId="0" applyNumberFormat="1" applyFont="1" applyBorder="1" applyAlignment="1">
      <alignment horizontal="center" vertical="center"/>
    </xf>
    <xf numFmtId="8" fontId="48" fillId="0" borderId="58" xfId="0" applyNumberFormat="1" applyFont="1" applyBorder="1" applyAlignment="1">
      <alignment horizontal="center" vertical="center"/>
    </xf>
    <xf numFmtId="8" fontId="48" fillId="0" borderId="60" xfId="0" applyNumberFormat="1" applyFont="1" applyBorder="1" applyAlignment="1">
      <alignment horizontal="center" vertical="center"/>
    </xf>
    <xf numFmtId="182" fontId="48" fillId="0" borderId="55" xfId="0" applyNumberFormat="1" applyFont="1" applyBorder="1" applyAlignment="1">
      <alignment horizontal="center" vertical="center"/>
    </xf>
    <xf numFmtId="0" fontId="48" fillId="0" borderId="43" xfId="0" applyNumberFormat="1" applyFont="1" applyBorder="1" applyAlignment="1">
      <alignment horizontal="center" vertical="center"/>
    </xf>
    <xf numFmtId="183" fontId="48" fillId="0" borderId="43" xfId="0" applyNumberFormat="1" applyFont="1" applyBorder="1" applyAlignment="1">
      <alignment horizontal="center" vertical="center"/>
    </xf>
    <xf numFmtId="0" fontId="48" fillId="0" borderId="57" xfId="0" applyNumberFormat="1" applyFont="1" applyBorder="1" applyAlignment="1">
      <alignment horizontal="center" vertical="center"/>
    </xf>
    <xf numFmtId="170" fontId="48" fillId="0" borderId="52" xfId="0" applyFont="1" applyBorder="1" applyAlignment="1">
      <alignment horizontal="center" vertical="center"/>
    </xf>
    <xf numFmtId="170" fontId="0" fillId="0" borderId="58" xfId="0" applyBorder="1"/>
    <xf numFmtId="170" fontId="0" fillId="0" borderId="60" xfId="0" applyBorder="1"/>
    <xf numFmtId="170" fontId="51" fillId="0" borderId="65" xfId="0" applyFont="1" applyBorder="1" applyAlignment="1">
      <alignment horizontal="center" vertical="center"/>
    </xf>
    <xf numFmtId="170" fontId="51" fillId="0" borderId="54" xfId="0" applyFont="1" applyBorder="1" applyAlignment="1">
      <alignment horizontal="center" vertical="center" wrapText="1"/>
    </xf>
    <xf numFmtId="170" fontId="51" fillId="0" borderId="61" xfId="0" applyFont="1" applyBorder="1" applyAlignment="1">
      <alignment horizontal="center" vertical="center" wrapText="1"/>
    </xf>
    <xf numFmtId="170" fontId="51" fillId="0" borderId="52" xfId="0" applyFont="1" applyBorder="1" applyAlignment="1">
      <alignment horizontal="center" vertical="center" wrapText="1"/>
    </xf>
    <xf numFmtId="170" fontId="51" fillId="0" borderId="54" xfId="0" applyFont="1" applyBorder="1" applyAlignment="1">
      <alignment horizontal="center" vertical="center"/>
    </xf>
    <xf numFmtId="170" fontId="51" fillId="0" borderId="61" xfId="0" applyFont="1" applyBorder="1" applyAlignment="1">
      <alignment horizontal="center" vertical="center"/>
    </xf>
    <xf numFmtId="170" fontId="51" fillId="0" borderId="52" xfId="0" applyFont="1" applyBorder="1" applyAlignment="1">
      <alignment horizontal="center" vertical="center"/>
    </xf>
    <xf numFmtId="170" fontId="0" fillId="0" borderId="54" xfId="0" applyBorder="1"/>
    <xf numFmtId="170" fontId="0" fillId="0" borderId="61" xfId="0" applyBorder="1"/>
    <xf numFmtId="10" fontId="51" fillId="0" borderId="61" xfId="0" applyNumberFormat="1" applyFont="1" applyBorder="1" applyAlignment="1">
      <alignment horizontal="center" vertical="center"/>
    </xf>
    <xf numFmtId="170" fontId="0" fillId="0" borderId="61" xfId="0" applyBorder="1" applyAlignment="1">
      <alignment vertical="center"/>
    </xf>
    <xf numFmtId="170" fontId="51" fillId="0" borderId="66" xfId="0" applyFont="1" applyBorder="1" applyAlignment="1">
      <alignment horizontal="center" vertical="center"/>
    </xf>
    <xf numFmtId="170" fontId="0" fillId="0" borderId="66" xfId="0" applyBorder="1" applyAlignment="1">
      <alignment vertical="center"/>
    </xf>
    <xf numFmtId="9" fontId="51" fillId="0" borderId="66" xfId="0" applyNumberFormat="1" applyFont="1" applyBorder="1" applyAlignment="1">
      <alignment horizontal="center" vertical="center"/>
    </xf>
    <xf numFmtId="9" fontId="51" fillId="0" borderId="60" xfId="0" applyNumberFormat="1" applyFont="1" applyBorder="1" applyAlignment="1">
      <alignment horizontal="center" vertical="center"/>
    </xf>
    <xf numFmtId="6" fontId="51" fillId="0" borderId="61" xfId="0" applyNumberFormat="1" applyFont="1" applyBorder="1" applyAlignment="1">
      <alignment horizontal="center" vertical="center"/>
    </xf>
    <xf numFmtId="8" fontId="51" fillId="0" borderId="61" xfId="0" applyNumberFormat="1" applyFont="1" applyBorder="1" applyAlignment="1">
      <alignment horizontal="center" vertical="center"/>
    </xf>
    <xf numFmtId="8" fontId="51" fillId="0" borderId="52" xfId="0" applyNumberFormat="1" applyFont="1" applyBorder="1" applyAlignment="1">
      <alignment horizontal="center" vertical="center"/>
    </xf>
    <xf numFmtId="6" fontId="51" fillId="0" borderId="54" xfId="0" applyNumberFormat="1" applyFont="1" applyBorder="1" applyAlignment="1">
      <alignment horizontal="center" vertical="center"/>
    </xf>
    <xf numFmtId="6" fontId="51" fillId="0" borderId="60" xfId="0" applyNumberFormat="1" applyFont="1" applyBorder="1" applyAlignment="1">
      <alignment horizontal="center" vertical="center"/>
    </xf>
    <xf numFmtId="6" fontId="51" fillId="0" borderId="66" xfId="0" applyNumberFormat="1" applyFont="1" applyBorder="1" applyAlignment="1">
      <alignment horizontal="center" vertical="center"/>
    </xf>
    <xf numFmtId="8" fontId="51" fillId="0" borderId="66" xfId="0" applyNumberFormat="1" applyFont="1" applyBorder="1" applyAlignment="1">
      <alignment horizontal="center" vertical="center"/>
    </xf>
    <xf numFmtId="8" fontId="51" fillId="0" borderId="60" xfId="0" applyNumberFormat="1" applyFont="1" applyBorder="1" applyAlignment="1">
      <alignment horizontal="center" vertical="center"/>
    </xf>
    <xf numFmtId="170" fontId="51" fillId="0" borderId="39" xfId="0" applyFont="1" applyBorder="1" applyAlignment="1">
      <alignment horizontal="center" vertical="center"/>
    </xf>
    <xf numFmtId="170" fontId="51" fillId="0" borderId="43" xfId="0" applyFont="1" applyBorder="1" applyAlignment="1">
      <alignment horizontal="center" vertical="center"/>
    </xf>
    <xf numFmtId="170" fontId="51" fillId="0" borderId="12" xfId="0" applyFont="1" applyBorder="1" applyAlignment="1">
      <alignment horizontal="center" vertical="center" wrapText="1"/>
    </xf>
    <xf numFmtId="170" fontId="51" fillId="0" borderId="45" xfId="0" applyFont="1" applyBorder="1" applyAlignment="1">
      <alignment horizontal="center" vertical="center" wrapText="1"/>
    </xf>
    <xf numFmtId="170" fontId="51" fillId="0" borderId="61" xfId="0" applyFont="1" applyBorder="1" applyAlignment="1">
      <alignment vertical="center"/>
    </xf>
    <xf numFmtId="170" fontId="51" fillId="0" borderId="43" xfId="0" applyFont="1" applyBorder="1" applyAlignment="1">
      <alignment vertical="center"/>
    </xf>
    <xf numFmtId="170" fontId="51" fillId="0" borderId="43" xfId="0" applyFont="1" applyBorder="1" applyAlignment="1">
      <alignment horizontal="right" vertical="center"/>
    </xf>
    <xf numFmtId="170" fontId="0" fillId="0" borderId="57" xfId="0" applyBorder="1" applyAlignment="1">
      <alignment horizontal="right"/>
    </xf>
    <xf numFmtId="171" fontId="0" fillId="21" borderId="0" xfId="8" applyNumberFormat="1" applyFont="1" applyFill="1"/>
    <xf numFmtId="168" fontId="0" fillId="21" borderId="0" xfId="104" applyNumberFormat="1" applyFont="1" applyFill="1"/>
    <xf numFmtId="9" fontId="0" fillId="0" borderId="0" xfId="104" applyFont="1" applyFill="1" applyAlignment="1">
      <alignment vertical="center"/>
    </xf>
    <xf numFmtId="170" fontId="0" fillId="0" borderId="0" xfId="8" applyFont="1" applyFill="1" applyAlignment="1">
      <alignment vertical="center"/>
    </xf>
    <xf numFmtId="10" fontId="0" fillId="21" borderId="0" xfId="5" applyNumberFormat="1" applyFont="1" applyFill="1"/>
    <xf numFmtId="170" fontId="20" fillId="22" borderId="0" xfId="0" applyFont="1" applyFill="1"/>
    <xf numFmtId="170" fontId="20" fillId="22" borderId="0" xfId="0" applyFont="1" applyFill="1" applyBorder="1" applyAlignment="1">
      <alignment horizontal="center"/>
    </xf>
    <xf numFmtId="170" fontId="20" fillId="22" borderId="28" xfId="0" applyFont="1" applyFill="1" applyBorder="1" applyAlignment="1">
      <alignment horizontal="center" wrapText="1"/>
    </xf>
    <xf numFmtId="170" fontId="20" fillId="22" borderId="5" xfId="0" applyFont="1" applyFill="1" applyBorder="1" applyAlignment="1">
      <alignment horizontal="center" wrapText="1"/>
    </xf>
    <xf numFmtId="17" fontId="12" fillId="22" borderId="6" xfId="0" applyNumberFormat="1" applyFont="1" applyFill="1" applyBorder="1" applyAlignment="1">
      <alignment horizontal="center" wrapText="1"/>
    </xf>
    <xf numFmtId="170" fontId="0" fillId="22" borderId="6" xfId="0" applyFill="1" applyBorder="1" applyAlignment="1">
      <alignment horizontal="center" wrapText="1"/>
    </xf>
    <xf numFmtId="170" fontId="20" fillId="22" borderId="2" xfId="0" applyFont="1" applyFill="1" applyBorder="1"/>
    <xf numFmtId="170" fontId="20" fillId="22" borderId="2" xfId="0" quotePrefix="1" applyFont="1" applyFill="1" applyBorder="1" applyAlignment="1">
      <alignment horizontal="center"/>
    </xf>
    <xf numFmtId="182" fontId="20" fillId="22" borderId="7" xfId="0" applyNumberFormat="1" applyFont="1" applyFill="1" applyBorder="1" applyAlignment="1">
      <alignment horizontal="center"/>
    </xf>
    <xf numFmtId="7" fontId="12" fillId="22" borderId="7" xfId="0" applyNumberFormat="1" applyFont="1" applyFill="1" applyBorder="1" applyAlignment="1">
      <alignment horizontal="center"/>
    </xf>
    <xf numFmtId="7" fontId="12" fillId="22" borderId="0" xfId="0" applyNumberFormat="1" applyFont="1" applyFill="1" applyBorder="1" applyAlignment="1">
      <alignment horizontal="center"/>
    </xf>
    <xf numFmtId="8" fontId="12" fillId="22" borderId="4" xfId="0" applyNumberFormat="1" applyFont="1" applyFill="1" applyBorder="1" applyAlignment="1">
      <alignment horizontal="center"/>
    </xf>
    <xf numFmtId="166" fontId="12" fillId="22" borderId="0" xfId="0" applyNumberFormat="1" applyFont="1" applyFill="1" applyBorder="1" applyAlignment="1">
      <alignment horizontal="center"/>
    </xf>
    <xf numFmtId="0" fontId="20" fillId="22" borderId="8" xfId="0" applyNumberFormat="1" applyFont="1" applyFill="1" applyBorder="1" applyAlignment="1">
      <alignment horizontal="center"/>
    </xf>
    <xf numFmtId="7" fontId="12" fillId="22" borderId="8" xfId="0" applyNumberFormat="1" applyFont="1" applyFill="1" applyBorder="1" applyAlignment="1">
      <alignment horizontal="center"/>
    </xf>
    <xf numFmtId="7" fontId="12" fillId="22" borderId="2" xfId="0" applyNumberFormat="1" applyFont="1" applyFill="1" applyBorder="1" applyAlignment="1">
      <alignment horizontal="center"/>
    </xf>
    <xf numFmtId="8" fontId="12" fillId="22" borderId="9" xfId="0" applyNumberFormat="1" applyFont="1" applyFill="1" applyBorder="1" applyAlignment="1">
      <alignment horizontal="center"/>
    </xf>
    <xf numFmtId="0" fontId="20" fillId="22" borderId="28" xfId="0" applyNumberFormat="1" applyFont="1" applyFill="1" applyBorder="1" applyAlignment="1">
      <alignment horizontal="center"/>
    </xf>
    <xf numFmtId="0" fontId="20" fillId="22" borderId="3" xfId="0" applyNumberFormat="1" applyFont="1" applyFill="1" applyBorder="1" applyAlignment="1">
      <alignment horizontal="center"/>
    </xf>
    <xf numFmtId="184" fontId="12" fillId="22" borderId="0" xfId="0" applyNumberFormat="1" applyFont="1" applyFill="1" applyBorder="1" applyAlignment="1">
      <alignment horizontal="center"/>
    </xf>
    <xf numFmtId="8" fontId="12" fillId="22" borderId="0" xfId="0" applyNumberFormat="1" applyFont="1" applyFill="1" applyBorder="1" applyAlignment="1">
      <alignment horizontal="center"/>
    </xf>
    <xf numFmtId="0" fontId="20" fillId="22" borderId="5" xfId="0" applyNumberFormat="1" applyFont="1" applyFill="1" applyBorder="1" applyAlignment="1">
      <alignment horizontal="center"/>
    </xf>
    <xf numFmtId="0" fontId="20" fillId="22" borderId="0" xfId="0" applyNumberFormat="1" applyFont="1" applyFill="1" applyBorder="1" applyAlignment="1">
      <alignment horizontal="center"/>
    </xf>
    <xf numFmtId="0" fontId="20" fillId="22" borderId="0" xfId="0" applyNumberFormat="1" applyFont="1" applyFill="1" applyBorder="1" applyAlignment="1">
      <alignment horizontal="left"/>
    </xf>
    <xf numFmtId="170" fontId="12" fillId="22" borderId="0" xfId="0" applyFont="1" applyFill="1" applyAlignment="1">
      <alignment horizontal="right"/>
    </xf>
    <xf numFmtId="0" fontId="11" fillId="22" borderId="0" xfId="0" applyNumberFormat="1" applyFont="1" applyFill="1" applyBorder="1" applyAlignment="1">
      <alignment horizontal="left"/>
    </xf>
    <xf numFmtId="170" fontId="12" fillId="6" borderId="37" xfId="0" applyFont="1" applyFill="1" applyBorder="1" applyAlignment="1">
      <alignment horizontal="right"/>
    </xf>
    <xf numFmtId="170" fontId="12" fillId="20" borderId="67" xfId="0" applyFont="1" applyFill="1" applyBorder="1" applyAlignment="1"/>
    <xf numFmtId="170" fontId="12" fillId="20" borderId="68" xfId="0" applyFont="1" applyFill="1" applyBorder="1" applyAlignment="1"/>
    <xf numFmtId="170" fontId="12" fillId="0" borderId="68" xfId="0" applyFont="1" applyBorder="1" applyAlignment="1"/>
    <xf numFmtId="170" fontId="12" fillId="0" borderId="37" xfId="0" applyFont="1" applyBorder="1" applyAlignment="1"/>
    <xf numFmtId="170" fontId="12" fillId="2" borderId="38" xfId="0" applyFont="1" applyFill="1" applyBorder="1" applyAlignment="1"/>
    <xf numFmtId="170" fontId="12" fillId="2" borderId="36" xfId="0" applyFont="1" applyFill="1" applyBorder="1" applyAlignment="1"/>
    <xf numFmtId="170" fontId="12" fillId="0" borderId="36" xfId="0" applyFont="1" applyFill="1" applyBorder="1" applyAlignment="1"/>
    <xf numFmtId="170" fontId="12" fillId="2" borderId="37" xfId="0" applyFont="1" applyFill="1" applyBorder="1" applyAlignment="1"/>
    <xf numFmtId="170" fontId="11" fillId="2" borderId="37" xfId="0" applyFont="1" applyFill="1" applyBorder="1" applyAlignment="1"/>
    <xf numFmtId="170" fontId="12" fillId="0" borderId="67" xfId="0" applyFont="1" applyBorder="1" applyAlignment="1"/>
    <xf numFmtId="170" fontId="13" fillId="6" borderId="38" xfId="0" applyFont="1" applyFill="1" applyBorder="1" applyAlignment="1">
      <alignment horizontal="centerContinuous" wrapText="1"/>
    </xf>
    <xf numFmtId="170" fontId="13" fillId="6" borderId="37" xfId="0" applyFont="1" applyFill="1" applyBorder="1" applyAlignment="1">
      <alignment horizontal="centerContinuous" wrapText="1"/>
    </xf>
    <xf numFmtId="170" fontId="51" fillId="0" borderId="54" xfId="0" applyFont="1" applyBorder="1" applyAlignment="1">
      <alignment horizontal="right" vertical="center"/>
    </xf>
    <xf numFmtId="9" fontId="0" fillId="0" borderId="0" xfId="5" applyFont="1"/>
    <xf numFmtId="170" fontId="12" fillId="0" borderId="0" xfId="0" applyFont="1" applyFill="1" applyAlignment="1"/>
    <xf numFmtId="170" fontId="51" fillId="0" borderId="69" xfId="0" applyFont="1" applyBorder="1" applyAlignment="1">
      <alignment horizontal="right" vertical="center"/>
    </xf>
    <xf numFmtId="0" fontId="52" fillId="0" borderId="0" xfId="106" applyFont="1" applyAlignment="1">
      <alignment vertical="center"/>
    </xf>
    <xf numFmtId="0" fontId="3" fillId="0" borderId="0" xfId="106"/>
    <xf numFmtId="164" fontId="0" fillId="0" borderId="0" xfId="107" applyNumberFormat="1" applyFont="1"/>
    <xf numFmtId="174" fontId="0" fillId="0" borderId="0" xfId="108" applyNumberFormat="1" applyFont="1"/>
    <xf numFmtId="174" fontId="12" fillId="0" borderId="0" xfId="108" applyNumberFormat="1" applyFont="1" applyFill="1" applyBorder="1"/>
    <xf numFmtId="9" fontId="12" fillId="0" borderId="0" xfId="5" applyFont="1" applyFill="1" applyBorder="1" applyAlignment="1">
      <alignment horizontal="center"/>
    </xf>
    <xf numFmtId="168" fontId="46" fillId="0" borderId="0" xfId="102" applyNumberFormat="1" applyFont="1" applyFill="1"/>
    <xf numFmtId="9" fontId="0" fillId="0" borderId="0" xfId="5" applyFont="1" applyFill="1"/>
    <xf numFmtId="0" fontId="12" fillId="0" borderId="28" xfId="0" applyNumberFormat="1" applyFont="1" applyFill="1" applyBorder="1" applyAlignment="1">
      <alignment horizontal="center"/>
    </xf>
    <xf numFmtId="5" fontId="33" fillId="0" borderId="0" xfId="0" applyNumberFormat="1" applyFont="1" applyFill="1" applyBorder="1" applyAlignment="1">
      <alignment horizontal="center"/>
    </xf>
    <xf numFmtId="170" fontId="33" fillId="0" borderId="0" xfId="8" applyFont="1" applyFill="1" applyAlignment="1">
      <alignment horizontal="left"/>
    </xf>
    <xf numFmtId="170" fontId="33" fillId="0" borderId="0" xfId="0" applyFont="1" applyFill="1" applyAlignment="1">
      <alignment horizontal="left"/>
    </xf>
    <xf numFmtId="170" fontId="49" fillId="0" borderId="44" xfId="0" applyFont="1" applyBorder="1" applyAlignment="1">
      <alignment horizontal="center" vertical="center"/>
    </xf>
    <xf numFmtId="170" fontId="49" fillId="0" borderId="11" xfId="0" applyFont="1" applyBorder="1" applyAlignment="1">
      <alignment horizontal="center" vertical="center"/>
    </xf>
    <xf numFmtId="170" fontId="49" fillId="0" borderId="45" xfId="0" applyFont="1" applyBorder="1" applyAlignment="1">
      <alignment horizontal="center" vertical="center"/>
    </xf>
    <xf numFmtId="170" fontId="48" fillId="0" borderId="43" xfId="0" applyFont="1" applyBorder="1" applyAlignment="1">
      <alignment horizontal="center" vertical="center"/>
    </xf>
    <xf numFmtId="170" fontId="48" fillId="0" borderId="46" xfId="0" applyFont="1" applyBorder="1" applyAlignment="1">
      <alignment horizontal="center" vertical="center"/>
    </xf>
    <xf numFmtId="170" fontId="48" fillId="0" borderId="50" xfId="0" applyFont="1" applyBorder="1" applyAlignment="1">
      <alignment horizontal="center" vertical="center"/>
    </xf>
    <xf numFmtId="170" fontId="48" fillId="0" borderId="44" xfId="0" applyFont="1" applyBorder="1" applyAlignment="1">
      <alignment horizontal="center" vertical="center"/>
    </xf>
    <xf numFmtId="170" fontId="48" fillId="0" borderId="11" xfId="0" applyFont="1" applyBorder="1" applyAlignment="1">
      <alignment horizontal="center" vertical="center"/>
    </xf>
    <xf numFmtId="170" fontId="48" fillId="0" borderId="45" xfId="0" applyFont="1" applyBorder="1" applyAlignment="1">
      <alignment horizontal="center" vertical="center"/>
    </xf>
    <xf numFmtId="170" fontId="14" fillId="0" borderId="0" xfId="0" applyFont="1" applyFill="1" applyAlignment="1">
      <alignment horizontal="center" wrapText="1"/>
    </xf>
    <xf numFmtId="170" fontId="47" fillId="0" borderId="40" xfId="0" applyFont="1" applyBorder="1" applyAlignment="1">
      <alignment horizontal="center" vertical="center"/>
    </xf>
    <xf numFmtId="170" fontId="47" fillId="0" borderId="41" xfId="0" applyFont="1" applyBorder="1" applyAlignment="1">
      <alignment horizontal="center" vertical="center"/>
    </xf>
    <xf numFmtId="170" fontId="47" fillId="0" borderId="42" xfId="0" applyFont="1" applyBorder="1" applyAlignment="1">
      <alignment horizontal="center" vertical="center"/>
    </xf>
    <xf numFmtId="170" fontId="14" fillId="0" borderId="0" xfId="0" applyFont="1" applyFill="1" applyAlignment="1">
      <alignment horizontal="center"/>
    </xf>
    <xf numFmtId="170" fontId="0" fillId="0" borderId="0" xfId="0" applyAlignment="1">
      <alignment horizontal="center"/>
    </xf>
    <xf numFmtId="170" fontId="12" fillId="0" borderId="0" xfId="0" applyFont="1" applyFill="1" applyAlignment="1">
      <alignment horizontal="left" vertical="top"/>
    </xf>
    <xf numFmtId="170" fontId="0" fillId="0" borderId="0" xfId="0" applyAlignment="1"/>
    <xf numFmtId="170" fontId="46" fillId="0" borderId="40" xfId="0" applyFont="1" applyBorder="1" applyAlignment="1">
      <alignment horizontal="center" vertical="center"/>
    </xf>
    <xf numFmtId="170" fontId="46" fillId="0" borderId="41" xfId="0" applyFont="1" applyBorder="1" applyAlignment="1">
      <alignment horizontal="center" vertical="center"/>
    </xf>
    <xf numFmtId="170" fontId="46" fillId="0" borderId="42" xfId="0" applyFont="1" applyBorder="1" applyAlignment="1">
      <alignment horizontal="center" vertical="center"/>
    </xf>
    <xf numFmtId="170" fontId="46" fillId="0" borderId="62" xfId="0" applyFont="1" applyBorder="1" applyAlignment="1">
      <alignment horizontal="center" vertical="center"/>
    </xf>
    <xf numFmtId="170" fontId="46" fillId="0" borderId="63" xfId="0" applyFont="1" applyBorder="1" applyAlignment="1">
      <alignment horizontal="center" vertical="center"/>
    </xf>
    <xf numFmtId="170" fontId="46" fillId="0" borderId="64" xfId="0" applyFont="1" applyBorder="1" applyAlignment="1">
      <alignment horizontal="center" vertical="center"/>
    </xf>
    <xf numFmtId="170" fontId="12" fillId="0" borderId="0" xfId="0" quotePrefix="1" applyFont="1" applyFill="1" applyAlignment="1"/>
    <xf numFmtId="170" fontId="13" fillId="0" borderId="0" xfId="8" applyFont="1" applyFill="1" applyAlignment="1">
      <alignment horizontal="center"/>
    </xf>
    <xf numFmtId="170" fontId="0" fillId="21" borderId="0" xfId="8" applyFont="1" applyFill="1" applyAlignment="1">
      <alignment horizontal="center"/>
    </xf>
    <xf numFmtId="170" fontId="14" fillId="22" borderId="0" xfId="0" applyFont="1" applyFill="1" applyAlignment="1">
      <alignment horizontal="center"/>
    </xf>
    <xf numFmtId="170" fontId="0" fillId="22" borderId="0" xfId="0" applyFill="1" applyAlignment="1">
      <alignment horizontal="center"/>
    </xf>
    <xf numFmtId="170" fontId="13" fillId="0" borderId="0" xfId="0" applyFont="1" applyFill="1" applyAlignment="1">
      <alignment horizontal="center"/>
    </xf>
    <xf numFmtId="17" fontId="11" fillId="22" borderId="37" xfId="0" applyNumberFormat="1" applyFont="1" applyFill="1" applyBorder="1" applyAlignment="1">
      <alignment horizontal="center" wrapText="1"/>
    </xf>
    <xf numFmtId="170" fontId="11" fillId="22" borderId="36" xfId="0" applyFont="1" applyFill="1" applyBorder="1" applyAlignment="1">
      <alignment horizontal="center" wrapText="1"/>
    </xf>
    <xf numFmtId="170" fontId="11" fillId="22" borderId="38" xfId="0" applyFont="1" applyFill="1" applyBorder="1" applyAlignment="1">
      <alignment horizontal="center" wrapText="1"/>
    </xf>
    <xf numFmtId="17" fontId="12" fillId="22" borderId="37" xfId="0" applyNumberFormat="1" applyFont="1" applyFill="1" applyBorder="1" applyAlignment="1">
      <alignment horizontal="center" wrapText="1"/>
    </xf>
    <xf numFmtId="170" fontId="0" fillId="22" borderId="36" xfId="0" applyFill="1" applyBorder="1" applyAlignment="1">
      <alignment horizontal="center" wrapText="1"/>
    </xf>
    <xf numFmtId="170" fontId="0" fillId="22" borderId="38" xfId="0" applyFill="1" applyBorder="1" applyAlignment="1">
      <alignment horizontal="center" wrapText="1"/>
    </xf>
    <xf numFmtId="170" fontId="0" fillId="0" borderId="37" xfId="0" applyBorder="1" applyAlignment="1">
      <alignment horizontal="center"/>
    </xf>
    <xf numFmtId="170" fontId="0" fillId="0" borderId="36" xfId="0" applyBorder="1" applyAlignment="1">
      <alignment horizontal="center"/>
    </xf>
    <xf numFmtId="170" fontId="0" fillId="0" borderId="38" xfId="0" applyBorder="1" applyAlignment="1">
      <alignment horizontal="center"/>
    </xf>
    <xf numFmtId="170" fontId="11" fillId="0" borderId="37" xfId="0" applyFont="1" applyBorder="1" applyAlignment="1">
      <alignment horizontal="center"/>
    </xf>
    <xf numFmtId="170" fontId="11" fillId="0" borderId="36" xfId="0" applyFont="1" applyBorder="1" applyAlignment="1">
      <alignment horizontal="center"/>
    </xf>
    <xf numFmtId="170" fontId="11" fillId="0" borderId="38" xfId="0" applyFont="1" applyBorder="1" applyAlignment="1">
      <alignment horizontal="center"/>
    </xf>
  </cellXfs>
  <cellStyles count="111">
    <cellStyle name="_x0013_" xfId="23" xr:uid="{00000000-0005-0000-0000-000000000000}"/>
    <cellStyle name="ArrayHeading" xfId="28" xr:uid="{00000000-0005-0000-0000-000001000000}"/>
    <cellStyle name="BetweenMacros" xfId="29" xr:uid="{00000000-0005-0000-0000-000002000000}"/>
    <cellStyle name="Column total in dollars" xfId="30" xr:uid="{00000000-0005-0000-0000-000003000000}"/>
    <cellStyle name="Comma  - Style1" xfId="31" xr:uid="{00000000-0005-0000-0000-000004000000}"/>
    <cellStyle name="Comma  - Style2" xfId="32" xr:uid="{00000000-0005-0000-0000-000005000000}"/>
    <cellStyle name="Comma  - Style3" xfId="33" xr:uid="{00000000-0005-0000-0000-000006000000}"/>
    <cellStyle name="Comma  - Style4" xfId="34" xr:uid="{00000000-0005-0000-0000-000007000000}"/>
    <cellStyle name="Comma  - Style5" xfId="35" xr:uid="{00000000-0005-0000-0000-000008000000}"/>
    <cellStyle name="Comma  - Style6" xfId="36" xr:uid="{00000000-0005-0000-0000-000009000000}"/>
    <cellStyle name="Comma  - Style7" xfId="37" xr:uid="{00000000-0005-0000-0000-00000A000000}"/>
    <cellStyle name="Comma  - Style8" xfId="38" xr:uid="{00000000-0005-0000-0000-00000B000000}"/>
    <cellStyle name="Comma (0)" xfId="39" xr:uid="{00000000-0005-0000-0000-00000C000000}"/>
    <cellStyle name="Comma 2" xfId="7" xr:uid="{00000000-0005-0000-0000-00000D000000}"/>
    <cellStyle name="Comma 2 2" xfId="22" xr:uid="{00000000-0005-0000-0000-00000E000000}"/>
    <cellStyle name="Comma 2 3" xfId="40" xr:uid="{00000000-0005-0000-0000-00000F000000}"/>
    <cellStyle name="Comma 3" xfId="41" xr:uid="{00000000-0005-0000-0000-000010000000}"/>
    <cellStyle name="Comma 4" xfId="42" xr:uid="{00000000-0005-0000-0000-000011000000}"/>
    <cellStyle name="Comma 5" xfId="101" xr:uid="{00000000-0005-0000-0000-000012000000}"/>
    <cellStyle name="Comma 6" xfId="105" xr:uid="{00000000-0005-0000-0000-000013000000}"/>
    <cellStyle name="Comma 7" xfId="107" xr:uid="{00000000-0005-0000-0000-000014000000}"/>
    <cellStyle name="Comma 7 2" xfId="109" xr:uid="{00000000-0005-0000-0000-000015000000}"/>
    <cellStyle name="Comma0" xfId="43" xr:uid="{00000000-0005-0000-0000-000016000000}"/>
    <cellStyle name="Comma0 - Style3" xfId="44" xr:uid="{00000000-0005-0000-0000-000017000000}"/>
    <cellStyle name="Comma0 - Style4" xfId="45" xr:uid="{00000000-0005-0000-0000-000018000000}"/>
    <cellStyle name="Comma0_2009 10 Yr Plan Key Assumptions" xfId="46" xr:uid="{00000000-0005-0000-0000-000019000000}"/>
    <cellStyle name="Comma1 - Style1" xfId="47" xr:uid="{00000000-0005-0000-0000-00001A000000}"/>
    <cellStyle name="Currency" xfId="1" builtinId="4"/>
    <cellStyle name="Currency 2" xfId="24" xr:uid="{00000000-0005-0000-0000-00001C000000}"/>
    <cellStyle name="Currency No Comma" xfId="14" xr:uid="{00000000-0005-0000-0000-00001D000000}"/>
    <cellStyle name="Currency(0)" xfId="48" xr:uid="{00000000-0005-0000-0000-00001E000000}"/>
    <cellStyle name="Currency0" xfId="49" xr:uid="{00000000-0005-0000-0000-00001F000000}"/>
    <cellStyle name="Date" xfId="50" xr:uid="{00000000-0005-0000-0000-000020000000}"/>
    <cellStyle name="Date - Style3" xfId="51" xr:uid="{00000000-0005-0000-0000-000021000000}"/>
    <cellStyle name="Date_2009 10 Yr Plan Key Assumptions" xfId="52" xr:uid="{00000000-0005-0000-0000-000022000000}"/>
    <cellStyle name="Fixed" xfId="53" xr:uid="{00000000-0005-0000-0000-000023000000}"/>
    <cellStyle name="Grey" xfId="54" xr:uid="{00000000-0005-0000-0000-000024000000}"/>
    <cellStyle name="header" xfId="55" xr:uid="{00000000-0005-0000-0000-000025000000}"/>
    <cellStyle name="Header1" xfId="56" xr:uid="{00000000-0005-0000-0000-000026000000}"/>
    <cellStyle name="Header2" xfId="57" xr:uid="{00000000-0005-0000-0000-000027000000}"/>
    <cellStyle name="Input" xfId="2" builtinId="20" customBuiltin="1"/>
    <cellStyle name="Input [yellow]" xfId="58" xr:uid="{00000000-0005-0000-0000-000029000000}"/>
    <cellStyle name="Macro" xfId="59" xr:uid="{00000000-0005-0000-0000-00002A000000}"/>
    <cellStyle name="macro descr" xfId="60" xr:uid="{00000000-0005-0000-0000-00002B000000}"/>
    <cellStyle name="Macro_Comments" xfId="61" xr:uid="{00000000-0005-0000-0000-00002C000000}"/>
    <cellStyle name="MacroText" xfId="62" xr:uid="{00000000-0005-0000-0000-00002D000000}"/>
    <cellStyle name="MCP" xfId="15" xr:uid="{00000000-0005-0000-0000-00002E000000}"/>
    <cellStyle name="nONE" xfId="63" xr:uid="{00000000-0005-0000-0000-00002F000000}"/>
    <cellStyle name="noninput" xfId="16" xr:uid="{00000000-0005-0000-0000-000030000000}"/>
    <cellStyle name="Normal" xfId="0" builtinId="0" customBuiltin="1"/>
    <cellStyle name="Normal - Style1" xfId="64" xr:uid="{00000000-0005-0000-0000-000032000000}"/>
    <cellStyle name="Normal 10" xfId="65" xr:uid="{00000000-0005-0000-0000-000033000000}"/>
    <cellStyle name="Normal 11" xfId="100" xr:uid="{00000000-0005-0000-0000-000034000000}"/>
    <cellStyle name="Normal 12" xfId="103" xr:uid="{00000000-0005-0000-0000-000035000000}"/>
    <cellStyle name="Normal 13" xfId="106" xr:uid="{00000000-0005-0000-0000-000036000000}"/>
    <cellStyle name="Normal 13 2" xfId="110" xr:uid="{00000000-0005-0000-0000-000037000000}"/>
    <cellStyle name="Normal 176" xfId="25" xr:uid="{00000000-0005-0000-0000-000038000000}"/>
    <cellStyle name="Normal 176 2" xfId="26" xr:uid="{00000000-0005-0000-0000-000039000000}"/>
    <cellStyle name="Normal 2" xfId="9" xr:uid="{00000000-0005-0000-0000-00003A000000}"/>
    <cellStyle name="Normal 2 2" xfId="66" xr:uid="{00000000-0005-0000-0000-00003B000000}"/>
    <cellStyle name="Normal 2 3" xfId="67" xr:uid="{00000000-0005-0000-0000-00003C000000}"/>
    <cellStyle name="Normal 2 4" xfId="68" xr:uid="{00000000-0005-0000-0000-00003D000000}"/>
    <cellStyle name="Normal 3" xfId="12" xr:uid="{00000000-0005-0000-0000-00003E000000}"/>
    <cellStyle name="Normal 3 2" xfId="69" xr:uid="{00000000-0005-0000-0000-00003F000000}"/>
    <cellStyle name="Normal 4" xfId="27" xr:uid="{00000000-0005-0000-0000-000040000000}"/>
    <cellStyle name="Normal 5" xfId="6" xr:uid="{00000000-0005-0000-0000-000041000000}"/>
    <cellStyle name="Normal 6" xfId="70" xr:uid="{00000000-0005-0000-0000-000042000000}"/>
    <cellStyle name="Normal 7" xfId="71" xr:uid="{00000000-0005-0000-0000-000043000000}"/>
    <cellStyle name="Normal 7 4" xfId="95" xr:uid="{00000000-0005-0000-0000-000044000000}"/>
    <cellStyle name="Normal 8" xfId="72" xr:uid="{00000000-0005-0000-0000-000045000000}"/>
    <cellStyle name="Normal 9" xfId="96" xr:uid="{00000000-0005-0000-0000-000046000000}"/>
    <cellStyle name="Normal 9 2" xfId="97" xr:uid="{00000000-0005-0000-0000-000047000000}"/>
    <cellStyle name="Normal(0)" xfId="73" xr:uid="{00000000-0005-0000-0000-000048000000}"/>
    <cellStyle name="Normal_DRR AC Study - Utah Valley - 53 MW 90 CF (2.28.2005)" xfId="3" xr:uid="{00000000-0005-0000-0000-000049000000}"/>
    <cellStyle name="Normal_INF_06_03_07" xfId="11" xr:uid="{00000000-0005-0000-0000-00004A000000}"/>
    <cellStyle name="Normal_Or AC 2003 - AC Study - Fuel Indexed Avoided Costs" xfId="4" xr:uid="{00000000-0005-0000-0000-00004B000000}"/>
    <cellStyle name="Normal_OR AC Sch 37 - AC  Study (Gold) _2009 06 19" xfId="8" xr:uid="{00000000-0005-0000-0000-00004C000000}"/>
    <cellStyle name="Normal_OR AC Sch 37 - AC  Study (Gold) _2009 07 07" xfId="99" xr:uid="{00000000-0005-0000-0000-00004D000000}"/>
    <cellStyle name="Normal_T-INF-10-15-04-TEMPLATE" xfId="13" xr:uid="{00000000-0005-0000-0000-00004E000000}"/>
    <cellStyle name="Normal_UT AC Sch 37 - L&amp;R  Study (Gold) _2009 06 19" xfId="21" xr:uid="{00000000-0005-0000-0000-00004F000000}"/>
    <cellStyle name="Normal_WY AC 2009 - AC Study (Wind Study)_2009 08 11" xfId="10" xr:uid="{00000000-0005-0000-0000-000050000000}"/>
    <cellStyle name="Number" xfId="74" xr:uid="{00000000-0005-0000-0000-000051000000}"/>
    <cellStyle name="Password" xfId="17" xr:uid="{00000000-0005-0000-0000-000052000000}"/>
    <cellStyle name="Percen - Style1" xfId="75" xr:uid="{00000000-0005-0000-0000-000053000000}"/>
    <cellStyle name="Percen - Style2" xfId="76" xr:uid="{00000000-0005-0000-0000-000054000000}"/>
    <cellStyle name="Percent" xfId="5" builtinId="5"/>
    <cellStyle name="Percent [2]" xfId="77" xr:uid="{00000000-0005-0000-0000-000056000000}"/>
    <cellStyle name="Percent 2" xfId="78" xr:uid="{00000000-0005-0000-0000-000057000000}"/>
    <cellStyle name="Percent 2 2" xfId="98" xr:uid="{00000000-0005-0000-0000-000058000000}"/>
    <cellStyle name="Percent 3" xfId="79" xr:uid="{00000000-0005-0000-0000-000059000000}"/>
    <cellStyle name="Percent 4" xfId="80" xr:uid="{00000000-0005-0000-0000-00005A000000}"/>
    <cellStyle name="Percent 5" xfId="102" xr:uid="{00000000-0005-0000-0000-00005B000000}"/>
    <cellStyle name="Percent 6" xfId="104" xr:uid="{00000000-0005-0000-0000-00005C000000}"/>
    <cellStyle name="Percent 7" xfId="108" xr:uid="{00000000-0005-0000-0000-00005D000000}"/>
    <cellStyle name="Percent(0)" xfId="81" xr:uid="{00000000-0005-0000-0000-00005E000000}"/>
    <cellStyle name="SAPBEXaggData" xfId="82" xr:uid="{00000000-0005-0000-0000-00005F000000}"/>
    <cellStyle name="SAPBEXaggItem" xfId="83" xr:uid="{00000000-0005-0000-0000-000060000000}"/>
    <cellStyle name="SAPBEXchaText" xfId="84" xr:uid="{00000000-0005-0000-0000-000061000000}"/>
    <cellStyle name="SAPBEXstdData" xfId="85" xr:uid="{00000000-0005-0000-0000-000062000000}"/>
    <cellStyle name="SAPBEXstdItem" xfId="86" xr:uid="{00000000-0005-0000-0000-000063000000}"/>
    <cellStyle name="SAPBEXstdItemX" xfId="87" xr:uid="{00000000-0005-0000-0000-000064000000}"/>
    <cellStyle name="Shade" xfId="88" xr:uid="{00000000-0005-0000-0000-000065000000}"/>
    <cellStyle name="Special" xfId="89" xr:uid="{00000000-0005-0000-0000-000066000000}"/>
    <cellStyle name="Style 1" xfId="90" xr:uid="{00000000-0005-0000-0000-000067000000}"/>
    <cellStyle name="Titles" xfId="91" xr:uid="{00000000-0005-0000-0000-000068000000}"/>
    <cellStyle name="Total2 - Style2" xfId="92" xr:uid="{00000000-0005-0000-0000-000069000000}"/>
    <cellStyle name="Underl - Style4" xfId="93" xr:uid="{00000000-0005-0000-0000-00006A000000}"/>
    <cellStyle name="UNLocked" xfId="94" xr:uid="{00000000-0005-0000-0000-00006B000000}"/>
    <cellStyle name="Unprot" xfId="18" xr:uid="{00000000-0005-0000-0000-00006C000000}"/>
    <cellStyle name="Unprot$" xfId="19" xr:uid="{00000000-0005-0000-0000-00006D000000}"/>
    <cellStyle name="Unprotect" xfId="20" xr:uid="{00000000-0005-0000-0000-00006E000000}"/>
  </cellStyles>
  <dxfs count="2"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PPA Rates for QF Resource starting 2015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4697239768105911E-2"/>
          <c:y val="7.8845663490095752E-2"/>
          <c:w val="0.87539753684635579"/>
          <c:h val="0.76377229413283299"/>
        </c:manualLayout>
      </c:layout>
      <c:lineChart>
        <c:grouping val="standard"/>
        <c:varyColors val="0"/>
        <c:ser>
          <c:idx val="0"/>
          <c:order val="0"/>
          <c:tx>
            <c:v>StdBaseLoadOnPk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39.36</c:v>
                </c:pt>
                <c:pt idx="1">
                  <c:v>38.54</c:v>
                </c:pt>
                <c:pt idx="2">
                  <c:v>40.619999999999997</c:v>
                </c:pt>
                <c:pt idx="3">
                  <c:v>43.25</c:v>
                </c:pt>
                <c:pt idx="4">
                  <c:v>45.46</c:v>
                </c:pt>
                <c:pt idx="5">
                  <c:v>47.75</c:v>
                </c:pt>
                <c:pt idx="6">
                  <c:v>49.22</c:v>
                </c:pt>
                <c:pt idx="7">
                  <c:v>55.78</c:v>
                </c:pt>
                <c:pt idx="8">
                  <c:v>57.87</c:v>
                </c:pt>
                <c:pt idx="9">
                  <c:v>69.67</c:v>
                </c:pt>
                <c:pt idx="10">
                  <c:v>71.14</c:v>
                </c:pt>
                <c:pt idx="11">
                  <c:v>73.050000000000011</c:v>
                </c:pt>
                <c:pt idx="12">
                  <c:v>75.23</c:v>
                </c:pt>
                <c:pt idx="13">
                  <c:v>77.41</c:v>
                </c:pt>
                <c:pt idx="14">
                  <c:v>80</c:v>
                </c:pt>
                <c:pt idx="15">
                  <c:v>73.601864166666658</c:v>
                </c:pt>
                <c:pt idx="16">
                  <c:v>75.470964999999993</c:v>
                </c:pt>
                <c:pt idx="17">
                  <c:v>77.291119166666661</c:v>
                </c:pt>
                <c:pt idx="18">
                  <c:v>79.190610000000007</c:v>
                </c:pt>
                <c:pt idx="19">
                  <c:v>80.960205833333333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B9E-4722-A227-95F30FB3F65D}"/>
            </c:ext>
          </c:extLst>
        </c:ser>
        <c:ser>
          <c:idx val="1"/>
          <c:order val="1"/>
          <c:tx>
            <c:v>StdWindOnPk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36.69</c:v>
                </c:pt>
                <c:pt idx="1">
                  <c:v>35.82</c:v>
                </c:pt>
                <c:pt idx="2">
                  <c:v>37.849999999999994</c:v>
                </c:pt>
                <c:pt idx="3">
                  <c:v>40.43</c:v>
                </c:pt>
                <c:pt idx="4">
                  <c:v>42.59</c:v>
                </c:pt>
                <c:pt idx="5">
                  <c:v>44.83</c:v>
                </c:pt>
                <c:pt idx="6">
                  <c:v>46.24</c:v>
                </c:pt>
                <c:pt idx="7">
                  <c:v>52.75</c:v>
                </c:pt>
                <c:pt idx="8">
                  <c:v>54.79</c:v>
                </c:pt>
                <c:pt idx="9">
                  <c:v>37.21</c:v>
                </c:pt>
                <c:pt idx="10">
                  <c:v>38.090000000000003</c:v>
                </c:pt>
                <c:pt idx="11">
                  <c:v>39.369999999999997</c:v>
                </c:pt>
                <c:pt idx="12">
                  <c:v>40.909999999999997</c:v>
                </c:pt>
                <c:pt idx="13">
                  <c:v>42.44</c:v>
                </c:pt>
                <c:pt idx="14">
                  <c:v>44.37</c:v>
                </c:pt>
                <c:pt idx="15">
                  <c:v>70.091864166666653</c:v>
                </c:pt>
                <c:pt idx="16">
                  <c:v>71.890964999999994</c:v>
                </c:pt>
                <c:pt idx="17">
                  <c:v>73.641119166666655</c:v>
                </c:pt>
                <c:pt idx="18">
                  <c:v>75.470610000000008</c:v>
                </c:pt>
                <c:pt idx="19">
                  <c:v>77.170205833333327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B9E-4722-A227-95F30FB3F65D}"/>
            </c:ext>
          </c:extLst>
        </c:ser>
        <c:ser>
          <c:idx val="2"/>
          <c:order val="2"/>
          <c:tx>
            <c:v>StdSolarOnPk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39.36</c:v>
                </c:pt>
                <c:pt idx="1">
                  <c:v>38.54</c:v>
                </c:pt>
                <c:pt idx="2">
                  <c:v>40.619999999999997</c:v>
                </c:pt>
                <c:pt idx="3">
                  <c:v>43.25</c:v>
                </c:pt>
                <c:pt idx="4">
                  <c:v>45.46</c:v>
                </c:pt>
                <c:pt idx="5">
                  <c:v>47.75</c:v>
                </c:pt>
                <c:pt idx="6">
                  <c:v>49.22</c:v>
                </c:pt>
                <c:pt idx="7">
                  <c:v>55.78</c:v>
                </c:pt>
                <c:pt idx="8">
                  <c:v>57.87</c:v>
                </c:pt>
                <c:pt idx="9">
                  <c:v>43.22296</c:v>
                </c:pt>
                <c:pt idx="10">
                  <c:v>44.217760000000006</c:v>
                </c:pt>
                <c:pt idx="11">
                  <c:v>45.618000000000002</c:v>
                </c:pt>
                <c:pt idx="12">
                  <c:v>47.270960000000002</c:v>
                </c:pt>
                <c:pt idx="13">
                  <c:v>48.923919999999995</c:v>
                </c:pt>
                <c:pt idx="14">
                  <c:v>50.9696</c:v>
                </c:pt>
                <c:pt idx="15">
                  <c:v>73.601864166666658</c:v>
                </c:pt>
                <c:pt idx="16">
                  <c:v>75.470964999999993</c:v>
                </c:pt>
                <c:pt idx="17">
                  <c:v>77.291119166666661</c:v>
                </c:pt>
                <c:pt idx="18">
                  <c:v>79.190610000000007</c:v>
                </c:pt>
                <c:pt idx="19">
                  <c:v>80.960205833333333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B9E-4722-A227-95F30FB3F65D}"/>
            </c:ext>
          </c:extLst>
        </c:ser>
        <c:ser>
          <c:idx val="3"/>
          <c:order val="3"/>
          <c:tx>
            <c:v>RnwBaseLoadOnPk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39.36</c:v>
                </c:pt>
                <c:pt idx="1">
                  <c:v>38.54</c:v>
                </c:pt>
                <c:pt idx="2">
                  <c:v>40.619999999999997</c:v>
                </c:pt>
                <c:pt idx="3">
                  <c:v>43.25</c:v>
                </c:pt>
                <c:pt idx="4">
                  <c:v>45.46</c:v>
                </c:pt>
                <c:pt idx="5">
                  <c:v>47.75</c:v>
                </c:pt>
                <c:pt idx="6">
                  <c:v>49.22</c:v>
                </c:pt>
                <c:pt idx="7">
                  <c:v>55.78</c:v>
                </c:pt>
                <c:pt idx="8">
                  <c:v>57.87</c:v>
                </c:pt>
                <c:pt idx="9">
                  <c:v>114.82</c:v>
                </c:pt>
                <c:pt idx="10">
                  <c:v>116.97</c:v>
                </c:pt>
                <c:pt idx="11">
                  <c:v>119.12</c:v>
                </c:pt>
                <c:pt idx="12">
                  <c:v>121.37</c:v>
                </c:pt>
                <c:pt idx="13">
                  <c:v>123.64</c:v>
                </c:pt>
                <c:pt idx="14">
                  <c:v>125.83</c:v>
                </c:pt>
                <c:pt idx="15">
                  <c:v>73.601864166666658</c:v>
                </c:pt>
                <c:pt idx="16">
                  <c:v>75.470964999999993</c:v>
                </c:pt>
                <c:pt idx="17">
                  <c:v>77.291119166666661</c:v>
                </c:pt>
                <c:pt idx="18">
                  <c:v>79.190610000000007</c:v>
                </c:pt>
                <c:pt idx="19">
                  <c:v>80.960205833333333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B9E-4722-A227-95F30FB3F65D}"/>
            </c:ext>
          </c:extLst>
        </c:ser>
        <c:ser>
          <c:idx val="4"/>
          <c:order val="4"/>
          <c:tx>
            <c:v>RnwWindOnPk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36.69</c:v>
                </c:pt>
                <c:pt idx="1">
                  <c:v>35.82</c:v>
                </c:pt>
                <c:pt idx="2">
                  <c:v>37.849999999999994</c:v>
                </c:pt>
                <c:pt idx="3">
                  <c:v>40.43</c:v>
                </c:pt>
                <c:pt idx="4">
                  <c:v>42.59</c:v>
                </c:pt>
                <c:pt idx="5">
                  <c:v>44.83</c:v>
                </c:pt>
                <c:pt idx="6">
                  <c:v>46.24</c:v>
                </c:pt>
                <c:pt idx="7">
                  <c:v>52.75</c:v>
                </c:pt>
                <c:pt idx="8">
                  <c:v>54.79</c:v>
                </c:pt>
                <c:pt idx="9">
                  <c:v>82.36</c:v>
                </c:pt>
                <c:pt idx="10">
                  <c:v>83.92</c:v>
                </c:pt>
                <c:pt idx="11">
                  <c:v>85.44</c:v>
                </c:pt>
                <c:pt idx="12">
                  <c:v>87.05</c:v>
                </c:pt>
                <c:pt idx="13">
                  <c:v>88.67</c:v>
                </c:pt>
                <c:pt idx="14">
                  <c:v>90.2</c:v>
                </c:pt>
                <c:pt idx="15">
                  <c:v>70.091864166666653</c:v>
                </c:pt>
                <c:pt idx="16">
                  <c:v>71.890964999999994</c:v>
                </c:pt>
                <c:pt idx="17">
                  <c:v>73.641119166666655</c:v>
                </c:pt>
                <c:pt idx="18">
                  <c:v>75.470610000000008</c:v>
                </c:pt>
                <c:pt idx="19">
                  <c:v>77.170205833333327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3B9E-4722-A227-95F30FB3F65D}"/>
            </c:ext>
          </c:extLst>
        </c:ser>
        <c:ser>
          <c:idx val="5"/>
          <c:order val="5"/>
          <c:tx>
            <c:v>RnwSolarOnPk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39.36</c:v>
                </c:pt>
                <c:pt idx="1">
                  <c:v>38.54</c:v>
                </c:pt>
                <c:pt idx="2">
                  <c:v>40.619999999999997</c:v>
                </c:pt>
                <c:pt idx="3">
                  <c:v>43.25</c:v>
                </c:pt>
                <c:pt idx="4">
                  <c:v>45.46</c:v>
                </c:pt>
                <c:pt idx="5">
                  <c:v>47.75</c:v>
                </c:pt>
                <c:pt idx="6">
                  <c:v>49.22</c:v>
                </c:pt>
                <c:pt idx="7">
                  <c:v>55.78</c:v>
                </c:pt>
                <c:pt idx="8">
                  <c:v>57.87</c:v>
                </c:pt>
                <c:pt idx="9">
                  <c:v>88.38</c:v>
                </c:pt>
                <c:pt idx="10">
                  <c:v>90.05</c:v>
                </c:pt>
                <c:pt idx="11">
                  <c:v>91.68</c:v>
                </c:pt>
                <c:pt idx="12">
                  <c:v>93.41</c:v>
                </c:pt>
                <c:pt idx="13">
                  <c:v>95.15</c:v>
                </c:pt>
                <c:pt idx="14">
                  <c:v>96.8</c:v>
                </c:pt>
                <c:pt idx="15">
                  <c:v>73.601864166666658</c:v>
                </c:pt>
                <c:pt idx="16">
                  <c:v>75.470964999999993</c:v>
                </c:pt>
                <c:pt idx="17">
                  <c:v>77.291119166666661</c:v>
                </c:pt>
                <c:pt idx="18">
                  <c:v>79.190610000000007</c:v>
                </c:pt>
                <c:pt idx="19">
                  <c:v>80.960205833333333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3B9E-4722-A227-95F30FB3F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185896"/>
        <c:axId val="443182760"/>
      </c:lineChart>
      <c:catAx>
        <c:axId val="44318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3182760"/>
        <c:crosses val="autoZero"/>
        <c:auto val="1"/>
        <c:lblAlgn val="ctr"/>
        <c:lblOffset val="100"/>
        <c:noMultiLvlLbl val="0"/>
      </c:catAx>
      <c:valAx>
        <c:axId val="443182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overlay val="0"/>
        </c:title>
        <c:numFmt formatCode="&quot;$&quot;#,##0.00_);\(&quot;$&quot;#,##0.00\)" sourceLinked="1"/>
        <c:majorTickMark val="out"/>
        <c:minorTickMark val="none"/>
        <c:tickLblPos val="nextTo"/>
        <c:crossAx val="443185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1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1\TRANSFER\WA%20QF\WA%20SchQF%20Avoided%20Energy%20Cost%20Sept%202021%20OFPC%2010-15-21%20(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"/>
      <sheetName val="Shaping"/>
      <sheetName val="Profile"/>
      <sheetName val="Integration"/>
    </sheetNames>
    <sheetDataSet>
      <sheetData sheetId="0">
        <row r="4">
          <cell r="T4">
            <v>2022</v>
          </cell>
          <cell r="U4">
            <v>59.220326484017946</v>
          </cell>
          <cell r="V4">
            <v>110.2019979508201</v>
          </cell>
          <cell r="W4">
            <v>50.058002049180637</v>
          </cell>
          <cell r="X4">
            <v>73.859485596707458</v>
          </cell>
          <cell r="Y4">
            <v>43.702893518518557</v>
          </cell>
          <cell r="AA4">
            <v>8760</v>
          </cell>
          <cell r="AB4">
            <v>976</v>
          </cell>
          <cell r="AC4">
            <v>1952</v>
          </cell>
          <cell r="AD4">
            <v>1944</v>
          </cell>
          <cell r="AE4">
            <v>3888</v>
          </cell>
        </row>
        <row r="5">
          <cell r="T5">
            <v>2023</v>
          </cell>
          <cell r="U5">
            <v>49.573700913242824</v>
          </cell>
          <cell r="V5">
            <v>96.368586065573595</v>
          </cell>
          <cell r="W5">
            <v>46.202341188524578</v>
          </cell>
          <cell r="X5">
            <v>57.990051440329296</v>
          </cell>
          <cell r="Y5">
            <v>35.311278292181207</v>
          </cell>
          <cell r="AA5">
            <v>8760</v>
          </cell>
          <cell r="AB5">
            <v>976</v>
          </cell>
          <cell r="AC5">
            <v>1952</v>
          </cell>
          <cell r="AD5">
            <v>1944</v>
          </cell>
          <cell r="AE5">
            <v>3888</v>
          </cell>
        </row>
        <row r="6">
          <cell r="T6">
            <v>2024</v>
          </cell>
          <cell r="U6">
            <v>43.841770264116512</v>
          </cell>
          <cell r="V6">
            <v>83.597643442623223</v>
          </cell>
          <cell r="W6">
            <v>43.180481557376915</v>
          </cell>
          <cell r="X6">
            <v>50.762638319672433</v>
          </cell>
          <cell r="Y6">
            <v>30.773012295081919</v>
          </cell>
          <cell r="AA6">
            <v>8784</v>
          </cell>
          <cell r="AB6">
            <v>976</v>
          </cell>
          <cell r="AC6">
            <v>1952</v>
          </cell>
          <cell r="AD6">
            <v>1952</v>
          </cell>
          <cell r="AE6">
            <v>3904</v>
          </cell>
        </row>
        <row r="7">
          <cell r="T7">
            <v>2025</v>
          </cell>
          <cell r="U7">
            <v>32.813378995433901</v>
          </cell>
          <cell r="V7">
            <v>57.084559426229305</v>
          </cell>
          <cell r="W7">
            <v>30.112730532786927</v>
          </cell>
          <cell r="X7">
            <v>40.424583333333523</v>
          </cell>
          <cell r="Y7">
            <v>24.270892489711894</v>
          </cell>
          <cell r="AA7">
            <v>8760</v>
          </cell>
          <cell r="AB7">
            <v>976</v>
          </cell>
          <cell r="AC7">
            <v>1952</v>
          </cell>
          <cell r="AD7">
            <v>1944</v>
          </cell>
          <cell r="AE7">
            <v>3888</v>
          </cell>
        </row>
        <row r="8">
          <cell r="T8">
            <v>2026</v>
          </cell>
          <cell r="U8">
            <v>23.698091324200469</v>
          </cell>
          <cell r="V8">
            <v>30.722940573770472</v>
          </cell>
          <cell r="W8">
            <v>17.027771516393468</v>
          </cell>
          <cell r="X8">
            <v>33.668894032921941</v>
          </cell>
          <cell r="Y8">
            <v>20.298135288065783</v>
          </cell>
          <cell r="AA8">
            <v>8760</v>
          </cell>
          <cell r="AB8">
            <v>976</v>
          </cell>
          <cell r="AC8">
            <v>1952</v>
          </cell>
          <cell r="AD8">
            <v>1944</v>
          </cell>
          <cell r="AE8">
            <v>3888</v>
          </cell>
        </row>
        <row r="9">
          <cell r="T9">
            <v>2027</v>
          </cell>
          <cell r="U9">
            <v>23.917897260273776</v>
          </cell>
          <cell r="V9">
            <v>30.687264344262413</v>
          </cell>
          <cell r="W9">
            <v>17.069349385245857</v>
          </cell>
          <cell r="X9">
            <v>34.136003086419869</v>
          </cell>
          <cell r="Y9">
            <v>20.547903806584344</v>
          </cell>
          <cell r="AA9">
            <v>8760</v>
          </cell>
          <cell r="AB9">
            <v>976</v>
          </cell>
          <cell r="AC9">
            <v>1952</v>
          </cell>
          <cell r="AD9">
            <v>1944</v>
          </cell>
          <cell r="AE9">
            <v>3888</v>
          </cell>
        </row>
        <row r="10">
          <cell r="T10">
            <v>2028</v>
          </cell>
          <cell r="U10">
            <v>24.906483378871076</v>
          </cell>
          <cell r="V10">
            <v>31.094159836065696</v>
          </cell>
          <cell r="W10">
            <v>17.583857581967237</v>
          </cell>
          <cell r="X10">
            <v>35.604902663934531</v>
          </cell>
          <cell r="Y10">
            <v>21.671667520491845</v>
          </cell>
          <cell r="AA10">
            <v>8784</v>
          </cell>
          <cell r="AB10">
            <v>976</v>
          </cell>
          <cell r="AC10">
            <v>1952</v>
          </cell>
          <cell r="AD10">
            <v>1952</v>
          </cell>
          <cell r="AE10">
            <v>3904</v>
          </cell>
        </row>
        <row r="11">
          <cell r="T11">
            <v>2029</v>
          </cell>
          <cell r="U11">
            <v>25.103650684931104</v>
          </cell>
          <cell r="V11">
            <v>31.523258196721386</v>
          </cell>
          <cell r="W11">
            <v>18.247494877049206</v>
          </cell>
          <cell r="X11">
            <v>35.631455761316907</v>
          </cell>
          <cell r="Y11">
            <v>21.670426954732552</v>
          </cell>
          <cell r="AA11">
            <v>8760</v>
          </cell>
          <cell r="AB11">
            <v>976</v>
          </cell>
          <cell r="AC11">
            <v>1952</v>
          </cell>
          <cell r="AD11">
            <v>1944</v>
          </cell>
          <cell r="AE11">
            <v>3888</v>
          </cell>
        </row>
        <row r="12">
          <cell r="T12">
            <v>2030</v>
          </cell>
          <cell r="U12">
            <v>25.377404109588902</v>
          </cell>
          <cell r="V12">
            <v>32.035799180327821</v>
          </cell>
          <cell r="W12">
            <v>18.499994877049218</v>
          </cell>
          <cell r="X12">
            <v>35.88676440329241</v>
          </cell>
          <cell r="Y12">
            <v>21.904130658436099</v>
          </cell>
          <cell r="AA12">
            <v>8760</v>
          </cell>
          <cell r="AB12">
            <v>976</v>
          </cell>
          <cell r="AC12">
            <v>1952</v>
          </cell>
          <cell r="AD12">
            <v>1944</v>
          </cell>
          <cell r="AE12">
            <v>3888</v>
          </cell>
        </row>
        <row r="13">
          <cell r="T13">
            <v>2031</v>
          </cell>
          <cell r="U13">
            <v>26.408876712328631</v>
          </cell>
          <cell r="V13">
            <v>32.417674180327843</v>
          </cell>
          <cell r="W13">
            <v>18.909057377049095</v>
          </cell>
          <cell r="X13">
            <v>37.646481481481516</v>
          </cell>
          <cell r="Y13">
            <v>23.047034465020719</v>
          </cell>
          <cell r="AA13">
            <v>8760</v>
          </cell>
          <cell r="AB13">
            <v>976</v>
          </cell>
          <cell r="AC13">
            <v>1952</v>
          </cell>
          <cell r="AD13">
            <v>1944</v>
          </cell>
          <cell r="AE13">
            <v>3888</v>
          </cell>
        </row>
        <row r="14">
          <cell r="T14">
            <v>2032</v>
          </cell>
          <cell r="U14">
            <v>25.779585610200538</v>
          </cell>
          <cell r="V14">
            <v>32.252428278688555</v>
          </cell>
          <cell r="W14">
            <v>18.96284323770486</v>
          </cell>
          <cell r="X14">
            <v>36.423171106557049</v>
          </cell>
          <cell r="Y14">
            <v>22.247953381147543</v>
          </cell>
          <cell r="AA14">
            <v>8784</v>
          </cell>
          <cell r="AB14">
            <v>976</v>
          </cell>
          <cell r="AC14">
            <v>1952</v>
          </cell>
          <cell r="AD14">
            <v>1952</v>
          </cell>
          <cell r="AE14">
            <v>3904</v>
          </cell>
        </row>
        <row r="15">
          <cell r="T15">
            <v>2033</v>
          </cell>
          <cell r="U15">
            <v>25.266648401826973</v>
          </cell>
          <cell r="V15">
            <v>30.31124999999999</v>
          </cell>
          <cell r="W15">
            <v>18.129451844262288</v>
          </cell>
          <cell r="X15">
            <v>35.883544238682923</v>
          </cell>
          <cell r="Y15">
            <v>22.275144032921709</v>
          </cell>
          <cell r="AA15">
            <v>8760</v>
          </cell>
          <cell r="AB15">
            <v>976</v>
          </cell>
          <cell r="AC15">
            <v>1952</v>
          </cell>
          <cell r="AD15">
            <v>1944</v>
          </cell>
          <cell r="AE15">
            <v>3888</v>
          </cell>
        </row>
        <row r="16">
          <cell r="T16">
            <v>2034</v>
          </cell>
          <cell r="U16">
            <v>25.734897260274341</v>
          </cell>
          <cell r="V16">
            <v>30.595594262295077</v>
          </cell>
          <cell r="W16">
            <v>18.200845286885148</v>
          </cell>
          <cell r="X16">
            <v>36.692767489711763</v>
          </cell>
          <cell r="Y16">
            <v>22.818315329218013</v>
          </cell>
          <cell r="AA16">
            <v>8760</v>
          </cell>
          <cell r="AB16">
            <v>976</v>
          </cell>
          <cell r="AC16">
            <v>1952</v>
          </cell>
          <cell r="AD16">
            <v>1944</v>
          </cell>
          <cell r="AE16">
            <v>3888</v>
          </cell>
        </row>
        <row r="17">
          <cell r="T17">
            <v>2035</v>
          </cell>
          <cell r="U17">
            <v>26.109710045661799</v>
          </cell>
          <cell r="V17">
            <v>32.749579918032637</v>
          </cell>
          <cell r="W17">
            <v>19.638171106557419</v>
          </cell>
          <cell r="X17">
            <v>36.185324074074039</v>
          </cell>
          <cell r="Y17">
            <v>22.654189814814387</v>
          </cell>
          <cell r="AA17">
            <v>8760</v>
          </cell>
          <cell r="AB17">
            <v>976</v>
          </cell>
          <cell r="AC17">
            <v>1952</v>
          </cell>
          <cell r="AD17">
            <v>1944</v>
          </cell>
          <cell r="AE17">
            <v>3888</v>
          </cell>
        </row>
        <row r="18">
          <cell r="T18">
            <v>2036</v>
          </cell>
          <cell r="U18">
            <v>25.414141621129207</v>
          </cell>
          <cell r="V18">
            <v>30.880368852459082</v>
          </cell>
          <cell r="W18">
            <v>18.729964139344258</v>
          </cell>
          <cell r="X18">
            <v>35.757735655737605</v>
          </cell>
          <cell r="Y18">
            <v>22.21787653688531</v>
          </cell>
          <cell r="AA18">
            <v>8784</v>
          </cell>
          <cell r="AB18">
            <v>976</v>
          </cell>
          <cell r="AC18">
            <v>1952</v>
          </cell>
          <cell r="AD18">
            <v>1952</v>
          </cell>
          <cell r="AE18">
            <v>3904</v>
          </cell>
        </row>
        <row r="19">
          <cell r="T19">
            <v>2037</v>
          </cell>
          <cell r="U19">
            <v>25.786473744292497</v>
          </cell>
          <cell r="V19">
            <v>30.683616803278621</v>
          </cell>
          <cell r="W19">
            <v>18.685297131147493</v>
          </cell>
          <cell r="X19">
            <v>36.465288065843339</v>
          </cell>
          <cell r="Y19">
            <v>22.782942386831003</v>
          </cell>
          <cell r="AA19">
            <v>8760</v>
          </cell>
          <cell r="AB19">
            <v>976</v>
          </cell>
          <cell r="AC19">
            <v>1952</v>
          </cell>
          <cell r="AD19">
            <v>1944</v>
          </cell>
          <cell r="AE19">
            <v>3888</v>
          </cell>
        </row>
        <row r="20">
          <cell r="T20">
            <v>2038</v>
          </cell>
          <cell r="U20">
            <v>25.975804794520659</v>
          </cell>
          <cell r="V20">
            <v>31.235532786885191</v>
          </cell>
          <cell r="W20">
            <v>19.266506147541019</v>
          </cell>
          <cell r="X20">
            <v>36.466085390946546</v>
          </cell>
          <cell r="Y20">
            <v>22.778775720164518</v>
          </cell>
          <cell r="AA20">
            <v>8760</v>
          </cell>
          <cell r="AB20">
            <v>976</v>
          </cell>
          <cell r="AC20">
            <v>1952</v>
          </cell>
          <cell r="AD20">
            <v>1944</v>
          </cell>
          <cell r="AE20">
            <v>3888</v>
          </cell>
        </row>
        <row r="21">
          <cell r="T21">
            <v>2039</v>
          </cell>
          <cell r="U21">
            <v>25.998965753424489</v>
          </cell>
          <cell r="V21">
            <v>30.996741803278688</v>
          </cell>
          <cell r="W21">
            <v>18.917566598360633</v>
          </cell>
          <cell r="X21">
            <v>36.558451646090646</v>
          </cell>
          <cell r="Y21">
            <v>23.019907407407288</v>
          </cell>
          <cell r="AA21">
            <v>8760</v>
          </cell>
          <cell r="AB21">
            <v>976</v>
          </cell>
          <cell r="AC21">
            <v>1952</v>
          </cell>
          <cell r="AD21">
            <v>1944</v>
          </cell>
          <cell r="AE21">
            <v>3888</v>
          </cell>
        </row>
        <row r="22">
          <cell r="T22">
            <v>2040</v>
          </cell>
          <cell r="U22">
            <v>26.312382741347729</v>
          </cell>
          <cell r="V22">
            <v>29.892418032786825</v>
          </cell>
          <cell r="W22">
            <v>18.089431352459052</v>
          </cell>
          <cell r="X22">
            <v>37.636746926229435</v>
          </cell>
          <cell r="Y22">
            <v>23.866667520491809</v>
          </cell>
          <cell r="AA22">
            <v>8784</v>
          </cell>
          <cell r="AB22">
            <v>976</v>
          </cell>
          <cell r="AC22">
            <v>1952</v>
          </cell>
          <cell r="AD22">
            <v>1952</v>
          </cell>
          <cell r="AE22">
            <v>3904</v>
          </cell>
        </row>
        <row r="23">
          <cell r="T23">
            <v>2041</v>
          </cell>
          <cell r="U23">
            <v>26.643190639269665</v>
          </cell>
          <cell r="V23">
            <v>32.7356864754098</v>
          </cell>
          <cell r="W23">
            <v>19.679661885245952</v>
          </cell>
          <cell r="X23">
            <v>36.751759259259188</v>
          </cell>
          <cell r="Y23">
            <v>23.555606995884592</v>
          </cell>
          <cell r="AA23">
            <v>8760</v>
          </cell>
          <cell r="AB23">
            <v>976</v>
          </cell>
          <cell r="AC23">
            <v>1952</v>
          </cell>
          <cell r="AD23">
            <v>1944</v>
          </cell>
          <cell r="AE23">
            <v>3888</v>
          </cell>
        </row>
        <row r="29">
          <cell r="T29">
            <v>2022</v>
          </cell>
          <cell r="U29">
            <v>56.514167259459853</v>
          </cell>
          <cell r="V29">
            <v>101.63028289928138</v>
          </cell>
          <cell r="W29">
            <v>48.752284202075415</v>
          </cell>
          <cell r="X29">
            <v>73.694731179338518</v>
          </cell>
          <cell r="Y29">
            <v>41.740443119390086</v>
          </cell>
          <cell r="AA29">
            <v>3326.3940000000412</v>
          </cell>
          <cell r="AB29">
            <v>327.01600000000002</v>
          </cell>
          <cell r="AC29">
            <v>636.61200000000076</v>
          </cell>
          <cell r="AD29">
            <v>785.32400000000553</v>
          </cell>
          <cell r="AE29">
            <v>1577.4420000000348</v>
          </cell>
        </row>
        <row r="30">
          <cell r="T30">
            <v>2023</v>
          </cell>
          <cell r="U30">
            <v>46.917596684740772</v>
          </cell>
          <cell r="V30">
            <v>88.269502633688163</v>
          </cell>
          <cell r="W30">
            <v>44.372887016155488</v>
          </cell>
          <cell r="X30">
            <v>57.935067314729118</v>
          </cell>
          <cell r="Y30">
            <v>33.886990000446787</v>
          </cell>
          <cell r="AA30">
            <v>3326.3940000000412</v>
          </cell>
          <cell r="AB30">
            <v>327.01600000000002</v>
          </cell>
          <cell r="AC30">
            <v>636.61200000000076</v>
          </cell>
          <cell r="AD30">
            <v>785.32400000000553</v>
          </cell>
          <cell r="AE30">
            <v>1577.4420000000348</v>
          </cell>
        </row>
        <row r="31">
          <cell r="T31">
            <v>2024</v>
          </cell>
          <cell r="U31">
            <v>41.338223414428299</v>
          </cell>
          <cell r="V31">
            <v>77.066628318012093</v>
          </cell>
          <cell r="W31">
            <v>41.391309142673663</v>
          </cell>
          <cell r="X31">
            <v>50.394565071551497</v>
          </cell>
          <cell r="Y31">
            <v>29.429852718613667</v>
          </cell>
          <cell r="AA31">
            <v>3336.3686785714699</v>
          </cell>
          <cell r="AB31">
            <v>327.01600000000002</v>
          </cell>
          <cell r="AC31">
            <v>636.61200000000076</v>
          </cell>
          <cell r="AD31">
            <v>788.84557142857716</v>
          </cell>
          <cell r="AE31">
            <v>1583.8951071428919</v>
          </cell>
        </row>
        <row r="32">
          <cell r="T32">
            <v>2025</v>
          </cell>
          <cell r="U32">
            <v>31.054502127151096</v>
          </cell>
          <cell r="V32">
            <v>52.698510562371524</v>
          </cell>
          <cell r="W32">
            <v>28.83111183169315</v>
          </cell>
          <cell r="X32">
            <v>40.012842914428369</v>
          </cell>
          <cell r="Y32">
            <v>23.004950929638522</v>
          </cell>
          <cell r="AA32">
            <v>3326.3940000000412</v>
          </cell>
          <cell r="AB32">
            <v>327.01600000000002</v>
          </cell>
          <cell r="AC32">
            <v>636.61200000000076</v>
          </cell>
          <cell r="AD32">
            <v>785.32400000000553</v>
          </cell>
          <cell r="AE32">
            <v>1577.4420000000348</v>
          </cell>
        </row>
        <row r="33">
          <cell r="T33">
            <v>2026</v>
          </cell>
          <cell r="U33">
            <v>22.878411270585104</v>
          </cell>
          <cell r="V33">
            <v>28.398952203252811</v>
          </cell>
          <cell r="W33">
            <v>16.229875215193246</v>
          </cell>
          <cell r="X33">
            <v>33.501799088917416</v>
          </cell>
          <cell r="Y33">
            <v>19.128309020621327</v>
          </cell>
          <cell r="AA33">
            <v>3326.3940000000412</v>
          </cell>
          <cell r="AB33">
            <v>327.01600000000002</v>
          </cell>
          <cell r="AC33">
            <v>636.61200000000076</v>
          </cell>
          <cell r="AD33">
            <v>785.32400000000553</v>
          </cell>
          <cell r="AE33">
            <v>1577.4420000000348</v>
          </cell>
        </row>
        <row r="34">
          <cell r="T34">
            <v>2027</v>
          </cell>
          <cell r="U34">
            <v>23.135503436506298</v>
          </cell>
          <cell r="V34">
            <v>28.297789186534281</v>
          </cell>
          <cell r="W34">
            <v>16.23999040598251</v>
          </cell>
          <cell r="X34">
            <v>34.079666028484276</v>
          </cell>
          <cell r="Y34">
            <v>19.399646752821265</v>
          </cell>
          <cell r="AA34">
            <v>3326.3940000000412</v>
          </cell>
          <cell r="AB34">
            <v>327.01600000000002</v>
          </cell>
          <cell r="AC34">
            <v>636.61200000000076</v>
          </cell>
          <cell r="AD34">
            <v>785.32400000000553</v>
          </cell>
          <cell r="AE34">
            <v>1577.4420000000348</v>
          </cell>
        </row>
        <row r="35">
          <cell r="T35">
            <v>2028</v>
          </cell>
          <cell r="U35">
            <v>24.119493898920261</v>
          </cell>
          <cell r="V35">
            <v>28.64140797638796</v>
          </cell>
          <cell r="W35">
            <v>16.691632657666407</v>
          </cell>
          <cell r="X35">
            <v>35.552699276349308</v>
          </cell>
          <cell r="Y35">
            <v>20.477140275475918</v>
          </cell>
          <cell r="AA35">
            <v>3336.3686785714699</v>
          </cell>
          <cell r="AB35">
            <v>327.01600000000002</v>
          </cell>
          <cell r="AC35">
            <v>636.61200000000076</v>
          </cell>
          <cell r="AD35">
            <v>788.84557142857716</v>
          </cell>
          <cell r="AE35">
            <v>1583.8951071428919</v>
          </cell>
        </row>
        <row r="36">
          <cell r="T36">
            <v>2029</v>
          </cell>
          <cell r="U36">
            <v>24.217528246446509</v>
          </cell>
          <cell r="V36">
            <v>28.869693353565879</v>
          </cell>
          <cell r="W36">
            <v>17.291779122041117</v>
          </cell>
          <cell r="X36">
            <v>35.53875610527691</v>
          </cell>
          <cell r="Y36">
            <v>20.411905364532913</v>
          </cell>
          <cell r="AA36">
            <v>3326.3940000000412</v>
          </cell>
          <cell r="AB36">
            <v>327.01600000000002</v>
          </cell>
          <cell r="AC36">
            <v>636.61200000000076</v>
          </cell>
          <cell r="AD36">
            <v>785.32400000000553</v>
          </cell>
          <cell r="AE36">
            <v>1577.4420000000348</v>
          </cell>
        </row>
        <row r="37">
          <cell r="T37">
            <v>2030</v>
          </cell>
          <cell r="U37">
            <v>24.424481326008575</v>
          </cell>
          <cell r="V37">
            <v>29.384869438205687</v>
          </cell>
          <cell r="W37">
            <v>17.483664491661443</v>
          </cell>
          <cell r="X37">
            <v>35.735234570951796</v>
          </cell>
          <cell r="Y37">
            <v>20.566257078345103</v>
          </cell>
          <cell r="AA37">
            <v>3326.3940000000412</v>
          </cell>
          <cell r="AB37">
            <v>327.01600000000002</v>
          </cell>
          <cell r="AC37">
            <v>636.61200000000076</v>
          </cell>
          <cell r="AD37">
            <v>785.32400000000553</v>
          </cell>
          <cell r="AE37">
            <v>1577.4420000000348</v>
          </cell>
        </row>
        <row r="38">
          <cell r="T38">
            <v>2031</v>
          </cell>
          <cell r="U38">
            <v>25.497228608310291</v>
          </cell>
          <cell r="V38">
            <v>29.77593391175354</v>
          </cell>
          <cell r="W38">
            <v>17.887505826914772</v>
          </cell>
          <cell r="X38">
            <v>37.489646580534348</v>
          </cell>
          <cell r="Y38">
            <v>21.710910058519158</v>
          </cell>
          <cell r="AA38">
            <v>3326.3940000000412</v>
          </cell>
          <cell r="AB38">
            <v>327.01600000000002</v>
          </cell>
          <cell r="AC38">
            <v>636.61200000000076</v>
          </cell>
          <cell r="AD38">
            <v>785.32400000000553</v>
          </cell>
          <cell r="AE38">
            <v>1577.4420000000348</v>
          </cell>
        </row>
        <row r="39">
          <cell r="T39">
            <v>2032</v>
          </cell>
          <cell r="U39">
            <v>24.732954879938983</v>
          </cell>
          <cell r="V39">
            <v>29.596388230650529</v>
          </cell>
          <cell r="W39">
            <v>17.961247754612049</v>
          </cell>
          <cell r="X39">
            <v>36.131950473689415</v>
          </cell>
          <cell r="Y39">
            <v>20.77340120196514</v>
          </cell>
          <cell r="AA39">
            <v>3336.3686785714699</v>
          </cell>
          <cell r="AB39">
            <v>327.01600000000002</v>
          </cell>
          <cell r="AC39">
            <v>636.61200000000076</v>
          </cell>
          <cell r="AD39">
            <v>788.84557142857716</v>
          </cell>
          <cell r="AE39">
            <v>1583.8951071428919</v>
          </cell>
        </row>
        <row r="40">
          <cell r="T40">
            <v>2033</v>
          </cell>
          <cell r="U40">
            <v>24.201943520017686</v>
          </cell>
          <cell r="V40">
            <v>27.707801343480995</v>
          </cell>
          <cell r="W40">
            <v>17.075860381475717</v>
          </cell>
          <cell r="X40">
            <v>35.525414250197187</v>
          </cell>
          <cell r="Y40">
            <v>20.713691723304361</v>
          </cell>
          <cell r="AA40">
            <v>3326.3940000000412</v>
          </cell>
          <cell r="AB40">
            <v>327.01600000000002</v>
          </cell>
          <cell r="AC40">
            <v>636.61200000000076</v>
          </cell>
          <cell r="AD40">
            <v>785.32400000000553</v>
          </cell>
          <cell r="AE40">
            <v>1577.4420000000348</v>
          </cell>
        </row>
        <row r="41">
          <cell r="T41">
            <v>2034</v>
          </cell>
          <cell r="U41">
            <v>24.83789882533976</v>
          </cell>
          <cell r="V41">
            <v>28.07665119913894</v>
          </cell>
          <cell r="W41">
            <v>17.211154072864485</v>
          </cell>
          <cell r="X41">
            <v>36.564300663167387</v>
          </cell>
          <cell r="Y41">
            <v>21.406475411485012</v>
          </cell>
          <cell r="AA41">
            <v>3326.3940000000412</v>
          </cell>
          <cell r="AB41">
            <v>327.01600000000002</v>
          </cell>
          <cell r="AC41">
            <v>636.61200000000076</v>
          </cell>
          <cell r="AD41">
            <v>785.32400000000553</v>
          </cell>
          <cell r="AE41">
            <v>1577.4420000000348</v>
          </cell>
        </row>
        <row r="42">
          <cell r="T42">
            <v>2035</v>
          </cell>
          <cell r="U42">
            <v>24.889913856996969</v>
          </cell>
          <cell r="V42">
            <v>29.664131617150147</v>
          </cell>
          <cell r="W42">
            <v>18.547854181939833</v>
          </cell>
          <cell r="X42">
            <v>35.747402894676092</v>
          </cell>
          <cell r="Y42">
            <v>21.054298333749578</v>
          </cell>
          <cell r="AA42">
            <v>3326.3940000000412</v>
          </cell>
          <cell r="AB42">
            <v>327.01600000000002</v>
          </cell>
          <cell r="AC42">
            <v>636.61200000000076</v>
          </cell>
          <cell r="AD42">
            <v>785.32400000000553</v>
          </cell>
          <cell r="AE42">
            <v>1577.4420000000348</v>
          </cell>
        </row>
        <row r="43">
          <cell r="T43">
            <v>2036</v>
          </cell>
          <cell r="U43">
            <v>24.247627316689908</v>
          </cell>
          <cell r="V43">
            <v>28.305214451872494</v>
          </cell>
          <cell r="W43">
            <v>17.610758866730048</v>
          </cell>
          <cell r="X43">
            <v>35.287175323063693</v>
          </cell>
          <cell r="Y43">
            <v>20.579275576646854</v>
          </cell>
          <cell r="AA43">
            <v>3336.3686785714699</v>
          </cell>
          <cell r="AB43">
            <v>327.01600000000002</v>
          </cell>
          <cell r="AC43">
            <v>636.61200000000076</v>
          </cell>
          <cell r="AD43">
            <v>788.84557142857716</v>
          </cell>
          <cell r="AE43">
            <v>1583.8951071428919</v>
          </cell>
        </row>
        <row r="44">
          <cell r="T44">
            <v>2037</v>
          </cell>
          <cell r="U44">
            <v>24.686636031266826</v>
          </cell>
          <cell r="V44">
            <v>28.060496815683052</v>
          </cell>
          <cell r="W44">
            <v>17.59201378419316</v>
          </cell>
          <cell r="X44">
            <v>36.051972873802335</v>
          </cell>
          <cell r="Y44">
            <v>21.192208603286222</v>
          </cell>
          <cell r="AA44">
            <v>3326.3940000000412</v>
          </cell>
          <cell r="AB44">
            <v>327.01600000000002</v>
          </cell>
          <cell r="AC44">
            <v>636.61200000000076</v>
          </cell>
          <cell r="AD44">
            <v>785.32400000000553</v>
          </cell>
          <cell r="AE44">
            <v>1577.4420000000348</v>
          </cell>
        </row>
        <row r="45">
          <cell r="T45">
            <v>2038</v>
          </cell>
          <cell r="U45">
            <v>24.753579155558338</v>
          </cell>
          <cell r="V45">
            <v>28.513696006423451</v>
          </cell>
          <cell r="W45">
            <v>18.139083576117226</v>
          </cell>
          <cell r="X45">
            <v>35.939694780631257</v>
          </cell>
          <cell r="Y45">
            <v>21.074536642789369</v>
          </cell>
          <cell r="AA45">
            <v>3326.3940000000412</v>
          </cell>
          <cell r="AB45">
            <v>327.01600000000002</v>
          </cell>
          <cell r="AC45">
            <v>636.61200000000076</v>
          </cell>
          <cell r="AD45">
            <v>785.32400000000553</v>
          </cell>
          <cell r="AE45">
            <v>1577.4420000000348</v>
          </cell>
        </row>
        <row r="46">
          <cell r="T46">
            <v>2039</v>
          </cell>
          <cell r="U46">
            <v>24.768180789995743</v>
          </cell>
          <cell r="V46">
            <v>28.293365697176704</v>
          </cell>
          <cell r="W46">
            <v>17.807966271702835</v>
          </cell>
          <cell r="X46">
            <v>36.002944651390564</v>
          </cell>
          <cell r="Y46">
            <v>21.253144752300752</v>
          </cell>
          <cell r="AA46">
            <v>3326.3940000000412</v>
          </cell>
          <cell r="AB46">
            <v>327.01600000000002</v>
          </cell>
          <cell r="AC46">
            <v>636.61200000000076</v>
          </cell>
          <cell r="AD46">
            <v>785.32400000000553</v>
          </cell>
          <cell r="AE46">
            <v>1577.4420000000348</v>
          </cell>
        </row>
        <row r="47">
          <cell r="T47">
            <v>2040</v>
          </cell>
          <cell r="U47">
            <v>25.194577434822069</v>
          </cell>
          <cell r="V47">
            <v>27.561060705194581</v>
          </cell>
          <cell r="W47">
            <v>17.004436217019506</v>
          </cell>
          <cell r="X47">
            <v>37.074766937627963</v>
          </cell>
          <cell r="Y47">
            <v>22.081005982408822</v>
          </cell>
          <cell r="AA47">
            <v>3336.3686785714699</v>
          </cell>
          <cell r="AB47">
            <v>327.01600000000002</v>
          </cell>
          <cell r="AC47">
            <v>636.61200000000076</v>
          </cell>
          <cell r="AD47">
            <v>788.84557142857716</v>
          </cell>
          <cell r="AE47">
            <v>1583.8951071428919</v>
          </cell>
        </row>
        <row r="48">
          <cell r="T48">
            <v>2041</v>
          </cell>
          <cell r="U48">
            <v>25.202070530403386</v>
          </cell>
          <cell r="V48">
            <v>29.761085908788548</v>
          </cell>
          <cell r="W48">
            <v>18.534014517122166</v>
          </cell>
          <cell r="X48">
            <v>35.896294788716745</v>
          </cell>
          <cell r="Y48">
            <v>21.623912049972787</v>
          </cell>
          <cell r="AA48">
            <v>3326.3940000000412</v>
          </cell>
          <cell r="AB48">
            <v>327.01600000000002</v>
          </cell>
          <cell r="AC48">
            <v>636.61200000000076</v>
          </cell>
          <cell r="AD48">
            <v>785.32400000000553</v>
          </cell>
          <cell r="AE48">
            <v>1577.4420000000348</v>
          </cell>
        </row>
        <row r="54">
          <cell r="T54">
            <v>2022</v>
          </cell>
          <cell r="U54">
            <v>48.779834916605274</v>
          </cell>
          <cell r="V54">
            <v>79.683885816072547</v>
          </cell>
          <cell r="W54">
            <v>55.333068697764084</v>
          </cell>
          <cell r="X54">
            <v>46.615355728150298</v>
          </cell>
          <cell r="Y54">
            <v>33.751185121974373</v>
          </cell>
          <cell r="AA54">
            <v>2169.6683308184001</v>
          </cell>
          <cell r="AB54">
            <v>293.88037833748706</v>
          </cell>
          <cell r="AC54">
            <v>813.82417076811862</v>
          </cell>
          <cell r="AD54">
            <v>120.07051203950799</v>
          </cell>
          <cell r="AE54">
            <v>941.89326967328657</v>
          </cell>
        </row>
        <row r="55">
          <cell r="T55">
            <v>2023</v>
          </cell>
          <cell r="U55">
            <v>41.838128432136344</v>
          </cell>
          <cell r="V55">
            <v>70.5503285760919</v>
          </cell>
          <cell r="W55">
            <v>48.860966813292684</v>
          </cell>
          <cell r="X55">
            <v>38.321620565223512</v>
          </cell>
          <cell r="Y55">
            <v>27.259959753023523</v>
          </cell>
          <cell r="AA55">
            <v>2169.6683308184001</v>
          </cell>
          <cell r="AB55">
            <v>293.88037833748706</v>
          </cell>
          <cell r="AC55">
            <v>813.82417076811862</v>
          </cell>
          <cell r="AD55">
            <v>120.07051203950799</v>
          </cell>
          <cell r="AE55">
            <v>941.89326967328657</v>
          </cell>
        </row>
        <row r="56">
          <cell r="T56">
            <v>2024</v>
          </cell>
          <cell r="U56">
            <v>36.919967137542052</v>
          </cell>
          <cell r="V56">
            <v>61.239199346624055</v>
          </cell>
          <cell r="W56">
            <v>42.371632247636789</v>
          </cell>
          <cell r="X56">
            <v>36.815681557506558</v>
          </cell>
          <cell r="Y56">
            <v>24.663268905356002</v>
          </cell>
          <cell r="AA56">
            <v>2172.1054371859564</v>
          </cell>
          <cell r="AB56">
            <v>293.88037833748706</v>
          </cell>
          <cell r="AC56">
            <v>813.82417076811862</v>
          </cell>
          <cell r="AD56">
            <v>120.33811927907573</v>
          </cell>
          <cell r="AE56">
            <v>944.06276880127518</v>
          </cell>
        </row>
        <row r="57">
          <cell r="T57">
            <v>2025</v>
          </cell>
          <cell r="U57">
            <v>26.159068288114327</v>
          </cell>
          <cell r="V57">
            <v>41.062390157909071</v>
          </cell>
          <cell r="W57">
            <v>28.606198530187985</v>
          </cell>
          <cell r="X57">
            <v>28.397364063991045</v>
          </cell>
          <cell r="Y57">
            <v>19.109351358078627</v>
          </cell>
          <cell r="AA57">
            <v>2169.6683308184001</v>
          </cell>
          <cell r="AB57">
            <v>293.88037833748706</v>
          </cell>
          <cell r="AC57">
            <v>813.82417076811862</v>
          </cell>
          <cell r="AD57">
            <v>120.07051203950799</v>
          </cell>
          <cell r="AE57">
            <v>941.89326967328657</v>
          </cell>
        </row>
        <row r="58">
          <cell r="T58">
            <v>2026</v>
          </cell>
          <cell r="U58">
            <v>15.947335331814793</v>
          </cell>
          <cell r="V58">
            <v>20.912299098602169</v>
          </cell>
          <cell r="W58">
            <v>14.826996224572495</v>
          </cell>
          <cell r="X58">
            <v>20.268596990738512</v>
          </cell>
          <cell r="Y58">
            <v>14.815357304519255</v>
          </cell>
          <cell r="AA58">
            <v>2169.6683308184001</v>
          </cell>
          <cell r="AB58">
            <v>293.88037833748706</v>
          </cell>
          <cell r="AC58">
            <v>813.82417076811862</v>
          </cell>
          <cell r="AD58">
            <v>120.07051203950799</v>
          </cell>
          <cell r="AE58">
            <v>941.89326967328657</v>
          </cell>
        </row>
        <row r="59">
          <cell r="T59">
            <v>2027</v>
          </cell>
          <cell r="U59">
            <v>16.001185336029636</v>
          </cell>
          <cell r="V59">
            <v>20.913191847823473</v>
          </cell>
          <cell r="W59">
            <v>14.840757609858695</v>
          </cell>
          <cell r="X59">
            <v>20.307998482846408</v>
          </cell>
          <cell r="Y59">
            <v>14.92221015634367</v>
          </cell>
          <cell r="AA59">
            <v>2169.6683308184001</v>
          </cell>
          <cell r="AB59">
            <v>293.88037833748706</v>
          </cell>
          <cell r="AC59">
            <v>813.82417076811862</v>
          </cell>
          <cell r="AD59">
            <v>120.07051203950799</v>
          </cell>
          <cell r="AE59">
            <v>941.89326967328657</v>
          </cell>
        </row>
        <row r="60">
          <cell r="T60">
            <v>2028</v>
          </cell>
          <cell r="U60">
            <v>16.485730029925389</v>
          </cell>
          <cell r="V60">
            <v>21.309525793632947</v>
          </cell>
          <cell r="W60">
            <v>15.040959122588342</v>
          </cell>
          <cell r="X60">
            <v>21.355004925470066</v>
          </cell>
          <cell r="Y60">
            <v>15.608893394707525</v>
          </cell>
          <cell r="AA60">
            <v>2172.1054371859564</v>
          </cell>
          <cell r="AB60">
            <v>293.88037833748706</v>
          </cell>
          <cell r="AC60">
            <v>813.82417076811862</v>
          </cell>
          <cell r="AD60">
            <v>120.33811927907573</v>
          </cell>
          <cell r="AE60">
            <v>944.06276880127518</v>
          </cell>
        </row>
        <row r="61">
          <cell r="T61">
            <v>2029</v>
          </cell>
          <cell r="U61">
            <v>16.350889631892411</v>
          </cell>
          <cell r="V61">
            <v>20.82175202725502</v>
          </cell>
          <cell r="W61">
            <v>15.058247989041449</v>
          </cell>
          <cell r="X61">
            <v>20.95723843115665</v>
          </cell>
          <cell r="Y61">
            <v>15.485608602341534</v>
          </cell>
          <cell r="AA61">
            <v>2169.6683308184001</v>
          </cell>
          <cell r="AB61">
            <v>293.88037833748706</v>
          </cell>
          <cell r="AC61">
            <v>813.82417076811862</v>
          </cell>
          <cell r="AD61">
            <v>120.07051203950799</v>
          </cell>
          <cell r="AE61">
            <v>941.89326967328657</v>
          </cell>
        </row>
        <row r="62">
          <cell r="T62">
            <v>2030</v>
          </cell>
          <cell r="U62">
            <v>16.53756525171908</v>
          </cell>
          <cell r="V62">
            <v>21.360519349104173</v>
          </cell>
          <cell r="W62">
            <v>15.367959366435784</v>
          </cell>
          <cell r="X62">
            <v>20.887677512897906</v>
          </cell>
          <cell r="Y62">
            <v>15.488785869211378</v>
          </cell>
          <cell r="AA62">
            <v>2169.6683308184001</v>
          </cell>
          <cell r="AB62">
            <v>293.88037833748706</v>
          </cell>
          <cell r="AC62">
            <v>813.82417076811862</v>
          </cell>
          <cell r="AD62">
            <v>120.07051203950799</v>
          </cell>
          <cell r="AE62">
            <v>941.89326967328657</v>
          </cell>
        </row>
        <row r="63">
          <cell r="T63">
            <v>2031</v>
          </cell>
          <cell r="U63">
            <v>17.007306524140397</v>
          </cell>
          <cell r="V63">
            <v>21.531434714711168</v>
          </cell>
          <cell r="W63">
            <v>15.584350504539058</v>
          </cell>
          <cell r="X63">
            <v>21.78213981136652</v>
          </cell>
          <cell r="Y63">
            <v>16.216523530692534</v>
          </cell>
          <cell r="AA63">
            <v>2169.6683308184001</v>
          </cell>
          <cell r="AB63">
            <v>293.88037833748706</v>
          </cell>
          <cell r="AC63">
            <v>813.82417076811862</v>
          </cell>
          <cell r="AD63">
            <v>120.07051203950799</v>
          </cell>
          <cell r="AE63">
            <v>941.89326967328657</v>
          </cell>
        </row>
        <row r="64">
          <cell r="T64">
            <v>2032</v>
          </cell>
          <cell r="U64">
            <v>16.55219600930451</v>
          </cell>
          <cell r="V64">
            <v>21.456778588743923</v>
          </cell>
          <cell r="W64">
            <v>15.503460172725049</v>
          </cell>
          <cell r="X64">
            <v>20.548515299221741</v>
          </cell>
          <cell r="Y64">
            <v>15.420085312663181</v>
          </cell>
          <cell r="AA64">
            <v>2172.1054371859564</v>
          </cell>
          <cell r="AB64">
            <v>293.88037833748706</v>
          </cell>
          <cell r="AC64">
            <v>813.82417076811862</v>
          </cell>
          <cell r="AD64">
            <v>120.33811927907573</v>
          </cell>
          <cell r="AE64">
            <v>944.06276880127518</v>
          </cell>
        </row>
        <row r="65">
          <cell r="T65">
            <v>2033</v>
          </cell>
          <cell r="U65">
            <v>15.833989940044413</v>
          </cell>
          <cell r="V65">
            <v>20.258892434692036</v>
          </cell>
          <cell r="W65">
            <v>14.571512671981907</v>
          </cell>
          <cell r="X65">
            <v>19.876078444784625</v>
          </cell>
          <cell r="Y65">
            <v>15.028916621944676</v>
          </cell>
          <cell r="AA65">
            <v>2169.6683308184001</v>
          </cell>
          <cell r="AB65">
            <v>293.88037833748706</v>
          </cell>
          <cell r="AC65">
            <v>813.82417076811862</v>
          </cell>
          <cell r="AD65">
            <v>120.07051203950799</v>
          </cell>
          <cell r="AE65">
            <v>941.89326967328657</v>
          </cell>
        </row>
        <row r="66">
          <cell r="T66">
            <v>2034</v>
          </cell>
          <cell r="U66">
            <v>16.154945076610552</v>
          </cell>
          <cell r="V66">
            <v>20.231916631937739</v>
          </cell>
          <cell r="W66">
            <v>14.582242907381607</v>
          </cell>
          <cell r="X66">
            <v>20.964061002738323</v>
          </cell>
          <cell r="Y66">
            <v>15.628694457693136</v>
          </cell>
          <cell r="AA66">
            <v>2169.6683308184001</v>
          </cell>
          <cell r="AB66">
            <v>293.88037833748706</v>
          </cell>
          <cell r="AC66">
            <v>813.82417076811862</v>
          </cell>
          <cell r="AD66">
            <v>120.07051203950799</v>
          </cell>
          <cell r="AE66">
            <v>941.89326967328657</v>
          </cell>
        </row>
        <row r="67">
          <cell r="T67">
            <v>2035</v>
          </cell>
          <cell r="U67">
            <v>16.424577037624427</v>
          </cell>
          <cell r="V67">
            <v>21.021028808209063</v>
          </cell>
          <cell r="W67">
            <v>15.507688965408429</v>
          </cell>
          <cell r="X67">
            <v>20.614246206989318</v>
          </cell>
          <cell r="Y67">
            <v>15.248565839331389</v>
          </cell>
          <cell r="AA67">
            <v>2169.6683308184001</v>
          </cell>
          <cell r="AB67">
            <v>293.88037833748706</v>
          </cell>
          <cell r="AC67">
            <v>813.82417076811862</v>
          </cell>
          <cell r="AD67">
            <v>120.07051203950799</v>
          </cell>
          <cell r="AE67">
            <v>941.89326967328657</v>
          </cell>
        </row>
        <row r="68">
          <cell r="T68">
            <v>2036</v>
          </cell>
          <cell r="U68">
            <v>15.81413531692734</v>
          </cell>
          <cell r="V68">
            <v>20.295011718894354</v>
          </cell>
          <cell r="W68">
            <v>14.734298716818508</v>
          </cell>
          <cell r="X68">
            <v>19.807099032042817</v>
          </cell>
          <cell r="Y68">
            <v>14.841159471647881</v>
          </cell>
          <cell r="AA68">
            <v>2172.1054371859564</v>
          </cell>
          <cell r="AB68">
            <v>293.88037833748706</v>
          </cell>
          <cell r="AC68">
            <v>813.82417076811862</v>
          </cell>
          <cell r="AD68">
            <v>120.33811927907573</v>
          </cell>
          <cell r="AE68">
            <v>944.06276880127518</v>
          </cell>
        </row>
        <row r="69">
          <cell r="T69">
            <v>2037</v>
          </cell>
          <cell r="U69">
            <v>15.903363677147714</v>
          </cell>
          <cell r="V69">
            <v>20.02054218923022</v>
          </cell>
          <cell r="W69">
            <v>14.579785259293812</v>
          </cell>
          <cell r="X69">
            <v>20.250035536365544</v>
          </cell>
          <cell r="Y69">
            <v>15.208269012666603</v>
          </cell>
          <cell r="AA69">
            <v>2169.6683308184001</v>
          </cell>
          <cell r="AB69">
            <v>293.88037833748706</v>
          </cell>
          <cell r="AC69">
            <v>813.82417076811862</v>
          </cell>
          <cell r="AD69">
            <v>120.07051203950799</v>
          </cell>
          <cell r="AE69">
            <v>941.89326967328657</v>
          </cell>
        </row>
        <row r="70">
          <cell r="T70">
            <v>2038</v>
          </cell>
          <cell r="U70">
            <v>16.013832146573073</v>
          </cell>
          <cell r="V70">
            <v>20.492082419640617</v>
          </cell>
          <cell r="W70">
            <v>14.895597660717252</v>
          </cell>
          <cell r="X70">
            <v>19.976346003884579</v>
          </cell>
          <cell r="Y70">
            <v>15.077627666123011</v>
          </cell>
          <cell r="AA70">
            <v>2169.6683308184001</v>
          </cell>
          <cell r="AB70">
            <v>293.88037833748706</v>
          </cell>
          <cell r="AC70">
            <v>813.82417076811862</v>
          </cell>
          <cell r="AD70">
            <v>120.07051203950799</v>
          </cell>
          <cell r="AE70">
            <v>941.89326967328657</v>
          </cell>
        </row>
        <row r="71">
          <cell r="T71">
            <v>2039</v>
          </cell>
          <cell r="U71">
            <v>15.848365427490313</v>
          </cell>
          <cell r="V71">
            <v>20.321606552865287</v>
          </cell>
          <cell r="W71">
            <v>14.747801686076659</v>
          </cell>
          <cell r="X71">
            <v>19.674037748095884</v>
          </cell>
          <cell r="Y71">
            <v>14.915900059284239</v>
          </cell>
          <cell r="AA71">
            <v>2169.6683308184001</v>
          </cell>
          <cell r="AB71">
            <v>293.88037833748706</v>
          </cell>
          <cell r="AC71">
            <v>813.82417076811862</v>
          </cell>
          <cell r="AD71">
            <v>120.07051203950799</v>
          </cell>
          <cell r="AE71">
            <v>941.89326967328657</v>
          </cell>
        </row>
        <row r="72">
          <cell r="T72">
            <v>2040</v>
          </cell>
          <cell r="U72">
            <v>15.716804082269773</v>
          </cell>
          <cell r="V72">
            <v>19.541901586313987</v>
          </cell>
          <cell r="W72">
            <v>14.022471000987107</v>
          </cell>
          <cell r="X72">
            <v>20.220229336073402</v>
          </cell>
          <cell r="Y72">
            <v>15.412623447642073</v>
          </cell>
          <cell r="AA72">
            <v>2172.1054371859564</v>
          </cell>
          <cell r="AB72">
            <v>293.88037833748706</v>
          </cell>
          <cell r="AC72">
            <v>813.82417076811862</v>
          </cell>
          <cell r="AD72">
            <v>120.33811927907573</v>
          </cell>
          <cell r="AE72">
            <v>944.06276880127518</v>
          </cell>
        </row>
        <row r="73">
          <cell r="T73">
            <v>2041</v>
          </cell>
          <cell r="U73">
            <v>16.12497284545131</v>
          </cell>
          <cell r="V73">
            <v>20.826573334273409</v>
          </cell>
          <cell r="W73">
            <v>15.313397599247246</v>
          </cell>
          <cell r="X73">
            <v>19.510037342818841</v>
          </cell>
          <cell r="Y73">
            <v>14.927729970401074</v>
          </cell>
          <cell r="AA73">
            <v>2169.6683308184001</v>
          </cell>
          <cell r="AB73">
            <v>293.88037833748706</v>
          </cell>
          <cell r="AC73">
            <v>813.82417076811862</v>
          </cell>
          <cell r="AD73">
            <v>120.07051203950799</v>
          </cell>
          <cell r="AE73">
            <v>941.89326967328657</v>
          </cell>
        </row>
        <row r="79">
          <cell r="T79">
            <v>2022</v>
          </cell>
          <cell r="U79">
            <v>47.501958607233263</v>
          </cell>
          <cell r="V79">
            <v>76.880714814890112</v>
          </cell>
          <cell r="W79">
            <v>55.793951756793447</v>
          </cell>
          <cell r="X79">
            <v>46.552477832312896</v>
          </cell>
          <cell r="Y79">
            <v>36.685894377379554</v>
          </cell>
          <cell r="AA79">
            <v>2179.578</v>
          </cell>
          <cell r="AB79">
            <v>237.51699999999963</v>
          </cell>
          <cell r="AC79">
            <v>699.42100000000096</v>
          </cell>
          <cell r="AD79">
            <v>67.189000000000163</v>
          </cell>
          <cell r="AE79">
            <v>1175.4509999999993</v>
          </cell>
        </row>
        <row r="80">
          <cell r="T80">
            <v>2023</v>
          </cell>
          <cell r="U80">
            <v>39.729741181103179</v>
          </cell>
          <cell r="V80">
            <v>67.360869347710803</v>
          </cell>
          <cell r="W80">
            <v>48.680495839392691</v>
          </cell>
          <cell r="X80">
            <v>38.394462847301142</v>
          </cell>
          <cell r="Y80">
            <v>28.896884323067948</v>
          </cell>
          <cell r="AA80">
            <v>2179.578</v>
          </cell>
          <cell r="AB80">
            <v>237.51699999999963</v>
          </cell>
          <cell r="AC80">
            <v>699.42100000000096</v>
          </cell>
          <cell r="AD80">
            <v>67.189000000000163</v>
          </cell>
          <cell r="AE80">
            <v>1175.4509999999993</v>
          </cell>
        </row>
        <row r="81">
          <cell r="T81">
            <v>2024</v>
          </cell>
          <cell r="U81">
            <v>34.601875197821371</v>
          </cell>
          <cell r="V81">
            <v>58.253746003421362</v>
          </cell>
          <cell r="W81">
            <v>41.751891285991853</v>
          </cell>
          <cell r="X81">
            <v>36.048600484165199</v>
          </cell>
          <cell r="Y81">
            <v>25.517941280743372</v>
          </cell>
          <cell r="AA81">
            <v>2183.9111428571432</v>
          </cell>
          <cell r="AB81">
            <v>237.51699999999963</v>
          </cell>
          <cell r="AC81">
            <v>699.42100000000096</v>
          </cell>
          <cell r="AD81">
            <v>67.310964285714462</v>
          </cell>
          <cell r="AE81">
            <v>1179.6621785714283</v>
          </cell>
        </row>
        <row r="82">
          <cell r="T82">
            <v>2025</v>
          </cell>
          <cell r="U82">
            <v>25.048049613259916</v>
          </cell>
          <cell r="V82">
            <v>39.422546377144421</v>
          </cell>
          <cell r="W82">
            <v>28.311156710021031</v>
          </cell>
          <cell r="X82">
            <v>28.114249091524574</v>
          </cell>
          <cell r="Y82">
            <v>20.026583083955909</v>
          </cell>
          <cell r="AA82">
            <v>2179.578</v>
          </cell>
          <cell r="AB82">
            <v>237.51699999999963</v>
          </cell>
          <cell r="AC82">
            <v>699.42100000000096</v>
          </cell>
          <cell r="AD82">
            <v>67.189000000000163</v>
          </cell>
          <cell r="AE82">
            <v>1175.4509999999993</v>
          </cell>
        </row>
        <row r="83">
          <cell r="T83">
            <v>2026</v>
          </cell>
          <cell r="U83">
            <v>16.349436121409756</v>
          </cell>
          <cell r="V83">
            <v>20.599178595931633</v>
          </cell>
          <cell r="W83">
            <v>14.826528017621573</v>
          </cell>
          <cell r="X83">
            <v>20.822940254808575</v>
          </cell>
          <cell r="Y83">
            <v>16.141173553526677</v>
          </cell>
          <cell r="AA83">
            <v>2179.578</v>
          </cell>
          <cell r="AB83">
            <v>237.51699999999963</v>
          </cell>
          <cell r="AC83">
            <v>699.42100000000096</v>
          </cell>
          <cell r="AD83">
            <v>67.189000000000163</v>
          </cell>
          <cell r="AE83">
            <v>1175.4509999999993</v>
          </cell>
        </row>
        <row r="84">
          <cell r="T84">
            <v>2027</v>
          </cell>
          <cell r="U84">
            <v>16.428630779260121</v>
          </cell>
          <cell r="V84">
            <v>20.614689737884497</v>
          </cell>
          <cell r="W84">
            <v>14.817706475723437</v>
          </cell>
          <cell r="X84">
            <v>20.89658377215882</v>
          </cell>
          <cell r="Y84">
            <v>16.285925407439233</v>
          </cell>
          <cell r="AA84">
            <v>2179.578</v>
          </cell>
          <cell r="AB84">
            <v>237.51699999999963</v>
          </cell>
          <cell r="AC84">
            <v>699.42100000000096</v>
          </cell>
          <cell r="AD84">
            <v>67.189000000000163</v>
          </cell>
          <cell r="AE84">
            <v>1175.4509999999993</v>
          </cell>
        </row>
        <row r="85">
          <cell r="T85">
            <v>2028</v>
          </cell>
          <cell r="U85">
            <v>16.929766480745993</v>
          </cell>
          <cell r="V85">
            <v>20.895447564613509</v>
          </cell>
          <cell r="W85">
            <v>14.968809225704712</v>
          </cell>
          <cell r="X85">
            <v>22.063634568428505</v>
          </cell>
          <cell r="Y85">
            <v>17.001017725645152</v>
          </cell>
          <cell r="AA85">
            <v>2183.9111428571432</v>
          </cell>
          <cell r="AB85">
            <v>237.51699999999963</v>
          </cell>
          <cell r="AC85">
            <v>699.42100000000096</v>
          </cell>
          <cell r="AD85">
            <v>67.310964285714462</v>
          </cell>
          <cell r="AE85">
            <v>1179.6621785714283</v>
          </cell>
        </row>
        <row r="86">
          <cell r="T86">
            <v>2029</v>
          </cell>
          <cell r="U86">
            <v>16.954102610973106</v>
          </cell>
          <cell r="V86">
            <v>20.918299518209945</v>
          </cell>
          <cell r="W86">
            <v>15.098041635867395</v>
          </cell>
          <cell r="X86">
            <v>21.823995297649319</v>
          </cell>
          <cell r="Y86">
            <v>16.97911483753775</v>
          </cell>
          <cell r="AA86">
            <v>2179.578</v>
          </cell>
          <cell r="AB86">
            <v>237.51699999999963</v>
          </cell>
          <cell r="AC86">
            <v>699.42100000000096</v>
          </cell>
          <cell r="AD86">
            <v>67.189000000000163</v>
          </cell>
          <cell r="AE86">
            <v>1175.4509999999993</v>
          </cell>
        </row>
        <row r="87">
          <cell r="T87">
            <v>2030</v>
          </cell>
          <cell r="U87">
            <v>17.107907359684365</v>
          </cell>
          <cell r="V87">
            <v>21.302197591968643</v>
          </cell>
          <cell r="W87">
            <v>15.364722723002465</v>
          </cell>
          <cell r="X87">
            <v>21.722820775559846</v>
          </cell>
          <cell r="Y87">
            <v>17.033836463638142</v>
          </cell>
          <cell r="AA87">
            <v>2179.578</v>
          </cell>
          <cell r="AB87">
            <v>237.51699999999963</v>
          </cell>
          <cell r="AC87">
            <v>699.42100000000096</v>
          </cell>
          <cell r="AD87">
            <v>67.189000000000163</v>
          </cell>
          <cell r="AE87">
            <v>1175.4509999999993</v>
          </cell>
        </row>
        <row r="88">
          <cell r="T88">
            <v>2031</v>
          </cell>
          <cell r="U88">
            <v>17.679474509995639</v>
          </cell>
          <cell r="V88">
            <v>21.560957271196667</v>
          </cell>
          <cell r="W88">
            <v>15.609007436904069</v>
          </cell>
          <cell r="X88">
            <v>22.599314639637168</v>
          </cell>
          <cell r="Y88">
            <v>17.845922002290685</v>
          </cell>
          <cell r="AA88">
            <v>2179.578</v>
          </cell>
          <cell r="AB88">
            <v>237.51699999999963</v>
          </cell>
          <cell r="AC88">
            <v>699.42100000000096</v>
          </cell>
          <cell r="AD88">
            <v>67.189000000000163</v>
          </cell>
          <cell r="AE88">
            <v>1175.4509999999993</v>
          </cell>
        </row>
        <row r="89">
          <cell r="T89">
            <v>2032</v>
          </cell>
          <cell r="U89">
            <v>17.216277075636818</v>
          </cell>
          <cell r="V89">
            <v>21.465033652282798</v>
          </cell>
          <cell r="W89">
            <v>15.523378172603097</v>
          </cell>
          <cell r="X89">
            <v>21.283341577859449</v>
          </cell>
          <cell r="Y89">
            <v>17.132472654837617</v>
          </cell>
          <cell r="AA89">
            <v>2183.9111428571432</v>
          </cell>
          <cell r="AB89">
            <v>237.51699999999963</v>
          </cell>
          <cell r="AC89">
            <v>699.42100000000096</v>
          </cell>
          <cell r="AD89">
            <v>67.310964285714462</v>
          </cell>
          <cell r="AE89">
            <v>1179.6621785714283</v>
          </cell>
        </row>
        <row r="90">
          <cell r="T90">
            <v>2033</v>
          </cell>
          <cell r="U90">
            <v>16.532733239461152</v>
          </cell>
          <cell r="V90">
            <v>20.153167182736155</v>
          </cell>
          <cell r="W90">
            <v>14.487909069072826</v>
          </cell>
          <cell r="X90">
            <v>20.640953065428192</v>
          </cell>
          <cell r="Y90">
            <v>16.783063687335904</v>
          </cell>
          <cell r="AA90">
            <v>2179.578</v>
          </cell>
          <cell r="AB90">
            <v>237.51699999999963</v>
          </cell>
          <cell r="AC90">
            <v>699.42100000000096</v>
          </cell>
          <cell r="AD90">
            <v>67.189000000000163</v>
          </cell>
          <cell r="AE90">
            <v>1175.4509999999993</v>
          </cell>
        </row>
        <row r="91">
          <cell r="T91">
            <v>2034</v>
          </cell>
          <cell r="U91">
            <v>16.876871556830825</v>
          </cell>
          <cell r="V91">
            <v>20.25678839735345</v>
          </cell>
          <cell r="W91">
            <v>14.579069823545085</v>
          </cell>
          <cell r="X91">
            <v>21.999269054606902</v>
          </cell>
          <cell r="Y91">
            <v>17.268359004974098</v>
          </cell>
          <cell r="AA91">
            <v>2179.578</v>
          </cell>
          <cell r="AB91">
            <v>237.51699999999963</v>
          </cell>
          <cell r="AC91">
            <v>699.42100000000096</v>
          </cell>
          <cell r="AD91">
            <v>67.189000000000163</v>
          </cell>
          <cell r="AE91">
            <v>1175.4509999999993</v>
          </cell>
        </row>
        <row r="92">
          <cell r="T92">
            <v>2035</v>
          </cell>
          <cell r="U92">
            <v>17.128151865080419</v>
          </cell>
          <cell r="V92">
            <v>21.524778688936884</v>
          </cell>
          <cell r="W92">
            <v>15.575402495609589</v>
          </cell>
          <cell r="X92">
            <v>21.348533875907073</v>
          </cell>
          <cell r="Y92">
            <v>16.922433937661204</v>
          </cell>
          <cell r="AA92">
            <v>2179.578</v>
          </cell>
          <cell r="AB92">
            <v>237.51699999999963</v>
          </cell>
          <cell r="AC92">
            <v>699.42100000000096</v>
          </cell>
          <cell r="AD92">
            <v>67.189000000000163</v>
          </cell>
          <cell r="AE92">
            <v>1175.4509999999993</v>
          </cell>
        </row>
        <row r="93">
          <cell r="T93">
            <v>2036</v>
          </cell>
          <cell r="U93">
            <v>16.517379388266409</v>
          </cell>
          <cell r="V93">
            <v>20.370268641642447</v>
          </cell>
          <cell r="W93">
            <v>14.717556364463226</v>
          </cell>
          <cell r="X93">
            <v>20.422292331032864</v>
          </cell>
          <cell r="Y93">
            <v>16.585927713520963</v>
          </cell>
          <cell r="AA93">
            <v>2183.9111428571432</v>
          </cell>
          <cell r="AB93">
            <v>237.51699999999963</v>
          </cell>
          <cell r="AC93">
            <v>699.42100000000096</v>
          </cell>
          <cell r="AD93">
            <v>67.310964285714462</v>
          </cell>
          <cell r="AE93">
            <v>1179.6621785714283</v>
          </cell>
        </row>
        <row r="94">
          <cell r="T94">
            <v>2037</v>
          </cell>
          <cell r="U94">
            <v>16.659839603408113</v>
          </cell>
          <cell r="V94">
            <v>20.179895959591956</v>
          </cell>
          <cell r="W94">
            <v>14.583893433943725</v>
          </cell>
          <cell r="X94">
            <v>21.11429165845048</v>
          </cell>
          <cell r="Y94">
            <v>16.92918042758097</v>
          </cell>
          <cell r="AA94">
            <v>2179.578</v>
          </cell>
          <cell r="AB94">
            <v>237.51699999999963</v>
          </cell>
          <cell r="AC94">
            <v>699.42100000000096</v>
          </cell>
          <cell r="AD94">
            <v>67.189000000000163</v>
          </cell>
          <cell r="AE94">
            <v>1175.4509999999993</v>
          </cell>
        </row>
        <row r="95">
          <cell r="T95">
            <v>2038</v>
          </cell>
          <cell r="U95">
            <v>16.774789455948056</v>
          </cell>
          <cell r="V95">
            <v>20.597187145495102</v>
          </cell>
          <cell r="W95">
            <v>14.859965407362358</v>
          </cell>
          <cell r="X95">
            <v>20.800468935452976</v>
          </cell>
          <cell r="Y95">
            <v>16.91167507713379</v>
          </cell>
          <cell r="AA95">
            <v>2179.578</v>
          </cell>
          <cell r="AB95">
            <v>237.51699999999963</v>
          </cell>
          <cell r="AC95">
            <v>699.42100000000096</v>
          </cell>
          <cell r="AD95">
            <v>67.189000000000163</v>
          </cell>
          <cell r="AE95">
            <v>1175.4509999999993</v>
          </cell>
        </row>
        <row r="96">
          <cell r="T96">
            <v>2039</v>
          </cell>
          <cell r="U96">
            <v>16.640827113219352</v>
          </cell>
          <cell r="V96">
            <v>20.410355238002037</v>
          </cell>
          <cell r="W96">
            <v>14.713690294858784</v>
          </cell>
          <cell r="X96">
            <v>20.42422770212897</v>
          </cell>
          <cell r="Y96">
            <v>16.809570894841723</v>
          </cell>
          <cell r="AA96">
            <v>2179.578</v>
          </cell>
          <cell r="AB96">
            <v>237.51699999999963</v>
          </cell>
          <cell r="AC96">
            <v>699.42100000000096</v>
          </cell>
          <cell r="AD96">
            <v>67.189000000000163</v>
          </cell>
          <cell r="AE96">
            <v>1175.4509999999993</v>
          </cell>
        </row>
        <row r="97">
          <cell r="T97">
            <v>2040</v>
          </cell>
          <cell r="U97">
            <v>16.653647857399651</v>
          </cell>
          <cell r="V97">
            <v>19.557429777952283</v>
          </cell>
          <cell r="W97">
            <v>14.051887473852572</v>
          </cell>
          <cell r="X97">
            <v>21.135863761145551</v>
          </cell>
          <cell r="Y97">
            <v>17.355820071806004</v>
          </cell>
          <cell r="AA97">
            <v>2183.9111428571432</v>
          </cell>
          <cell r="AB97">
            <v>237.51699999999963</v>
          </cell>
          <cell r="AC97">
            <v>699.42100000000096</v>
          </cell>
          <cell r="AD97">
            <v>67.310964285714462</v>
          </cell>
          <cell r="AE97">
            <v>1179.6621785714283</v>
          </cell>
        </row>
        <row r="98">
          <cell r="T98">
            <v>2041</v>
          </cell>
          <cell r="U98">
            <v>17.009798594898424</v>
          </cell>
          <cell r="V98">
            <v>21.320368008519718</v>
          </cell>
          <cell r="W98">
            <v>15.468322878525923</v>
          </cell>
          <cell r="X98">
            <v>20.321578651541625</v>
          </cell>
          <cell r="Y98">
            <v>16.86669759058563</v>
          </cell>
          <cell r="AA98">
            <v>2179.578</v>
          </cell>
          <cell r="AB98">
            <v>237.51699999999963</v>
          </cell>
          <cell r="AC98">
            <v>699.42100000000096</v>
          </cell>
          <cell r="AD98">
            <v>67.189000000000163</v>
          </cell>
          <cell r="AE98">
            <v>1175.4509999999993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X48"/>
  <sheetViews>
    <sheetView workbookViewId="0">
      <selection activeCell="B30" sqref="B30"/>
    </sheetView>
  </sheetViews>
  <sheetFormatPr defaultColWidth="9.33203125" defaultRowHeight="12.75"/>
  <cols>
    <col min="1" max="1" width="1.5" style="3" customWidth="1"/>
    <col min="2" max="2" width="8.83203125" style="3" customWidth="1"/>
    <col min="3" max="3" width="10.5" style="3" customWidth="1"/>
    <col min="4" max="7" width="9.33203125" style="3" customWidth="1"/>
    <col min="8" max="8" width="10.5" style="3" customWidth="1"/>
    <col min="9" max="12" width="9.33203125" style="3" customWidth="1"/>
    <col min="13" max="13" width="1.5" style="3" customWidth="1"/>
    <col min="14" max="14" width="9.1640625" style="3" customWidth="1"/>
    <col min="15" max="15" width="10.5" style="3" customWidth="1"/>
    <col min="16" max="19" width="9.33203125" style="3" customWidth="1"/>
    <col min="20" max="20" width="10.5" style="3" customWidth="1"/>
    <col min="21" max="24" width="9.33203125" style="3" customWidth="1"/>
    <col min="25" max="25" width="3.33203125" style="3" customWidth="1"/>
    <col min="26" max="16384" width="9.33203125" style="3"/>
  </cols>
  <sheetData>
    <row r="1" spans="2:24" ht="15.75" customHeight="1">
      <c r="B1" s="341" t="s">
        <v>179</v>
      </c>
      <c r="C1" s="341"/>
      <c r="D1" s="341"/>
      <c r="E1" s="341"/>
      <c r="F1" s="341"/>
      <c r="G1" s="341"/>
      <c r="H1" s="341"/>
      <c r="I1" s="341"/>
      <c r="N1" s="341" t="s">
        <v>180</v>
      </c>
      <c r="O1" s="341"/>
      <c r="P1" s="341"/>
      <c r="Q1" s="341"/>
      <c r="R1" s="341"/>
      <c r="S1" s="341"/>
      <c r="T1" s="341"/>
      <c r="U1" s="341"/>
    </row>
    <row r="2" spans="2:24" ht="18.75" customHeight="1">
      <c r="B2" s="341" t="s">
        <v>172</v>
      </c>
      <c r="C2" s="341"/>
      <c r="D2" s="341"/>
      <c r="E2" s="341"/>
      <c r="F2" s="341"/>
      <c r="G2" s="341"/>
      <c r="H2" s="341"/>
      <c r="I2" s="341"/>
      <c r="N2" s="341" t="s">
        <v>172</v>
      </c>
      <c r="O2" s="341"/>
      <c r="P2" s="341"/>
      <c r="Q2" s="341"/>
      <c r="R2" s="341"/>
      <c r="S2" s="341"/>
      <c r="T2" s="341"/>
      <c r="U2" s="341"/>
    </row>
    <row r="3" spans="2:24" ht="15" thickBot="1">
      <c r="B3" s="181"/>
      <c r="C3" s="181"/>
      <c r="D3" s="181"/>
      <c r="E3" s="181"/>
      <c r="F3" s="181"/>
      <c r="G3" s="181"/>
      <c r="H3" s="181"/>
      <c r="I3" s="192"/>
      <c r="J3" s="192"/>
      <c r="N3" s="181"/>
    </row>
    <row r="4" spans="2:24" ht="14.25" thickTop="1" thickBot="1">
      <c r="B4" s="212"/>
      <c r="C4" s="342" t="s">
        <v>189</v>
      </c>
      <c r="D4" s="343"/>
      <c r="E4" s="343"/>
      <c r="F4" s="343"/>
      <c r="G4" s="344"/>
      <c r="H4" s="342" t="s">
        <v>190</v>
      </c>
      <c r="I4" s="343"/>
      <c r="J4" s="343"/>
      <c r="K4" s="343"/>
      <c r="L4" s="344"/>
      <c r="N4" s="212"/>
      <c r="O4" s="342" t="s">
        <v>191</v>
      </c>
      <c r="P4" s="343"/>
      <c r="Q4" s="343"/>
      <c r="R4" s="343"/>
      <c r="S4" s="344"/>
      <c r="T4" s="342" t="s">
        <v>192</v>
      </c>
      <c r="U4" s="343"/>
      <c r="V4" s="343"/>
      <c r="W4" s="343"/>
      <c r="X4" s="344"/>
    </row>
    <row r="5" spans="2:24" ht="13.5" thickBot="1">
      <c r="B5" s="213"/>
      <c r="C5" s="338" t="s">
        <v>151</v>
      </c>
      <c r="D5" s="339"/>
      <c r="E5" s="339"/>
      <c r="F5" s="339"/>
      <c r="G5" s="340"/>
      <c r="H5" s="338" t="s">
        <v>168</v>
      </c>
      <c r="I5" s="339"/>
      <c r="J5" s="339"/>
      <c r="K5" s="339"/>
      <c r="L5" s="340"/>
      <c r="N5" s="213"/>
      <c r="O5" s="338" t="s">
        <v>168</v>
      </c>
      <c r="P5" s="339"/>
      <c r="Q5" s="339"/>
      <c r="R5" s="339"/>
      <c r="S5" s="340"/>
      <c r="T5" s="338" t="s">
        <v>168</v>
      </c>
      <c r="U5" s="339"/>
      <c r="V5" s="339"/>
      <c r="W5" s="339"/>
      <c r="X5" s="340"/>
    </row>
    <row r="6" spans="2:24">
      <c r="B6" s="335" t="s">
        <v>2</v>
      </c>
      <c r="C6" s="336" t="s">
        <v>188</v>
      </c>
      <c r="D6" s="214" t="s">
        <v>0</v>
      </c>
      <c r="E6" s="215" t="s">
        <v>1</v>
      </c>
      <c r="F6" s="224" t="s">
        <v>0</v>
      </c>
      <c r="G6" s="215" t="s">
        <v>1</v>
      </c>
      <c r="H6" s="336" t="s">
        <v>188</v>
      </c>
      <c r="I6" s="214" t="s">
        <v>0</v>
      </c>
      <c r="J6" s="215" t="s">
        <v>1</v>
      </c>
      <c r="K6" s="224" t="s">
        <v>0</v>
      </c>
      <c r="L6" s="225" t="s">
        <v>1</v>
      </c>
      <c r="N6" s="335" t="s">
        <v>2</v>
      </c>
      <c r="O6" s="336" t="s">
        <v>188</v>
      </c>
      <c r="P6" s="214" t="s">
        <v>0</v>
      </c>
      <c r="Q6" s="215" t="s">
        <v>1</v>
      </c>
      <c r="R6" s="224" t="s">
        <v>0</v>
      </c>
      <c r="S6" s="215" t="s">
        <v>1</v>
      </c>
      <c r="T6" s="336" t="s">
        <v>188</v>
      </c>
      <c r="U6" s="214" t="s">
        <v>0</v>
      </c>
      <c r="V6" s="215" t="s">
        <v>1</v>
      </c>
      <c r="W6" s="224" t="s">
        <v>0</v>
      </c>
      <c r="X6" s="225" t="s">
        <v>1</v>
      </c>
    </row>
    <row r="7" spans="2:24" ht="13.5" thickBot="1">
      <c r="B7" s="335" t="s">
        <v>2</v>
      </c>
      <c r="C7" s="337" t="s">
        <v>186</v>
      </c>
      <c r="D7" s="216" t="s">
        <v>111</v>
      </c>
      <c r="E7" s="217" t="s">
        <v>111</v>
      </c>
      <c r="F7" s="217" t="s">
        <v>112</v>
      </c>
      <c r="G7" s="217" t="s">
        <v>112</v>
      </c>
      <c r="H7" s="337" t="s">
        <v>186</v>
      </c>
      <c r="I7" s="216" t="s">
        <v>111</v>
      </c>
      <c r="J7" s="217" t="s">
        <v>111</v>
      </c>
      <c r="K7" s="217" t="s">
        <v>112</v>
      </c>
      <c r="L7" s="238" t="s">
        <v>112</v>
      </c>
      <c r="N7" s="335" t="s">
        <v>2</v>
      </c>
      <c r="O7" s="337" t="s">
        <v>186</v>
      </c>
      <c r="P7" s="216" t="s">
        <v>111</v>
      </c>
      <c r="Q7" s="217" t="s">
        <v>111</v>
      </c>
      <c r="R7" s="217" t="s">
        <v>112</v>
      </c>
      <c r="S7" s="217" t="s">
        <v>112</v>
      </c>
      <c r="T7" s="337" t="s">
        <v>186</v>
      </c>
      <c r="U7" s="216" t="s">
        <v>111</v>
      </c>
      <c r="V7" s="217" t="s">
        <v>111</v>
      </c>
      <c r="W7" s="217" t="s">
        <v>112</v>
      </c>
      <c r="X7" s="238" t="s">
        <v>112</v>
      </c>
    </row>
    <row r="8" spans="2:24" ht="13.5" thickBot="1">
      <c r="B8" s="218"/>
      <c r="C8" s="332" t="s">
        <v>14</v>
      </c>
      <c r="D8" s="333"/>
      <c r="E8" s="333"/>
      <c r="F8" s="333"/>
      <c r="G8" s="334"/>
      <c r="H8" s="332" t="s">
        <v>14</v>
      </c>
      <c r="I8" s="333"/>
      <c r="J8" s="333"/>
      <c r="K8" s="333"/>
      <c r="L8" s="334"/>
      <c r="N8" s="218"/>
      <c r="O8" s="332" t="s">
        <v>14</v>
      </c>
      <c r="P8" s="333"/>
      <c r="Q8" s="333"/>
      <c r="R8" s="333"/>
      <c r="S8" s="334"/>
      <c r="T8" s="332" t="s">
        <v>14</v>
      </c>
      <c r="U8" s="333"/>
      <c r="V8" s="333"/>
      <c r="W8" s="333"/>
      <c r="X8" s="334"/>
    </row>
    <row r="9" spans="2:24" ht="13.5" thickBot="1">
      <c r="B9" s="219"/>
      <c r="C9" s="215" t="s">
        <v>4</v>
      </c>
      <c r="D9" s="215" t="s">
        <v>5</v>
      </c>
      <c r="E9" s="215" t="s">
        <v>6</v>
      </c>
      <c r="F9" s="215" t="s">
        <v>7</v>
      </c>
      <c r="G9" s="220" t="s">
        <v>8</v>
      </c>
      <c r="H9" s="215" t="s">
        <v>4</v>
      </c>
      <c r="I9" s="215" t="s">
        <v>5</v>
      </c>
      <c r="J9" s="215" t="s">
        <v>6</v>
      </c>
      <c r="K9" s="215" t="s">
        <v>7</v>
      </c>
      <c r="L9" s="220" t="s">
        <v>8</v>
      </c>
      <c r="N9" s="219"/>
      <c r="O9" s="215" t="s">
        <v>4</v>
      </c>
      <c r="P9" s="215" t="s">
        <v>5</v>
      </c>
      <c r="Q9" s="215" t="s">
        <v>6</v>
      </c>
      <c r="R9" s="215" t="s">
        <v>7</v>
      </c>
      <c r="S9" s="220" t="s">
        <v>8</v>
      </c>
      <c r="T9" s="215" t="s">
        <v>4</v>
      </c>
      <c r="U9" s="215" t="s">
        <v>5</v>
      </c>
      <c r="V9" s="215" t="s">
        <v>6</v>
      </c>
      <c r="W9" s="215" t="s">
        <v>7</v>
      </c>
      <c r="X9" s="220" t="s">
        <v>8</v>
      </c>
    </row>
    <row r="10" spans="2:24" ht="5.25" customHeight="1">
      <c r="B10" s="234"/>
      <c r="C10" s="221"/>
      <c r="D10" s="222"/>
      <c r="E10" s="223"/>
      <c r="F10" s="224"/>
      <c r="G10" s="225"/>
      <c r="H10" s="221"/>
      <c r="I10" s="222"/>
      <c r="J10" s="223"/>
      <c r="K10" s="224"/>
      <c r="L10" s="225"/>
      <c r="N10" s="234"/>
      <c r="O10" s="221"/>
      <c r="P10" s="222"/>
      <c r="Q10" s="223"/>
      <c r="R10" s="224"/>
      <c r="S10" s="225"/>
      <c r="T10" s="221"/>
      <c r="U10" s="222"/>
      <c r="V10" s="223"/>
      <c r="W10" s="224"/>
      <c r="X10" s="225"/>
    </row>
    <row r="11" spans="2:24">
      <c r="B11" s="235">
        <f>[2]Energy!$T$4</f>
        <v>2022</v>
      </c>
      <c r="C11" s="226">
        <f>SUMPRODUCT(D11:G11,Profiles!D11:G11)/SUM(Profiles!D11:G11)</f>
        <v>73.212852338432512</v>
      </c>
      <c r="D11" s="227">
        <f>'Table B - Energy'!D11+INDEX('Table C - Capacity'!$12:$32,MATCH($B11,'Table C - Capacity'!$B$12:$B$32,0),MATCH(C$4,'Table C - Capacity'!$4:$4,0)+IF(D$7="Winter",2,3))</f>
        <v>80.927812664451821</v>
      </c>
      <c r="E11" s="228">
        <f>'Table B - Energy'!E11+INDEX('Table C - Capacity'!$12:$32,MATCH($B11,'Table C - Capacity'!$B$12:$B$32,0),MATCH(C$4,'Table C - Capacity'!$4:$4,0)+IF(E$7="Winter",2,3))</f>
        <v>50.771220586262928</v>
      </c>
      <c r="F11" s="228">
        <f>'Table B - Energy'!F11+INDEX('Table C - Capacity'!$12:$32,MATCH($B11,'Table C - Capacity'!$B$12:$B$32,0),MATCH(C$4,'Table C - Capacity'!$4:$4,0)+IF(F$7="Winter",2,3))</f>
        <v>137.98616565081437</v>
      </c>
      <c r="G11" s="229">
        <f>'Table B - Energy'!G11+INDEX('Table C - Capacity'!$12:$32,MATCH($B11,'Table C - Capacity'!$B$12:$B$32,0),MATCH(C$4,'Table C - Capacity'!$4:$4,0)+IF(G$7="Winter",2,3))</f>
        <v>77.842169749174914</v>
      </c>
      <c r="H11" s="226">
        <f>SUMPRODUCT(I11:L11,Profiles!I11:L11)/SUM(Profiles!I11:L11)</f>
        <v>60.853633030983694</v>
      </c>
      <c r="I11" s="227">
        <f>'Table B - Energy'!I11+INDEX('Table C - Capacity'!$12:$32,MATCH($B11,'Table C - Capacity'!$B$12:$B$32,0),MATCH(H$4,'Table C - Capacity'!$4:$4,0)+IF(I$7="Winter",2,3))</f>
        <v>75.749275494284433</v>
      </c>
      <c r="J11" s="228">
        <f>'Table B - Energy'!J11+INDEX('Table C - Capacity'!$12:$32,MATCH($B11,'Table C - Capacity'!$B$12:$B$32,0),MATCH(H$4,'Table C - Capacity'!$4:$4,0)+IF(J$7="Winter",2,3))</f>
        <v>43.794987434336001</v>
      </c>
      <c r="K11" s="228">
        <f>'Table B - Energy'!K11+INDEX('Table C - Capacity'!$12:$32,MATCH($B11,'Table C - Capacity'!$B$12:$B$32,0),MATCH(H$4,'Table C - Capacity'!$4:$4,0)+IF(K$7="Winter",2,3))</f>
        <v>111.5722578655092</v>
      </c>
      <c r="L11" s="229">
        <f>'Table B - Energy'!L11+INDEX('Table C - Capacity'!$12:$32,MATCH($B11,'Table C - Capacity'!$B$12:$B$32,0),MATCH(H$4,'Table C - Capacity'!$4:$4,0)+IF(L$7="Winter",2,3))</f>
        <v>58.694259168303226</v>
      </c>
      <c r="N11" s="235">
        <f>$B$11</f>
        <v>2022</v>
      </c>
      <c r="O11" s="226">
        <f>SUMPRODUCT(P11:S11,Profiles!N11:Q11)/SUM(Profiles!N11:Q11)</f>
        <v>48.626772627509489</v>
      </c>
      <c r="P11" s="227">
        <f>'Table B - Energy'!P11+INDEX('Table C - Capacity'!$12:$32,MATCH($B11,'Table C - Capacity'!$B$12:$B$32,0),MATCH(O$4,'Table C - Capacity'!$4:$4,0)+IF(P$7="Winter",2,3))</f>
        <v>47.216048160141767</v>
      </c>
      <c r="Q11" s="228">
        <f>'Table B - Energy'!Q11+INDEX('Table C - Capacity'!$12:$32,MATCH($B11,'Table C - Capacity'!$B$12:$B$32,0),MATCH(O$4,'Table C - Capacity'!$4:$4,0)+IF(Q$7="Winter",2,3))</f>
        <v>37.349464705208426</v>
      </c>
      <c r="R11" s="228">
        <f>'Table B - Energy'!R11+INDEX('Table C - Capacity'!$12:$32,MATCH($B11,'Table C - Capacity'!$B$12:$B$32,0),MATCH(O$4,'Table C - Capacity'!$4:$4,0)+IF(R$7="Winter",2,3))</f>
        <v>78.617266070695365</v>
      </c>
      <c r="S11" s="229">
        <f>'Table B - Energy'!S11+INDEX('Table C - Capacity'!$12:$32,MATCH($B11,'Table C - Capacity'!$B$12:$B$32,0),MATCH(O$4,'Table C - Capacity'!$4:$4,0)+IF(S$7="Winter",2,3))</f>
        <v>57.5305030125987</v>
      </c>
      <c r="T11" s="226">
        <f>SUMPRODUCT(U11:X11,Profiles!S11:V11)/SUM(Profiles!S11:V11)</f>
        <v>49.909899576946572</v>
      </c>
      <c r="U11" s="227">
        <f>'Table B - Energy'!U11+INDEX('Table C - Capacity'!$12:$32,MATCH($B11,'Table C - Capacity'!$B$12:$B$32,0),MATCH(T$4,'Table C - Capacity'!$4:$4,0)+IF(U$7="Winter",2,3))</f>
        <v>47.392053256832781</v>
      </c>
      <c r="V11" s="228">
        <f>'Table B - Energy'!V11+INDEX('Table C - Capacity'!$12:$32,MATCH($B11,'Table C - Capacity'!$B$12:$B$32,0),MATCH(T$4,'Table C - Capacity'!$4:$4,0)+IF(V$7="Winter",2,3))</f>
        <v>34.527882650656856</v>
      </c>
      <c r="W11" s="228">
        <f>'Table B - Energy'!W11+INDEX('Table C - Capacity'!$12:$32,MATCH($B11,'Table C - Capacity'!$B$12:$B$32,0),MATCH(T$4,'Table C - Capacity'!$4:$4,0)+IF(W$7="Winter",2,3))</f>
        <v>81.152725915921721</v>
      </c>
      <c r="X11" s="229">
        <f>'Table B - Energy'!X11+INDEX('Table C - Capacity'!$12:$32,MATCH($B11,'Table C - Capacity'!$B$12:$B$32,0),MATCH(T$4,'Table C - Capacity'!$4:$4,0)+IF(X$7="Winter",2,3))</f>
        <v>56.801908797613258</v>
      </c>
    </row>
    <row r="12" spans="2:24">
      <c r="B12" s="235">
        <f t="shared" ref="B12:B30" si="0">B11+1</f>
        <v>2023</v>
      </c>
      <c r="C12" s="226">
        <f>SUMPRODUCT(D12:G12,Profiles!D12:G12)/SUM(Profiles!D12:G12)</f>
        <v>63.832084758890147</v>
      </c>
      <c r="D12" s="227">
        <f>'Table B - Energy'!D12+INDEX('Table C - Capacity'!$12:$32,MATCH($B12,'Table C - Capacity'!$B$12:$B$32,0),MATCH(C$4,'Table C - Capacity'!$4:$4,0)+IF(D$7="Winter",2,3))</f>
        <v>65.192676722360801</v>
      </c>
      <c r="E12" s="228">
        <f>'Table B - Energy'!E12+INDEX('Table C - Capacity'!$12:$32,MATCH($B12,'Table C - Capacity'!$B$12:$B$32,0),MATCH(C$4,'Table C - Capacity'!$4:$4,0)+IF(E$7="Winter",2,3))</f>
        <v>42.513903574212719</v>
      </c>
      <c r="F12" s="228">
        <f>'Table B - Energy'!F12+INDEX('Table C - Capacity'!$12:$32,MATCH($B12,'Table C - Capacity'!$B$12:$B$32,0),MATCH(C$4,'Table C - Capacity'!$4:$4,0)+IF(F$7="Winter",2,3))</f>
        <v>124.68065295186776</v>
      </c>
      <c r="G12" s="229">
        <f>'Table B - Energy'!G12+INDEX('Table C - Capacity'!$12:$32,MATCH($B12,'Table C - Capacity'!$B$12:$B$32,0),MATCH(C$4,'Table C - Capacity'!$4:$4,0)+IF(G$7="Winter",2,3))</f>
        <v>74.514408074818746</v>
      </c>
      <c r="H12" s="226">
        <f>SUMPRODUCT(I12:L12,Profiles!I12:L12)/SUM(Profiles!I12:L12)</f>
        <v>51.339512305924593</v>
      </c>
      <c r="I12" s="227">
        <f>'Table B - Energy'!I12+INDEX('Table C - Capacity'!$12:$32,MATCH($B12,'Table C - Capacity'!$B$12:$B$32,0),MATCH(H$4,'Table C - Capacity'!$4:$4,0)+IF(I$7="Winter",2,3))</f>
        <v>60.028647971659005</v>
      </c>
      <c r="J12" s="228">
        <f>'Table B - Energy'!J12+INDEX('Table C - Capacity'!$12:$32,MATCH($B12,'Table C - Capacity'!$B$12:$B$32,0),MATCH(H$4,'Table C - Capacity'!$4:$4,0)+IF(J$7="Winter",2,3))</f>
        <v>35.980570657376674</v>
      </c>
      <c r="K12" s="228">
        <f>'Table B - Energy'!K12+INDEX('Table C - Capacity'!$12:$32,MATCH($B12,'Table C - Capacity'!$B$12:$B$32,0),MATCH(H$4,'Table C - Capacity'!$4:$4,0)+IF(K$7="Winter",2,3))</f>
        <v>98.400375124274305</v>
      </c>
      <c r="L12" s="229">
        <f>'Table B - Energy'!L12+INDEX('Table C - Capacity'!$12:$32,MATCH($B12,'Table C - Capacity'!$B$12:$B$32,0),MATCH(H$4,'Table C - Capacity'!$4:$4,0)+IF(L$7="Winter",2,3))</f>
        <v>54.503759506741631</v>
      </c>
      <c r="N12" s="235">
        <f t="shared" ref="N12:N30" si="1">N11+1</f>
        <v>2023</v>
      </c>
      <c r="O12" s="226">
        <f>SUMPRODUCT(P12:S12,Profiles!N12:Q12)/SUM(Profiles!N12:Q12)</f>
        <v>40.875926667764091</v>
      </c>
      <c r="P12" s="227">
        <f>'Table B - Energy'!P12+INDEX('Table C - Capacity'!$12:$32,MATCH($B12,'Table C - Capacity'!$B$12:$B$32,0),MATCH(O$4,'Table C - Capacity'!$4:$4,0)+IF(P$7="Winter",2,3))</f>
        <v>39.070641011358767</v>
      </c>
      <c r="Q12" s="228">
        <f>'Table B - Energy'!Q12+INDEX('Table C - Capacity'!$12:$32,MATCH($B12,'Table C - Capacity'!$B$12:$B$32,0),MATCH(O$4,'Table C - Capacity'!$4:$4,0)+IF(Q$7="Winter",2,3))</f>
        <v>29.573062487125569</v>
      </c>
      <c r="R12" s="228">
        <f>'Table B - Energy'!R12+INDEX('Table C - Capacity'!$12:$32,MATCH($B12,'Table C - Capacity'!$B$12:$B$32,0),MATCH(O$4,'Table C - Capacity'!$4:$4,0)+IF(R$7="Winter",2,3))</f>
        <v>69.130415077376355</v>
      </c>
      <c r="S12" s="229">
        <f>'Table B - Energy'!S12+INDEX('Table C - Capacity'!$12:$32,MATCH($B12,'Table C - Capacity'!$B$12:$B$32,0),MATCH(O$4,'Table C - Capacity'!$4:$4,0)+IF(S$7="Winter",2,3))</f>
        <v>50.450041569058243</v>
      </c>
      <c r="T12" s="226">
        <f>SUMPRODUCT(U12:X12,Profiles!S12:V12)/SUM(Profiles!S12:V12)</f>
        <v>42.989664321023952</v>
      </c>
      <c r="U12" s="227">
        <f>'Table B - Energy'!U12+INDEX('Table C - Capacity'!$12:$32,MATCH($B12,'Table C - Capacity'!$B$12:$B$32,0),MATCH(T$4,'Table C - Capacity'!$4:$4,0)+IF(U$7="Winter",2,3))</f>
        <v>39.113075346950957</v>
      </c>
      <c r="V12" s="228">
        <f>'Table B - Energy'!V12+INDEX('Table C - Capacity'!$12:$32,MATCH($B12,'Table C - Capacity'!$B$12:$B$32,0),MATCH(T$4,'Table C - Capacity'!$4:$4,0)+IF(V$7="Winter",2,3))</f>
        <v>28.051414534750968</v>
      </c>
      <c r="W12" s="228">
        <f>'Table B - Energy'!W12+INDEX('Table C - Capacity'!$12:$32,MATCH($B12,'Table C - Capacity'!$B$12:$B$32,0),MATCH(T$4,'Table C - Capacity'!$4:$4,0)+IF(W$7="Winter",2,3))</f>
        <v>72.047076637838217</v>
      </c>
      <c r="X12" s="229">
        <f>'Table B - Energy'!X12+INDEX('Table C - Capacity'!$12:$32,MATCH($B12,'Table C - Capacity'!$B$12:$B$32,0),MATCH(T$4,'Table C - Capacity'!$4:$4,0)+IF(X$7="Winter",2,3))</f>
        <v>50.357714875038994</v>
      </c>
    </row>
    <row r="13" spans="2:24">
      <c r="B13" s="235">
        <f t="shared" si="0"/>
        <v>2024</v>
      </c>
      <c r="C13" s="226">
        <f>SUMPRODUCT(D13:G13,Profiles!D13:G13)/SUM(Profiles!D13:G13)</f>
        <v>58.394136408871638</v>
      </c>
      <c r="D13" s="227">
        <f>'Table B - Energy'!D13+INDEX('Table C - Capacity'!$12:$32,MATCH($B13,'Table C - Capacity'!$B$12:$B$32,0),MATCH(C$4,'Table C - Capacity'!$4:$4,0)+IF(D$7="Winter",2,3))</f>
        <v>58.123721357908636</v>
      </c>
      <c r="E13" s="228">
        <f>'Table B - Energy'!E13+INDEX('Table C - Capacity'!$12:$32,MATCH($B13,'Table C - Capacity'!$B$12:$B$32,0),MATCH(C$4,'Table C - Capacity'!$4:$4,0)+IF(E$7="Winter",2,3))</f>
        <v>38.134095333318122</v>
      </c>
      <c r="F13" s="228">
        <f>'Table B - Energy'!F13+INDEX('Table C - Capacity'!$12:$32,MATCH($B13,'Table C - Capacity'!$B$12:$B$32,0),MATCH(C$4,'Table C - Capacity'!$4:$4,0)+IF(F$7="Winter",2,3))</f>
        <v>112.53257580041586</v>
      </c>
      <c r="G13" s="229">
        <f>'Table B - Energy'!G13+INDEX('Table C - Capacity'!$12:$32,MATCH($B13,'Table C - Capacity'!$B$12:$B$32,0),MATCH(C$4,'Table C - Capacity'!$4:$4,0)+IF(G$7="Winter",2,3))</f>
        <v>72.115413915169555</v>
      </c>
      <c r="H13" s="226">
        <f>SUMPRODUCT(I13:L13,Profiles!I13:L13)/SUM(Profiles!I13:L13)</f>
        <v>45.850307058566145</v>
      </c>
      <c r="I13" s="227">
        <f>'Table B - Energy'!I13+INDEX('Table C - Capacity'!$12:$32,MATCH($B13,'Table C - Capacity'!$B$12:$B$32,0),MATCH(H$4,'Table C - Capacity'!$4:$4,0)+IF(I$7="Winter",2,3))</f>
        <v>52.534204502933839</v>
      </c>
      <c r="J13" s="228">
        <f>'Table B - Energy'!J13+INDEX('Table C - Capacity'!$12:$32,MATCH($B13,'Table C - Capacity'!$B$12:$B$32,0),MATCH(H$4,'Table C - Capacity'!$4:$4,0)+IF(J$7="Winter",2,3))</f>
        <v>31.569492149996012</v>
      </c>
      <c r="K13" s="228">
        <f>'Table B - Energy'!K13+INDEX('Table C - Capacity'!$12:$32,MATCH($B13,'Table C - Capacity'!$B$12:$B$32,0),MATCH(H$4,'Table C - Capacity'!$4:$4,0)+IF(K$7="Winter",2,3))</f>
        <v>87.420380003391131</v>
      </c>
      <c r="L13" s="229">
        <f>'Table B - Energy'!L13+INDEX('Table C - Capacity'!$12:$32,MATCH($B13,'Table C - Capacity'!$B$12:$B$32,0),MATCH(H$4,'Table C - Capacity'!$4:$4,0)+IF(L$7="Winter",2,3))</f>
        <v>51.745060828052701</v>
      </c>
      <c r="N13" s="235">
        <f t="shared" si="1"/>
        <v>2024</v>
      </c>
      <c r="O13" s="226">
        <f>SUMPRODUCT(P13:S13,Profiles!N13:Q13)/SUM(Profiles!N13:Q13)</f>
        <v>35.772323697901712</v>
      </c>
      <c r="P13" s="227">
        <f>'Table B - Energy'!P13+INDEX('Table C - Capacity'!$12:$32,MATCH($B13,'Table C - Capacity'!$B$12:$B$32,0),MATCH(O$4,'Table C - Capacity'!$4:$4,0)+IF(P$7="Winter",2,3))</f>
        <v>36.73965456783209</v>
      </c>
      <c r="Q13" s="228">
        <f>'Table B - Energy'!Q13+INDEX('Table C - Capacity'!$12:$32,MATCH($B13,'Table C - Capacity'!$B$12:$B$32,0),MATCH(O$4,'Table C - Capacity'!$4:$4,0)+IF(Q$7="Winter",2,3))</f>
        <v>26.208995364410264</v>
      </c>
      <c r="R13" s="228">
        <f>'Table B - Energy'!R13+INDEX('Table C - Capacity'!$12:$32,MATCH($B13,'Table C - Capacity'!$B$12:$B$32,0),MATCH(O$4,'Table C - Capacity'!$4:$4,0)+IF(R$7="Winter",2,3))</f>
        <v>60.062221739139559</v>
      </c>
      <c r="S13" s="229">
        <f>'Table B - Energy'!S13+INDEX('Table C - Capacity'!$12:$32,MATCH($B13,'Table C - Capacity'!$B$12:$B$32,0),MATCH(O$4,'Table C - Capacity'!$4:$4,0)+IF(S$7="Winter",2,3))</f>
        <v>43.56036702171005</v>
      </c>
      <c r="T13" s="226">
        <f>SUMPRODUCT(U13:X13,Profiles!S13:V13)/SUM(Profiles!S13:V13)</f>
        <v>38.096423916052309</v>
      </c>
      <c r="U13" s="227">
        <f>'Table B - Energy'!U13+INDEX('Table C - Capacity'!$12:$32,MATCH($B13,'Table C - Capacity'!$B$12:$B$32,0),MATCH(T$4,'Table C - Capacity'!$4:$4,0)+IF(U$7="Winter",2,3))</f>
        <v>37.624548344432007</v>
      </c>
      <c r="V13" s="228">
        <f>'Table B - Energy'!V13+INDEX('Table C - Capacity'!$12:$32,MATCH($B13,'Table C - Capacity'!$B$12:$B$32,0),MATCH(T$4,'Table C - Capacity'!$4:$4,0)+IF(V$7="Winter",2,3))</f>
        <v>25.472135692281451</v>
      </c>
      <c r="W13" s="228">
        <f>'Table B - Energy'!W13+INDEX('Table C - Capacity'!$12:$32,MATCH($B13,'Table C - Capacity'!$B$12:$B$32,0),MATCH(T$4,'Table C - Capacity'!$4:$4,0)+IF(W$7="Winter",2,3))</f>
        <v>62.768875865728788</v>
      </c>
      <c r="X13" s="229">
        <f>'Table B - Energy'!X13+INDEX('Table C - Capacity'!$12:$32,MATCH($B13,'Table C - Capacity'!$B$12:$B$32,0),MATCH(T$4,'Table C - Capacity'!$4:$4,0)+IF(X$7="Winter",2,3))</f>
        <v>43.901308766741522</v>
      </c>
    </row>
    <row r="14" spans="2:24">
      <c r="B14" s="235">
        <f t="shared" si="0"/>
        <v>2025</v>
      </c>
      <c r="C14" s="226">
        <f>SUMPRODUCT(D14:G14,Profiles!D14:G14)/SUM(Profiles!D14:G14)</f>
        <v>47.720604856361923</v>
      </c>
      <c r="D14" s="227">
        <f>'Table B - Energy'!D14+INDEX('Table C - Capacity'!$12:$32,MATCH($B14,'Table C - Capacity'!$B$12:$B$32,0),MATCH(C$4,'Table C - Capacity'!$4:$4,0)+IF(D$7="Winter",2,3))</f>
        <v>47.954971281449154</v>
      </c>
      <c r="E14" s="228">
        <f>'Table B - Energy'!E14+INDEX('Table C - Capacity'!$12:$32,MATCH($B14,'Table C - Capacity'!$B$12:$B$32,0),MATCH(C$4,'Table C - Capacity'!$4:$4,0)+IF(E$7="Winter",2,3))</f>
        <v>31.801280437827529</v>
      </c>
      <c r="F14" s="228">
        <f>'Table B - Energy'!F14+INDEX('Table C - Capacity'!$12:$32,MATCH($B14,'Table C - Capacity'!$B$12:$B$32,0),MATCH(C$4,'Table C - Capacity'!$4:$4,0)+IF(F$7="Winter",2,3))</f>
        <v>86.684995228251168</v>
      </c>
      <c r="G14" s="229">
        <f>'Table B - Energy'!G14+INDEX('Table C - Capacity'!$12:$32,MATCH($B14,'Table C - Capacity'!$B$12:$B$32,0),MATCH(C$4,'Table C - Capacity'!$4:$4,0)+IF(G$7="Winter",2,3))</f>
        <v>59.71316633480879</v>
      </c>
      <c r="H14" s="226">
        <f>SUMPRODUCT(I14:L14,Profiles!I14:L14)/SUM(Profiles!I14:L14)</f>
        <v>35.677641440592105</v>
      </c>
      <c r="I14" s="227">
        <f>'Table B - Energy'!I14+INDEX('Table C - Capacity'!$12:$32,MATCH($B14,'Table C - Capacity'!$B$12:$B$32,0),MATCH(H$4,'Table C - Capacity'!$4:$4,0)+IF(I$7="Winter",2,3))</f>
        <v>42.201694052732506</v>
      </c>
      <c r="J14" s="228">
        <f>'Table B - Energy'!J14+INDEX('Table C - Capacity'!$12:$32,MATCH($B14,'Table C - Capacity'!$B$12:$B$32,0),MATCH(H$4,'Table C - Capacity'!$4:$4,0)+IF(J$7="Winter",2,3))</f>
        <v>25.193802067942659</v>
      </c>
      <c r="K14" s="228">
        <f>'Table B - Energy'!K14+INDEX('Table C - Capacity'!$12:$32,MATCH($B14,'Table C - Capacity'!$B$12:$B$32,0),MATCH(H$4,'Table C - Capacity'!$4:$4,0)+IF(K$7="Winter",2,3))</f>
        <v>63.290398536514274</v>
      </c>
      <c r="L14" s="229">
        <f>'Table B - Energy'!L14+INDEX('Table C - Capacity'!$12:$32,MATCH($B14,'Table C - Capacity'!$B$12:$B$32,0),MATCH(H$4,'Table C - Capacity'!$4:$4,0)+IF(L$7="Winter",2,3))</f>
        <v>39.4229998058359</v>
      </c>
      <c r="N14" s="235">
        <f t="shared" si="1"/>
        <v>2025</v>
      </c>
      <c r="O14" s="226">
        <f>SUMPRODUCT(P14:S14,Profiles!N14:Q14)/SUM(Profiles!N14:Q14)</f>
        <v>26.246393416676852</v>
      </c>
      <c r="P14" s="227">
        <f>'Table B - Energy'!P14+INDEX('Table C - Capacity'!$12:$32,MATCH($B14,'Table C - Capacity'!$B$12:$B$32,0),MATCH(O$4,'Table C - Capacity'!$4:$4,0)+IF(P$7="Winter",2,3))</f>
        <v>28.821197419115801</v>
      </c>
      <c r="Q14" s="228">
        <f>'Table B - Energy'!Q14+INDEX('Table C - Capacity'!$12:$32,MATCH($B14,'Table C - Capacity'!$B$12:$B$32,0),MATCH(O$4,'Table C - Capacity'!$4:$4,0)+IF(Q$7="Winter",2,3))</f>
        <v>20.733531411547137</v>
      </c>
      <c r="R14" s="228">
        <f>'Table B - Energy'!R14+INDEX('Table C - Capacity'!$12:$32,MATCH($B14,'Table C - Capacity'!$B$12:$B$32,0),MATCH(O$4,'Table C - Capacity'!$4:$4,0)+IF(R$7="Winter",2,3))</f>
        <v>41.272617054784135</v>
      </c>
      <c r="S14" s="229">
        <f>'Table B - Energy'!S14+INDEX('Table C - Capacity'!$12:$32,MATCH($B14,'Table C - Capacity'!$B$12:$B$32,0),MATCH(O$4,'Table C - Capacity'!$4:$4,0)+IF(S$7="Winter",2,3))</f>
        <v>30.161227387660745</v>
      </c>
      <c r="T14" s="226">
        <f>SUMPRODUCT(U14:X14,Profiles!S14:V14)/SUM(Profiles!S14:V14)</f>
        <v>27.363005969161552</v>
      </c>
      <c r="U14" s="227">
        <f>'Table B - Energy'!U14+INDEX('Table C - Capacity'!$12:$32,MATCH($B14,'Table C - Capacity'!$B$12:$B$32,0),MATCH(T$4,'Table C - Capacity'!$4:$4,0)+IF(U$7="Winter",2,3))</f>
        <v>29.22483478701578</v>
      </c>
      <c r="V14" s="228">
        <f>'Table B - Energy'!V14+INDEX('Table C - Capacity'!$12:$32,MATCH($B14,'Table C - Capacity'!$B$12:$B$32,0),MATCH(T$4,'Table C - Capacity'!$4:$4,0)+IF(V$7="Winter",2,3))</f>
        <v>19.936822081103362</v>
      </c>
      <c r="W14" s="228">
        <f>'Table B - Energy'!W14+INDEX('Table C - Capacity'!$12:$32,MATCH($B14,'Table C - Capacity'!$B$12:$B$32,0),MATCH(T$4,'Table C - Capacity'!$4:$4,0)+IF(W$7="Winter",2,3))</f>
        <v>42.627249236953212</v>
      </c>
      <c r="X14" s="229">
        <f>'Table B - Energy'!X14+INDEX('Table C - Capacity'!$12:$32,MATCH($B14,'Table C - Capacity'!$B$12:$B$32,0),MATCH(T$4,'Table C - Capacity'!$4:$4,0)+IF(X$7="Winter",2,3))</f>
        <v>30.171057609232122</v>
      </c>
    </row>
    <row r="15" spans="2:24">
      <c r="B15" s="235">
        <f t="shared" si="0"/>
        <v>2026</v>
      </c>
      <c r="C15" s="226">
        <f>SUMPRODUCT(D15:G15,Profiles!D15:G15)/SUM(Profiles!D15:G15)</f>
        <v>38.963090605791322</v>
      </c>
      <c r="D15" s="227">
        <f>'Table B - Energy'!D15+INDEX('Table C - Capacity'!$12:$32,MATCH($B15,'Table C - Capacity'!$B$12:$B$32,0),MATCH(C$4,'Table C - Capacity'!$4:$4,0)+IF(D$7="Winter",2,3))</f>
        <v>41.38001129179235</v>
      </c>
      <c r="E15" s="228">
        <f>'Table B - Energy'!E15+INDEX('Table C - Capacity'!$12:$32,MATCH($B15,'Table C - Capacity'!$B$12:$B$32,0),MATCH(C$4,'Table C - Capacity'!$4:$4,0)+IF(E$7="Winter",2,3))</f>
        <v>28.009252546936192</v>
      </c>
      <c r="F15" s="228">
        <f>'Table B - Energy'!F15+INDEX('Table C - Capacity'!$12:$32,MATCH($B15,'Table C - Capacity'!$B$12:$B$32,0),MATCH(C$4,'Table C - Capacity'!$4:$4,0)+IF(F$7="Winter",2,3))</f>
        <v>61.033786835040871</v>
      </c>
      <c r="G15" s="229">
        <f>'Table B - Energy'!G15+INDEX('Table C - Capacity'!$12:$32,MATCH($B15,'Table C - Capacity'!$B$12:$B$32,0),MATCH(C$4,'Table C - Capacity'!$4:$4,0)+IF(G$7="Winter",2,3))</f>
        <v>47.338617777663863</v>
      </c>
      <c r="H15" s="226">
        <f>SUMPRODUCT(I15:L15,Profiles!I15:L15)/SUM(Profiles!I15:L15)</f>
        <v>27.61250592754805</v>
      </c>
      <c r="I15" s="227">
        <f>'Table B - Energy'!I15+INDEX('Table C - Capacity'!$12:$32,MATCH($B15,'Table C - Capacity'!$B$12:$B$32,0),MATCH(H$4,'Table C - Capacity'!$4:$4,0)+IF(I$7="Winter",2,3))</f>
        <v>35.743182654540853</v>
      </c>
      <c r="J15" s="228">
        <f>'Table B - Energy'!J15+INDEX('Table C - Capacity'!$12:$32,MATCH($B15,'Table C - Capacity'!$B$12:$B$32,0),MATCH(H$4,'Table C - Capacity'!$4:$4,0)+IF(J$7="Winter",2,3))</f>
        <v>21.369692586244767</v>
      </c>
      <c r="K15" s="228">
        <f>'Table B - Energy'!K15+INDEX('Table C - Capacity'!$12:$32,MATCH($B15,'Table C - Capacity'!$B$12:$B$32,0),MATCH(H$4,'Table C - Capacity'!$4:$4,0)+IF(K$7="Winter",2,3))</f>
        <v>39.245045488774991</v>
      </c>
      <c r="L15" s="229">
        <f>'Table B - Energy'!L15+INDEX('Table C - Capacity'!$12:$32,MATCH($B15,'Table C - Capacity'!$B$12:$B$32,0),MATCH(H$4,'Table C - Capacity'!$4:$4,0)+IF(L$7="Winter",2,3))</f>
        <v>27.075968500715426</v>
      </c>
      <c r="N15" s="235">
        <f t="shared" si="1"/>
        <v>2026</v>
      </c>
      <c r="O15" s="226">
        <f>SUMPRODUCT(P15:S15,Profiles!N15:Q15)/SUM(Profiles!N15:Q15)</f>
        <v>17.576540176108729</v>
      </c>
      <c r="P15" s="227">
        <f>'Table B - Energy'!P15+INDEX('Table C - Capacity'!$12:$32,MATCH($B15,'Table C - Capacity'!$B$12:$B$32,0),MATCH(O$4,'Table C - Capacity'!$4:$4,0)+IF(P$7="Winter",2,3))</f>
        <v>21.546855342261992</v>
      </c>
      <c r="Q15" s="228">
        <f>'Table B - Energy'!Q15+INDEX('Table C - Capacity'!$12:$32,MATCH($B15,'Table C - Capacity'!$B$12:$B$32,0),MATCH(O$4,'Table C - Capacity'!$4:$4,0)+IF(Q$7="Winter",2,3))</f>
        <v>16.865088640980094</v>
      </c>
      <c r="R15" s="228">
        <f>'Table B - Energy'!R15+INDEX('Table C - Capacity'!$12:$32,MATCH($B15,'Table C - Capacity'!$B$12:$B$32,0),MATCH(O$4,'Table C - Capacity'!$4:$4,0)+IF(R$7="Winter",2,3))</f>
        <v>22.4936509698347</v>
      </c>
      <c r="S15" s="229">
        <f>'Table B - Energy'!S15+INDEX('Table C - Capacity'!$12:$32,MATCH($B15,'Table C - Capacity'!$B$12:$B$32,0),MATCH(O$4,'Table C - Capacity'!$4:$4,0)+IF(S$7="Winter",2,3))</f>
        <v>16.72100039152464</v>
      </c>
      <c r="T15" s="226">
        <f>SUMPRODUCT(U15:X15,Profiles!S15:V15)/SUM(Profiles!S15:V15)</f>
        <v>17.180167517207167</v>
      </c>
      <c r="U15" s="227">
        <f>'Table B - Energy'!U15+INDEX('Table C - Capacity'!$12:$32,MATCH($B15,'Table C - Capacity'!$B$12:$B$32,0),MATCH(T$4,'Table C - Capacity'!$4:$4,0)+IF(U$7="Winter",2,3))</f>
        <v>21.115927011115843</v>
      </c>
      <c r="V15" s="228">
        <f>'Table B - Energy'!V15+INDEX('Table C - Capacity'!$12:$32,MATCH($B15,'Table C - Capacity'!$B$12:$B$32,0),MATCH(T$4,'Table C - Capacity'!$4:$4,0)+IF(V$7="Winter",2,3))</f>
        <v>15.662687324896584</v>
      </c>
      <c r="W15" s="228">
        <f>'Table B - Energy'!W15+INDEX('Table C - Capacity'!$12:$32,MATCH($B15,'Table C - Capacity'!$B$12:$B$32,0),MATCH(T$4,'Table C - Capacity'!$4:$4,0)+IF(W$7="Winter",2,3))</f>
        <v>22.514714795543366</v>
      </c>
      <c r="X15" s="229">
        <f>'Table B - Energy'!X15+INDEX('Table C - Capacity'!$12:$32,MATCH($B15,'Table C - Capacity'!$B$12:$B$32,0),MATCH(T$4,'Table C - Capacity'!$4:$4,0)+IF(X$7="Winter",2,3))</f>
        <v>16.429411921513694</v>
      </c>
    </row>
    <row r="16" spans="2:24">
      <c r="B16" s="235">
        <f t="shared" si="0"/>
        <v>2027</v>
      </c>
      <c r="C16" s="226">
        <f>SUMPRODUCT(D16:G16,Profiles!D16:G16)/SUM(Profiles!D16:G16)</f>
        <v>39.564521523904162</v>
      </c>
      <c r="D16" s="227">
        <f>'Table B - Energy'!D16+INDEX('Table C - Capacity'!$12:$32,MATCH($B16,'Table C - Capacity'!$B$12:$B$32,0),MATCH(C$4,'Table C - Capacity'!$4:$4,0)+IF(D$7="Winter",2,3))</f>
        <v>42.039898276762038</v>
      </c>
      <c r="E16" s="228">
        <f>'Table B - Energy'!E16+INDEX('Table C - Capacity'!$12:$32,MATCH($B16,'Table C - Capacity'!$B$12:$B$32,0),MATCH(C$4,'Table C - Capacity'!$4:$4,0)+IF(E$7="Winter",2,3))</f>
        <v>28.451798996926513</v>
      </c>
      <c r="F16" s="228">
        <f>'Table B - Energy'!F16+INDEX('Table C - Capacity'!$12:$32,MATCH($B16,'Table C - Capacity'!$B$12:$B$32,0),MATCH(C$4,'Table C - Capacity'!$4:$4,0)+IF(F$7="Winter",2,3))</f>
        <v>61.755881762064561</v>
      </c>
      <c r="G16" s="229">
        <f>'Table B - Energy'!G16+INDEX('Table C - Capacity'!$12:$32,MATCH($B16,'Table C - Capacity'!$B$12:$B$32,0),MATCH(C$4,'Table C - Capacity'!$4:$4,0)+IF(G$7="Winter",2,3))</f>
        <v>48.137966803048002</v>
      </c>
      <c r="H16" s="226">
        <f>SUMPRODUCT(I16:L16,Profiles!I16:L16)/SUM(Profiles!I16:L16)</f>
        <v>27.987950459893799</v>
      </c>
      <c r="I16" s="227">
        <f>'Table B - Energy'!I16+INDEX('Table C - Capacity'!$12:$32,MATCH($B16,'Table C - Capacity'!$B$12:$B$32,0),MATCH(H$4,'Table C - Capacity'!$4:$4,0)+IF(I$7="Winter",2,3))</f>
        <v>36.3770841832483</v>
      </c>
      <c r="J16" s="228">
        <f>'Table B - Energy'!J16+INDEX('Table C - Capacity'!$12:$32,MATCH($B16,'Table C - Capacity'!$B$12:$B$32,0),MATCH(H$4,'Table C - Capacity'!$4:$4,0)+IF(J$7="Winter",2,3))</f>
        <v>21.69706490758529</v>
      </c>
      <c r="K16" s="228">
        <f>'Table B - Energy'!K16+INDEX('Table C - Capacity'!$12:$32,MATCH($B16,'Table C - Capacity'!$B$12:$B$32,0),MATCH(H$4,'Table C - Capacity'!$4:$4,0)+IF(K$7="Winter",2,3))</f>
        <v>39.415034804194512</v>
      </c>
      <c r="L16" s="229">
        <f>'Table B - Energy'!L16+INDEX('Table C - Capacity'!$12:$32,MATCH($B16,'Table C - Capacity'!$B$12:$B$32,0),MATCH(H$4,'Table C - Capacity'!$4:$4,0)+IF(L$7="Winter",2,3))</f>
        <v>27.357236023642741</v>
      </c>
      <c r="N16" s="235">
        <f t="shared" si="1"/>
        <v>2027</v>
      </c>
      <c r="O16" s="226">
        <f>SUMPRODUCT(P16:S16,Profiles!N16:Q16)/SUM(Profiles!N16:Q16)</f>
        <v>17.686412435326446</v>
      </c>
      <c r="P16" s="227">
        <f>'Table B - Energy'!P16+INDEX('Table C - Capacity'!$12:$32,MATCH($B16,'Table C - Capacity'!$B$12:$B$32,0),MATCH(O$4,'Table C - Capacity'!$4:$4,0)+IF(P$7="Winter",2,3))</f>
        <v>21.638596736798572</v>
      </c>
      <c r="Q16" s="228">
        <f>'Table B - Energy'!Q16+INDEX('Table C - Capacity'!$12:$32,MATCH($B16,'Table C - Capacity'!$B$12:$B$32,0),MATCH(O$4,'Table C - Capacity'!$4:$4,0)+IF(Q$7="Winter",2,3))</f>
        <v>17.027938372078985</v>
      </c>
      <c r="R16" s="228">
        <f>'Table B - Energy'!R16+INDEX('Table C - Capacity'!$12:$32,MATCH($B16,'Table C - Capacity'!$B$12:$B$32,0),MATCH(O$4,'Table C - Capacity'!$4:$4,0)+IF(R$7="Winter",2,3))</f>
        <v>22.556523921135142</v>
      </c>
      <c r="S16" s="229">
        <f>'Table B - Energy'!S16+INDEX('Table C - Capacity'!$12:$32,MATCH($B16,'Table C - Capacity'!$B$12:$B$32,0),MATCH(O$4,'Table C - Capacity'!$4:$4,0)+IF(S$7="Winter",2,3))</f>
        <v>16.759540658974082</v>
      </c>
      <c r="T16" s="226">
        <f>SUMPRODUCT(U16:X16,Profiles!S16:V16)/SUM(Profiles!S16:V16)</f>
        <v>17.264838326056822</v>
      </c>
      <c r="U16" s="227">
        <f>'Table B - Energy'!U16+INDEX('Table C - Capacity'!$12:$32,MATCH($B16,'Table C - Capacity'!$B$12:$B$32,0),MATCH(T$4,'Table C - Capacity'!$4:$4,0)+IF(U$7="Winter",2,3))</f>
        <v>21.17651175373317</v>
      </c>
      <c r="V16" s="228">
        <f>'Table B - Energy'!V16+INDEX('Table C - Capacity'!$12:$32,MATCH($B16,'Table C - Capacity'!$B$12:$B$32,0),MATCH(T$4,'Table C - Capacity'!$4:$4,0)+IF(V$7="Winter",2,3))</f>
        <v>15.790723427230432</v>
      </c>
      <c r="W16" s="228">
        <f>'Table B - Energy'!W16+INDEX('Table C - Capacity'!$12:$32,MATCH($B16,'Table C - Capacity'!$B$12:$B$32,0),MATCH(T$4,'Table C - Capacity'!$4:$4,0)+IF(W$7="Winter",2,3))</f>
        <v>22.555667937188201</v>
      </c>
      <c r="X16" s="229">
        <f>'Table B - Energy'!X16+INDEX('Table C - Capacity'!$12:$32,MATCH($B16,'Table C - Capacity'!$B$12:$B$32,0),MATCH(T$4,'Table C - Capacity'!$4:$4,0)+IF(X$7="Winter",2,3))</f>
        <v>16.483233699223423</v>
      </c>
    </row>
    <row r="17" spans="2:24">
      <c r="B17" s="236">
        <f t="shared" si="0"/>
        <v>2028</v>
      </c>
      <c r="C17" s="226">
        <f>SUMPRODUCT(D17:G17,Profiles!D17:G17)/SUM(Profiles!D17:G17)</f>
        <v>40.92258937668695</v>
      </c>
      <c r="D17" s="227">
        <f>'Table B - Energy'!D17+INDEX('Table C - Capacity'!$12:$32,MATCH($B17,'Table C - Capacity'!$B$12:$B$32,0),MATCH(C$4,'Table C - Capacity'!$4:$4,0)+IF(D$7="Winter",2,3))</f>
        <v>43.706395234035256</v>
      </c>
      <c r="E17" s="228">
        <f>'Table B - Energy'!E17+INDEX('Table C - Capacity'!$12:$32,MATCH($B17,'Table C - Capacity'!$B$12:$B$32,0),MATCH(C$4,'Table C - Capacity'!$4:$4,0)+IF(E$7="Winter",2,3))</f>
        <v>29.773160090592569</v>
      </c>
      <c r="F17" s="228">
        <f>'Table B - Energy'!F17+INDEX('Table C - Capacity'!$12:$32,MATCH($B17,'Table C - Capacity'!$B$12:$B$32,0),MATCH(C$4,'Table C - Capacity'!$4:$4,0)+IF(F$7="Winter",2,3))</f>
        <v>62.939492689312893</v>
      </c>
      <c r="G17" s="229">
        <f>'Table B - Energy'!G17+INDEX('Table C - Capacity'!$12:$32,MATCH($B17,'Table C - Capacity'!$B$12:$B$32,0),MATCH(C$4,'Table C - Capacity'!$4:$4,0)+IF(G$7="Winter",2,3))</f>
        <v>49.429190435214437</v>
      </c>
      <c r="H17" s="226">
        <f>SUMPRODUCT(I17:L17,Profiles!I17:L17)/SUM(Profiles!I17:L17)</f>
        <v>29.08542240818662</v>
      </c>
      <c r="I17" s="227">
        <f>'Table B - Energy'!I17+INDEX('Table C - Capacity'!$12:$32,MATCH($B17,'Table C - Capacity'!$B$12:$B$32,0),MATCH(H$4,'Table C - Capacity'!$4:$4,0)+IF(I$7="Winter",2,3))</f>
        <v>37.907552884982429</v>
      </c>
      <c r="J17" s="228">
        <f>'Table B - Energy'!J17+INDEX('Table C - Capacity'!$12:$32,MATCH($B17,'Table C - Capacity'!$B$12:$B$32,0),MATCH(H$4,'Table C - Capacity'!$4:$4,0)+IF(J$7="Winter",2,3))</f>
        <v>22.831993884109043</v>
      </c>
      <c r="K17" s="228">
        <f>'Table B - Energy'!K17+INDEX('Table C - Capacity'!$12:$32,MATCH($B17,'Table C - Capacity'!$B$12:$B$32,0),MATCH(H$4,'Table C - Capacity'!$4:$4,0)+IF(K$7="Winter",2,3))</f>
        <v>40.036584734489693</v>
      </c>
      <c r="L17" s="229">
        <f>'Table B - Energy'!L17+INDEX('Table C - Capacity'!$12:$32,MATCH($B17,'Table C - Capacity'!$B$12:$B$32,0),MATCH(H$4,'Table C - Capacity'!$4:$4,0)+IF(L$7="Winter",2,3))</f>
        <v>28.086809415768144</v>
      </c>
      <c r="N17" s="236">
        <f t="shared" si="1"/>
        <v>2028</v>
      </c>
      <c r="O17" s="226">
        <f>SUMPRODUCT(P17:S17,Profiles!N17:Q17)/SUM(Profiles!N17:Q17)</f>
        <v>18.217943747302332</v>
      </c>
      <c r="P17" s="227">
        <f>'Table B - Energy'!P17+INDEX('Table C - Capacity'!$12:$32,MATCH($B17,'Table C - Capacity'!$B$12:$B$32,0),MATCH(O$4,'Table C - Capacity'!$4:$4,0)+IF(P$7="Winter",2,3))</f>
        <v>22.824197857184252</v>
      </c>
      <c r="Q17" s="228">
        <f>'Table B - Energy'!Q17+INDEX('Table C - Capacity'!$12:$32,MATCH($B17,'Table C - Capacity'!$B$12:$B$32,0),MATCH(O$4,'Table C - Capacity'!$4:$4,0)+IF(Q$7="Winter",2,3))</f>
        <v>17.7615810144009</v>
      </c>
      <c r="R17" s="228">
        <f>'Table B - Energy'!R17+INDEX('Table C - Capacity'!$12:$32,MATCH($B17,'Table C - Capacity'!$B$12:$B$32,0),MATCH(O$4,'Table C - Capacity'!$4:$4,0)+IF(R$7="Winter",2,3))</f>
        <v>22.885827602445421</v>
      </c>
      <c r="S17" s="229">
        <f>'Table B - Energy'!S17+INDEX('Table C - Capacity'!$12:$32,MATCH($B17,'Table C - Capacity'!$B$12:$B$32,0),MATCH(O$4,'Table C - Capacity'!$4:$4,0)+IF(S$7="Winter",2,3))</f>
        <v>16.959189263536622</v>
      </c>
      <c r="T17" s="226">
        <f>SUMPRODUCT(U17:X17,Profiles!S17:V17)/SUM(Profiles!S17:V17)</f>
        <v>17.780519913510599</v>
      </c>
      <c r="U17" s="227">
        <f>'Table B - Energy'!U17+INDEX('Table C - Capacity'!$12:$32,MATCH($B17,'Table C - Capacity'!$B$12:$B$32,0),MATCH(T$4,'Table C - Capacity'!$4:$4,0)+IF(U$7="Winter",2,3))</f>
        <v>22.245231028128998</v>
      </c>
      <c r="V17" s="228">
        <f>'Table B - Energy'!V17+INDEX('Table C - Capacity'!$12:$32,MATCH($B17,'Table C - Capacity'!$B$12:$B$32,0),MATCH(T$4,'Table C - Capacity'!$4:$4,0)+IF(V$7="Winter",2,3))</f>
        <v>16.499119497366458</v>
      </c>
      <c r="W17" s="228">
        <f>'Table B - Energy'!W17+INDEX('Table C - Capacity'!$12:$32,MATCH($B17,'Table C - Capacity'!$B$12:$B$32,0),MATCH(T$4,'Table C - Capacity'!$4:$4,0)+IF(W$7="Winter",2,3))</f>
        <v>22.99306378523179</v>
      </c>
      <c r="X17" s="229">
        <f>'Table B - Energy'!X17+INDEX('Table C - Capacity'!$12:$32,MATCH($B17,'Table C - Capacity'!$B$12:$B$32,0),MATCH(T$4,'Table C - Capacity'!$4:$4,0)+IF(X$7="Winter",2,3))</f>
        <v>16.724497114187187</v>
      </c>
    </row>
    <row r="18" spans="2:24">
      <c r="B18" s="235">
        <f t="shared" si="0"/>
        <v>2029</v>
      </c>
      <c r="C18" s="226">
        <f>SUMPRODUCT(D18:G18,Profiles!D18:G18)/SUM(Profiles!D18:G18)</f>
        <v>41.526347512037766</v>
      </c>
      <c r="D18" s="227">
        <f>'Table B - Energy'!D18+INDEX('Table C - Capacity'!$12:$32,MATCH($B18,'Table C - Capacity'!$B$12:$B$32,0),MATCH(C$4,'Table C - Capacity'!$4:$4,0)+IF(D$7="Winter",2,3))</f>
        <v>43.92738415310005</v>
      </c>
      <c r="E18" s="228">
        <f>'Table B - Energy'!E18+INDEX('Table C - Capacity'!$12:$32,MATCH($B18,'Table C - Capacity'!$B$12:$B$32,0),MATCH(C$4,'Table C - Capacity'!$4:$4,0)+IF(E$7="Winter",2,3))</f>
        <v>29.966355346515691</v>
      </c>
      <c r="F18" s="228">
        <f>'Table B - Energy'!F18+INDEX('Table C - Capacity'!$12:$32,MATCH($B18,'Table C - Capacity'!$B$12:$B$32,0),MATCH(C$4,'Table C - Capacity'!$4:$4,0)+IF(F$7="Winter",2,3))</f>
        <v>64.132879038446518</v>
      </c>
      <c r="G18" s="229">
        <f>'Table B - Energy'!G18+INDEX('Table C - Capacity'!$12:$32,MATCH($B18,'Table C - Capacity'!$B$12:$B$32,0),MATCH(C$4,'Table C - Capacity'!$4:$4,0)+IF(G$7="Winter",2,3))</f>
        <v>50.857115718774338</v>
      </c>
      <c r="H18" s="226">
        <f>SUMPRODUCT(I18:L18,Profiles!I18:L18)/SUM(Profiles!I18:L18)</f>
        <v>29.310656642194033</v>
      </c>
      <c r="I18" s="227">
        <f>'Table B - Energy'!I18+INDEX('Table C - Capacity'!$12:$32,MATCH($B18,'Table C - Capacity'!$B$12:$B$32,0),MATCH(H$4,'Table C - Capacity'!$4:$4,0)+IF(I$7="Winter",2,3))</f>
        <v>37.950126200517232</v>
      </c>
      <c r="J18" s="228">
        <f>'Table B - Energy'!J18+INDEX('Table C - Capacity'!$12:$32,MATCH($B18,'Table C - Capacity'!$B$12:$B$32,0),MATCH(H$4,'Table C - Capacity'!$4:$4,0)+IF(J$7="Winter",2,3))</f>
        <v>22.823275459773232</v>
      </c>
      <c r="K18" s="228">
        <f>'Table B - Energy'!K18+INDEX('Table C - Capacity'!$12:$32,MATCH($B18,'Table C - Capacity'!$B$12:$B$32,0),MATCH(H$4,'Table C - Capacity'!$4:$4,0)+IF(K$7="Winter",2,3))</f>
        <v>40.538354353862054</v>
      </c>
      <c r="L18" s="229">
        <f>'Table B - Energy'!L18+INDEX('Table C - Capacity'!$12:$32,MATCH($B18,'Table C - Capacity'!$B$12:$B$32,0),MATCH(H$4,'Table C - Capacity'!$4:$4,0)+IF(L$7="Winter",2,3))</f>
        <v>28.960440122337296</v>
      </c>
      <c r="N18" s="235">
        <f t="shared" si="1"/>
        <v>2029</v>
      </c>
      <c r="O18" s="226">
        <f>SUMPRODUCT(P18:S18,Profiles!N18:Q18)/SUM(Profiles!N18:Q18)</f>
        <v>18.274270237180424</v>
      </c>
      <c r="P18" s="227">
        <f>'Table B - Energy'!P18+INDEX('Table C - Capacity'!$12:$32,MATCH($B18,'Table C - Capacity'!$B$12:$B$32,0),MATCH(O$4,'Table C - Capacity'!$4:$4,0)+IF(P$7="Winter",2,3))</f>
        <v>22.602812105335204</v>
      </c>
      <c r="Q18" s="228">
        <f>'Table B - Energy'!Q18+INDEX('Table C - Capacity'!$12:$32,MATCH($B18,'Table C - Capacity'!$B$12:$B$32,0),MATCH(O$4,'Table C - Capacity'!$4:$4,0)+IF(Q$7="Winter",2,3))</f>
        <v>17.757931645223636</v>
      </c>
      <c r="R18" s="228">
        <f>'Table B - Energy'!R18+INDEX('Table C - Capacity'!$12:$32,MATCH($B18,'Table C - Capacity'!$B$12:$B$32,0),MATCH(O$4,'Table C - Capacity'!$4:$4,0)+IF(R$7="Winter",2,3))</f>
        <v>22.956448676949822</v>
      </c>
      <c r="S18" s="229">
        <f>'Table B - Energy'!S18+INDEX('Table C - Capacity'!$12:$32,MATCH($B18,'Table C - Capacity'!$B$12:$B$32,0),MATCH(O$4,'Table C - Capacity'!$4:$4,0)+IF(S$7="Winter",2,3))</f>
        <v>17.13619079460727</v>
      </c>
      <c r="T18" s="226">
        <f>SUMPRODUCT(U18:X18,Profiles!S18:V18)/SUM(Profiles!S18:V18)</f>
        <v>17.677219810224905</v>
      </c>
      <c r="U18" s="227">
        <f>'Table B - Energy'!U18+INDEX('Table C - Capacity'!$12:$32,MATCH($B18,'Table C - Capacity'!$B$12:$B$32,0),MATCH(T$4,'Table C - Capacity'!$4:$4,0)+IF(U$7="Winter",2,3))</f>
        <v>21.868829960279395</v>
      </c>
      <c r="V18" s="228">
        <f>'Table B - Energy'!V18+INDEX('Table C - Capacity'!$12:$32,MATCH($B18,'Table C - Capacity'!$B$12:$B$32,0),MATCH(T$4,'Table C - Capacity'!$4:$4,0)+IF(V$7="Winter",2,3))</f>
        <v>16.397200131464281</v>
      </c>
      <c r="W18" s="228">
        <f>'Table B - Energy'!W18+INDEX('Table C - Capacity'!$12:$32,MATCH($B18,'Table C - Capacity'!$B$12:$B$32,0),MATCH(T$4,'Table C - Capacity'!$4:$4,0)+IF(W$7="Winter",2,3))</f>
        <v>22.545694930652239</v>
      </c>
      <c r="X18" s="229">
        <f>'Table B - Energy'!X18+INDEX('Table C - Capacity'!$12:$32,MATCH($B18,'Table C - Capacity'!$B$12:$B$32,0),MATCH(T$4,'Table C - Capacity'!$4:$4,0)+IF(X$7="Winter",2,3))</f>
        <v>16.782190892438667</v>
      </c>
    </row>
    <row r="19" spans="2:24">
      <c r="B19" s="235">
        <f t="shared" si="0"/>
        <v>2030</v>
      </c>
      <c r="C19" s="226">
        <f>SUMPRODUCT(D19:G19,Profiles!D19:G19)/SUM(Profiles!D19:G19)</f>
        <v>42.177822963718711</v>
      </c>
      <c r="D19" s="227">
        <f>'Table B - Energy'!D19+INDEX('Table C - Capacity'!$12:$32,MATCH($B19,'Table C - Capacity'!$B$12:$B$32,0),MATCH(C$4,'Table C - Capacity'!$4:$4,0)+IF(D$7="Winter",2,3))</f>
        <v>44.373499148086566</v>
      </c>
      <c r="E19" s="228">
        <f>'Table B - Energy'!E19+INDEX('Table C - Capacity'!$12:$32,MATCH($B19,'Table C - Capacity'!$B$12:$B$32,0),MATCH(C$4,'Table C - Capacity'!$4:$4,0)+IF(E$7="Winter",2,3))</f>
        <v>30.390865403230251</v>
      </c>
      <c r="F19" s="228">
        <f>'Table B - Energy'!F19+INDEX('Table C - Capacity'!$12:$32,MATCH($B19,'Table C - Capacity'!$B$12:$B$32,0),MATCH(C$4,'Table C - Capacity'!$4:$4,0)+IF(F$7="Winter",2,3))</f>
        <v>65.395441301412632</v>
      </c>
      <c r="G19" s="229">
        <f>'Table B - Energy'!G19+INDEX('Table C - Capacity'!$12:$32,MATCH($B19,'Table C - Capacity'!$B$12:$B$32,0),MATCH(C$4,'Table C - Capacity'!$4:$4,0)+IF(G$7="Winter",2,3))</f>
        <v>51.859636998134029</v>
      </c>
      <c r="H19" s="226">
        <f>SUMPRODUCT(I19:L19,Profiles!I19:L19)/SUM(Profiles!I19:L19)</f>
        <v>29.634751674858141</v>
      </c>
      <c r="I19" s="227">
        <f>'Table B - Energy'!I19+INDEX('Table C - Capacity'!$12:$32,MATCH($B19,'Table C - Capacity'!$B$12:$B$32,0),MATCH(H$4,'Table C - Capacity'!$4:$4,0)+IF(I$7="Winter",2,3))</f>
        <v>38.202066178382644</v>
      </c>
      <c r="J19" s="228">
        <f>'Table B - Energy'!J19+INDEX('Table C - Capacity'!$12:$32,MATCH($B19,'Table C - Capacity'!$B$12:$B$32,0),MATCH(H$4,'Table C - Capacity'!$4:$4,0)+IF(J$7="Winter",2,3))</f>
        <v>23.033088685775951</v>
      </c>
      <c r="K19" s="228">
        <f>'Table B - Energy'!K19+INDEX('Table C - Capacity'!$12:$32,MATCH($B19,'Table C - Capacity'!$B$12:$B$32,0),MATCH(H$4,'Table C - Capacity'!$4:$4,0)+IF(K$7="Winter",2,3))</f>
        <v>41.321909641508675</v>
      </c>
      <c r="L19" s="229">
        <f>'Table B - Energy'!L19+INDEX('Table C - Capacity'!$12:$32,MATCH($B19,'Table C - Capacity'!$B$12:$B$32,0),MATCH(H$4,'Table C - Capacity'!$4:$4,0)+IF(L$7="Winter",2,3))</f>
        <v>29.420704694964432</v>
      </c>
      <c r="N19" s="235">
        <f t="shared" si="1"/>
        <v>2030</v>
      </c>
      <c r="O19" s="226">
        <f>SUMPRODUCT(P19:S19,Profiles!N19:Q19)/SUM(Profiles!N19:Q19)</f>
        <v>18.458438841294512</v>
      </c>
      <c r="P19" s="227">
        <f>'Table B - Energy'!P19+INDEX('Table C - Capacity'!$12:$32,MATCH($B19,'Table C - Capacity'!$B$12:$B$32,0),MATCH(O$4,'Table C - Capacity'!$4:$4,0)+IF(P$7="Winter",2,3))</f>
        <v>22.519550369822507</v>
      </c>
      <c r="Q19" s="228">
        <f>'Table B - Energy'!Q19+INDEX('Table C - Capacity'!$12:$32,MATCH($B19,'Table C - Capacity'!$B$12:$B$32,0),MATCH(O$4,'Table C - Capacity'!$4:$4,0)+IF(Q$7="Winter",2,3))</f>
        <v>17.830566057900803</v>
      </c>
      <c r="R19" s="228">
        <f>'Table B - Energy'!R19+INDEX('Table C - Capacity'!$12:$32,MATCH($B19,'Table C - Capacity'!$B$12:$B$32,0),MATCH(O$4,'Table C - Capacity'!$4:$4,0)+IF(R$7="Winter",2,3))</f>
        <v>23.387224181359535</v>
      </c>
      <c r="S19" s="229">
        <f>'Table B - Energy'!S19+INDEX('Table C - Capacity'!$12:$32,MATCH($B19,'Table C - Capacity'!$B$12:$B$32,0),MATCH(O$4,'Table C - Capacity'!$4:$4,0)+IF(S$7="Winter",2,3))</f>
        <v>17.449749312393358</v>
      </c>
      <c r="T19" s="226">
        <f>SUMPRODUCT(U19:X19,Profiles!S19:V19)/SUM(Profiles!S19:V19)</f>
        <v>17.894401024153158</v>
      </c>
      <c r="U19" s="227">
        <f>'Table B - Energy'!U19+INDEX('Table C - Capacity'!$12:$32,MATCH($B19,'Table C - Capacity'!$B$12:$B$32,0),MATCH(T$4,'Table C - Capacity'!$4:$4,0)+IF(U$7="Winter",2,3))</f>
        <v>21.820235647190476</v>
      </c>
      <c r="V19" s="228">
        <f>'Table B - Energy'!V19+INDEX('Table C - Capacity'!$12:$32,MATCH($B19,'Table C - Capacity'!$B$12:$B$32,0),MATCH(T$4,'Table C - Capacity'!$4:$4,0)+IF(V$7="Winter",2,3))</f>
        <v>16.421344003503947</v>
      </c>
      <c r="W19" s="228">
        <f>'Table B - Energy'!W19+INDEX('Table C - Capacity'!$12:$32,MATCH($B19,'Table C - Capacity'!$B$12:$B$32,0),MATCH(T$4,'Table C - Capacity'!$4:$4,0)+IF(W$7="Winter",2,3))</f>
        <v>23.124112939279527</v>
      </c>
      <c r="X19" s="229">
        <f>'Table B - Energy'!X19+INDEX('Table C - Capacity'!$12:$32,MATCH($B19,'Table C - Capacity'!$B$12:$B$32,0),MATCH(T$4,'Table C - Capacity'!$4:$4,0)+IF(X$7="Winter",2,3))</f>
        <v>17.131552956611138</v>
      </c>
    </row>
    <row r="20" spans="2:24">
      <c r="B20" s="235">
        <f t="shared" si="0"/>
        <v>2031</v>
      </c>
      <c r="C20" s="226">
        <f>SUMPRODUCT(D20:G20,Profiles!D20:G20)/SUM(Profiles!D20:G20)</f>
        <v>43.59570520010346</v>
      </c>
      <c r="D20" s="227">
        <f>'Table B - Energy'!D20+INDEX('Table C - Capacity'!$12:$32,MATCH($B20,'Table C - Capacity'!$B$12:$B$32,0),MATCH(C$4,'Table C - Capacity'!$4:$4,0)+IF(D$7="Winter",2,3))</f>
        <v>46.328411125405935</v>
      </c>
      <c r="E20" s="228">
        <f>'Table B - Energy'!E20+INDEX('Table C - Capacity'!$12:$32,MATCH($B20,'Table C - Capacity'!$B$12:$B$32,0),MATCH(C$4,'Table C - Capacity'!$4:$4,0)+IF(E$7="Winter",2,3))</f>
        <v>31.728964108945135</v>
      </c>
      <c r="F20" s="228">
        <f>'Table B - Energy'!F20+INDEX('Table C - Capacity'!$12:$32,MATCH($B20,'Table C - Capacity'!$B$12:$B$32,0),MATCH(C$4,'Table C - Capacity'!$4:$4,0)+IF(F$7="Winter",2,3))</f>
        <v>66.544588070197591</v>
      </c>
      <c r="G20" s="229">
        <f>'Table B - Energy'!G20+INDEX('Table C - Capacity'!$12:$32,MATCH($B20,'Table C - Capacity'!$B$12:$B$32,0),MATCH(C$4,'Table C - Capacity'!$4:$4,0)+IF(G$7="Winter",2,3))</f>
        <v>53.03597126691885</v>
      </c>
      <c r="H20" s="226">
        <f>SUMPRODUCT(I20:L20,Profiles!I20:L20)/SUM(Profiles!I20:L20)</f>
        <v>30.827335175183528</v>
      </c>
      <c r="I20" s="227">
        <f>'Table B - Energy'!I20+INDEX('Table C - Capacity'!$12:$32,MATCH($B20,'Table C - Capacity'!$B$12:$B$32,0),MATCH(H$4,'Table C - Capacity'!$4:$4,0)+IF(I$7="Winter",2,3))</f>
        <v>40.013215314936105</v>
      </c>
      <c r="J20" s="228">
        <f>'Table B - Energy'!J20+INDEX('Table C - Capacity'!$12:$32,MATCH($B20,'Table C - Capacity'!$B$12:$B$32,0),MATCH(H$4,'Table C - Capacity'!$4:$4,0)+IF(J$7="Winter",2,3))</f>
        <v>24.234478792920914</v>
      </c>
      <c r="K20" s="228">
        <f>'Table B - Energy'!K20+INDEX('Table C - Capacity'!$12:$32,MATCH($B20,'Table C - Capacity'!$B$12:$B$32,0),MATCH(H$4,'Table C - Capacity'!$4:$4,0)+IF(K$7="Winter",2,3))</f>
        <v>41.987526039732501</v>
      </c>
      <c r="L20" s="229">
        <f>'Table B - Energy'!L20+INDEX('Table C - Capacity'!$12:$32,MATCH($B20,'Table C - Capacity'!$B$12:$B$32,0),MATCH(H$4,'Table C - Capacity'!$4:$4,0)+IF(L$7="Winter",2,3))</f>
        <v>30.099097954893729</v>
      </c>
      <c r="N20" s="235">
        <f t="shared" si="1"/>
        <v>2031</v>
      </c>
      <c r="O20" s="226">
        <f>SUMPRODUCT(P20:S20,Profiles!N20:Q20)/SUM(Profiles!N20:Q20)</f>
        <v>19.061068215682816</v>
      </c>
      <c r="P20" s="227">
        <f>'Table B - Energy'!P20+INDEX('Table C - Capacity'!$12:$32,MATCH($B20,'Table C - Capacity'!$B$12:$B$32,0),MATCH(O$4,'Table C - Capacity'!$4:$4,0)+IF(P$7="Winter",2,3))</f>
        <v>23.414369014567868</v>
      </c>
      <c r="Q20" s="228">
        <f>'Table B - Energy'!Q20+INDEX('Table C - Capacity'!$12:$32,MATCH($B20,'Table C - Capacity'!$B$12:$B$32,0),MATCH(O$4,'Table C - Capacity'!$4:$4,0)+IF(Q$7="Winter",2,3))</f>
        <v>18.660976377221385</v>
      </c>
      <c r="R20" s="228">
        <f>'Table B - Energy'!R20+INDEX('Table C - Capacity'!$12:$32,MATCH($B20,'Table C - Capacity'!$B$12:$B$32,0),MATCH(O$4,'Table C - Capacity'!$4:$4,0)+IF(R$7="Winter",2,3))</f>
        <v>23.693939472143551</v>
      </c>
      <c r="S20" s="229">
        <f>'Table B - Energy'!S20+INDEX('Table C - Capacity'!$12:$32,MATCH($B20,'Table C - Capacity'!$B$12:$B$32,0),MATCH(O$4,'Table C - Capacity'!$4:$4,0)+IF(S$7="Winter",2,3))</f>
        <v>17.741989637850953</v>
      </c>
      <c r="T20" s="226">
        <f>SUMPRODUCT(U20:X20,Profiles!S20:V20)/SUM(Profiles!S20:V20)</f>
        <v>18.39534951934041</v>
      </c>
      <c r="U20" s="227">
        <f>'Table B - Energy'!U20+INDEX('Table C - Capacity'!$12:$32,MATCH($B20,'Table C - Capacity'!$B$12:$B$32,0),MATCH(T$4,'Table C - Capacity'!$4:$4,0)+IF(U$7="Winter",2,3))</f>
        <v>22.736146782747817</v>
      </c>
      <c r="V20" s="228">
        <f>'Table B - Energy'!V20+INDEX('Table C - Capacity'!$12:$32,MATCH($B20,'Table C - Capacity'!$B$12:$B$32,0),MATCH(T$4,'Table C - Capacity'!$4:$4,0)+IF(V$7="Winter",2,3))</f>
        <v>17.170530502073831</v>
      </c>
      <c r="W20" s="228">
        <f>'Table B - Energy'!W20+INDEX('Table C - Capacity'!$12:$32,MATCH($B20,'Table C - Capacity'!$B$12:$B$32,0),MATCH(T$4,'Table C - Capacity'!$4:$4,0)+IF(W$7="Winter",2,3))</f>
        <v>23.335590957460553</v>
      </c>
      <c r="X20" s="229">
        <f>'Table B - Energy'!X20+INDEX('Table C - Capacity'!$12:$32,MATCH($B20,'Table C - Capacity'!$B$12:$B$32,0),MATCH(T$4,'Table C - Capacity'!$4:$4,0)+IF(X$7="Winter",2,3))</f>
        <v>17.388506747288446</v>
      </c>
    </row>
    <row r="21" spans="2:24">
      <c r="B21" s="235">
        <f t="shared" si="0"/>
        <v>2032</v>
      </c>
      <c r="C21" s="226">
        <f>SUMPRODUCT(D21:G21,Profiles!D21:G21)/SUM(Profiles!D21:G21)</f>
        <v>43.337939263802319</v>
      </c>
      <c r="D21" s="227">
        <f>'Table B - Energy'!D21+INDEX('Table C - Capacity'!$12:$32,MATCH($B21,'Table C - Capacity'!$B$12:$B$32,0),MATCH(C$4,'Table C - Capacity'!$4:$4,0)+IF(D$7="Winter",2,3))</f>
        <v>45.304785132291727</v>
      </c>
      <c r="E21" s="228">
        <f>'Table B - Energy'!E21+INDEX('Table C - Capacity'!$12:$32,MATCH($B21,'Table C - Capacity'!$B$12:$B$32,0),MATCH(C$4,'Table C - Capacity'!$4:$4,0)+IF(E$7="Winter",2,3))</f>
        <v>31.12956740688222</v>
      </c>
      <c r="F21" s="228">
        <f>'Table B - Energy'!F21+INDEX('Table C - Capacity'!$12:$32,MATCH($B21,'Table C - Capacity'!$B$12:$B$32,0),MATCH(C$4,'Table C - Capacity'!$4:$4,0)+IF(F$7="Winter",2,3))</f>
        <v>67.164261188025307</v>
      </c>
      <c r="G21" s="229">
        <f>'Table B - Energy'!G21+INDEX('Table C - Capacity'!$12:$32,MATCH($B21,'Table C - Capacity'!$B$12:$B$32,0),MATCH(C$4,'Table C - Capacity'!$4:$4,0)+IF(G$7="Winter",2,3))</f>
        <v>53.874676147041619</v>
      </c>
      <c r="H21" s="226">
        <f>SUMPRODUCT(I21:L21,Profiles!I21:L21)/SUM(Profiles!I21:L21)</f>
        <v>30.177070259550266</v>
      </c>
      <c r="I21" s="227">
        <f>'Table B - Energy'!I21+INDEX('Table C - Capacity'!$12:$32,MATCH($B21,'Table C - Capacity'!$B$12:$B$32,0),MATCH(H$4,'Table C - Capacity'!$4:$4,0)+IF(I$7="Winter",2,3))</f>
        <v>38.713561288982412</v>
      </c>
      <c r="J21" s="228">
        <f>'Table B - Energy'!J21+INDEX('Table C - Capacity'!$12:$32,MATCH($B21,'Table C - Capacity'!$B$12:$B$32,0),MATCH(H$4,'Table C - Capacity'!$4:$4,0)+IF(J$7="Winter",2,3))</f>
        <v>23.355012017258137</v>
      </c>
      <c r="K21" s="228">
        <f>'Table B - Energy'!K21+INDEX('Table C - Capacity'!$12:$32,MATCH($B21,'Table C - Capacity'!$B$12:$B$32,0),MATCH(H$4,'Table C - Capacity'!$4:$4,0)+IF(K$7="Winter",2,3))</f>
        <v>42.088846977572999</v>
      </c>
      <c r="L21" s="229">
        <f>'Table B - Energy'!L21+INDEX('Table C - Capacity'!$12:$32,MATCH($B21,'Table C - Capacity'!$B$12:$B$32,0),MATCH(H$4,'Table C - Capacity'!$4:$4,0)+IF(L$7="Winter",2,3))</f>
        <v>30.453706501534523</v>
      </c>
      <c r="N21" s="235">
        <f t="shared" si="1"/>
        <v>2032</v>
      </c>
      <c r="O21" s="226">
        <f>SUMPRODUCT(P21:S21,Profiles!N21:Q21)/SUM(Profiles!N21:Q21)</f>
        <v>18.628497500364663</v>
      </c>
      <c r="P21" s="227">
        <f>'Table B - Energy'!P21+INDEX('Table C - Capacity'!$12:$32,MATCH($B21,'Table C - Capacity'!$B$12:$B$32,0),MATCH(O$4,'Table C - Capacity'!$4:$4,0)+IF(P$7="Winter",2,3))</f>
        <v>22.117142203413557</v>
      </c>
      <c r="Q21" s="228">
        <f>'Table B - Energy'!Q21+INDEX('Table C - Capacity'!$12:$32,MATCH($B21,'Table C - Capacity'!$B$12:$B$32,0),MATCH(O$4,'Table C - Capacity'!$4:$4,0)+IF(Q$7="Winter",2,3))</f>
        <v>17.966273280391725</v>
      </c>
      <c r="R21" s="228">
        <f>'Table B - Energy'!R21+INDEX('Table C - Capacity'!$12:$32,MATCH($B21,'Table C - Capacity'!$B$12:$B$32,0),MATCH(O$4,'Table C - Capacity'!$4:$4,0)+IF(R$7="Winter",2,3))</f>
        <v>23.647074443851459</v>
      </c>
      <c r="S21" s="229">
        <f>'Table B - Energy'!S21+INDEX('Table C - Capacity'!$12:$32,MATCH($B21,'Table C - Capacity'!$B$12:$B$32,0),MATCH(O$4,'Table C - Capacity'!$4:$4,0)+IF(S$7="Winter",2,3))</f>
        <v>17.705418964171759</v>
      </c>
      <c r="T21" s="226">
        <f>SUMPRODUCT(U21:X21,Profiles!S21:V21)/SUM(Profiles!S21:V21)</f>
        <v>17.971665803410403</v>
      </c>
      <c r="U21" s="227">
        <f>'Table B - Energy'!U21+INDEX('Table C - Capacity'!$12:$32,MATCH($B21,'Table C - Capacity'!$B$12:$B$32,0),MATCH(T$4,'Table C - Capacity'!$4:$4,0)+IF(U$7="Winter",2,3))</f>
        <v>21.524464430944811</v>
      </c>
      <c r="V21" s="228">
        <f>'Table B - Energy'!V21+INDEX('Table C - Capacity'!$12:$32,MATCH($B21,'Table C - Capacity'!$B$12:$B$32,0),MATCH(T$4,'Table C - Capacity'!$4:$4,0)+IF(V$7="Winter",2,3))</f>
        <v>16.396034444386249</v>
      </c>
      <c r="W21" s="228">
        <f>'Table B - Energy'!W21+INDEX('Table C - Capacity'!$12:$32,MATCH($B21,'Table C - Capacity'!$B$12:$B$32,0),MATCH(T$4,'Table C - Capacity'!$4:$4,0)+IF(W$7="Winter",2,3))</f>
        <v>23.302430425076544</v>
      </c>
      <c r="X21" s="229">
        <f>'Table B - Energy'!X21+INDEX('Table C - Capacity'!$12:$32,MATCH($B21,'Table C - Capacity'!$B$12:$B$32,0),MATCH(T$4,'Table C - Capacity'!$4:$4,0)+IF(X$7="Winter",2,3))</f>
        <v>17.34911200905767</v>
      </c>
    </row>
    <row r="22" spans="2:24">
      <c r="B22" s="235">
        <f t="shared" si="0"/>
        <v>2033</v>
      </c>
      <c r="C22" s="226">
        <f>SUMPRODUCT(D22:G22,Profiles!D22:G22)/SUM(Profiles!D22:G22)</f>
        <v>43.253162832308689</v>
      </c>
      <c r="D22" s="227">
        <f>'Table B - Energy'!D22+INDEX('Table C - Capacity'!$12:$32,MATCH($B22,'Table C - Capacity'!$B$12:$B$32,0),MATCH(C$4,'Table C - Capacity'!$4:$4,0)+IF(D$7="Winter",2,3))</f>
        <v>44.969435387009497</v>
      </c>
      <c r="E22" s="228">
        <f>'Table B - Energy'!E22+INDEX('Table C - Capacity'!$12:$32,MATCH($B22,'Table C - Capacity'!$B$12:$B$32,0),MATCH(C$4,'Table C - Capacity'!$4:$4,0)+IF(E$7="Winter",2,3))</f>
        <v>31.361035181248283</v>
      </c>
      <c r="F22" s="228">
        <f>'Table B - Energy'!F22+INDEX('Table C - Capacity'!$12:$32,MATCH($B22,'Table C - Capacity'!$B$12:$B$32,0),MATCH(C$4,'Table C - Capacity'!$4:$4,0)+IF(F$7="Winter",2,3))</f>
        <v>66.026055066251487</v>
      </c>
      <c r="G22" s="229">
        <f>'Table B - Energy'!G22+INDEX('Table C - Capacity'!$12:$32,MATCH($B22,'Table C - Capacity'!$B$12:$B$32,0),MATCH(C$4,'Table C - Capacity'!$4:$4,0)+IF(G$7="Winter",2,3))</f>
        <v>53.844256910513792</v>
      </c>
      <c r="H22" s="226">
        <f>SUMPRODUCT(I22:L22,Profiles!I22:L22)/SUM(Profiles!I22:L22)</f>
        <v>29.780054615341061</v>
      </c>
      <c r="I22" s="227">
        <f>'Table B - Energy'!I22+INDEX('Table C - Capacity'!$12:$32,MATCH($B22,'Table C - Capacity'!$B$12:$B$32,0),MATCH(H$4,'Table C - Capacity'!$4:$4,0)+IF(I$7="Winter",2,3))</f>
        <v>38.166402114241919</v>
      </c>
      <c r="J22" s="228">
        <f>'Table B - Energy'!J22+INDEX('Table C - Capacity'!$12:$32,MATCH($B22,'Table C - Capacity'!$B$12:$B$32,0),MATCH(H$4,'Table C - Capacity'!$4:$4,0)+IF(J$7="Winter",2,3))</f>
        <v>23.354679587349096</v>
      </c>
      <c r="K22" s="228">
        <f>'Table B - Energy'!K22+INDEX('Table C - Capacity'!$12:$32,MATCH($B22,'Table C - Capacity'!$B$12:$B$32,0),MATCH(H$4,'Table C - Capacity'!$4:$4,0)+IF(K$7="Winter",2,3))</f>
        <v>40.487586641582681</v>
      </c>
      <c r="L22" s="229">
        <f>'Table B - Energy'!L22+INDEX('Table C - Capacity'!$12:$32,MATCH($B22,'Table C - Capacity'!$B$12:$B$32,0),MATCH(H$4,'Table C - Capacity'!$4:$4,0)+IF(L$7="Winter",2,3))</f>
        <v>29.855645679577407</v>
      </c>
      <c r="N22" s="235">
        <f t="shared" si="1"/>
        <v>2033</v>
      </c>
      <c r="O22" s="226">
        <f>SUMPRODUCT(P22:S22,Profiles!N22:Q22)/SUM(Profiles!N22:Q22)</f>
        <v>17.97861111868017</v>
      </c>
      <c r="P22" s="227">
        <f>'Table B - Energy'!P22+INDEX('Table C - Capacity'!$12:$32,MATCH($B22,'Table C - Capacity'!$B$12:$B$32,0),MATCH(O$4,'Table C - Capacity'!$4:$4,0)+IF(P$7="Winter",2,3))</f>
        <v>21.493931105370045</v>
      </c>
      <c r="Q22" s="228">
        <f>'Table B - Energy'!Q22+INDEX('Table C - Capacity'!$12:$32,MATCH($B22,'Table C - Capacity'!$B$12:$B$32,0),MATCH(O$4,'Table C - Capacity'!$4:$4,0)+IF(Q$7="Winter",2,3))</f>
        <v>17.636041727277757</v>
      </c>
      <c r="R22" s="228">
        <f>'Table B - Energy'!R22+INDEX('Table C - Capacity'!$12:$32,MATCH($B22,'Table C - Capacity'!$B$12:$B$32,0),MATCH(O$4,'Table C - Capacity'!$4:$4,0)+IF(R$7="Winter",2,3))</f>
        <v>22.385394912510897</v>
      </c>
      <c r="S22" s="229">
        <f>'Table B - Energy'!S22+INDEX('Table C - Capacity'!$12:$32,MATCH($B22,'Table C - Capacity'!$B$12:$B$32,0),MATCH(O$4,'Table C - Capacity'!$4:$4,0)+IF(S$7="Winter",2,3))</f>
        <v>16.720136798847566</v>
      </c>
      <c r="T22" s="226">
        <f>SUMPRODUCT(U22:X22,Profiles!S22:V22)/SUM(Profiles!S22:V22)</f>
        <v>17.286617187768023</v>
      </c>
      <c r="U22" s="227">
        <f>'Table B - Energy'!U22+INDEX('Table C - Capacity'!$12:$32,MATCH($B22,'Table C - Capacity'!$B$12:$B$32,0),MATCH(T$4,'Table C - Capacity'!$4:$4,0)+IF(U$7="Winter",2,3))</f>
        <v>20.874474406537324</v>
      </c>
      <c r="V22" s="228">
        <f>'Table B - Energy'!V22+INDEX('Table C - Capacity'!$12:$32,MATCH($B22,'Table C - Capacity'!$B$12:$B$32,0),MATCH(T$4,'Table C - Capacity'!$4:$4,0)+IF(V$7="Winter",2,3))</f>
        <v>16.027312583697373</v>
      </c>
      <c r="W22" s="228">
        <f>'Table B - Energy'!W22+INDEX('Table C - Capacity'!$12:$32,MATCH($B22,'Table C - Capacity'!$B$12:$B$32,0),MATCH(T$4,'Table C - Capacity'!$4:$4,0)+IF(W$7="Winter",2,3))</f>
        <v>22.146994263260307</v>
      </c>
      <c r="X22" s="229">
        <f>'Table B - Energy'!X22+INDEX('Table C - Capacity'!$12:$32,MATCH($B22,'Table C - Capacity'!$B$12:$B$32,0),MATCH(T$4,'Table C - Capacity'!$4:$4,0)+IF(X$7="Winter",2,3))</f>
        <v>16.459614500550177</v>
      </c>
    </row>
    <row r="23" spans="2:24">
      <c r="B23" s="235">
        <f t="shared" si="0"/>
        <v>2034</v>
      </c>
      <c r="C23" s="226">
        <f>SUMPRODUCT(D23:G23,Profiles!D23:G23)/SUM(Profiles!D23:G23)</f>
        <v>44.135101522657258</v>
      </c>
      <c r="D23" s="227">
        <f>'Table B - Energy'!D23+INDEX('Table C - Capacity'!$12:$32,MATCH($B23,'Table C - Capacity'!$B$12:$B$32,0),MATCH(C$4,'Table C - Capacity'!$4:$4,0)+IF(D$7="Winter",2,3))</f>
        <v>45.987634134449848</v>
      </c>
      <c r="E23" s="228">
        <f>'Table B - Energy'!E23+INDEX('Table C - Capacity'!$12:$32,MATCH($B23,'Table C - Capacity'!$B$12:$B$32,0),MATCH(C$4,'Table C - Capacity'!$4:$4,0)+IF(E$7="Winter",2,3))</f>
        <v>32.113181973956102</v>
      </c>
      <c r="F23" s="228">
        <f>'Table B - Energy'!F23+INDEX('Table C - Capacity'!$12:$32,MATCH($B23,'Table C - Capacity'!$B$12:$B$32,0),MATCH(C$4,'Table C - Capacity'!$4:$4,0)+IF(F$7="Winter",2,3))</f>
        <v>67.13183984507036</v>
      </c>
      <c r="G23" s="229">
        <f>'Table B - Energy'!G23+INDEX('Table C - Capacity'!$12:$32,MATCH($B23,'Table C - Capacity'!$B$12:$B$32,0),MATCH(C$4,'Table C - Capacity'!$4:$4,0)+IF(G$7="Winter",2,3))</f>
        <v>54.737090869660427</v>
      </c>
      <c r="H23" s="226">
        <f>SUMPRODUCT(I23:L23,Profiles!I23:L23)/SUM(Profiles!I23:L23)</f>
        <v>30.544306475855322</v>
      </c>
      <c r="I23" s="227">
        <f>'Table B - Energy'!I23+INDEX('Table C - Capacity'!$12:$32,MATCH($B23,'Table C - Capacity'!$B$12:$B$32,0),MATCH(H$4,'Table C - Capacity'!$4:$4,0)+IF(I$7="Winter",2,3))</f>
        <v>39.266031248085149</v>
      </c>
      <c r="J23" s="228">
        <f>'Table B - Energy'!J23+INDEX('Table C - Capacity'!$12:$32,MATCH($B23,'Table C - Capacity'!$B$12:$B$32,0),MATCH(H$4,'Table C - Capacity'!$4:$4,0)+IF(J$7="Winter",2,3))</f>
        <v>24.108205996402774</v>
      </c>
      <c r="K23" s="228">
        <f>'Table B - Energy'!K23+INDEX('Table C - Capacity'!$12:$32,MATCH($B23,'Table C - Capacity'!$B$12:$B$32,0),MATCH(H$4,'Table C - Capacity'!$4:$4,0)+IF(K$7="Winter",2,3))</f>
        <v>41.150371559096968</v>
      </c>
      <c r="L23" s="229">
        <f>'Table B - Energy'!L23+INDEX('Table C - Capacity'!$12:$32,MATCH($B23,'Table C - Capacity'!$B$12:$B$32,0),MATCH(H$4,'Table C - Capacity'!$4:$4,0)+IF(L$7="Winter",2,3))</f>
        <v>30.284874432822512</v>
      </c>
      <c r="N23" s="235">
        <f t="shared" si="1"/>
        <v>2034</v>
      </c>
      <c r="O23" s="226">
        <f>SUMPRODUCT(P23:S23,Profiles!N23:Q23)/SUM(Profiles!N23:Q23)</f>
        <v>18.356004627271933</v>
      </c>
      <c r="P23" s="227">
        <f>'Table B - Energy'!P23+INDEX('Table C - Capacity'!$12:$32,MATCH($B23,'Table C - Capacity'!$B$12:$B$32,0),MATCH(O$4,'Table C - Capacity'!$4:$4,0)+IF(P$7="Winter",2,3))</f>
        <v>22.871865589467415</v>
      </c>
      <c r="Q23" s="228">
        <f>'Table B - Energy'!Q23+INDEX('Table C - Capacity'!$12:$32,MATCH($B23,'Table C - Capacity'!$B$12:$B$32,0),MATCH(O$4,'Table C - Capacity'!$4:$4,0)+IF(Q$7="Winter",2,3))</f>
        <v>18.140955539834611</v>
      </c>
      <c r="R23" s="228">
        <f>'Table B - Energy'!R23+INDEX('Table C - Capacity'!$12:$32,MATCH($B23,'Table C - Capacity'!$B$12:$B$32,0),MATCH(O$4,'Table C - Capacity'!$4:$4,0)+IF(R$7="Winter",2,3))</f>
        <v>22.54035736491301</v>
      </c>
      <c r="S23" s="229">
        <f>'Table B - Energy'!S23+INDEX('Table C - Capacity'!$12:$32,MATCH($B23,'Table C - Capacity'!$B$12:$B$32,0),MATCH(O$4,'Table C - Capacity'!$4:$4,0)+IF(S$7="Winter",2,3))</f>
        <v>16.862638791104644</v>
      </c>
      <c r="T23" s="226">
        <f>SUMPRODUCT(U23:X23,Profiles!S23:V23)/SUM(Profiles!S23:V23)</f>
        <v>17.640982751031856</v>
      </c>
      <c r="U23" s="227">
        <f>'Table B - Energy'!U23+INDEX('Table C - Capacity'!$12:$32,MATCH($B23,'Table C - Capacity'!$B$12:$B$32,0),MATCH(T$4,'Table C - Capacity'!$4:$4,0)+IF(U$7="Winter",2,3))</f>
        <v>21.985420071611333</v>
      </c>
      <c r="V23" s="228">
        <f>'Table B - Energy'!V23+INDEX('Table C - Capacity'!$12:$32,MATCH($B23,'Table C - Capacity'!$B$12:$B$32,0),MATCH(T$4,'Table C - Capacity'!$4:$4,0)+IF(V$7="Winter",2,3))</f>
        <v>16.650053526566147</v>
      </c>
      <c r="W23" s="228">
        <f>'Table B - Energy'!W23+INDEX('Table C - Capacity'!$12:$32,MATCH($B23,'Table C - Capacity'!$B$12:$B$32,0),MATCH(T$4,'Table C - Capacity'!$4:$4,0)+IF(W$7="Winter",2,3))</f>
        <v>22.163444802563081</v>
      </c>
      <c r="X23" s="229">
        <f>'Table B - Energy'!X23+INDEX('Table C - Capacity'!$12:$32,MATCH($B23,'Table C - Capacity'!$B$12:$B$32,0),MATCH(T$4,'Table C - Capacity'!$4:$4,0)+IF(X$7="Winter",2,3))</f>
        <v>16.51377107800695</v>
      </c>
    </row>
    <row r="24" spans="2:24">
      <c r="B24" s="235">
        <f t="shared" si="0"/>
        <v>2035</v>
      </c>
      <c r="C24" s="226">
        <f>SUMPRODUCT(D24:G24,Profiles!D24:G24)/SUM(Profiles!D24:G24)</f>
        <v>44.933119006080105</v>
      </c>
      <c r="D24" s="227">
        <f>'Table B - Energy'!D24+INDEX('Table C - Capacity'!$12:$32,MATCH($B24,'Table C - Capacity'!$B$12:$B$32,0),MATCH(C$4,'Table C - Capacity'!$4:$4,0)+IF(D$7="Winter",2,3))</f>
        <v>45.693972651641097</v>
      </c>
      <c r="E24" s="228">
        <f>'Table B - Energy'!E24+INDEX('Table C - Capacity'!$12:$32,MATCH($B24,'Table C - Capacity'!$B$12:$B$32,0),MATCH(C$4,'Table C - Capacity'!$4:$4,0)+IF(E$7="Winter",2,3))</f>
        <v>32.162838392381445</v>
      </c>
      <c r="F24" s="228">
        <f>'Table B - Energy'!F24+INDEX('Table C - Capacity'!$12:$32,MATCH($B24,'Table C - Capacity'!$B$12:$B$32,0),MATCH(C$4,'Table C - Capacity'!$4:$4,0)+IF(F$7="Winter",2,3))</f>
        <v>70.126159149211745</v>
      </c>
      <c r="G24" s="229">
        <f>'Table B - Energy'!G24+INDEX('Table C - Capacity'!$12:$32,MATCH($B24,'Table C - Capacity'!$B$12:$B$32,0),MATCH(C$4,'Table C - Capacity'!$4:$4,0)+IF(G$7="Winter",2,3))</f>
        <v>57.01475033773653</v>
      </c>
      <c r="H24" s="226">
        <f>SUMPRODUCT(I24:L24,Profiles!I24:L24)/SUM(Profiles!I24:L24)</f>
        <v>30.727568883474646</v>
      </c>
      <c r="I24" s="227">
        <f>'Table B - Energy'!I24+INDEX('Table C - Capacity'!$12:$32,MATCH($B24,'Table C - Capacity'!$B$12:$B$32,0),MATCH(H$4,'Table C - Capacity'!$4:$4,0)+IF(I$7="Winter",2,3))</f>
        <v>38.511273283046961</v>
      </c>
      <c r="J24" s="228">
        <f>'Table B - Energy'!J24+INDEX('Table C - Capacity'!$12:$32,MATCH($B24,'Table C - Capacity'!$B$12:$B$32,0),MATCH(H$4,'Table C - Capacity'!$4:$4,0)+IF(J$7="Winter",2,3))</f>
        <v>23.818168722120451</v>
      </c>
      <c r="K24" s="228">
        <f>'Table B - Energy'!K24+INDEX('Table C - Capacity'!$12:$32,MATCH($B24,'Table C - Capacity'!$B$12:$B$32,0),MATCH(H$4,'Table C - Capacity'!$4:$4,0)+IF(K$7="Winter",2,3))</f>
        <v>43.038547545387203</v>
      </c>
      <c r="L24" s="229">
        <f>'Table B - Energy'!L24+INDEX('Table C - Capacity'!$12:$32,MATCH($B24,'Table C - Capacity'!$B$12:$B$32,0),MATCH(H$4,'Table C - Capacity'!$4:$4,0)+IF(L$7="Winter",2,3))</f>
        <v>31.922270110176893</v>
      </c>
      <c r="N24" s="235">
        <f t="shared" si="1"/>
        <v>2035</v>
      </c>
      <c r="O24" s="226">
        <f>SUMPRODUCT(P24:S24,Profiles!N24:Q24)/SUM(Profiles!N24:Q24)</f>
        <v>18.641304996141837</v>
      </c>
      <c r="P24" s="227">
        <f>'Table B - Energy'!P24+INDEX('Table C - Capacity'!$12:$32,MATCH($B24,'Table C - Capacity'!$B$12:$B$32,0),MATCH(O$4,'Table C - Capacity'!$4:$4,0)+IF(P$7="Winter",2,3))</f>
        <v>22.24120013106938</v>
      </c>
      <c r="Q24" s="228">
        <f>'Table B - Energy'!Q24+INDEX('Table C - Capacity'!$12:$32,MATCH($B24,'Table C - Capacity'!$B$12:$B$32,0),MATCH(O$4,'Table C - Capacity'!$4:$4,0)+IF(Q$7="Winter",2,3))</f>
        <v>17.815100192823511</v>
      </c>
      <c r="R24" s="228">
        <f>'Table B - Energy'!R24+INDEX('Table C - Capacity'!$12:$32,MATCH($B24,'Table C - Capacity'!$B$12:$B$32,0),MATCH(O$4,'Table C - Capacity'!$4:$4,0)+IF(R$7="Winter",2,3))</f>
        <v>23.860869742750314</v>
      </c>
      <c r="S24" s="229">
        <f>'Table B - Energy'!S24+INDEX('Table C - Capacity'!$12:$32,MATCH($B24,'Table C - Capacity'!$B$12:$B$32,0),MATCH(O$4,'Table C - Capacity'!$4:$4,0)+IF(S$7="Winter",2,3))</f>
        <v>17.911493549423021</v>
      </c>
      <c r="T24" s="226">
        <f>SUMPRODUCT(U24:X24,Profiles!S24:V24)/SUM(Profiles!S24:V24)</f>
        <v>17.944793578557253</v>
      </c>
      <c r="U24" s="227">
        <f>'Table B - Energy'!U24+INDEX('Table C - Capacity'!$12:$32,MATCH($B24,'Table C - Capacity'!$B$12:$B$32,0),MATCH(T$4,'Table C - Capacity'!$4:$4,0)+IF(U$7="Winter",2,3))</f>
        <v>21.659096534446409</v>
      </c>
      <c r="V24" s="228">
        <f>'Table B - Energy'!V24+INDEX('Table C - Capacity'!$12:$32,MATCH($B24,'Table C - Capacity'!$B$12:$B$32,0),MATCH(T$4,'Table C - Capacity'!$4:$4,0)+IF(V$7="Winter",2,3))</f>
        <v>16.293416166788479</v>
      </c>
      <c r="W24" s="228">
        <f>'Table B - Energy'!W24+INDEX('Table C - Capacity'!$12:$32,MATCH($B24,'Table C - Capacity'!$B$12:$B$32,0),MATCH(T$4,'Table C - Capacity'!$4:$4,0)+IF(W$7="Winter",2,3))</f>
        <v>22.996982126758788</v>
      </c>
      <c r="X24" s="229">
        <f>'Table B - Energy'!X24+INDEX('Table C - Capacity'!$12:$32,MATCH($B24,'Table C - Capacity'!$B$12:$B$32,0),MATCH(T$4,'Table C - Capacity'!$4:$4,0)+IF(X$7="Winter",2,3))</f>
        <v>17.483642283958154</v>
      </c>
    </row>
    <row r="25" spans="2:24">
      <c r="B25" s="235">
        <f t="shared" si="0"/>
        <v>2036</v>
      </c>
      <c r="C25" s="226">
        <f>SUMPRODUCT(D25:G25,Profiles!D25:G25)/SUM(Profiles!D25:G25)</f>
        <v>44.644453468862146</v>
      </c>
      <c r="D25" s="227">
        <f>'Table B - Energy'!D25+INDEX('Table C - Capacity'!$12:$32,MATCH($B25,'Table C - Capacity'!$B$12:$B$32,0),MATCH(C$4,'Table C - Capacity'!$4:$4,0)+IF(D$7="Winter",2,3))</f>
        <v>45.485083150588707</v>
      </c>
      <c r="E25" s="228">
        <f>'Table B - Energy'!E25+INDEX('Table C - Capacity'!$12:$32,MATCH($B25,'Table C - Capacity'!$B$12:$B$32,0),MATCH(C$4,'Table C - Capacity'!$4:$4,0)+IF(E$7="Winter",2,3))</f>
        <v>31.945224031736412</v>
      </c>
      <c r="F25" s="228">
        <f>'Table B - Energy'!F25+INDEX('Table C - Capacity'!$12:$32,MATCH($B25,'Table C - Capacity'!$B$12:$B$32,0),MATCH(C$4,'Table C - Capacity'!$4:$4,0)+IF(F$7="Winter",2,3))</f>
        <v>69.116609405955302</v>
      </c>
      <c r="G25" s="229">
        <f>'Table B - Energy'!G25+INDEX('Table C - Capacity'!$12:$32,MATCH($B25,'Table C - Capacity'!$B$12:$B$32,0),MATCH(C$4,'Table C - Capacity'!$4:$4,0)+IF(G$7="Winter",2,3))</f>
        <v>56.966204692840478</v>
      </c>
      <c r="H25" s="226">
        <f>SUMPRODUCT(I25:L25,Profiles!I25:L25)/SUM(Profiles!I25:L25)</f>
        <v>30.210147411134837</v>
      </c>
      <c r="I25" s="227">
        <f>'Table B - Energy'!I25+INDEX('Table C - Capacity'!$12:$32,MATCH($B25,'Table C - Capacity'!$B$12:$B$32,0),MATCH(H$4,'Table C - Capacity'!$4:$4,0)+IF(I$7="Winter",2,3))</f>
        <v>38.114614730367094</v>
      </c>
      <c r="J25" s="228">
        <f>'Table B - Energy'!J25+INDEX('Table C - Capacity'!$12:$32,MATCH($B25,'Table C - Capacity'!$B$12:$B$32,0),MATCH(H$4,'Table C - Capacity'!$4:$4,0)+IF(J$7="Winter",2,3))</f>
        <v>23.406714983950256</v>
      </c>
      <c r="K25" s="228">
        <f>'Table B - Energy'!K25+INDEX('Table C - Capacity'!$12:$32,MATCH($B25,'Table C - Capacity'!$B$12:$B$32,0),MATCH(H$4,'Table C - Capacity'!$4:$4,0)+IF(K$7="Winter",2,3))</f>
        <v>41.987241946459008</v>
      </c>
      <c r="L25" s="229">
        <f>'Table B - Energy'!L25+INDEX('Table C - Capacity'!$12:$32,MATCH($B25,'Table C - Capacity'!$B$12:$B$32,0),MATCH(H$4,'Table C - Capacity'!$4:$4,0)+IF(L$7="Winter",2,3))</f>
        <v>31.292786361316558</v>
      </c>
      <c r="N25" s="235">
        <f t="shared" si="1"/>
        <v>2036</v>
      </c>
      <c r="O25" s="226">
        <f>SUMPRODUCT(P25:S25,Profiles!N25:Q25)/SUM(Profiles!N25:Q25)</f>
        <v>18.064075604838081</v>
      </c>
      <c r="P25" s="227">
        <f>'Table B - Energy'!P25+INDEX('Table C - Capacity'!$12:$32,MATCH($B25,'Table C - Capacity'!$B$12:$B$32,0),MATCH(O$4,'Table C - Capacity'!$4:$4,0)+IF(P$7="Winter",2,3))</f>
        <v>21.335489910063902</v>
      </c>
      <c r="Q25" s="228">
        <f>'Table B - Energy'!Q25+INDEX('Table C - Capacity'!$12:$32,MATCH($B25,'Table C - Capacity'!$B$12:$B$32,0),MATCH(O$4,'Table C - Capacity'!$4:$4,0)+IF(Q$7="Winter",2,3))</f>
        <v>17.499125292552002</v>
      </c>
      <c r="R25" s="228">
        <f>'Table B - Energy'!R25+INDEX('Table C - Capacity'!$12:$32,MATCH($B25,'Table C - Capacity'!$B$12:$B$32,0),MATCH(O$4,'Table C - Capacity'!$4:$4,0)+IF(R$7="Winter",2,3))</f>
        <v>22.760089789693584</v>
      </c>
      <c r="S25" s="229">
        <f>'Table B - Energy'!S25+INDEX('Table C - Capacity'!$12:$32,MATCH($B25,'Table C - Capacity'!$B$12:$B$32,0),MATCH(O$4,'Table C - Capacity'!$4:$4,0)+IF(S$7="Winter",2,3))</f>
        <v>17.107377512514365</v>
      </c>
      <c r="T25" s="226">
        <f>SUMPRODUCT(U25:X25,Profiles!S25:V25)/SUM(Profiles!S25:V25)</f>
        <v>17.368771209199068</v>
      </c>
      <c r="U25" s="227">
        <f>'Table B - Energy'!U25+INDEX('Table C - Capacity'!$12:$32,MATCH($B25,'Table C - Capacity'!$B$12:$B$32,0),MATCH(T$4,'Table C - Capacity'!$4:$4,0)+IF(U$7="Winter",2,3))</f>
        <v>20.87598091703142</v>
      </c>
      <c r="V25" s="228">
        <f>'Table B - Energy'!V25+INDEX('Table C - Capacity'!$12:$32,MATCH($B25,'Table C - Capacity'!$B$12:$B$32,0),MATCH(T$4,'Table C - Capacity'!$4:$4,0)+IF(V$7="Winter",2,3))</f>
        <v>15.910041356636484</v>
      </c>
      <c r="W25" s="228">
        <f>'Table B - Energy'!W25+INDEX('Table C - Capacity'!$12:$32,MATCH($B25,'Table C - Capacity'!$B$12:$B$32,0),MATCH(T$4,'Table C - Capacity'!$4:$4,0)+IF(W$7="Winter",2,3))</f>
        <v>22.316411963770722</v>
      </c>
      <c r="X25" s="229">
        <f>'Table B - Energy'!X25+INDEX('Table C - Capacity'!$12:$32,MATCH($B25,'Table C - Capacity'!$B$12:$B$32,0),MATCH(T$4,'Table C - Capacity'!$4:$4,0)+IF(X$7="Winter",2,3))</f>
        <v>16.755698961694875</v>
      </c>
    </row>
    <row r="26" spans="2:24">
      <c r="B26" s="235">
        <f t="shared" si="0"/>
        <v>2037</v>
      </c>
      <c r="C26" s="226">
        <f>SUMPRODUCT(D26:G26,Profiles!D26:G26)/SUM(Profiles!D26:G26)</f>
        <v>45.48571710022955</v>
      </c>
      <c r="D26" s="227">
        <f>'Table B - Energy'!D26+INDEX('Table C - Capacity'!$12:$32,MATCH($B26,'Table C - Capacity'!$B$12:$B$32,0),MATCH(C$4,'Table C - Capacity'!$4:$4,0)+IF(D$7="Winter",2,3))</f>
        <v>46.416364553076015</v>
      </c>
      <c r="E26" s="228">
        <f>'Table B - Energy'!E26+INDEX('Table C - Capacity'!$12:$32,MATCH($B26,'Table C - Capacity'!$B$12:$B$32,0),MATCH(C$4,'Table C - Capacity'!$4:$4,0)+IF(E$7="Winter",2,3))</f>
        <v>32.734018874063679</v>
      </c>
      <c r="F26" s="228">
        <f>'Table B - Energy'!F26+INDEX('Table C - Capacity'!$12:$32,MATCH($B26,'Table C - Capacity'!$B$12:$B$32,0),MATCH(C$4,'Table C - Capacity'!$4:$4,0)+IF(F$7="Winter",2,3))</f>
        <v>69.799290889505258</v>
      </c>
      <c r="G26" s="229">
        <f>'Table B - Energy'!G26+INDEX('Table C - Capacity'!$12:$32,MATCH($B26,'Table C - Capacity'!$B$12:$B$32,0),MATCH(C$4,'Table C - Capacity'!$4:$4,0)+IF(G$7="Winter",2,3))</f>
        <v>57.800971217374133</v>
      </c>
      <c r="H26" s="226">
        <f>SUMPRODUCT(I26:L26,Profiles!I26:L26)/SUM(Profiles!I26:L26)</f>
        <v>30.795911308471688</v>
      </c>
      <c r="I26" s="227">
        <f>'Table B - Energy'!I26+INDEX('Table C - Capacity'!$12:$32,MATCH($B26,'Table C - Capacity'!$B$12:$B$32,0),MATCH(H$4,'Table C - Capacity'!$4:$4,0)+IF(I$7="Winter",2,3))</f>
        <v>38.944443387473711</v>
      </c>
      <c r="J26" s="228">
        <f>'Table B - Energy'!J26+INDEX('Table C - Capacity'!$12:$32,MATCH($B26,'Table C - Capacity'!$B$12:$B$32,0),MATCH(H$4,'Table C - Capacity'!$4:$4,0)+IF(J$7="Winter",2,3))</f>
        <v>24.084679116957602</v>
      </c>
      <c r="K26" s="228">
        <f>'Table B - Energy'!K26+INDEX('Table C - Capacity'!$12:$32,MATCH($B26,'Table C - Capacity'!$B$12:$B$32,0),MATCH(H$4,'Table C - Capacity'!$4:$4,0)+IF(K$7="Winter",2,3))</f>
        <v>42.057210942645057</v>
      </c>
      <c r="L26" s="229">
        <f>'Table B - Energy'!L26+INDEX('Table C - Capacity'!$12:$32,MATCH($B26,'Table C - Capacity'!$B$12:$B$32,0),MATCH(H$4,'Table C - Capacity'!$4:$4,0)+IF(L$7="Winter",2,3))</f>
        <v>31.588727911155161</v>
      </c>
      <c r="N26" s="235">
        <f t="shared" si="1"/>
        <v>2037</v>
      </c>
      <c r="O26" s="226">
        <f>SUMPRODUCT(P26:S26,Profiles!N26:Q26)/SUM(Profiles!N26:Q26)</f>
        <v>18.243398236504678</v>
      </c>
      <c r="P26" s="227">
        <f>'Table B - Energy'!P26+INDEX('Table C - Capacity'!$12:$32,MATCH($B26,'Table C - Capacity'!$B$12:$B$32,0),MATCH(O$4,'Table C - Capacity'!$4:$4,0)+IF(P$7="Winter",2,3))</f>
        <v>22.048492781799233</v>
      </c>
      <c r="Q26" s="228">
        <f>'Table B - Energy'!Q26+INDEX('Table C - Capacity'!$12:$32,MATCH($B26,'Table C - Capacity'!$B$12:$B$32,0),MATCH(O$4,'Table C - Capacity'!$4:$4,0)+IF(Q$7="Winter",2,3))</f>
        <v>17.863381550929724</v>
      </c>
      <c r="R26" s="228">
        <f>'Table B - Energy'!R26+INDEX('Table C - Capacity'!$12:$32,MATCH($B26,'Table C - Capacity'!$B$12:$B$32,0),MATCH(O$4,'Table C - Capacity'!$4:$4,0)+IF(R$7="Winter",2,3))</f>
        <v>22.624682994048271</v>
      </c>
      <c r="S26" s="229">
        <f>'Table B - Energy'!S26+INDEX('Table C - Capacity'!$12:$32,MATCH($B26,'Table C - Capacity'!$B$12:$B$32,0),MATCH(O$4,'Table C - Capacity'!$4:$4,0)+IF(S$7="Winter",2,3))</f>
        <v>17.02868046840004</v>
      </c>
      <c r="T26" s="226">
        <f>SUMPRODUCT(U26:X26,Profiles!S26:V26)/SUM(Profiles!S26:V26)</f>
        <v>17.494314373513813</v>
      </c>
      <c r="U26" s="227">
        <f>'Table B - Energy'!U26+INDEX('Table C - Capacity'!$12:$32,MATCH($B26,'Table C - Capacity'!$B$12:$B$32,0),MATCH(T$4,'Table C - Capacity'!$4:$4,0)+IF(U$7="Winter",2,3))</f>
        <v>21.343501704708885</v>
      </c>
      <c r="V26" s="228">
        <f>'Table B - Energy'!V26+INDEX('Table C - Capacity'!$12:$32,MATCH($B26,'Table C - Capacity'!$B$12:$B$32,0),MATCH(T$4,'Table C - Capacity'!$4:$4,0)+IF(V$7="Winter",2,3))</f>
        <v>16.301735181009942</v>
      </c>
      <c r="W26" s="228">
        <f>'Table B - Energy'!W26+INDEX('Table C - Capacity'!$12:$32,MATCH($B26,'Table C - Capacity'!$B$12:$B$32,0),MATCH(T$4,'Table C - Capacity'!$4:$4,0)+IF(W$7="Winter",2,3))</f>
        <v>22.088434639738743</v>
      </c>
      <c r="X26" s="229">
        <f>'Table B - Energy'!X26+INDEX('Table C - Capacity'!$12:$32,MATCH($B26,'Table C - Capacity'!$B$12:$B$32,0),MATCH(T$4,'Table C - Capacity'!$4:$4,0)+IF(X$7="Winter",2,3))</f>
        <v>16.647677709802338</v>
      </c>
    </row>
    <row r="27" spans="2:24">
      <c r="B27" s="235">
        <f t="shared" si="0"/>
        <v>2038</v>
      </c>
      <c r="C27" s="226">
        <f>SUMPRODUCT(D27:G27,Profiles!D27:G27)/SUM(Profiles!D27:G27)</f>
        <v>46.12813074764459</v>
      </c>
      <c r="D27" s="227">
        <f>'Table B - Energy'!D27+INDEX('Table C - Capacity'!$12:$32,MATCH($B27,'Table C - Capacity'!$B$12:$B$32,0),MATCH(C$4,'Table C - Capacity'!$4:$4,0)+IF(D$7="Winter",2,3))</f>
        <v>46.646036637385571</v>
      </c>
      <c r="E27" s="228">
        <f>'Table B - Energy'!E27+INDEX('Table C - Capacity'!$12:$32,MATCH($B27,'Table C - Capacity'!$B$12:$B$32,0),MATCH(C$4,'Table C - Capacity'!$4:$4,0)+IF(E$7="Winter",2,3))</f>
        <v>32.958726966603543</v>
      </c>
      <c r="F27" s="228">
        <f>'Table B - Energy'!F27+INDEX('Table C - Capacity'!$12:$32,MATCH($B27,'Table C - Capacity'!$B$12:$B$32,0),MATCH(C$4,'Table C - Capacity'!$4:$4,0)+IF(F$7="Winter",2,3))</f>
        <v>71.250867377095034</v>
      </c>
      <c r="G27" s="229">
        <f>'Table B - Energy'!G27+INDEX('Table C - Capacity'!$12:$32,MATCH($B27,'Table C - Capacity'!$B$12:$B$32,0),MATCH(C$4,'Table C - Capacity'!$4:$4,0)+IF(G$7="Winter",2,3))</f>
        <v>59.281840737750869</v>
      </c>
      <c r="H27" s="226">
        <f>SUMPRODUCT(I27:L27,Profiles!I27:L27)/SUM(Profiles!I27:L27)</f>
        <v>31.003367764138726</v>
      </c>
      <c r="I27" s="227">
        <f>'Table B - Energy'!I27+INDEX('Table C - Capacity'!$12:$32,MATCH($B27,'Table C - Capacity'!$B$12:$B$32,0),MATCH(H$4,'Table C - Capacity'!$4:$4,0)+IF(I$7="Winter",2,3))</f>
        <v>38.898692116117076</v>
      </c>
      <c r="J27" s="228">
        <f>'Table B - Energy'!J27+INDEX('Table C - Capacity'!$12:$32,MATCH($B27,'Table C - Capacity'!$B$12:$B$32,0),MATCH(H$4,'Table C - Capacity'!$4:$4,0)+IF(J$7="Winter",2,3))</f>
        <v>24.033533978275191</v>
      </c>
      <c r="K27" s="228">
        <f>'Table B - Energy'!K27+INDEX('Table C - Capacity'!$12:$32,MATCH($B27,'Table C - Capacity'!$B$12:$B$32,0),MATCH(H$4,'Table C - Capacity'!$4:$4,0)+IF(K$7="Winter",2,3))</f>
        <v>42.832334558305575</v>
      </c>
      <c r="L27" s="229">
        <f>'Table B - Energy'!L27+INDEX('Table C - Capacity'!$12:$32,MATCH($B27,'Table C - Capacity'!$B$12:$B$32,0),MATCH(H$4,'Table C - Capacity'!$4:$4,0)+IF(L$7="Winter",2,3))</f>
        <v>32.457722127999347</v>
      </c>
      <c r="N27" s="235">
        <f t="shared" si="1"/>
        <v>2038</v>
      </c>
      <c r="O27" s="226">
        <f>SUMPRODUCT(P27:S27,Profiles!N27:Q27)/SUM(Profiles!N27:Q27)</f>
        <v>18.394769937605528</v>
      </c>
      <c r="P27" s="227">
        <f>'Table B - Energy'!P27+INDEX('Table C - Capacity'!$12:$32,MATCH($B27,'Table C - Capacity'!$B$12:$B$32,0),MATCH(O$4,'Table C - Capacity'!$4:$4,0)+IF(P$7="Winter",2,3))</f>
        <v>21.75615668463875</v>
      </c>
      <c r="Q27" s="228">
        <f>'Table B - Energy'!Q27+INDEX('Table C - Capacity'!$12:$32,MATCH($B27,'Table C - Capacity'!$B$12:$B$32,0),MATCH(O$4,'Table C - Capacity'!$4:$4,0)+IF(Q$7="Winter",2,3))</f>
        <v>17.867362826319564</v>
      </c>
      <c r="R27" s="228">
        <f>'Table B - Energy'!R27+INDEX('Table C - Capacity'!$12:$32,MATCH($B27,'Table C - Capacity'!$B$12:$B$32,0),MATCH(O$4,'Table C - Capacity'!$4:$4,0)+IF(R$7="Winter",2,3))</f>
        <v>23.098204281743911</v>
      </c>
      <c r="S27" s="229">
        <f>'Table B - Energy'!S27+INDEX('Table C - Capacity'!$12:$32,MATCH($B27,'Table C - Capacity'!$B$12:$B$32,0),MATCH(O$4,'Table C - Capacity'!$4:$4,0)+IF(S$7="Winter",2,3))</f>
        <v>17.360982543611168</v>
      </c>
      <c r="T27" s="226">
        <f>SUMPRODUCT(U27:X27,Profiles!S27:V27)/SUM(Profiles!S27:V27)</f>
        <v>17.641374708955393</v>
      </c>
      <c r="U27" s="227">
        <f>'Table B - Energy'!U27+INDEX('Table C - Capacity'!$12:$32,MATCH($B27,'Table C - Capacity'!$B$12:$B$32,0),MATCH(T$4,'Table C - Capacity'!$4:$4,0)+IF(U$7="Winter",2,3))</f>
        <v>21.094961894099818</v>
      </c>
      <c r="V27" s="228">
        <f>'Table B - Energy'!V27+INDEX('Table C - Capacity'!$12:$32,MATCH($B27,'Table C - Capacity'!$B$12:$B$32,0),MATCH(T$4,'Table C - Capacity'!$4:$4,0)+IF(V$7="Winter",2,3))</f>
        <v>16.196243556338249</v>
      </c>
      <c r="W27" s="228">
        <f>'Table B - Energy'!W27+INDEX('Table C - Capacity'!$12:$32,MATCH($B27,'Table C - Capacity'!$B$12:$B$32,0),MATCH(T$4,'Table C - Capacity'!$4:$4,0)+IF(W$7="Winter",2,3))</f>
        <v>22.607536396510838</v>
      </c>
      <c r="X27" s="229">
        <f>'Table B - Energy'!X27+INDEX('Table C - Capacity'!$12:$32,MATCH($B27,'Table C - Capacity'!$B$12:$B$32,0),MATCH(T$4,'Table C - Capacity'!$4:$4,0)+IF(X$7="Winter",2,3))</f>
        <v>17.011051637587471</v>
      </c>
    </row>
    <row r="28" spans="2:24">
      <c r="B28" s="235">
        <f t="shared" si="0"/>
        <v>2039</v>
      </c>
      <c r="C28" s="226">
        <f>SUMPRODUCT(D28:G28,Profiles!D28:G28)/SUM(Profiles!D28:G28)</f>
        <v>46.614795203470543</v>
      </c>
      <c r="D28" s="227">
        <f>'Table B - Energy'!D28+INDEX('Table C - Capacity'!$12:$32,MATCH($B28,'Table C - Capacity'!$B$12:$B$32,0),MATCH(C$4,'Table C - Capacity'!$4:$4,0)+IF(D$7="Winter",2,3))</f>
        <v>46.972541771197768</v>
      </c>
      <c r="E28" s="228">
        <f>'Table B - Energy'!E28+INDEX('Table C - Capacity'!$12:$32,MATCH($B28,'Table C - Capacity'!$B$12:$B$32,0),MATCH(C$4,'Table C - Capacity'!$4:$4,0)+IF(E$7="Winter",2,3))</f>
        <v>33.433997532514411</v>
      </c>
      <c r="F28" s="228">
        <f>'Table B - Energy'!F28+INDEX('Table C - Capacity'!$12:$32,MATCH($B28,'Table C - Capacity'!$B$12:$B$32,0),MATCH(C$4,'Table C - Capacity'!$4:$4,0)+IF(F$7="Winter",2,3))</f>
        <v>71.932429089063362</v>
      </c>
      <c r="G28" s="229">
        <f>'Table B - Energy'!G28+INDEX('Table C - Capacity'!$12:$32,MATCH($B28,'Table C - Capacity'!$B$12:$B$32,0),MATCH(C$4,'Table C - Capacity'!$4:$4,0)+IF(G$7="Winter",2,3))</f>
        <v>59.853253884145303</v>
      </c>
      <c r="H28" s="226">
        <f>SUMPRODUCT(I28:L28,Profiles!I28:L28)/SUM(Profiles!I28:L28)</f>
        <v>31.161714536573111</v>
      </c>
      <c r="I28" s="227">
        <f>'Table B - Energy'!I28+INDEX('Table C - Capacity'!$12:$32,MATCH($B28,'Table C - Capacity'!$B$12:$B$32,0),MATCH(H$4,'Table C - Capacity'!$4:$4,0)+IF(I$7="Winter",2,3))</f>
        <v>39.029998925592558</v>
      </c>
      <c r="J28" s="228">
        <f>'Table B - Energy'!J28+INDEX('Table C - Capacity'!$12:$32,MATCH($B28,'Table C - Capacity'!$B$12:$B$32,0),MATCH(H$4,'Table C - Capacity'!$4:$4,0)+IF(J$7="Winter",2,3))</f>
        <v>24.280199026502746</v>
      </c>
      <c r="K28" s="228">
        <f>'Table B - Energy'!K28+INDEX('Table C - Capacity'!$12:$32,MATCH($B28,'Table C - Capacity'!$B$12:$B$32,0),MATCH(H$4,'Table C - Capacity'!$4:$4,0)+IF(K$7="Winter",2,3))</f>
        <v>42.941332935752115</v>
      </c>
      <c r="L28" s="229">
        <f>'Table B - Energy'!L28+INDEX('Table C - Capacity'!$12:$32,MATCH($B28,'Table C - Capacity'!$B$12:$B$32,0),MATCH(H$4,'Table C - Capacity'!$4:$4,0)+IF(L$7="Winter",2,3))</f>
        <v>32.45593351027825</v>
      </c>
      <c r="N28" s="235">
        <f t="shared" si="1"/>
        <v>2039</v>
      </c>
      <c r="O28" s="226">
        <f>SUMPRODUCT(P28:S28,Profiles!N28:Q28)/SUM(Profiles!N28:Q28)</f>
        <v>18.298067145955116</v>
      </c>
      <c r="P28" s="227">
        <f>'Table B - Energy'!P28+INDEX('Table C - Capacity'!$12:$32,MATCH($B28,'Table C - Capacity'!$B$12:$B$32,0),MATCH(O$4,'Table C - Capacity'!$4:$4,0)+IF(P$7="Winter",2,3))</f>
        <v>21.401896269546018</v>
      </c>
      <c r="Q28" s="228">
        <f>'Table B - Energy'!Q28+INDEX('Table C - Capacity'!$12:$32,MATCH($B28,'Table C - Capacity'!$B$12:$B$32,0),MATCH(O$4,'Table C - Capacity'!$4:$4,0)+IF(Q$7="Winter",2,3))</f>
        <v>17.787239462258771</v>
      </c>
      <c r="R28" s="228">
        <f>'Table B - Energy'!R28+INDEX('Table C - Capacity'!$12:$32,MATCH($B28,'Table C - Capacity'!$B$12:$B$32,0),MATCH(O$4,'Table C - Capacity'!$4:$4,0)+IF(R$7="Winter",2,3))</f>
        <v>22.96889576838457</v>
      </c>
      <c r="S28" s="229">
        <f>'Table B - Energy'!S28+INDEX('Table C - Capacity'!$12:$32,MATCH($B28,'Table C - Capacity'!$B$12:$B$32,0),MATCH(O$4,'Table C - Capacity'!$4:$4,0)+IF(S$7="Winter",2,3))</f>
        <v>17.272230825241316</v>
      </c>
      <c r="T28" s="226">
        <f>SUMPRODUCT(U28:X28,Profiles!S28:V28)/SUM(Profiles!S28:V28)</f>
        <v>17.513341468807457</v>
      </c>
      <c r="U28" s="227">
        <f>'Table B - Energy'!U28+INDEX('Table C - Capacity'!$12:$32,MATCH($B28,'Table C - Capacity'!$B$12:$B$32,0),MATCH(T$4,'Table C - Capacity'!$4:$4,0)+IF(U$7="Winter",2,3))</f>
        <v>20.818381803786071</v>
      </c>
      <c r="V28" s="228">
        <f>'Table B - Energy'!V28+INDEX('Table C - Capacity'!$12:$32,MATCH($B28,'Table C - Capacity'!$B$12:$B$32,0),MATCH(T$4,'Table C - Capacity'!$4:$4,0)+IF(V$7="Winter",2,3))</f>
        <v>16.060244114974427</v>
      </c>
      <c r="W28" s="228">
        <f>'Table B - Energy'!W28+INDEX('Table C - Capacity'!$12:$32,MATCH($B28,'Table C - Capacity'!$B$12:$B$32,0),MATCH(T$4,'Table C - Capacity'!$4:$4,0)+IF(W$7="Winter",2,3))</f>
        <v>22.485715971203522</v>
      </c>
      <c r="X28" s="229">
        <f>'Table B - Energy'!X28+INDEX('Table C - Capacity'!$12:$32,MATCH($B28,'Table C - Capacity'!$B$12:$B$32,0),MATCH(T$4,'Table C - Capacity'!$4:$4,0)+IF(X$7="Winter",2,3))</f>
        <v>16.911911104414894</v>
      </c>
    </row>
    <row r="29" spans="2:24">
      <c r="B29" s="235">
        <f t="shared" si="0"/>
        <v>2040</v>
      </c>
      <c r="C29" s="226">
        <f>SUMPRODUCT(D29:G29,Profiles!D29:G29)/SUM(Profiles!D29:G29)</f>
        <v>47.373861571123527</v>
      </c>
      <c r="D29" s="227">
        <f>'Table B - Energy'!D29+INDEX('Table C - Capacity'!$12:$32,MATCH($B29,'Table C - Capacity'!$B$12:$B$32,0),MATCH(C$4,'Table C - Capacity'!$4:$4,0)+IF(D$7="Winter",2,3))</f>
        <v>48.290361124214023</v>
      </c>
      <c r="E29" s="228">
        <f>'Table B - Energy'!E29+INDEX('Table C - Capacity'!$12:$32,MATCH($B29,'Table C - Capacity'!$B$12:$B$32,0),MATCH(C$4,'Table C - Capacity'!$4:$4,0)+IF(E$7="Winter",2,3))</f>
        <v>34.520281718476397</v>
      </c>
      <c r="F29" s="228">
        <f>'Table B - Energy'!F29+INDEX('Table C - Capacity'!$12:$32,MATCH($B29,'Table C - Capacity'!$B$12:$B$32,0),MATCH(C$4,'Table C - Capacity'!$4:$4,0)+IF(F$7="Winter",2,3))</f>
        <v>71.769626126144544</v>
      </c>
      <c r="G29" s="229">
        <f>'Table B - Energy'!G29+INDEX('Table C - Capacity'!$12:$32,MATCH($B29,'Table C - Capacity'!$B$12:$B$32,0),MATCH(C$4,'Table C - Capacity'!$4:$4,0)+IF(G$7="Winter",2,3))</f>
        <v>59.966639445816767</v>
      </c>
      <c r="H29" s="226">
        <f>SUMPRODUCT(I29:L29,Profiles!I29:L29)/SUM(Profiles!I29:L29)</f>
        <v>31.72486626922095</v>
      </c>
      <c r="I29" s="227">
        <f>'Table B - Energy'!I29+INDEX('Table C - Capacity'!$12:$32,MATCH($B29,'Table C - Capacity'!$B$12:$B$32,0),MATCH(H$4,'Table C - Capacity'!$4:$4,0)+IF(I$7="Winter",2,3))</f>
        <v>40.171443460136601</v>
      </c>
      <c r="J29" s="228">
        <f>'Table B - Energy'!J29+INDEX('Table C - Capacity'!$12:$32,MATCH($B29,'Table C - Capacity'!$B$12:$B$32,0),MATCH(H$4,'Table C - Capacity'!$4:$4,0)+IF(J$7="Winter",2,3))</f>
        <v>25.177682504917463</v>
      </c>
      <c r="K29" s="228">
        <f>'Table B - Energy'!K29+INDEX('Table C - Capacity'!$12:$32,MATCH($B29,'Table C - Capacity'!$B$12:$B$32,0),MATCH(H$4,'Table C - Capacity'!$4:$4,0)+IF(K$7="Winter",2,3))</f>
        <v>42.545931190257228</v>
      </c>
      <c r="L29" s="229">
        <f>'Table B - Energy'!L29+INDEX('Table C - Capacity'!$12:$32,MATCH($B29,'Table C - Capacity'!$B$12:$B$32,0),MATCH(H$4,'Table C - Capacity'!$4:$4,0)+IF(L$7="Winter",2,3))</f>
        <v>31.989306702082153</v>
      </c>
      <c r="N29" s="235">
        <f t="shared" si="1"/>
        <v>2040</v>
      </c>
      <c r="O29" s="226">
        <f>SUMPRODUCT(P29:S29,Profiles!N29:Q29)/SUM(Profiles!N29:Q29)</f>
        <v>18.347625047128098</v>
      </c>
      <c r="P29" s="227">
        <f>'Table B - Energy'!P29+INDEX('Table C - Capacity'!$12:$32,MATCH($B29,'Table C - Capacity'!$B$12:$B$32,0),MATCH(O$4,'Table C - Capacity'!$4:$4,0)+IF(P$7="Winter",2,3))</f>
        <v>22.136018705613189</v>
      </c>
      <c r="Q29" s="228">
        <f>'Table B - Energy'!Q29+INDEX('Table C - Capacity'!$12:$32,MATCH($B29,'Table C - Capacity'!$B$12:$B$32,0),MATCH(O$4,'Table C - Capacity'!$4:$4,0)+IF(Q$7="Winter",2,3))</f>
        <v>18.355975016273643</v>
      </c>
      <c r="R29" s="228">
        <f>'Table B - Energy'!R29+INDEX('Table C - Capacity'!$12:$32,MATCH($B29,'Table C - Capacity'!$B$12:$B$32,0),MATCH(O$4,'Table C - Capacity'!$4:$4,0)+IF(R$7="Winter",2,3))</f>
        <v>22.174816740533615</v>
      </c>
      <c r="S29" s="229">
        <f>'Table B - Energy'!S29+INDEX('Table C - Capacity'!$12:$32,MATCH($B29,'Table C - Capacity'!$B$12:$B$32,0),MATCH(O$4,'Table C - Capacity'!$4:$4,0)+IF(S$7="Winter",2,3))</f>
        <v>16.669274436433902</v>
      </c>
      <c r="T29" s="226">
        <f>SUMPRODUCT(U29:X29,Profiles!S29:V29)/SUM(Profiles!S29:V29)</f>
        <v>17.419476987023234</v>
      </c>
      <c r="U29" s="227">
        <f>'Table B - Energy'!U29+INDEX('Table C - Capacity'!$12:$32,MATCH($B29,'Table C - Capacity'!$B$12:$B$32,0),MATCH(T$4,'Table C - Capacity'!$4:$4,0)+IF(U$7="Winter",2,3))</f>
        <v>21.390893305044465</v>
      </c>
      <c r="V29" s="228">
        <f>'Table B - Energy'!V29+INDEX('Table C - Capacity'!$12:$32,MATCH($B29,'Table C - Capacity'!$B$12:$B$32,0),MATCH(T$4,'Table C - Capacity'!$4:$4,0)+IF(V$7="Winter",2,3))</f>
        <v>16.583287416613135</v>
      </c>
      <c r="W29" s="228">
        <f>'Table B - Energy'!W29+INDEX('Table C - Capacity'!$12:$32,MATCH($B29,'Table C - Capacity'!$B$12:$B$32,0),MATCH(T$4,'Table C - Capacity'!$4:$4,0)+IF(W$7="Winter",2,3))</f>
        <v>21.755785521274003</v>
      </c>
      <c r="X29" s="229">
        <f>'Table B - Energy'!X29+INDEX('Table C - Capacity'!$12:$32,MATCH($B29,'Table C - Capacity'!$B$12:$B$32,0),MATCH(T$4,'Table C - Capacity'!$4:$4,0)+IF(X$7="Winter",2,3))</f>
        <v>16.236354935947123</v>
      </c>
    </row>
    <row r="30" spans="2:24" ht="13.5" thickBot="1">
      <c r="B30" s="237">
        <f t="shared" si="0"/>
        <v>2041</v>
      </c>
      <c r="C30" s="230">
        <f>SUMPRODUCT(D30:G30,Profiles!D30:G30)/SUM(Profiles!D30:G30)</f>
        <v>48.197164024269036</v>
      </c>
      <c r="D30" s="231">
        <f>'Table B - Energy'!D30+INDEX('Table C - Capacity'!$12:$32,MATCH($B30,'Table C - Capacity'!$B$12:$B$32,0),MATCH(C$4,'Table C - Capacity'!$4:$4,0)+IF(D$7="Winter",2,3))</f>
        <v>47.639752969599435</v>
      </c>
      <c r="E30" s="232">
        <f>'Table B - Energy'!E30+INDEX('Table C - Capacity'!$12:$32,MATCH($B30,'Table C - Capacity'!$B$12:$B$32,0),MATCH(C$4,'Table C - Capacity'!$4:$4,0)+IF(E$7="Winter",2,3))</f>
        <v>34.443600706224842</v>
      </c>
      <c r="F30" s="232">
        <f>'Table B - Energy'!F30+INDEX('Table C - Capacity'!$12:$32,MATCH($B30,'Table C - Capacity'!$B$12:$B$32,0),MATCH(C$4,'Table C - Capacity'!$4:$4,0)+IF(F$7="Winter",2,3))</f>
        <v>75.534193146821394</v>
      </c>
      <c r="G30" s="233">
        <f>'Table B - Energy'!G30+INDEX('Table C - Capacity'!$12:$32,MATCH($B30,'Table C - Capacity'!$B$12:$B$32,0),MATCH(C$4,'Table C - Capacity'!$4:$4,0)+IF(G$7="Winter",2,3))</f>
        <v>62.478168556657536</v>
      </c>
      <c r="H30" s="230">
        <f>SUMPRODUCT(I30:L30,Profiles!I30:L30)/SUM(Profiles!I30:L30)</f>
        <v>31.886548423652417</v>
      </c>
      <c r="I30" s="231">
        <f>'Table B - Energy'!I30+INDEX('Table C - Capacity'!$12:$32,MATCH($B30,'Table C - Capacity'!$B$12:$B$32,0),MATCH(H$4,'Table C - Capacity'!$4:$4,0)+IF(I$7="Winter",2,3))</f>
        <v>39.061098194720572</v>
      </c>
      <c r="J30" s="232">
        <f>'Table B - Energy'!J30+INDEX('Table C - Capacity'!$12:$32,MATCH($B30,'Table C - Capacity'!$B$12:$B$32,0),MATCH(H$4,'Table C - Capacity'!$4:$4,0)+IF(J$7="Winter",2,3))</f>
        <v>24.788715455976618</v>
      </c>
      <c r="K30" s="232">
        <f>'Table B - Energy'!K30+INDEX('Table C - Capacity'!$12:$32,MATCH($B30,'Table C - Capacity'!$B$12:$B$32,0),MATCH(H$4,'Table C - Capacity'!$4:$4,0)+IF(K$7="Winter",2,3))</f>
        <v>45.075623544522571</v>
      </c>
      <c r="L30" s="233">
        <f>'Table B - Energy'!L30+INDEX('Table C - Capacity'!$12:$32,MATCH($B30,'Table C - Capacity'!$B$12:$B$32,0),MATCH(H$4,'Table C - Capacity'!$4:$4,0)+IF(L$7="Winter",2,3))</f>
        <v>33.848552152856193</v>
      </c>
      <c r="N30" s="237">
        <f t="shared" si="1"/>
        <v>2041</v>
      </c>
      <c r="O30" s="230">
        <f>SUMPRODUCT(P30:S30,Profiles!N30:Q30)/SUM(Profiles!N30:Q30)</f>
        <v>18.742452992563855</v>
      </c>
      <c r="P30" s="231">
        <f>'Table B - Energy'!P30+INDEX('Table C - Capacity'!$12:$32,MATCH($B30,'Table C - Capacity'!$B$12:$B$32,0),MATCH(O$4,'Table C - Capacity'!$4:$4,0)+IF(P$7="Winter",2,3))</f>
        <v>21.343737004787553</v>
      </c>
      <c r="Q30" s="232">
        <f>'Table B - Energy'!Q30+INDEX('Table C - Capacity'!$12:$32,MATCH($B30,'Table C - Capacity'!$B$12:$B$32,0),MATCH(O$4,'Table C - Capacity'!$4:$4,0)+IF(Q$7="Winter",2,3))</f>
        <v>17.888855943831558</v>
      </c>
      <c r="R30" s="232">
        <f>'Table B - Energy'!R30+INDEX('Table C - Capacity'!$12:$32,MATCH($B30,'Table C - Capacity'!$B$12:$B$32,0),MATCH(O$4,'Table C - Capacity'!$4:$4,0)+IF(R$7="Winter",2,3))</f>
        <v>23.995337484277837</v>
      </c>
      <c r="S30" s="233">
        <f>'Table B - Energy'!S30+INDEX('Table C - Capacity'!$12:$32,MATCH($B30,'Table C - Capacity'!$B$12:$B$32,0),MATCH(O$4,'Table C - Capacity'!$4:$4,0)+IF(S$7="Winter",2,3))</f>
        <v>18.143292354284043</v>
      </c>
      <c r="T30" s="230">
        <f>SUMPRODUCT(U30:X30,Profiles!S30:V30)/SUM(Profiles!S30:V30)</f>
        <v>17.865715286504638</v>
      </c>
      <c r="U30" s="231">
        <f>'Table B - Energy'!U30+INDEX('Table C - Capacity'!$12:$32,MATCH($B30,'Table C - Capacity'!$B$12:$B$32,0),MATCH(T$4,'Table C - Capacity'!$4:$4,0)+IF(U$7="Winter",2,3))</f>
        <v>20.706455919107267</v>
      </c>
      <c r="V30" s="232">
        <f>'Table B - Energy'!V30+INDEX('Table C - Capacity'!$12:$32,MATCH($B30,'Table C - Capacity'!$B$12:$B$32,0),MATCH(T$4,'Table C - Capacity'!$4:$4,0)+IF(V$7="Winter",2,3))</f>
        <v>16.124148546689501</v>
      </c>
      <c r="W30" s="232">
        <f>'Table B - Energy'!W30+INDEX('Table C - Capacity'!$12:$32,MATCH($B30,'Table C - Capacity'!$B$12:$B$32,0),MATCH(T$4,'Table C - Capacity'!$4:$4,0)+IF(W$7="Winter",2,3))</f>
        <v>23.089162715802544</v>
      </c>
      <c r="X30" s="233">
        <f>'Table B - Energy'!X30+INDEX('Table C - Capacity'!$12:$32,MATCH($B30,'Table C - Capacity'!$B$12:$B$32,0),MATCH(T$4,'Table C - Capacity'!$4:$4,0)+IF(X$7="Winter",2,3))</f>
        <v>17.575986980776381</v>
      </c>
    </row>
    <row r="31" spans="2:24" ht="4.5" customHeight="1" thickTop="1">
      <c r="B31" s="200"/>
      <c r="D31" s="30"/>
      <c r="E31" s="30"/>
      <c r="F31" s="30"/>
      <c r="G31" s="30"/>
      <c r="H31" s="30"/>
      <c r="I31" s="30"/>
      <c r="J31" s="30"/>
      <c r="K31" s="30"/>
      <c r="L31" s="30"/>
      <c r="N31" s="200"/>
      <c r="P31" s="30"/>
      <c r="Q31" s="30"/>
      <c r="R31" s="30"/>
      <c r="S31" s="30"/>
      <c r="T31" s="30"/>
      <c r="U31" s="30"/>
      <c r="V31" s="30"/>
      <c r="W31" s="30"/>
      <c r="X31" s="30"/>
    </row>
    <row r="32" spans="2:24">
      <c r="B32" s="48" t="str">
        <f>'Table B - Energy'!B32</f>
        <v>(1) Avoided cost prices have been reduced by wind and solar integration charges.</v>
      </c>
      <c r="D32" s="30"/>
      <c r="E32" s="30"/>
      <c r="F32" s="30"/>
      <c r="G32" s="30"/>
      <c r="H32" s="30"/>
      <c r="I32" s="30"/>
      <c r="J32" s="30"/>
      <c r="K32" s="30"/>
      <c r="L32" s="30"/>
      <c r="N32" s="48" t="str">
        <f t="shared" ref="N32:O39" si="2">B32</f>
        <v>(1) Avoided cost prices have been reduced by wind and solar integration charges.</v>
      </c>
      <c r="P32" s="30"/>
      <c r="Q32" s="30"/>
      <c r="R32" s="30"/>
      <c r="S32" s="30"/>
      <c r="T32" s="30"/>
      <c r="U32" s="30"/>
      <c r="V32" s="30"/>
      <c r="W32" s="30"/>
      <c r="X32" s="30"/>
    </row>
    <row r="33" spans="2:24">
      <c r="B33" s="1" t="str">
        <f>'Table B - Energy'!B33</f>
        <v xml:space="preserve">      If the QF resource is not in PacifiCorp's BAA, prices will be increased by the applicable integration charges.</v>
      </c>
      <c r="D33" s="30"/>
      <c r="E33" s="30"/>
      <c r="F33" s="30"/>
      <c r="G33" s="30"/>
      <c r="H33" s="30"/>
      <c r="I33" s="30"/>
      <c r="J33" s="30"/>
      <c r="K33" s="30"/>
      <c r="L33" s="30"/>
      <c r="N33" s="1" t="str">
        <f t="shared" si="2"/>
        <v xml:space="preserve">      If the QF resource is not in PacifiCorp's BAA, prices will be increased by the applicable integration charges.</v>
      </c>
      <c r="P33" s="30"/>
      <c r="Q33" s="30"/>
      <c r="R33" s="30"/>
      <c r="S33" s="30"/>
      <c r="T33" s="30"/>
      <c r="U33" s="30"/>
      <c r="V33" s="30"/>
      <c r="W33" s="30"/>
      <c r="X33" s="30"/>
    </row>
    <row r="34" spans="2:24">
      <c r="B34" s="48" t="s">
        <v>213</v>
      </c>
      <c r="D34" s="30"/>
      <c r="E34" s="30"/>
      <c r="F34" s="30"/>
      <c r="G34" s="30"/>
      <c r="H34" s="30"/>
      <c r="I34" s="30"/>
      <c r="J34" s="30"/>
      <c r="K34" s="30"/>
      <c r="L34" s="30"/>
      <c r="N34" s="1" t="str">
        <f t="shared" si="2"/>
        <v>(2) Capacity costs are based on a renewable resource starting in 2028.</v>
      </c>
      <c r="P34" s="30"/>
      <c r="Q34" s="30"/>
      <c r="R34" s="30"/>
      <c r="S34" s="30"/>
      <c r="T34" s="30"/>
      <c r="U34" s="30"/>
      <c r="V34" s="30"/>
      <c r="W34" s="30"/>
      <c r="X34" s="30"/>
    </row>
    <row r="35" spans="2:24">
      <c r="B35" s="7" t="str">
        <f>'Table B - Energy'!B34</f>
        <v>(a)</v>
      </c>
      <c r="C35" s="3" t="str">
        <f>'Table B - Energy'!C34</f>
        <v>Illustrative price for all hours</v>
      </c>
      <c r="D35" s="29"/>
      <c r="E35" s="29"/>
      <c r="F35" s="29"/>
      <c r="G35" s="29"/>
      <c r="H35" s="13"/>
      <c r="N35" s="7" t="str">
        <f t="shared" si="2"/>
        <v>(a)</v>
      </c>
      <c r="O35" s="3" t="str">
        <f t="shared" si="2"/>
        <v>Illustrative price for all hours</v>
      </c>
    </row>
    <row r="36" spans="2:24">
      <c r="B36" s="7" t="str">
        <f>'Table B - Energy'!B35</f>
        <v>(b)</v>
      </c>
      <c r="C36" s="3" t="str">
        <f>'Table B - Energy'!C35</f>
        <v>On-peak Winter hours:  6:00a - 8:00a and 5:00p - 11:00p Pacific Prevailing Time (PPT), Oct. through May</v>
      </c>
      <c r="N36" s="7" t="str">
        <f t="shared" si="2"/>
        <v>(b)</v>
      </c>
      <c r="O36" s="3" t="str">
        <f t="shared" si="2"/>
        <v>On-peak Winter hours:  6:00a - 8:00a and 5:00p - 11:00p Pacific Prevailing Time (PPT), Oct. through May</v>
      </c>
    </row>
    <row r="37" spans="2:24">
      <c r="B37" s="7" t="str">
        <f>'Table B - Energy'!B36</f>
        <v>(c)</v>
      </c>
      <c r="C37" s="3" t="str">
        <f>'Table B - Energy'!C36</f>
        <v>Off-peak Winter hours:  All other hours, Oct. through May</v>
      </c>
      <c r="N37" s="7" t="str">
        <f t="shared" si="2"/>
        <v>(c)</v>
      </c>
      <c r="O37" s="3" t="str">
        <f t="shared" si="2"/>
        <v>Off-peak Winter hours:  All other hours, Oct. through May</v>
      </c>
    </row>
    <row r="38" spans="2:24">
      <c r="B38" s="7" t="str">
        <f>'Table B - Energy'!B37</f>
        <v>(d)</v>
      </c>
      <c r="C38" s="3" t="str">
        <f>'Table B - Energy'!C37</f>
        <v>On-peak Summer hours:  2:00p - 10:00p PPT, June through September</v>
      </c>
      <c r="N38" s="7" t="str">
        <f t="shared" si="2"/>
        <v>(d)</v>
      </c>
      <c r="O38" s="3" t="str">
        <f t="shared" si="2"/>
        <v>On-peak Summer hours:  2:00p - 10:00p PPT, June through September</v>
      </c>
    </row>
    <row r="39" spans="2:24">
      <c r="B39" s="7" t="str">
        <f>'Table B - Energy'!B38</f>
        <v>(e)</v>
      </c>
      <c r="C39" s="3" t="str">
        <f>'Table B - Energy'!C38</f>
        <v>Off-peak Summer hours:  All other hours, June through September</v>
      </c>
      <c r="H39" s="13"/>
      <c r="N39" s="7" t="str">
        <f>B39</f>
        <v>(e)</v>
      </c>
      <c r="O39" s="3" t="str">
        <f t="shared" si="2"/>
        <v>Off-peak Summer hours:  All other hours, June through September</v>
      </c>
    </row>
    <row r="40" spans="2:24">
      <c r="B40" s="7"/>
      <c r="H40" s="13"/>
    </row>
    <row r="41" spans="2:24">
      <c r="B41" s="7"/>
    </row>
    <row r="42" spans="2:24">
      <c r="B42" s="7"/>
    </row>
    <row r="43" spans="2:24">
      <c r="B43" s="7"/>
      <c r="F43" s="180"/>
      <c r="G43" s="7"/>
    </row>
    <row r="44" spans="2:24">
      <c r="B44" s="7"/>
      <c r="G44" s="7"/>
    </row>
    <row r="45" spans="2:24">
      <c r="B45" s="7"/>
    </row>
    <row r="46" spans="2:24">
      <c r="B46" s="7"/>
    </row>
    <row r="48" spans="2:24">
      <c r="B48" s="10"/>
    </row>
  </sheetData>
  <mergeCells count="22">
    <mergeCell ref="C5:G5"/>
    <mergeCell ref="H5:L5"/>
    <mergeCell ref="O5:S5"/>
    <mergeCell ref="T5:X5"/>
    <mergeCell ref="B1:I1"/>
    <mergeCell ref="B2:I2"/>
    <mergeCell ref="C4:G4"/>
    <mergeCell ref="H4:L4"/>
    <mergeCell ref="O4:S4"/>
    <mergeCell ref="T4:X4"/>
    <mergeCell ref="N1:U1"/>
    <mergeCell ref="N2:U2"/>
    <mergeCell ref="C8:G8"/>
    <mergeCell ref="H8:L8"/>
    <mergeCell ref="O8:S8"/>
    <mergeCell ref="T8:X8"/>
    <mergeCell ref="B6:B7"/>
    <mergeCell ref="C6:C7"/>
    <mergeCell ref="H6:H7"/>
    <mergeCell ref="N6:N7"/>
    <mergeCell ref="O6:O7"/>
    <mergeCell ref="T6:T7"/>
  </mergeCells>
  <printOptions horizontalCentered="1"/>
  <pageMargins left="0.8" right="0.3" top="0.4" bottom="0.4" header="0.5" footer="0.2"/>
  <pageSetup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499984740745262"/>
    <pageSetUpPr fitToPage="1"/>
  </sheetPr>
  <dimension ref="B1:AB37"/>
  <sheetViews>
    <sheetView workbookViewId="0">
      <selection activeCell="F12" sqref="F12:G31"/>
    </sheetView>
  </sheetViews>
  <sheetFormatPr defaultColWidth="9.33203125" defaultRowHeight="12.75"/>
  <cols>
    <col min="1" max="1" width="1.5" style="3" customWidth="1"/>
    <col min="2" max="2" width="8.1640625" style="3" customWidth="1"/>
    <col min="3" max="3" width="10.5" style="3" customWidth="1"/>
    <col min="4" max="7" width="9.33203125" style="3" customWidth="1"/>
    <col min="8" max="8" width="10.5" style="3" customWidth="1"/>
    <col min="9" max="12" width="9.33203125" style="3" customWidth="1"/>
    <col min="13" max="13" width="10.5" style="3" customWidth="1"/>
    <col min="14" max="17" width="9.33203125" style="3" customWidth="1"/>
    <col min="18" max="18" width="10.5" style="3" customWidth="1"/>
    <col min="19" max="22" width="9.33203125" style="3" customWidth="1"/>
    <col min="23" max="24" width="9.33203125" style="3"/>
    <col min="26" max="26" width="24.83203125" customWidth="1"/>
    <col min="27" max="16384" width="9.33203125" style="3"/>
  </cols>
  <sheetData>
    <row r="1" spans="2:28" ht="15.75" customHeight="1">
      <c r="B1" s="341"/>
      <c r="C1" s="341"/>
      <c r="D1" s="341"/>
      <c r="E1" s="341"/>
      <c r="F1" s="341"/>
      <c r="G1" s="341"/>
      <c r="H1" s="341"/>
      <c r="I1" s="341"/>
    </row>
    <row r="2" spans="2:28" ht="18.75" customHeight="1">
      <c r="B2" s="341" t="s">
        <v>154</v>
      </c>
      <c r="C2" s="341"/>
      <c r="D2" s="341"/>
      <c r="E2" s="341"/>
      <c r="F2" s="341"/>
      <c r="G2" s="341"/>
      <c r="H2" s="341"/>
      <c r="I2" s="341"/>
    </row>
    <row r="3" spans="2:28" ht="14.25">
      <c r="B3" s="181"/>
      <c r="C3" s="181"/>
      <c r="D3" s="181"/>
      <c r="E3" s="181"/>
      <c r="F3" s="181"/>
      <c r="G3" s="181"/>
      <c r="H3" s="181"/>
      <c r="I3" s="192"/>
      <c r="J3" s="192"/>
    </row>
    <row r="4" spans="2:28" ht="14.25">
      <c r="B4" s="4"/>
      <c r="C4" s="370" t="s">
        <v>126</v>
      </c>
      <c r="D4" s="371"/>
      <c r="E4" s="371"/>
      <c r="F4" s="371"/>
      <c r="G4" s="372"/>
      <c r="H4" s="370" t="s">
        <v>141</v>
      </c>
      <c r="I4" s="371"/>
      <c r="J4" s="371"/>
      <c r="K4" s="371"/>
      <c r="L4" s="372"/>
      <c r="M4" s="370" t="s">
        <v>142</v>
      </c>
      <c r="N4" s="371"/>
      <c r="O4" s="371"/>
      <c r="P4" s="371"/>
      <c r="Q4" s="372"/>
      <c r="R4" s="370" t="s">
        <v>143</v>
      </c>
      <c r="S4" s="371"/>
      <c r="T4" s="371"/>
      <c r="U4" s="371"/>
      <c r="V4" s="372"/>
    </row>
    <row r="5" spans="2:28">
      <c r="C5" s="367" t="s">
        <v>153</v>
      </c>
      <c r="D5" s="368"/>
      <c r="E5" s="368"/>
      <c r="F5" s="368"/>
      <c r="G5" s="369"/>
      <c r="H5" s="367" t="s">
        <v>153</v>
      </c>
      <c r="I5" s="368"/>
      <c r="J5" s="368"/>
      <c r="K5" s="368"/>
      <c r="L5" s="369"/>
      <c r="M5" s="367" t="s">
        <v>153</v>
      </c>
      <c r="N5" s="368"/>
      <c r="O5" s="368"/>
      <c r="P5" s="368"/>
      <c r="Q5" s="369"/>
      <c r="R5" s="367" t="s">
        <v>153</v>
      </c>
      <c r="S5" s="368"/>
      <c r="T5" s="368"/>
      <c r="U5" s="368"/>
      <c r="V5" s="369"/>
    </row>
    <row r="6" spans="2:28">
      <c r="B6" s="199"/>
      <c r="C6" s="15" t="s">
        <v>144</v>
      </c>
      <c r="D6" s="15" t="s">
        <v>0</v>
      </c>
      <c r="E6" s="17" t="s">
        <v>1</v>
      </c>
      <c r="F6" s="15" t="s">
        <v>0</v>
      </c>
      <c r="G6" s="17" t="s">
        <v>1</v>
      </c>
      <c r="H6" s="15" t="s">
        <v>144</v>
      </c>
      <c r="I6" s="15" t="s">
        <v>0</v>
      </c>
      <c r="J6" s="17" t="s">
        <v>1</v>
      </c>
      <c r="K6" s="15" t="s">
        <v>0</v>
      </c>
      <c r="L6" s="17" t="s">
        <v>1</v>
      </c>
      <c r="M6" s="15" t="s">
        <v>144</v>
      </c>
      <c r="N6" s="15" t="s">
        <v>0</v>
      </c>
      <c r="O6" s="17" t="s">
        <v>1</v>
      </c>
      <c r="P6" s="15" t="s">
        <v>0</v>
      </c>
      <c r="Q6" s="17" t="s">
        <v>1</v>
      </c>
      <c r="R6" s="15" t="s">
        <v>144</v>
      </c>
      <c r="S6" s="15" t="s">
        <v>0</v>
      </c>
      <c r="T6" s="17" t="s">
        <v>1</v>
      </c>
      <c r="U6" s="15" t="s">
        <v>0</v>
      </c>
      <c r="V6" s="17" t="s">
        <v>1</v>
      </c>
    </row>
    <row r="7" spans="2:28">
      <c r="B7" s="15" t="s">
        <v>2</v>
      </c>
      <c r="C7" s="75" t="s">
        <v>146</v>
      </c>
      <c r="D7" s="75" t="s">
        <v>111</v>
      </c>
      <c r="E7" s="75" t="s">
        <v>111</v>
      </c>
      <c r="F7" s="75" t="s">
        <v>112</v>
      </c>
      <c r="G7" s="76" t="s">
        <v>112</v>
      </c>
      <c r="H7" s="75" t="s">
        <v>145</v>
      </c>
      <c r="I7" s="75" t="s">
        <v>111</v>
      </c>
      <c r="J7" s="75" t="s">
        <v>111</v>
      </c>
      <c r="K7" s="75" t="s">
        <v>112</v>
      </c>
      <c r="L7" s="76" t="s">
        <v>112</v>
      </c>
      <c r="M7" s="75" t="s">
        <v>145</v>
      </c>
      <c r="N7" s="75" t="s">
        <v>111</v>
      </c>
      <c r="O7" s="75" t="s">
        <v>111</v>
      </c>
      <c r="P7" s="75" t="s">
        <v>112</v>
      </c>
      <c r="Q7" s="76" t="s">
        <v>112</v>
      </c>
      <c r="R7" s="75" t="s">
        <v>145</v>
      </c>
      <c r="S7" s="75" t="s">
        <v>111</v>
      </c>
      <c r="T7" s="75" t="s">
        <v>111</v>
      </c>
      <c r="U7" s="75" t="s">
        <v>112</v>
      </c>
      <c r="V7" s="76" t="s">
        <v>112</v>
      </c>
    </row>
    <row r="8" spans="2:28">
      <c r="B8" s="18"/>
      <c r="C8" s="77" t="s">
        <v>147</v>
      </c>
      <c r="D8" s="77" t="s">
        <v>147</v>
      </c>
      <c r="E8" s="77" t="s">
        <v>147</v>
      </c>
      <c r="F8" s="77" t="s">
        <v>147</v>
      </c>
      <c r="G8" s="78" t="s">
        <v>147</v>
      </c>
      <c r="H8" s="77" t="s">
        <v>147</v>
      </c>
      <c r="I8" s="77" t="s">
        <v>147</v>
      </c>
      <c r="J8" s="77" t="s">
        <v>147</v>
      </c>
      <c r="K8" s="77" t="s">
        <v>147</v>
      </c>
      <c r="L8" s="78" t="s">
        <v>147</v>
      </c>
      <c r="M8" s="77" t="s">
        <v>147</v>
      </c>
      <c r="N8" s="77" t="s">
        <v>147</v>
      </c>
      <c r="O8" s="77" t="s">
        <v>147</v>
      </c>
      <c r="P8" s="77" t="s">
        <v>147</v>
      </c>
      <c r="Q8" s="78" t="s">
        <v>147</v>
      </c>
      <c r="R8" s="77" t="s">
        <v>147</v>
      </c>
      <c r="S8" s="77" t="s">
        <v>147</v>
      </c>
      <c r="T8" s="77" t="s">
        <v>147</v>
      </c>
      <c r="U8" s="77" t="s">
        <v>147</v>
      </c>
      <c r="V8" s="78" t="s">
        <v>147</v>
      </c>
      <c r="Y8" s="3"/>
      <c r="Z8" s="3"/>
    </row>
    <row r="9" spans="2:28">
      <c r="B9" s="1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Y9" s="3"/>
      <c r="Z9" s="3"/>
    </row>
    <row r="10" spans="2:28"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Y10" s="3"/>
      <c r="Z10" s="3"/>
    </row>
    <row r="11" spans="2:28">
      <c r="B11" s="328">
        <f>'Table A - Combined'!B11</f>
        <v>2022</v>
      </c>
      <c r="C11" s="193">
        <f>INDEX([2]Energy!$AA$4:$AE$24,MATCH($B11,[2]Energy!$T$4:$T$24,0),1)</f>
        <v>8760</v>
      </c>
      <c r="D11" s="194">
        <f>INDEX([2]Energy!$AA$4:$AE$24,MATCH($B11,[2]Energy!$T$4:$T$24,0),4)</f>
        <v>1944</v>
      </c>
      <c r="E11" s="194">
        <f>INDEX([2]Energy!$AA$4:$AE$24,MATCH($B11,[2]Energy!$T$4:$T$24,0),5)</f>
        <v>3888</v>
      </c>
      <c r="F11" s="194">
        <f>INDEX([2]Energy!$AA$4:$AE$24,MATCH($B11,[2]Energy!$T$4:$T$24,0),2)</f>
        <v>976</v>
      </c>
      <c r="G11" s="195">
        <f>INDEX([2]Energy!$AA$4:$AE$24,MATCH($B11,[2]Energy!$T$4:$T$24,0),3)</f>
        <v>1952</v>
      </c>
      <c r="H11" s="193">
        <f>INDEX([2]Energy!$AA$29:$AE$49,MATCH($B11,[2]Energy!$T$29:$T$49,0),1)</f>
        <v>3326.3940000000412</v>
      </c>
      <c r="I11" s="194">
        <f>INDEX([2]Energy!$AA$29:$AE$49,MATCH($B11,[2]Energy!$T$29:$T$49,0),4)</f>
        <v>785.32400000000553</v>
      </c>
      <c r="J11" s="194">
        <f>INDEX([2]Energy!$AA$29:$AE$49,MATCH($B11,[2]Energy!$T$29:$T$49,0),5)</f>
        <v>1577.4420000000348</v>
      </c>
      <c r="K11" s="194">
        <f>INDEX([2]Energy!$AA$29:$AE$49,MATCH($B11,[2]Energy!$T$29:$T$49,0),2)</f>
        <v>327.01600000000002</v>
      </c>
      <c r="L11" s="195">
        <f>INDEX([2]Energy!$AA$29:$AE$49,MATCH($B11,[2]Energy!$T$29:$T$49,0),3)</f>
        <v>636.61200000000076</v>
      </c>
      <c r="M11" s="193">
        <f>INDEX([2]Energy!$AA$79:$AE$99,MATCH($B11,[2]Energy!$T$79:$T$99,0),1)</f>
        <v>2179.578</v>
      </c>
      <c r="N11" s="194">
        <f>INDEX([2]Energy!$AA$79:$AE$99,MATCH($B11,[2]Energy!$T$79:$T$99,0),4)</f>
        <v>67.189000000000163</v>
      </c>
      <c r="O11" s="194">
        <f>INDEX([2]Energy!$AA$79:$AE$99,MATCH($B11,[2]Energy!$T$79:$T$99,0),5)</f>
        <v>1175.4509999999993</v>
      </c>
      <c r="P11" s="194">
        <f>INDEX([2]Energy!$AA$79:$AE$99,MATCH($B11,[2]Energy!$T$79:$T$99,0),2)</f>
        <v>237.51699999999963</v>
      </c>
      <c r="Q11" s="195">
        <f>INDEX([2]Energy!$AA$79:$AE$99,MATCH($B11,[2]Energy!$T$79:$T$99,0),3)</f>
        <v>699.42100000000096</v>
      </c>
      <c r="R11" s="193">
        <f>INDEX([2]Energy!$AA$54:$AE$74,MATCH($B11,[2]Energy!$T$54:$T$74,0),1)</f>
        <v>2169.6683308184001</v>
      </c>
      <c r="S11" s="194">
        <f>INDEX([2]Energy!$AA$54:$AE$74,MATCH($B11,[2]Energy!$T$54:$T$74,0),4)</f>
        <v>120.07051203950799</v>
      </c>
      <c r="T11" s="194">
        <f>INDEX([2]Energy!$AA$54:$AE$74,MATCH($B11,[2]Energy!$T$54:$T$74,0),5)</f>
        <v>941.89326967328657</v>
      </c>
      <c r="U11" s="194">
        <f>INDEX([2]Energy!$AA$54:$AE$74,MATCH($B11,[2]Energy!$T$54:$T$74,0),2)</f>
        <v>293.88037833748706</v>
      </c>
      <c r="V11" s="195">
        <f>INDEX([2]Energy!$AA$54:$AE$74,MATCH($B11,[2]Energy!$T$54:$T$74,0),3)</f>
        <v>813.82417076811862</v>
      </c>
      <c r="Y11" s="202"/>
      <c r="Z11" s="203" t="s">
        <v>160</v>
      </c>
      <c r="AA11" s="3" t="s">
        <v>203</v>
      </c>
      <c r="AB11" s="3" t="s">
        <v>145</v>
      </c>
    </row>
    <row r="12" spans="2:28">
      <c r="B12" s="14">
        <f t="shared" ref="B12:B30" si="0">B11+1</f>
        <v>2023</v>
      </c>
      <c r="C12" s="196">
        <f>INDEX([2]Energy!$AA$4:$AE$24,MATCH($B12,[2]Energy!$T$4:$T$24,0),1)</f>
        <v>8760</v>
      </c>
      <c r="D12" s="197">
        <f>INDEX([2]Energy!$AA$4:$AE$24,MATCH($B12,[2]Energy!$T$4:$T$24,0),4)</f>
        <v>1944</v>
      </c>
      <c r="E12" s="197">
        <f>INDEX([2]Energy!$AA$4:$AE$24,MATCH($B12,[2]Energy!$T$4:$T$24,0),5)</f>
        <v>3888</v>
      </c>
      <c r="F12" s="197">
        <f>INDEX([2]Energy!$AA$4:$AE$24,MATCH($B12,[2]Energy!$T$4:$T$24,0),2)</f>
        <v>976</v>
      </c>
      <c r="G12" s="198">
        <f>INDEX([2]Energy!$AA$4:$AE$24,MATCH($B12,[2]Energy!$T$4:$T$24,0),3)</f>
        <v>1952</v>
      </c>
      <c r="H12" s="196">
        <f>INDEX([2]Energy!$AA$29:$AE$49,MATCH($B12,[2]Energy!$T$29:$T$49,0),1)</f>
        <v>3326.3940000000412</v>
      </c>
      <c r="I12" s="197">
        <f>INDEX([2]Energy!$AA$29:$AE$49,MATCH($B12,[2]Energy!$T$29:$T$49,0),4)</f>
        <v>785.32400000000553</v>
      </c>
      <c r="J12" s="197">
        <f>INDEX([2]Energy!$AA$29:$AE$49,MATCH($B12,[2]Energy!$T$29:$T$49,0),5)</f>
        <v>1577.4420000000348</v>
      </c>
      <c r="K12" s="197">
        <f>INDEX([2]Energy!$AA$29:$AE$49,MATCH($B12,[2]Energy!$T$29:$T$49,0),2)</f>
        <v>327.01600000000002</v>
      </c>
      <c r="L12" s="198">
        <f>INDEX([2]Energy!$AA$29:$AE$49,MATCH($B12,[2]Energy!$T$29:$T$49,0),3)</f>
        <v>636.61200000000076</v>
      </c>
      <c r="M12" s="196">
        <f>INDEX([2]Energy!$AA$79:$AE$99,MATCH($B12,[2]Energy!$T$79:$T$99,0),1)</f>
        <v>2179.578</v>
      </c>
      <c r="N12" s="197">
        <f>INDEX([2]Energy!$AA$79:$AE$99,MATCH($B12,[2]Energy!$T$79:$T$99,0),4)</f>
        <v>67.189000000000163</v>
      </c>
      <c r="O12" s="197">
        <f>INDEX([2]Energy!$AA$79:$AE$99,MATCH($B12,[2]Energy!$T$79:$T$99,0),5)</f>
        <v>1175.4509999999993</v>
      </c>
      <c r="P12" s="197">
        <f>INDEX([2]Energy!$AA$79:$AE$99,MATCH($B12,[2]Energy!$T$79:$T$99,0),2)</f>
        <v>237.51699999999963</v>
      </c>
      <c r="Q12" s="198">
        <f>INDEX([2]Energy!$AA$79:$AE$99,MATCH($B12,[2]Energy!$T$79:$T$99,0),3)</f>
        <v>699.42100000000096</v>
      </c>
      <c r="R12" s="196">
        <f>INDEX([2]Energy!$AA$54:$AE$74,MATCH($B12,[2]Energy!$T$54:$T$74,0),1)</f>
        <v>2169.6683308184001</v>
      </c>
      <c r="S12" s="197">
        <f>INDEX([2]Energy!$AA$54:$AE$74,MATCH($B12,[2]Energy!$T$54:$T$74,0),4)</f>
        <v>120.07051203950799</v>
      </c>
      <c r="T12" s="197">
        <f>INDEX([2]Energy!$AA$54:$AE$74,MATCH($B12,[2]Energy!$T$54:$T$74,0),5)</f>
        <v>941.89326967328657</v>
      </c>
      <c r="U12" s="197">
        <f>INDEX([2]Energy!$AA$54:$AE$74,MATCH($B12,[2]Energy!$T$54:$T$74,0),2)</f>
        <v>293.88037833748706</v>
      </c>
      <c r="V12" s="198">
        <f>INDEX([2]Energy!$AA$54:$AE$74,MATCH($B12,[2]Energy!$T$54:$T$74,0),3)</f>
        <v>813.82417076811862</v>
      </c>
      <c r="Y12" s="202"/>
      <c r="Z12" s="203"/>
    </row>
    <row r="13" spans="2:28">
      <c r="B13" s="14">
        <f t="shared" si="0"/>
        <v>2024</v>
      </c>
      <c r="C13" s="196">
        <f>INDEX([2]Energy!$AA$4:$AE$24,MATCH($B13,[2]Energy!$T$4:$T$24,0),1)</f>
        <v>8784</v>
      </c>
      <c r="D13" s="197">
        <f>INDEX([2]Energy!$AA$4:$AE$24,MATCH($B13,[2]Energy!$T$4:$T$24,0),4)</f>
        <v>1952</v>
      </c>
      <c r="E13" s="197">
        <f>INDEX([2]Energy!$AA$4:$AE$24,MATCH($B13,[2]Energy!$T$4:$T$24,0),5)</f>
        <v>3904</v>
      </c>
      <c r="F13" s="197">
        <f>INDEX([2]Energy!$AA$4:$AE$24,MATCH($B13,[2]Energy!$T$4:$T$24,0),2)</f>
        <v>976</v>
      </c>
      <c r="G13" s="198">
        <f>INDEX([2]Energy!$AA$4:$AE$24,MATCH($B13,[2]Energy!$T$4:$T$24,0),3)</f>
        <v>1952</v>
      </c>
      <c r="H13" s="196">
        <f>INDEX([2]Energy!$AA$29:$AE$49,MATCH($B13,[2]Energy!$T$29:$T$49,0),1)</f>
        <v>3336.3686785714699</v>
      </c>
      <c r="I13" s="197">
        <f>INDEX([2]Energy!$AA$29:$AE$49,MATCH($B13,[2]Energy!$T$29:$T$49,0),4)</f>
        <v>788.84557142857716</v>
      </c>
      <c r="J13" s="197">
        <f>INDEX([2]Energy!$AA$29:$AE$49,MATCH($B13,[2]Energy!$T$29:$T$49,0),5)</f>
        <v>1583.8951071428919</v>
      </c>
      <c r="K13" s="197">
        <f>INDEX([2]Energy!$AA$29:$AE$49,MATCH($B13,[2]Energy!$T$29:$T$49,0),2)</f>
        <v>327.01600000000002</v>
      </c>
      <c r="L13" s="198">
        <f>INDEX([2]Energy!$AA$29:$AE$49,MATCH($B13,[2]Energy!$T$29:$T$49,0),3)</f>
        <v>636.61200000000076</v>
      </c>
      <c r="M13" s="196">
        <f>INDEX([2]Energy!$AA$79:$AE$99,MATCH($B13,[2]Energy!$T$79:$T$99,0),1)</f>
        <v>2183.9111428571432</v>
      </c>
      <c r="N13" s="197">
        <f>INDEX([2]Energy!$AA$79:$AE$99,MATCH($B13,[2]Energy!$T$79:$T$99,0),4)</f>
        <v>67.310964285714462</v>
      </c>
      <c r="O13" s="197">
        <f>INDEX([2]Energy!$AA$79:$AE$99,MATCH($B13,[2]Energy!$T$79:$T$99,0),5)</f>
        <v>1179.6621785714283</v>
      </c>
      <c r="P13" s="197">
        <f>INDEX([2]Energy!$AA$79:$AE$99,MATCH($B13,[2]Energy!$T$79:$T$99,0),2)</f>
        <v>237.51699999999963</v>
      </c>
      <c r="Q13" s="198">
        <f>INDEX([2]Energy!$AA$79:$AE$99,MATCH($B13,[2]Energy!$T$79:$T$99,0),3)</f>
        <v>699.42100000000096</v>
      </c>
      <c r="R13" s="196">
        <f>INDEX([2]Energy!$AA$54:$AE$74,MATCH($B13,[2]Energy!$T$54:$T$74,0),1)</f>
        <v>2172.1054371859564</v>
      </c>
      <c r="S13" s="197">
        <f>INDEX([2]Energy!$AA$54:$AE$74,MATCH($B13,[2]Energy!$T$54:$T$74,0),4)</f>
        <v>120.33811927907573</v>
      </c>
      <c r="T13" s="197">
        <f>INDEX([2]Energy!$AA$54:$AE$74,MATCH($B13,[2]Energy!$T$54:$T$74,0),5)</f>
        <v>944.06276880127518</v>
      </c>
      <c r="U13" s="197">
        <f>INDEX([2]Energy!$AA$54:$AE$74,MATCH($B13,[2]Energy!$T$54:$T$74,0),2)</f>
        <v>293.88037833748706</v>
      </c>
      <c r="V13" s="198">
        <f>INDEX([2]Energy!$AA$54:$AE$74,MATCH($B13,[2]Energy!$T$54:$T$74,0),3)</f>
        <v>813.82417076811862</v>
      </c>
      <c r="Y13" s="178" t="s">
        <v>122</v>
      </c>
      <c r="Z13" s="203" t="s">
        <v>123</v>
      </c>
    </row>
    <row r="14" spans="2:28">
      <c r="B14" s="14">
        <f t="shared" si="0"/>
        <v>2025</v>
      </c>
      <c r="C14" s="196">
        <f>INDEX([2]Energy!$AA$4:$AE$24,MATCH($B14,[2]Energy!$T$4:$T$24,0),1)</f>
        <v>8760</v>
      </c>
      <c r="D14" s="197">
        <f>INDEX([2]Energy!$AA$4:$AE$24,MATCH($B14,[2]Energy!$T$4:$T$24,0),4)</f>
        <v>1944</v>
      </c>
      <c r="E14" s="197">
        <f>INDEX([2]Energy!$AA$4:$AE$24,MATCH($B14,[2]Energy!$T$4:$T$24,0),5)</f>
        <v>3888</v>
      </c>
      <c r="F14" s="197">
        <f>INDEX([2]Energy!$AA$4:$AE$24,MATCH($B14,[2]Energy!$T$4:$T$24,0),2)</f>
        <v>976</v>
      </c>
      <c r="G14" s="198">
        <f>INDEX([2]Energy!$AA$4:$AE$24,MATCH($B14,[2]Energy!$T$4:$T$24,0),3)</f>
        <v>1952</v>
      </c>
      <c r="H14" s="196">
        <f>INDEX([2]Energy!$AA$29:$AE$49,MATCH($B14,[2]Energy!$T$29:$T$49,0),1)</f>
        <v>3326.3940000000412</v>
      </c>
      <c r="I14" s="197">
        <f>INDEX([2]Energy!$AA$29:$AE$49,MATCH($B14,[2]Energy!$T$29:$T$49,0),4)</f>
        <v>785.32400000000553</v>
      </c>
      <c r="J14" s="197">
        <f>INDEX([2]Energy!$AA$29:$AE$49,MATCH($B14,[2]Energy!$T$29:$T$49,0),5)</f>
        <v>1577.4420000000348</v>
      </c>
      <c r="K14" s="197">
        <f>INDEX([2]Energy!$AA$29:$AE$49,MATCH($B14,[2]Energy!$T$29:$T$49,0),2)</f>
        <v>327.01600000000002</v>
      </c>
      <c r="L14" s="198">
        <f>INDEX([2]Energy!$AA$29:$AE$49,MATCH($B14,[2]Energy!$T$29:$T$49,0),3)</f>
        <v>636.61200000000076</v>
      </c>
      <c r="M14" s="196">
        <f>INDEX([2]Energy!$AA$79:$AE$99,MATCH($B14,[2]Energy!$T$79:$T$99,0),1)</f>
        <v>2179.578</v>
      </c>
      <c r="N14" s="197">
        <f>INDEX([2]Energy!$AA$79:$AE$99,MATCH($B14,[2]Energy!$T$79:$T$99,0),4)</f>
        <v>67.189000000000163</v>
      </c>
      <c r="O14" s="197">
        <f>INDEX([2]Energy!$AA$79:$AE$99,MATCH($B14,[2]Energy!$T$79:$T$99,0),5)</f>
        <v>1175.4509999999993</v>
      </c>
      <c r="P14" s="197">
        <f>INDEX([2]Energy!$AA$79:$AE$99,MATCH($B14,[2]Energy!$T$79:$T$99,0),2)</f>
        <v>237.51699999999963</v>
      </c>
      <c r="Q14" s="198">
        <f>INDEX([2]Energy!$AA$79:$AE$99,MATCH($B14,[2]Energy!$T$79:$T$99,0),3)</f>
        <v>699.42100000000096</v>
      </c>
      <c r="R14" s="196">
        <f>INDEX([2]Energy!$AA$54:$AE$74,MATCH($B14,[2]Energy!$T$54:$T$74,0),1)</f>
        <v>2169.6683308184001</v>
      </c>
      <c r="S14" s="197">
        <f>INDEX([2]Energy!$AA$54:$AE$74,MATCH($B14,[2]Energy!$T$54:$T$74,0),4)</f>
        <v>120.07051203950799</v>
      </c>
      <c r="T14" s="197">
        <f>INDEX([2]Energy!$AA$54:$AE$74,MATCH($B14,[2]Energy!$T$54:$T$74,0),5)</f>
        <v>941.89326967328657</v>
      </c>
      <c r="U14" s="197">
        <f>INDEX([2]Energy!$AA$54:$AE$74,MATCH($B14,[2]Energy!$T$54:$T$74,0),2)</f>
        <v>293.88037833748706</v>
      </c>
      <c r="V14" s="198">
        <f>INDEX([2]Energy!$AA$54:$AE$74,MATCH($B14,[2]Energy!$T$54:$T$74,0),3)</f>
        <v>813.82417076811862</v>
      </c>
      <c r="Y14" s="178">
        <v>1</v>
      </c>
      <c r="Z14" s="204">
        <v>1.5832527047233706E-3</v>
      </c>
      <c r="AA14" s="326">
        <f>1/12</f>
        <v>8.3333333333333329E-2</v>
      </c>
      <c r="AB14" s="326">
        <f>AVERAGE(Z14:AA14)</f>
        <v>4.2458293019028349E-2</v>
      </c>
    </row>
    <row r="15" spans="2:28">
      <c r="B15" s="14">
        <f t="shared" si="0"/>
        <v>2026</v>
      </c>
      <c r="C15" s="196">
        <f>INDEX([2]Energy!$AA$4:$AE$24,MATCH($B15,[2]Energy!$T$4:$T$24,0),1)</f>
        <v>8760</v>
      </c>
      <c r="D15" s="197">
        <f>INDEX([2]Energy!$AA$4:$AE$24,MATCH($B15,[2]Energy!$T$4:$T$24,0),4)</f>
        <v>1944</v>
      </c>
      <c r="E15" s="197">
        <f>INDEX([2]Energy!$AA$4:$AE$24,MATCH($B15,[2]Energy!$T$4:$T$24,0),5)</f>
        <v>3888</v>
      </c>
      <c r="F15" s="197">
        <f>INDEX([2]Energy!$AA$4:$AE$24,MATCH($B15,[2]Energy!$T$4:$T$24,0),2)</f>
        <v>976</v>
      </c>
      <c r="G15" s="198">
        <f>INDEX([2]Energy!$AA$4:$AE$24,MATCH($B15,[2]Energy!$T$4:$T$24,0),3)</f>
        <v>1952</v>
      </c>
      <c r="H15" s="196">
        <f>INDEX([2]Energy!$AA$29:$AE$49,MATCH($B15,[2]Energy!$T$29:$T$49,0),1)</f>
        <v>3326.3940000000412</v>
      </c>
      <c r="I15" s="197">
        <f>INDEX([2]Energy!$AA$29:$AE$49,MATCH($B15,[2]Energy!$T$29:$T$49,0),4)</f>
        <v>785.32400000000553</v>
      </c>
      <c r="J15" s="197">
        <f>INDEX([2]Energy!$AA$29:$AE$49,MATCH($B15,[2]Energy!$T$29:$T$49,0),5)</f>
        <v>1577.4420000000348</v>
      </c>
      <c r="K15" s="197">
        <f>INDEX([2]Energy!$AA$29:$AE$49,MATCH($B15,[2]Energy!$T$29:$T$49,0),2)</f>
        <v>327.01600000000002</v>
      </c>
      <c r="L15" s="198">
        <f>INDEX([2]Energy!$AA$29:$AE$49,MATCH($B15,[2]Energy!$T$29:$T$49,0),3)</f>
        <v>636.61200000000076</v>
      </c>
      <c r="M15" s="196">
        <f>INDEX([2]Energy!$AA$79:$AE$99,MATCH($B15,[2]Energy!$T$79:$T$99,0),1)</f>
        <v>2179.578</v>
      </c>
      <c r="N15" s="197">
        <f>INDEX([2]Energy!$AA$79:$AE$99,MATCH($B15,[2]Energy!$T$79:$T$99,0),4)</f>
        <v>67.189000000000163</v>
      </c>
      <c r="O15" s="197">
        <f>INDEX([2]Energy!$AA$79:$AE$99,MATCH($B15,[2]Energy!$T$79:$T$99,0),5)</f>
        <v>1175.4509999999993</v>
      </c>
      <c r="P15" s="197">
        <f>INDEX([2]Energy!$AA$79:$AE$99,MATCH($B15,[2]Energy!$T$79:$T$99,0),2)</f>
        <v>237.51699999999963</v>
      </c>
      <c r="Q15" s="198">
        <f>INDEX([2]Energy!$AA$79:$AE$99,MATCH($B15,[2]Energy!$T$79:$T$99,0),3)</f>
        <v>699.42100000000096</v>
      </c>
      <c r="R15" s="196">
        <f>INDEX([2]Energy!$AA$54:$AE$74,MATCH($B15,[2]Energy!$T$54:$T$74,0),1)</f>
        <v>2169.6683308184001</v>
      </c>
      <c r="S15" s="197">
        <f>INDEX([2]Energy!$AA$54:$AE$74,MATCH($B15,[2]Energy!$T$54:$T$74,0),4)</f>
        <v>120.07051203950799</v>
      </c>
      <c r="T15" s="197">
        <f>INDEX([2]Energy!$AA$54:$AE$74,MATCH($B15,[2]Energy!$T$54:$T$74,0),5)</f>
        <v>941.89326967328657</v>
      </c>
      <c r="U15" s="197">
        <f>INDEX([2]Energy!$AA$54:$AE$74,MATCH($B15,[2]Energy!$T$54:$T$74,0),2)</f>
        <v>293.88037833748706</v>
      </c>
      <c r="V15" s="198">
        <f>INDEX([2]Energy!$AA$54:$AE$74,MATCH($B15,[2]Energy!$T$54:$T$74,0),3)</f>
        <v>813.82417076811862</v>
      </c>
      <c r="Y15" s="178">
        <v>2</v>
      </c>
      <c r="Z15" s="204">
        <v>0</v>
      </c>
      <c r="AA15" s="326">
        <f t="shared" ref="AA15:AA25" si="1">1/12</f>
        <v>8.3333333333333329E-2</v>
      </c>
      <c r="AB15" s="326">
        <f t="shared" ref="AB15:AB25" si="2">AVERAGE(Z15:AA15)</f>
        <v>4.1666666666666664E-2</v>
      </c>
    </row>
    <row r="16" spans="2:28">
      <c r="B16" s="14">
        <f t="shared" si="0"/>
        <v>2027</v>
      </c>
      <c r="C16" s="196">
        <f>INDEX([2]Energy!$AA$4:$AE$24,MATCH($B16,[2]Energy!$T$4:$T$24,0),1)</f>
        <v>8760</v>
      </c>
      <c r="D16" s="197">
        <f>INDEX([2]Energy!$AA$4:$AE$24,MATCH($B16,[2]Energy!$T$4:$T$24,0),4)</f>
        <v>1944</v>
      </c>
      <c r="E16" s="197">
        <f>INDEX([2]Energy!$AA$4:$AE$24,MATCH($B16,[2]Energy!$T$4:$T$24,0),5)</f>
        <v>3888</v>
      </c>
      <c r="F16" s="197">
        <f>INDEX([2]Energy!$AA$4:$AE$24,MATCH($B16,[2]Energy!$T$4:$T$24,0),2)</f>
        <v>976</v>
      </c>
      <c r="G16" s="198">
        <f>INDEX([2]Energy!$AA$4:$AE$24,MATCH($B16,[2]Energy!$T$4:$T$24,0),3)</f>
        <v>1952</v>
      </c>
      <c r="H16" s="196">
        <f>INDEX([2]Energy!$AA$29:$AE$49,MATCH($B16,[2]Energy!$T$29:$T$49,0),1)</f>
        <v>3326.3940000000412</v>
      </c>
      <c r="I16" s="197">
        <f>INDEX([2]Energy!$AA$29:$AE$49,MATCH($B16,[2]Energy!$T$29:$T$49,0),4)</f>
        <v>785.32400000000553</v>
      </c>
      <c r="J16" s="197">
        <f>INDEX([2]Energy!$AA$29:$AE$49,MATCH($B16,[2]Energy!$T$29:$T$49,0),5)</f>
        <v>1577.4420000000348</v>
      </c>
      <c r="K16" s="197">
        <f>INDEX([2]Energy!$AA$29:$AE$49,MATCH($B16,[2]Energy!$T$29:$T$49,0),2)</f>
        <v>327.01600000000002</v>
      </c>
      <c r="L16" s="198">
        <f>INDEX([2]Energy!$AA$29:$AE$49,MATCH($B16,[2]Energy!$T$29:$T$49,0),3)</f>
        <v>636.61200000000076</v>
      </c>
      <c r="M16" s="196">
        <f>INDEX([2]Energy!$AA$79:$AE$99,MATCH($B16,[2]Energy!$T$79:$T$99,0),1)</f>
        <v>2179.578</v>
      </c>
      <c r="N16" s="197">
        <f>INDEX([2]Energy!$AA$79:$AE$99,MATCH($B16,[2]Energy!$T$79:$T$99,0),4)</f>
        <v>67.189000000000163</v>
      </c>
      <c r="O16" s="197">
        <f>INDEX([2]Energy!$AA$79:$AE$99,MATCH($B16,[2]Energy!$T$79:$T$99,0),5)</f>
        <v>1175.4509999999993</v>
      </c>
      <c r="P16" s="197">
        <f>INDEX([2]Energy!$AA$79:$AE$99,MATCH($B16,[2]Energy!$T$79:$T$99,0),2)</f>
        <v>237.51699999999963</v>
      </c>
      <c r="Q16" s="198">
        <f>INDEX([2]Energy!$AA$79:$AE$99,MATCH($B16,[2]Energy!$T$79:$T$99,0),3)</f>
        <v>699.42100000000096</v>
      </c>
      <c r="R16" s="196">
        <f>INDEX([2]Energy!$AA$54:$AE$74,MATCH($B16,[2]Energy!$T$54:$T$74,0),1)</f>
        <v>2169.6683308184001</v>
      </c>
      <c r="S16" s="197">
        <f>INDEX([2]Energy!$AA$54:$AE$74,MATCH($B16,[2]Energy!$T$54:$T$74,0),4)</f>
        <v>120.07051203950799</v>
      </c>
      <c r="T16" s="197">
        <f>INDEX([2]Energy!$AA$54:$AE$74,MATCH($B16,[2]Energy!$T$54:$T$74,0),5)</f>
        <v>941.89326967328657</v>
      </c>
      <c r="U16" s="197">
        <f>INDEX([2]Energy!$AA$54:$AE$74,MATCH($B16,[2]Energy!$T$54:$T$74,0),2)</f>
        <v>293.88037833748706</v>
      </c>
      <c r="V16" s="198">
        <f>INDEX([2]Energy!$AA$54:$AE$74,MATCH($B16,[2]Energy!$T$54:$T$74,0),3)</f>
        <v>813.82417076811862</v>
      </c>
      <c r="Y16" s="178">
        <v>3</v>
      </c>
      <c r="Z16" s="204">
        <v>0</v>
      </c>
      <c r="AA16" s="326">
        <f t="shared" si="1"/>
        <v>8.3333333333333329E-2</v>
      </c>
      <c r="AB16" s="326">
        <f t="shared" si="2"/>
        <v>4.1666666666666664E-2</v>
      </c>
    </row>
    <row r="17" spans="2:28">
      <c r="B17" s="14">
        <f t="shared" si="0"/>
        <v>2028</v>
      </c>
      <c r="C17" s="196">
        <f>INDEX([2]Energy!$AA$4:$AE$24,MATCH($B17,[2]Energy!$T$4:$T$24,0),1)</f>
        <v>8784</v>
      </c>
      <c r="D17" s="197">
        <f>INDEX([2]Energy!$AA$4:$AE$24,MATCH($B17,[2]Energy!$T$4:$T$24,0),4)</f>
        <v>1952</v>
      </c>
      <c r="E17" s="197">
        <f>INDEX([2]Energy!$AA$4:$AE$24,MATCH($B17,[2]Energy!$T$4:$T$24,0),5)</f>
        <v>3904</v>
      </c>
      <c r="F17" s="197">
        <f>INDEX([2]Energy!$AA$4:$AE$24,MATCH($B17,[2]Energy!$T$4:$T$24,0),2)</f>
        <v>976</v>
      </c>
      <c r="G17" s="198">
        <f>INDEX([2]Energy!$AA$4:$AE$24,MATCH($B17,[2]Energy!$T$4:$T$24,0),3)</f>
        <v>1952</v>
      </c>
      <c r="H17" s="196">
        <f>INDEX([2]Energy!$AA$29:$AE$49,MATCH($B17,[2]Energy!$T$29:$T$49,0),1)</f>
        <v>3336.3686785714699</v>
      </c>
      <c r="I17" s="197">
        <f>INDEX([2]Energy!$AA$29:$AE$49,MATCH($B17,[2]Energy!$T$29:$T$49,0),4)</f>
        <v>788.84557142857716</v>
      </c>
      <c r="J17" s="197">
        <f>INDEX([2]Energy!$AA$29:$AE$49,MATCH($B17,[2]Energy!$T$29:$T$49,0),5)</f>
        <v>1583.8951071428919</v>
      </c>
      <c r="K17" s="197">
        <f>INDEX([2]Energy!$AA$29:$AE$49,MATCH($B17,[2]Energy!$T$29:$T$49,0),2)</f>
        <v>327.01600000000002</v>
      </c>
      <c r="L17" s="198">
        <f>INDEX([2]Energy!$AA$29:$AE$49,MATCH($B17,[2]Energy!$T$29:$T$49,0),3)</f>
        <v>636.61200000000076</v>
      </c>
      <c r="M17" s="196">
        <f>INDEX([2]Energy!$AA$79:$AE$99,MATCH($B17,[2]Energy!$T$79:$T$99,0),1)</f>
        <v>2183.9111428571432</v>
      </c>
      <c r="N17" s="197">
        <f>INDEX([2]Energy!$AA$79:$AE$99,MATCH($B17,[2]Energy!$T$79:$T$99,0),4)</f>
        <v>67.310964285714462</v>
      </c>
      <c r="O17" s="197">
        <f>INDEX([2]Energy!$AA$79:$AE$99,MATCH($B17,[2]Energy!$T$79:$T$99,0),5)</f>
        <v>1179.6621785714283</v>
      </c>
      <c r="P17" s="197">
        <f>INDEX([2]Energy!$AA$79:$AE$99,MATCH($B17,[2]Energy!$T$79:$T$99,0),2)</f>
        <v>237.51699999999963</v>
      </c>
      <c r="Q17" s="198">
        <f>INDEX([2]Energy!$AA$79:$AE$99,MATCH($B17,[2]Energy!$T$79:$T$99,0),3)</f>
        <v>699.42100000000096</v>
      </c>
      <c r="R17" s="196">
        <f>INDEX([2]Energy!$AA$54:$AE$74,MATCH($B17,[2]Energy!$T$54:$T$74,0),1)</f>
        <v>2172.1054371859564</v>
      </c>
      <c r="S17" s="197">
        <f>INDEX([2]Energy!$AA$54:$AE$74,MATCH($B17,[2]Energy!$T$54:$T$74,0),4)</f>
        <v>120.33811927907573</v>
      </c>
      <c r="T17" s="197">
        <f>INDEX([2]Energy!$AA$54:$AE$74,MATCH($B17,[2]Energy!$T$54:$T$74,0),5)</f>
        <v>944.06276880127518</v>
      </c>
      <c r="U17" s="197">
        <f>INDEX([2]Energy!$AA$54:$AE$74,MATCH($B17,[2]Energy!$T$54:$T$74,0),2)</f>
        <v>293.88037833748706</v>
      </c>
      <c r="V17" s="198">
        <f>INDEX([2]Energy!$AA$54:$AE$74,MATCH($B17,[2]Energy!$T$54:$T$74,0),3)</f>
        <v>813.82417076811862</v>
      </c>
      <c r="Y17" s="178">
        <v>4</v>
      </c>
      <c r="Z17" s="204">
        <v>2.1813703931744216E-3</v>
      </c>
      <c r="AA17" s="326">
        <f t="shared" si="1"/>
        <v>8.3333333333333329E-2</v>
      </c>
      <c r="AB17" s="326">
        <f t="shared" si="2"/>
        <v>4.2757351863253877E-2</v>
      </c>
    </row>
    <row r="18" spans="2:28">
      <c r="B18" s="14">
        <f t="shared" si="0"/>
        <v>2029</v>
      </c>
      <c r="C18" s="196">
        <f>INDEX([2]Energy!$AA$4:$AE$24,MATCH($B18,[2]Energy!$T$4:$T$24,0),1)</f>
        <v>8760</v>
      </c>
      <c r="D18" s="197">
        <f>INDEX([2]Energy!$AA$4:$AE$24,MATCH($B18,[2]Energy!$T$4:$T$24,0),4)</f>
        <v>1944</v>
      </c>
      <c r="E18" s="197">
        <f>INDEX([2]Energy!$AA$4:$AE$24,MATCH($B18,[2]Energy!$T$4:$T$24,0),5)</f>
        <v>3888</v>
      </c>
      <c r="F18" s="197">
        <f>INDEX([2]Energy!$AA$4:$AE$24,MATCH($B18,[2]Energy!$T$4:$T$24,0),2)</f>
        <v>976</v>
      </c>
      <c r="G18" s="198">
        <f>INDEX([2]Energy!$AA$4:$AE$24,MATCH($B18,[2]Energy!$T$4:$T$24,0),3)</f>
        <v>1952</v>
      </c>
      <c r="H18" s="196">
        <f>INDEX([2]Energy!$AA$29:$AE$49,MATCH($B18,[2]Energy!$T$29:$T$49,0),1)</f>
        <v>3326.3940000000412</v>
      </c>
      <c r="I18" s="197">
        <f>INDEX([2]Energy!$AA$29:$AE$49,MATCH($B18,[2]Energy!$T$29:$T$49,0),4)</f>
        <v>785.32400000000553</v>
      </c>
      <c r="J18" s="197">
        <f>INDEX([2]Energy!$AA$29:$AE$49,MATCH($B18,[2]Energy!$T$29:$T$49,0),5)</f>
        <v>1577.4420000000348</v>
      </c>
      <c r="K18" s="197">
        <f>INDEX([2]Energy!$AA$29:$AE$49,MATCH($B18,[2]Energy!$T$29:$T$49,0),2)</f>
        <v>327.01600000000002</v>
      </c>
      <c r="L18" s="198">
        <f>INDEX([2]Energy!$AA$29:$AE$49,MATCH($B18,[2]Energy!$T$29:$T$49,0),3)</f>
        <v>636.61200000000076</v>
      </c>
      <c r="M18" s="196">
        <f>INDEX([2]Energy!$AA$79:$AE$99,MATCH($B18,[2]Energy!$T$79:$T$99,0),1)</f>
        <v>2179.578</v>
      </c>
      <c r="N18" s="197">
        <f>INDEX([2]Energy!$AA$79:$AE$99,MATCH($B18,[2]Energy!$T$79:$T$99,0),4)</f>
        <v>67.189000000000163</v>
      </c>
      <c r="O18" s="197">
        <f>INDEX([2]Energy!$AA$79:$AE$99,MATCH($B18,[2]Energy!$T$79:$T$99,0),5)</f>
        <v>1175.4509999999993</v>
      </c>
      <c r="P18" s="197">
        <f>INDEX([2]Energy!$AA$79:$AE$99,MATCH($B18,[2]Energy!$T$79:$T$99,0),2)</f>
        <v>237.51699999999963</v>
      </c>
      <c r="Q18" s="198">
        <f>INDEX([2]Energy!$AA$79:$AE$99,MATCH($B18,[2]Energy!$T$79:$T$99,0),3)</f>
        <v>699.42100000000096</v>
      </c>
      <c r="R18" s="196">
        <f>INDEX([2]Energy!$AA$54:$AE$74,MATCH($B18,[2]Energy!$T$54:$T$74,0),1)</f>
        <v>2169.6683308184001</v>
      </c>
      <c r="S18" s="197">
        <f>INDEX([2]Energy!$AA$54:$AE$74,MATCH($B18,[2]Energy!$T$54:$T$74,0),4)</f>
        <v>120.07051203950799</v>
      </c>
      <c r="T18" s="197">
        <f>INDEX([2]Energy!$AA$54:$AE$74,MATCH($B18,[2]Energy!$T$54:$T$74,0),5)</f>
        <v>941.89326967328657</v>
      </c>
      <c r="U18" s="197">
        <f>INDEX([2]Energy!$AA$54:$AE$74,MATCH($B18,[2]Energy!$T$54:$T$74,0),2)</f>
        <v>293.88037833748706</v>
      </c>
      <c r="V18" s="198">
        <f>INDEX([2]Energy!$AA$54:$AE$74,MATCH($B18,[2]Energy!$T$54:$T$74,0),3)</f>
        <v>813.82417076811862</v>
      </c>
      <c r="Y18" s="178">
        <v>5</v>
      </c>
      <c r="Z18" s="204">
        <v>0</v>
      </c>
      <c r="AA18" s="326">
        <f t="shared" si="1"/>
        <v>8.3333333333333329E-2</v>
      </c>
      <c r="AB18" s="326">
        <f t="shared" si="2"/>
        <v>4.1666666666666664E-2</v>
      </c>
    </row>
    <row r="19" spans="2:28">
      <c r="B19" s="14">
        <f t="shared" si="0"/>
        <v>2030</v>
      </c>
      <c r="C19" s="196">
        <f>INDEX([2]Energy!$AA$4:$AE$24,MATCH($B19,[2]Energy!$T$4:$T$24,0),1)</f>
        <v>8760</v>
      </c>
      <c r="D19" s="197">
        <f>INDEX([2]Energy!$AA$4:$AE$24,MATCH($B19,[2]Energy!$T$4:$T$24,0),4)</f>
        <v>1944</v>
      </c>
      <c r="E19" s="197">
        <f>INDEX([2]Energy!$AA$4:$AE$24,MATCH($B19,[2]Energy!$T$4:$T$24,0),5)</f>
        <v>3888</v>
      </c>
      <c r="F19" s="197">
        <f>INDEX([2]Energy!$AA$4:$AE$24,MATCH($B19,[2]Energy!$T$4:$T$24,0),2)</f>
        <v>976</v>
      </c>
      <c r="G19" s="198">
        <f>INDEX([2]Energy!$AA$4:$AE$24,MATCH($B19,[2]Energy!$T$4:$T$24,0),3)</f>
        <v>1952</v>
      </c>
      <c r="H19" s="196">
        <f>INDEX([2]Energy!$AA$29:$AE$49,MATCH($B19,[2]Energy!$T$29:$T$49,0),1)</f>
        <v>3326.3940000000412</v>
      </c>
      <c r="I19" s="197">
        <f>INDEX([2]Energy!$AA$29:$AE$49,MATCH($B19,[2]Energy!$T$29:$T$49,0),4)</f>
        <v>785.32400000000553</v>
      </c>
      <c r="J19" s="197">
        <f>INDEX([2]Energy!$AA$29:$AE$49,MATCH($B19,[2]Energy!$T$29:$T$49,0),5)</f>
        <v>1577.4420000000348</v>
      </c>
      <c r="K19" s="197">
        <f>INDEX([2]Energy!$AA$29:$AE$49,MATCH($B19,[2]Energy!$T$29:$T$49,0),2)</f>
        <v>327.01600000000002</v>
      </c>
      <c r="L19" s="198">
        <f>INDEX([2]Energy!$AA$29:$AE$49,MATCH($B19,[2]Energy!$T$29:$T$49,0),3)</f>
        <v>636.61200000000076</v>
      </c>
      <c r="M19" s="196">
        <f>INDEX([2]Energy!$AA$79:$AE$99,MATCH($B19,[2]Energy!$T$79:$T$99,0),1)</f>
        <v>2179.578</v>
      </c>
      <c r="N19" s="197">
        <f>INDEX([2]Energy!$AA$79:$AE$99,MATCH($B19,[2]Energy!$T$79:$T$99,0),4)</f>
        <v>67.189000000000163</v>
      </c>
      <c r="O19" s="197">
        <f>INDEX([2]Energy!$AA$79:$AE$99,MATCH($B19,[2]Energy!$T$79:$T$99,0),5)</f>
        <v>1175.4509999999993</v>
      </c>
      <c r="P19" s="197">
        <f>INDEX([2]Energy!$AA$79:$AE$99,MATCH($B19,[2]Energy!$T$79:$T$99,0),2)</f>
        <v>237.51699999999963</v>
      </c>
      <c r="Q19" s="198">
        <f>INDEX([2]Energy!$AA$79:$AE$99,MATCH($B19,[2]Energy!$T$79:$T$99,0),3)</f>
        <v>699.42100000000096</v>
      </c>
      <c r="R19" s="196">
        <f>INDEX([2]Energy!$AA$54:$AE$74,MATCH($B19,[2]Energy!$T$54:$T$74,0),1)</f>
        <v>2169.6683308184001</v>
      </c>
      <c r="S19" s="197">
        <f>INDEX([2]Energy!$AA$54:$AE$74,MATCH($B19,[2]Energy!$T$54:$T$74,0),4)</f>
        <v>120.07051203950799</v>
      </c>
      <c r="T19" s="197">
        <f>INDEX([2]Energy!$AA$54:$AE$74,MATCH($B19,[2]Energy!$T$54:$T$74,0),5)</f>
        <v>941.89326967328657</v>
      </c>
      <c r="U19" s="197">
        <f>INDEX([2]Energy!$AA$54:$AE$74,MATCH($B19,[2]Energy!$T$54:$T$74,0),2)</f>
        <v>293.88037833748706</v>
      </c>
      <c r="V19" s="198">
        <f>INDEX([2]Energy!$AA$54:$AE$74,MATCH($B19,[2]Energy!$T$54:$T$74,0),3)</f>
        <v>813.82417076811862</v>
      </c>
      <c r="Y19" s="178">
        <v>6</v>
      </c>
      <c r="Z19" s="204">
        <v>0.38773858738675343</v>
      </c>
      <c r="AA19" s="326">
        <f t="shared" si="1"/>
        <v>8.3333333333333329E-2</v>
      </c>
      <c r="AB19" s="326">
        <f t="shared" si="2"/>
        <v>0.23553596036004337</v>
      </c>
    </row>
    <row r="20" spans="2:28">
      <c r="B20" s="14">
        <f t="shared" si="0"/>
        <v>2031</v>
      </c>
      <c r="C20" s="196">
        <f>INDEX([2]Energy!$AA$4:$AE$24,MATCH($B20,[2]Energy!$T$4:$T$24,0),1)</f>
        <v>8760</v>
      </c>
      <c r="D20" s="197">
        <f>INDEX([2]Energy!$AA$4:$AE$24,MATCH($B20,[2]Energy!$T$4:$T$24,0),4)</f>
        <v>1944</v>
      </c>
      <c r="E20" s="197">
        <f>INDEX([2]Energy!$AA$4:$AE$24,MATCH($B20,[2]Energy!$T$4:$T$24,0),5)</f>
        <v>3888</v>
      </c>
      <c r="F20" s="197">
        <f>INDEX([2]Energy!$AA$4:$AE$24,MATCH($B20,[2]Energy!$T$4:$T$24,0),2)</f>
        <v>976</v>
      </c>
      <c r="G20" s="198">
        <f>INDEX([2]Energy!$AA$4:$AE$24,MATCH($B20,[2]Energy!$T$4:$T$24,0),3)</f>
        <v>1952</v>
      </c>
      <c r="H20" s="196">
        <f>INDEX([2]Energy!$AA$29:$AE$49,MATCH($B20,[2]Energy!$T$29:$T$49,0),1)</f>
        <v>3326.3940000000412</v>
      </c>
      <c r="I20" s="197">
        <f>INDEX([2]Energy!$AA$29:$AE$49,MATCH($B20,[2]Energy!$T$29:$T$49,0),4)</f>
        <v>785.32400000000553</v>
      </c>
      <c r="J20" s="197">
        <f>INDEX([2]Energy!$AA$29:$AE$49,MATCH($B20,[2]Energy!$T$29:$T$49,0),5)</f>
        <v>1577.4420000000348</v>
      </c>
      <c r="K20" s="197">
        <f>INDEX([2]Energy!$AA$29:$AE$49,MATCH($B20,[2]Energy!$T$29:$T$49,0),2)</f>
        <v>327.01600000000002</v>
      </c>
      <c r="L20" s="198">
        <f>INDEX([2]Energy!$AA$29:$AE$49,MATCH($B20,[2]Energy!$T$29:$T$49,0),3)</f>
        <v>636.61200000000076</v>
      </c>
      <c r="M20" s="196">
        <f>INDEX([2]Energy!$AA$79:$AE$99,MATCH($B20,[2]Energy!$T$79:$T$99,0),1)</f>
        <v>2179.578</v>
      </c>
      <c r="N20" s="197">
        <f>INDEX([2]Energy!$AA$79:$AE$99,MATCH($B20,[2]Energy!$T$79:$T$99,0),4)</f>
        <v>67.189000000000163</v>
      </c>
      <c r="O20" s="197">
        <f>INDEX([2]Energy!$AA$79:$AE$99,MATCH($B20,[2]Energy!$T$79:$T$99,0),5)</f>
        <v>1175.4509999999993</v>
      </c>
      <c r="P20" s="197">
        <f>INDEX([2]Energy!$AA$79:$AE$99,MATCH($B20,[2]Energy!$T$79:$T$99,0),2)</f>
        <v>237.51699999999963</v>
      </c>
      <c r="Q20" s="198">
        <f>INDEX([2]Energy!$AA$79:$AE$99,MATCH($B20,[2]Energy!$T$79:$T$99,0),3)</f>
        <v>699.42100000000096</v>
      </c>
      <c r="R20" s="196">
        <f>INDEX([2]Energy!$AA$54:$AE$74,MATCH($B20,[2]Energy!$T$54:$T$74,0),1)</f>
        <v>2169.6683308184001</v>
      </c>
      <c r="S20" s="197">
        <f>INDEX([2]Energy!$AA$54:$AE$74,MATCH($B20,[2]Energy!$T$54:$T$74,0),4)</f>
        <v>120.07051203950799</v>
      </c>
      <c r="T20" s="197">
        <f>INDEX([2]Energy!$AA$54:$AE$74,MATCH($B20,[2]Energy!$T$54:$T$74,0),5)</f>
        <v>941.89326967328657</v>
      </c>
      <c r="U20" s="197">
        <f>INDEX([2]Energy!$AA$54:$AE$74,MATCH($B20,[2]Energy!$T$54:$T$74,0),2)</f>
        <v>293.88037833748706</v>
      </c>
      <c r="V20" s="198">
        <f>INDEX([2]Energy!$AA$54:$AE$74,MATCH($B20,[2]Energy!$T$54:$T$74,0),3)</f>
        <v>813.82417076811862</v>
      </c>
      <c r="Y20" s="178">
        <v>7</v>
      </c>
      <c r="Z20" s="204">
        <v>0.50083560559415963</v>
      </c>
      <c r="AA20" s="326">
        <f t="shared" si="1"/>
        <v>8.3333333333333329E-2</v>
      </c>
      <c r="AB20" s="326">
        <f t="shared" si="2"/>
        <v>0.2920844694637465</v>
      </c>
    </row>
    <row r="21" spans="2:28">
      <c r="B21" s="14">
        <f t="shared" si="0"/>
        <v>2032</v>
      </c>
      <c r="C21" s="196">
        <f>INDEX([2]Energy!$AA$4:$AE$24,MATCH($B21,[2]Energy!$T$4:$T$24,0),1)</f>
        <v>8784</v>
      </c>
      <c r="D21" s="197">
        <f>INDEX([2]Energy!$AA$4:$AE$24,MATCH($B21,[2]Energy!$T$4:$T$24,0),4)</f>
        <v>1952</v>
      </c>
      <c r="E21" s="197">
        <f>INDEX([2]Energy!$AA$4:$AE$24,MATCH($B21,[2]Energy!$T$4:$T$24,0),5)</f>
        <v>3904</v>
      </c>
      <c r="F21" s="197">
        <f>INDEX([2]Energy!$AA$4:$AE$24,MATCH($B21,[2]Energy!$T$4:$T$24,0),2)</f>
        <v>976</v>
      </c>
      <c r="G21" s="198">
        <f>INDEX([2]Energy!$AA$4:$AE$24,MATCH($B21,[2]Energy!$T$4:$T$24,0),3)</f>
        <v>1952</v>
      </c>
      <c r="H21" s="196">
        <f>INDEX([2]Energy!$AA$29:$AE$49,MATCH($B21,[2]Energy!$T$29:$T$49,0),1)</f>
        <v>3336.3686785714699</v>
      </c>
      <c r="I21" s="197">
        <f>INDEX([2]Energy!$AA$29:$AE$49,MATCH($B21,[2]Energy!$T$29:$T$49,0),4)</f>
        <v>788.84557142857716</v>
      </c>
      <c r="J21" s="197">
        <f>INDEX([2]Energy!$AA$29:$AE$49,MATCH($B21,[2]Energy!$T$29:$T$49,0),5)</f>
        <v>1583.8951071428919</v>
      </c>
      <c r="K21" s="197">
        <f>INDEX([2]Energy!$AA$29:$AE$49,MATCH($B21,[2]Energy!$T$29:$T$49,0),2)</f>
        <v>327.01600000000002</v>
      </c>
      <c r="L21" s="198">
        <f>INDEX([2]Energy!$AA$29:$AE$49,MATCH($B21,[2]Energy!$T$29:$T$49,0),3)</f>
        <v>636.61200000000076</v>
      </c>
      <c r="M21" s="196">
        <f>INDEX([2]Energy!$AA$79:$AE$99,MATCH($B21,[2]Energy!$T$79:$T$99,0),1)</f>
        <v>2183.9111428571432</v>
      </c>
      <c r="N21" s="197">
        <f>INDEX([2]Energy!$AA$79:$AE$99,MATCH($B21,[2]Energy!$T$79:$T$99,0),4)</f>
        <v>67.310964285714462</v>
      </c>
      <c r="O21" s="197">
        <f>INDEX([2]Energy!$AA$79:$AE$99,MATCH($B21,[2]Energy!$T$79:$T$99,0),5)</f>
        <v>1179.6621785714283</v>
      </c>
      <c r="P21" s="197">
        <f>INDEX([2]Energy!$AA$79:$AE$99,MATCH($B21,[2]Energy!$T$79:$T$99,0),2)</f>
        <v>237.51699999999963</v>
      </c>
      <c r="Q21" s="198">
        <f>INDEX([2]Energy!$AA$79:$AE$99,MATCH($B21,[2]Energy!$T$79:$T$99,0),3)</f>
        <v>699.42100000000096</v>
      </c>
      <c r="R21" s="196">
        <f>INDEX([2]Energy!$AA$54:$AE$74,MATCH($B21,[2]Energy!$T$54:$T$74,0),1)</f>
        <v>2172.1054371859564</v>
      </c>
      <c r="S21" s="197">
        <f>INDEX([2]Energy!$AA$54:$AE$74,MATCH($B21,[2]Energy!$T$54:$T$74,0),4)</f>
        <v>120.33811927907573</v>
      </c>
      <c r="T21" s="197">
        <f>INDEX([2]Energy!$AA$54:$AE$74,MATCH($B21,[2]Energy!$T$54:$T$74,0),5)</f>
        <v>944.06276880127518</v>
      </c>
      <c r="U21" s="197">
        <f>INDEX([2]Energy!$AA$54:$AE$74,MATCH($B21,[2]Energy!$T$54:$T$74,0),2)</f>
        <v>293.88037833748706</v>
      </c>
      <c r="V21" s="198">
        <f>INDEX([2]Energy!$AA$54:$AE$74,MATCH($B21,[2]Energy!$T$54:$T$74,0),3)</f>
        <v>813.82417076811862</v>
      </c>
      <c r="Y21" s="178">
        <v>8</v>
      </c>
      <c r="Z21" s="204">
        <v>0.1050224294133169</v>
      </c>
      <c r="AA21" s="326">
        <f t="shared" si="1"/>
        <v>8.3333333333333329E-2</v>
      </c>
      <c r="AB21" s="326">
        <f t="shared" si="2"/>
        <v>9.4177881373325112E-2</v>
      </c>
    </row>
    <row r="22" spans="2:28">
      <c r="B22" s="14">
        <f t="shared" si="0"/>
        <v>2033</v>
      </c>
      <c r="C22" s="196">
        <f>INDEX([2]Energy!$AA$4:$AE$24,MATCH($B22,[2]Energy!$T$4:$T$24,0),1)</f>
        <v>8760</v>
      </c>
      <c r="D22" s="197">
        <f>INDEX([2]Energy!$AA$4:$AE$24,MATCH($B22,[2]Energy!$T$4:$T$24,0),4)</f>
        <v>1944</v>
      </c>
      <c r="E22" s="197">
        <f>INDEX([2]Energy!$AA$4:$AE$24,MATCH($B22,[2]Energy!$T$4:$T$24,0),5)</f>
        <v>3888</v>
      </c>
      <c r="F22" s="197">
        <f>INDEX([2]Energy!$AA$4:$AE$24,MATCH($B22,[2]Energy!$T$4:$T$24,0),2)</f>
        <v>976</v>
      </c>
      <c r="G22" s="198">
        <f>INDEX([2]Energy!$AA$4:$AE$24,MATCH($B22,[2]Energy!$T$4:$T$24,0),3)</f>
        <v>1952</v>
      </c>
      <c r="H22" s="196">
        <f>INDEX([2]Energy!$AA$29:$AE$49,MATCH($B22,[2]Energy!$T$29:$T$49,0),1)</f>
        <v>3326.3940000000412</v>
      </c>
      <c r="I22" s="197">
        <f>INDEX([2]Energy!$AA$29:$AE$49,MATCH($B22,[2]Energy!$T$29:$T$49,0),4)</f>
        <v>785.32400000000553</v>
      </c>
      <c r="J22" s="197">
        <f>INDEX([2]Energy!$AA$29:$AE$49,MATCH($B22,[2]Energy!$T$29:$T$49,0),5)</f>
        <v>1577.4420000000348</v>
      </c>
      <c r="K22" s="197">
        <f>INDEX([2]Energy!$AA$29:$AE$49,MATCH($B22,[2]Energy!$T$29:$T$49,0),2)</f>
        <v>327.01600000000002</v>
      </c>
      <c r="L22" s="198">
        <f>INDEX([2]Energy!$AA$29:$AE$49,MATCH($B22,[2]Energy!$T$29:$T$49,0),3)</f>
        <v>636.61200000000076</v>
      </c>
      <c r="M22" s="196">
        <f>INDEX([2]Energy!$AA$79:$AE$99,MATCH($B22,[2]Energy!$T$79:$T$99,0),1)</f>
        <v>2179.578</v>
      </c>
      <c r="N22" s="197">
        <f>INDEX([2]Energy!$AA$79:$AE$99,MATCH($B22,[2]Energy!$T$79:$T$99,0),4)</f>
        <v>67.189000000000163</v>
      </c>
      <c r="O22" s="197">
        <f>INDEX([2]Energy!$AA$79:$AE$99,MATCH($B22,[2]Energy!$T$79:$T$99,0),5)</f>
        <v>1175.4509999999993</v>
      </c>
      <c r="P22" s="197">
        <f>INDEX([2]Energy!$AA$79:$AE$99,MATCH($B22,[2]Energy!$T$79:$T$99,0),2)</f>
        <v>237.51699999999963</v>
      </c>
      <c r="Q22" s="198">
        <f>INDEX([2]Energy!$AA$79:$AE$99,MATCH($B22,[2]Energy!$T$79:$T$99,0),3)</f>
        <v>699.42100000000096</v>
      </c>
      <c r="R22" s="196">
        <f>INDEX([2]Energy!$AA$54:$AE$74,MATCH($B22,[2]Energy!$T$54:$T$74,0),1)</f>
        <v>2169.6683308184001</v>
      </c>
      <c r="S22" s="197">
        <f>INDEX([2]Energy!$AA$54:$AE$74,MATCH($B22,[2]Energy!$T$54:$T$74,0),4)</f>
        <v>120.07051203950799</v>
      </c>
      <c r="T22" s="197">
        <f>INDEX([2]Energy!$AA$54:$AE$74,MATCH($B22,[2]Energy!$T$54:$T$74,0),5)</f>
        <v>941.89326967328657</v>
      </c>
      <c r="U22" s="197">
        <f>INDEX([2]Energy!$AA$54:$AE$74,MATCH($B22,[2]Energy!$T$54:$T$74,0),2)</f>
        <v>293.88037833748706</v>
      </c>
      <c r="V22" s="198">
        <f>INDEX([2]Energy!$AA$54:$AE$74,MATCH($B22,[2]Energy!$T$54:$T$74,0),3)</f>
        <v>813.82417076811862</v>
      </c>
      <c r="Y22" s="178">
        <v>9</v>
      </c>
      <c r="Z22" s="204">
        <v>0</v>
      </c>
      <c r="AA22" s="326">
        <f t="shared" si="1"/>
        <v>8.3333333333333329E-2</v>
      </c>
      <c r="AB22" s="326">
        <f t="shared" si="2"/>
        <v>4.1666666666666664E-2</v>
      </c>
    </row>
    <row r="23" spans="2:28">
      <c r="B23" s="14">
        <f t="shared" si="0"/>
        <v>2034</v>
      </c>
      <c r="C23" s="196">
        <f>INDEX([2]Energy!$AA$4:$AE$24,MATCH($B23,[2]Energy!$T$4:$T$24,0),1)</f>
        <v>8760</v>
      </c>
      <c r="D23" s="197">
        <f>INDEX([2]Energy!$AA$4:$AE$24,MATCH($B23,[2]Energy!$T$4:$T$24,0),4)</f>
        <v>1944</v>
      </c>
      <c r="E23" s="197">
        <f>INDEX([2]Energy!$AA$4:$AE$24,MATCH($B23,[2]Energy!$T$4:$T$24,0),5)</f>
        <v>3888</v>
      </c>
      <c r="F23" s="197">
        <f>INDEX([2]Energy!$AA$4:$AE$24,MATCH($B23,[2]Energy!$T$4:$T$24,0),2)</f>
        <v>976</v>
      </c>
      <c r="G23" s="198">
        <f>INDEX([2]Energy!$AA$4:$AE$24,MATCH($B23,[2]Energy!$T$4:$T$24,0),3)</f>
        <v>1952</v>
      </c>
      <c r="H23" s="196">
        <f>INDEX([2]Energy!$AA$29:$AE$49,MATCH($B23,[2]Energy!$T$29:$T$49,0),1)</f>
        <v>3326.3940000000412</v>
      </c>
      <c r="I23" s="197">
        <f>INDEX([2]Energy!$AA$29:$AE$49,MATCH($B23,[2]Energy!$T$29:$T$49,0),4)</f>
        <v>785.32400000000553</v>
      </c>
      <c r="J23" s="197">
        <f>INDEX([2]Energy!$AA$29:$AE$49,MATCH($B23,[2]Energy!$T$29:$T$49,0),5)</f>
        <v>1577.4420000000348</v>
      </c>
      <c r="K23" s="197">
        <f>INDEX([2]Energy!$AA$29:$AE$49,MATCH($B23,[2]Energy!$T$29:$T$49,0),2)</f>
        <v>327.01600000000002</v>
      </c>
      <c r="L23" s="198">
        <f>INDEX([2]Energy!$AA$29:$AE$49,MATCH($B23,[2]Energy!$T$29:$T$49,0),3)</f>
        <v>636.61200000000076</v>
      </c>
      <c r="M23" s="196">
        <f>INDEX([2]Energy!$AA$79:$AE$99,MATCH($B23,[2]Energy!$T$79:$T$99,0),1)</f>
        <v>2179.578</v>
      </c>
      <c r="N23" s="197">
        <f>INDEX([2]Energy!$AA$79:$AE$99,MATCH($B23,[2]Energy!$T$79:$T$99,0),4)</f>
        <v>67.189000000000163</v>
      </c>
      <c r="O23" s="197">
        <f>INDEX([2]Energy!$AA$79:$AE$99,MATCH($B23,[2]Energy!$T$79:$T$99,0),5)</f>
        <v>1175.4509999999993</v>
      </c>
      <c r="P23" s="197">
        <f>INDEX([2]Energy!$AA$79:$AE$99,MATCH($B23,[2]Energy!$T$79:$T$99,0),2)</f>
        <v>237.51699999999963</v>
      </c>
      <c r="Q23" s="198">
        <f>INDEX([2]Energy!$AA$79:$AE$99,MATCH($B23,[2]Energy!$T$79:$T$99,0),3)</f>
        <v>699.42100000000096</v>
      </c>
      <c r="R23" s="196">
        <f>INDEX([2]Energy!$AA$54:$AE$74,MATCH($B23,[2]Energy!$T$54:$T$74,0),1)</f>
        <v>2169.6683308184001</v>
      </c>
      <c r="S23" s="197">
        <f>INDEX([2]Energy!$AA$54:$AE$74,MATCH($B23,[2]Energy!$T$54:$T$74,0),4)</f>
        <v>120.07051203950799</v>
      </c>
      <c r="T23" s="197">
        <f>INDEX([2]Energy!$AA$54:$AE$74,MATCH($B23,[2]Energy!$T$54:$T$74,0),5)</f>
        <v>941.89326967328657</v>
      </c>
      <c r="U23" s="197">
        <f>INDEX([2]Energy!$AA$54:$AE$74,MATCH($B23,[2]Energy!$T$54:$T$74,0),2)</f>
        <v>293.88037833748706</v>
      </c>
      <c r="V23" s="198">
        <f>INDEX([2]Energy!$AA$54:$AE$74,MATCH($B23,[2]Energy!$T$54:$T$74,0),3)</f>
        <v>813.82417076811862</v>
      </c>
      <c r="Y23" s="178">
        <v>10</v>
      </c>
      <c r="Z23" s="204">
        <v>2.1110036062978277E-3</v>
      </c>
      <c r="AA23" s="326">
        <f t="shared" si="1"/>
        <v>8.3333333333333329E-2</v>
      </c>
      <c r="AB23" s="326">
        <f t="shared" si="2"/>
        <v>4.272216846981558E-2</v>
      </c>
    </row>
    <row r="24" spans="2:28">
      <c r="B24" s="14">
        <f t="shared" si="0"/>
        <v>2035</v>
      </c>
      <c r="C24" s="196">
        <f>INDEX([2]Energy!$AA$4:$AE$24,MATCH($B24,[2]Energy!$T$4:$T$24,0),1)</f>
        <v>8760</v>
      </c>
      <c r="D24" s="197">
        <f>INDEX([2]Energy!$AA$4:$AE$24,MATCH($B24,[2]Energy!$T$4:$T$24,0),4)</f>
        <v>1944</v>
      </c>
      <c r="E24" s="197">
        <f>INDEX([2]Energy!$AA$4:$AE$24,MATCH($B24,[2]Energy!$T$4:$T$24,0),5)</f>
        <v>3888</v>
      </c>
      <c r="F24" s="197">
        <f>INDEX([2]Energy!$AA$4:$AE$24,MATCH($B24,[2]Energy!$T$4:$T$24,0),2)</f>
        <v>976</v>
      </c>
      <c r="G24" s="198">
        <f>INDEX([2]Energy!$AA$4:$AE$24,MATCH($B24,[2]Energy!$T$4:$T$24,0),3)</f>
        <v>1952</v>
      </c>
      <c r="H24" s="196">
        <f>INDEX([2]Energy!$AA$29:$AE$49,MATCH($B24,[2]Energy!$T$29:$T$49,0),1)</f>
        <v>3326.3940000000412</v>
      </c>
      <c r="I24" s="197">
        <f>INDEX([2]Energy!$AA$29:$AE$49,MATCH($B24,[2]Energy!$T$29:$T$49,0),4)</f>
        <v>785.32400000000553</v>
      </c>
      <c r="J24" s="197">
        <f>INDEX([2]Energy!$AA$29:$AE$49,MATCH($B24,[2]Energy!$T$29:$T$49,0),5)</f>
        <v>1577.4420000000348</v>
      </c>
      <c r="K24" s="197">
        <f>INDEX([2]Energy!$AA$29:$AE$49,MATCH($B24,[2]Energy!$T$29:$T$49,0),2)</f>
        <v>327.01600000000002</v>
      </c>
      <c r="L24" s="198">
        <f>INDEX([2]Energy!$AA$29:$AE$49,MATCH($B24,[2]Energy!$T$29:$T$49,0),3)</f>
        <v>636.61200000000076</v>
      </c>
      <c r="M24" s="196">
        <f>INDEX([2]Energy!$AA$79:$AE$99,MATCH($B24,[2]Energy!$T$79:$T$99,0),1)</f>
        <v>2179.578</v>
      </c>
      <c r="N24" s="197">
        <f>INDEX([2]Energy!$AA$79:$AE$99,MATCH($B24,[2]Energy!$T$79:$T$99,0),4)</f>
        <v>67.189000000000163</v>
      </c>
      <c r="O24" s="197">
        <f>INDEX([2]Energy!$AA$79:$AE$99,MATCH($B24,[2]Energy!$T$79:$T$99,0),5)</f>
        <v>1175.4509999999993</v>
      </c>
      <c r="P24" s="197">
        <f>INDEX([2]Energy!$AA$79:$AE$99,MATCH($B24,[2]Energy!$T$79:$T$99,0),2)</f>
        <v>237.51699999999963</v>
      </c>
      <c r="Q24" s="198">
        <f>INDEX([2]Energy!$AA$79:$AE$99,MATCH($B24,[2]Energy!$T$79:$T$99,0),3)</f>
        <v>699.42100000000096</v>
      </c>
      <c r="R24" s="196">
        <f>INDEX([2]Energy!$AA$54:$AE$74,MATCH($B24,[2]Energy!$T$54:$T$74,0),1)</f>
        <v>2169.6683308184001</v>
      </c>
      <c r="S24" s="197">
        <f>INDEX([2]Energy!$AA$54:$AE$74,MATCH($B24,[2]Energy!$T$54:$T$74,0),4)</f>
        <v>120.07051203950799</v>
      </c>
      <c r="T24" s="197">
        <f>INDEX([2]Energy!$AA$54:$AE$74,MATCH($B24,[2]Energy!$T$54:$T$74,0),5)</f>
        <v>941.89326967328657</v>
      </c>
      <c r="U24" s="197">
        <f>INDEX([2]Energy!$AA$54:$AE$74,MATCH($B24,[2]Energy!$T$54:$T$74,0),2)</f>
        <v>293.88037833748706</v>
      </c>
      <c r="V24" s="198">
        <f>INDEX([2]Energy!$AA$54:$AE$74,MATCH($B24,[2]Energy!$T$54:$T$74,0),3)</f>
        <v>813.82417076811862</v>
      </c>
      <c r="Y24" s="178">
        <v>11</v>
      </c>
      <c r="Z24" s="204">
        <v>0</v>
      </c>
      <c r="AA24" s="326">
        <f t="shared" si="1"/>
        <v>8.3333333333333329E-2</v>
      </c>
      <c r="AB24" s="326">
        <f t="shared" si="2"/>
        <v>4.1666666666666664E-2</v>
      </c>
    </row>
    <row r="25" spans="2:28">
      <c r="B25" s="14">
        <f t="shared" si="0"/>
        <v>2036</v>
      </c>
      <c r="C25" s="196">
        <f>INDEX([2]Energy!$AA$4:$AE$24,MATCH($B25,[2]Energy!$T$4:$T$24,0),1)</f>
        <v>8784</v>
      </c>
      <c r="D25" s="197">
        <f>INDEX([2]Energy!$AA$4:$AE$24,MATCH($B25,[2]Energy!$T$4:$T$24,0),4)</f>
        <v>1952</v>
      </c>
      <c r="E25" s="197">
        <f>INDEX([2]Energy!$AA$4:$AE$24,MATCH($B25,[2]Energy!$T$4:$T$24,0),5)</f>
        <v>3904</v>
      </c>
      <c r="F25" s="197">
        <f>INDEX([2]Energy!$AA$4:$AE$24,MATCH($B25,[2]Energy!$T$4:$T$24,0),2)</f>
        <v>976</v>
      </c>
      <c r="G25" s="198">
        <f>INDEX([2]Energy!$AA$4:$AE$24,MATCH($B25,[2]Energy!$T$4:$T$24,0),3)</f>
        <v>1952</v>
      </c>
      <c r="H25" s="196">
        <f>INDEX([2]Energy!$AA$29:$AE$49,MATCH($B25,[2]Energy!$T$29:$T$49,0),1)</f>
        <v>3336.3686785714699</v>
      </c>
      <c r="I25" s="197">
        <f>INDEX([2]Energy!$AA$29:$AE$49,MATCH($B25,[2]Energy!$T$29:$T$49,0),4)</f>
        <v>788.84557142857716</v>
      </c>
      <c r="J25" s="197">
        <f>INDEX([2]Energy!$AA$29:$AE$49,MATCH($B25,[2]Energy!$T$29:$T$49,0),5)</f>
        <v>1583.8951071428919</v>
      </c>
      <c r="K25" s="197">
        <f>INDEX([2]Energy!$AA$29:$AE$49,MATCH($B25,[2]Energy!$T$29:$T$49,0),2)</f>
        <v>327.01600000000002</v>
      </c>
      <c r="L25" s="198">
        <f>INDEX([2]Energy!$AA$29:$AE$49,MATCH($B25,[2]Energy!$T$29:$T$49,0),3)</f>
        <v>636.61200000000076</v>
      </c>
      <c r="M25" s="196">
        <f>INDEX([2]Energy!$AA$79:$AE$99,MATCH($B25,[2]Energy!$T$79:$T$99,0),1)</f>
        <v>2183.9111428571432</v>
      </c>
      <c r="N25" s="197">
        <f>INDEX([2]Energy!$AA$79:$AE$99,MATCH($B25,[2]Energy!$T$79:$T$99,0),4)</f>
        <v>67.310964285714462</v>
      </c>
      <c r="O25" s="197">
        <f>INDEX([2]Energy!$AA$79:$AE$99,MATCH($B25,[2]Energy!$T$79:$T$99,0),5)</f>
        <v>1179.6621785714283</v>
      </c>
      <c r="P25" s="197">
        <f>INDEX([2]Energy!$AA$79:$AE$99,MATCH($B25,[2]Energy!$T$79:$T$99,0),2)</f>
        <v>237.51699999999963</v>
      </c>
      <c r="Q25" s="198">
        <f>INDEX([2]Energy!$AA$79:$AE$99,MATCH($B25,[2]Energy!$T$79:$T$99,0),3)</f>
        <v>699.42100000000096</v>
      </c>
      <c r="R25" s="196">
        <f>INDEX([2]Energy!$AA$54:$AE$74,MATCH($B25,[2]Energy!$T$54:$T$74,0),1)</f>
        <v>2172.1054371859564</v>
      </c>
      <c r="S25" s="197">
        <f>INDEX([2]Energy!$AA$54:$AE$74,MATCH($B25,[2]Energy!$T$54:$T$74,0),4)</f>
        <v>120.33811927907573</v>
      </c>
      <c r="T25" s="197">
        <f>INDEX([2]Energy!$AA$54:$AE$74,MATCH($B25,[2]Energy!$T$54:$T$74,0),5)</f>
        <v>944.06276880127518</v>
      </c>
      <c r="U25" s="197">
        <f>INDEX([2]Energy!$AA$54:$AE$74,MATCH($B25,[2]Energy!$T$54:$T$74,0),2)</f>
        <v>293.88037833748706</v>
      </c>
      <c r="V25" s="198">
        <f>INDEX([2]Energy!$AA$54:$AE$74,MATCH($B25,[2]Energy!$T$54:$T$74,0),3)</f>
        <v>813.82417076811862</v>
      </c>
      <c r="Y25" s="179">
        <v>12</v>
      </c>
      <c r="Z25" s="205">
        <v>5.2775090157445692E-4</v>
      </c>
      <c r="AA25" s="326">
        <f t="shared" si="1"/>
        <v>8.3333333333333329E-2</v>
      </c>
      <c r="AB25" s="326">
        <f t="shared" si="2"/>
        <v>4.1930542117453895E-2</v>
      </c>
    </row>
    <row r="26" spans="2:28">
      <c r="B26" s="14">
        <f t="shared" si="0"/>
        <v>2037</v>
      </c>
      <c r="C26" s="196">
        <f>INDEX([2]Energy!$AA$4:$AE$24,MATCH($B26,[2]Energy!$T$4:$T$24,0),1)</f>
        <v>8760</v>
      </c>
      <c r="D26" s="197">
        <f>INDEX([2]Energy!$AA$4:$AE$24,MATCH($B26,[2]Energy!$T$4:$T$24,0),4)</f>
        <v>1944</v>
      </c>
      <c r="E26" s="197">
        <f>INDEX([2]Energy!$AA$4:$AE$24,MATCH($B26,[2]Energy!$T$4:$T$24,0),5)</f>
        <v>3888</v>
      </c>
      <c r="F26" s="197">
        <f>INDEX([2]Energy!$AA$4:$AE$24,MATCH($B26,[2]Energy!$T$4:$T$24,0),2)</f>
        <v>976</v>
      </c>
      <c r="G26" s="198">
        <f>INDEX([2]Energy!$AA$4:$AE$24,MATCH($B26,[2]Energy!$T$4:$T$24,0),3)</f>
        <v>1952</v>
      </c>
      <c r="H26" s="196">
        <f>INDEX([2]Energy!$AA$29:$AE$49,MATCH($B26,[2]Energy!$T$29:$T$49,0),1)</f>
        <v>3326.3940000000412</v>
      </c>
      <c r="I26" s="197">
        <f>INDEX([2]Energy!$AA$29:$AE$49,MATCH($B26,[2]Energy!$T$29:$T$49,0),4)</f>
        <v>785.32400000000553</v>
      </c>
      <c r="J26" s="197">
        <f>INDEX([2]Energy!$AA$29:$AE$49,MATCH($B26,[2]Energy!$T$29:$T$49,0),5)</f>
        <v>1577.4420000000348</v>
      </c>
      <c r="K26" s="197">
        <f>INDEX([2]Energy!$AA$29:$AE$49,MATCH($B26,[2]Energy!$T$29:$T$49,0),2)</f>
        <v>327.01600000000002</v>
      </c>
      <c r="L26" s="198">
        <f>INDEX([2]Energy!$AA$29:$AE$49,MATCH($B26,[2]Energy!$T$29:$T$49,0),3)</f>
        <v>636.61200000000076</v>
      </c>
      <c r="M26" s="196">
        <f>INDEX([2]Energy!$AA$79:$AE$99,MATCH($B26,[2]Energy!$T$79:$T$99,0),1)</f>
        <v>2179.578</v>
      </c>
      <c r="N26" s="197">
        <f>INDEX([2]Energy!$AA$79:$AE$99,MATCH($B26,[2]Energy!$T$79:$T$99,0),4)</f>
        <v>67.189000000000163</v>
      </c>
      <c r="O26" s="197">
        <f>INDEX([2]Energy!$AA$79:$AE$99,MATCH($B26,[2]Energy!$T$79:$T$99,0),5)</f>
        <v>1175.4509999999993</v>
      </c>
      <c r="P26" s="197">
        <f>INDEX([2]Energy!$AA$79:$AE$99,MATCH($B26,[2]Energy!$T$79:$T$99,0),2)</f>
        <v>237.51699999999963</v>
      </c>
      <c r="Q26" s="198">
        <f>INDEX([2]Energy!$AA$79:$AE$99,MATCH($B26,[2]Energy!$T$79:$T$99,0),3)</f>
        <v>699.42100000000096</v>
      </c>
      <c r="R26" s="196">
        <f>INDEX([2]Energy!$AA$54:$AE$74,MATCH($B26,[2]Energy!$T$54:$T$74,0),1)</f>
        <v>2169.6683308184001</v>
      </c>
      <c r="S26" s="197">
        <f>INDEX([2]Energy!$AA$54:$AE$74,MATCH($B26,[2]Energy!$T$54:$T$74,0),4)</f>
        <v>120.07051203950799</v>
      </c>
      <c r="T26" s="197">
        <f>INDEX([2]Energy!$AA$54:$AE$74,MATCH($B26,[2]Energy!$T$54:$T$74,0),5)</f>
        <v>941.89326967328657</v>
      </c>
      <c r="U26" s="197">
        <f>INDEX([2]Energy!$AA$54:$AE$74,MATCH($B26,[2]Energy!$T$54:$T$74,0),2)</f>
        <v>293.88037833748706</v>
      </c>
      <c r="V26" s="198">
        <f>INDEX([2]Energy!$AA$54:$AE$74,MATCH($B26,[2]Energy!$T$54:$T$74,0),3)</f>
        <v>813.82417076811862</v>
      </c>
      <c r="Y26" s="202"/>
      <c r="Z26" s="204">
        <v>0.99999999999999989</v>
      </c>
      <c r="AA26" s="326">
        <v>0.99999999999999989</v>
      </c>
      <c r="AB26" s="326">
        <v>0.99999999999999989</v>
      </c>
    </row>
    <row r="27" spans="2:28">
      <c r="B27" s="14">
        <f t="shared" si="0"/>
        <v>2038</v>
      </c>
      <c r="C27" s="196">
        <f>INDEX([2]Energy!$AA$4:$AE$24,MATCH($B27,[2]Energy!$T$4:$T$24,0),1)</f>
        <v>8760</v>
      </c>
      <c r="D27" s="197">
        <f>INDEX([2]Energy!$AA$4:$AE$24,MATCH($B27,[2]Energy!$T$4:$T$24,0),4)</f>
        <v>1944</v>
      </c>
      <c r="E27" s="197">
        <f>INDEX([2]Energy!$AA$4:$AE$24,MATCH($B27,[2]Energy!$T$4:$T$24,0),5)</f>
        <v>3888</v>
      </c>
      <c r="F27" s="197">
        <f>INDEX([2]Energy!$AA$4:$AE$24,MATCH($B27,[2]Energy!$T$4:$T$24,0),2)</f>
        <v>976</v>
      </c>
      <c r="G27" s="198">
        <f>INDEX([2]Energy!$AA$4:$AE$24,MATCH($B27,[2]Energy!$T$4:$T$24,0),3)</f>
        <v>1952</v>
      </c>
      <c r="H27" s="196">
        <f>INDEX([2]Energy!$AA$29:$AE$49,MATCH($B27,[2]Energy!$T$29:$T$49,0),1)</f>
        <v>3326.3940000000412</v>
      </c>
      <c r="I27" s="197">
        <f>INDEX([2]Energy!$AA$29:$AE$49,MATCH($B27,[2]Energy!$T$29:$T$49,0),4)</f>
        <v>785.32400000000553</v>
      </c>
      <c r="J27" s="197">
        <f>INDEX([2]Energy!$AA$29:$AE$49,MATCH($B27,[2]Energy!$T$29:$T$49,0),5)</f>
        <v>1577.4420000000348</v>
      </c>
      <c r="K27" s="197">
        <f>INDEX([2]Energy!$AA$29:$AE$49,MATCH($B27,[2]Energy!$T$29:$T$49,0),2)</f>
        <v>327.01600000000002</v>
      </c>
      <c r="L27" s="198">
        <f>INDEX([2]Energy!$AA$29:$AE$49,MATCH($B27,[2]Energy!$T$29:$T$49,0),3)</f>
        <v>636.61200000000076</v>
      </c>
      <c r="M27" s="196">
        <f>INDEX([2]Energy!$AA$79:$AE$99,MATCH($B27,[2]Energy!$T$79:$T$99,0),1)</f>
        <v>2179.578</v>
      </c>
      <c r="N27" s="197">
        <f>INDEX([2]Energy!$AA$79:$AE$99,MATCH($B27,[2]Energy!$T$79:$T$99,0),4)</f>
        <v>67.189000000000163</v>
      </c>
      <c r="O27" s="197">
        <f>INDEX([2]Energy!$AA$79:$AE$99,MATCH($B27,[2]Energy!$T$79:$T$99,0),5)</f>
        <v>1175.4509999999993</v>
      </c>
      <c r="P27" s="197">
        <f>INDEX([2]Energy!$AA$79:$AE$99,MATCH($B27,[2]Energy!$T$79:$T$99,0),2)</f>
        <v>237.51699999999963</v>
      </c>
      <c r="Q27" s="198">
        <f>INDEX([2]Energy!$AA$79:$AE$99,MATCH($B27,[2]Energy!$T$79:$T$99,0),3)</f>
        <v>699.42100000000096</v>
      </c>
      <c r="R27" s="196">
        <f>INDEX([2]Energy!$AA$54:$AE$74,MATCH($B27,[2]Energy!$T$54:$T$74,0),1)</f>
        <v>2169.6683308184001</v>
      </c>
      <c r="S27" s="197">
        <f>INDEX([2]Energy!$AA$54:$AE$74,MATCH($B27,[2]Energy!$T$54:$T$74,0),4)</f>
        <v>120.07051203950799</v>
      </c>
      <c r="T27" s="197">
        <f>INDEX([2]Energy!$AA$54:$AE$74,MATCH($B27,[2]Energy!$T$54:$T$74,0),5)</f>
        <v>941.89326967328657</v>
      </c>
      <c r="U27" s="197">
        <f>INDEX([2]Energy!$AA$54:$AE$74,MATCH($B27,[2]Energy!$T$54:$T$74,0),2)</f>
        <v>293.88037833748706</v>
      </c>
      <c r="V27" s="198">
        <f>INDEX([2]Energy!$AA$54:$AE$74,MATCH($B27,[2]Energy!$T$54:$T$74,0),3)</f>
        <v>813.82417076811862</v>
      </c>
    </row>
    <row r="28" spans="2:28">
      <c r="B28" s="14">
        <f t="shared" si="0"/>
        <v>2039</v>
      </c>
      <c r="C28" s="196">
        <f>INDEX([2]Energy!$AA$4:$AE$24,MATCH($B28,[2]Energy!$T$4:$T$24,0),1)</f>
        <v>8760</v>
      </c>
      <c r="D28" s="197">
        <f>INDEX([2]Energy!$AA$4:$AE$24,MATCH($B28,[2]Energy!$T$4:$T$24,0),4)</f>
        <v>1944</v>
      </c>
      <c r="E28" s="197">
        <f>INDEX([2]Energy!$AA$4:$AE$24,MATCH($B28,[2]Energy!$T$4:$T$24,0),5)</f>
        <v>3888</v>
      </c>
      <c r="F28" s="197">
        <f>INDEX([2]Energy!$AA$4:$AE$24,MATCH($B28,[2]Energy!$T$4:$T$24,0),2)</f>
        <v>976</v>
      </c>
      <c r="G28" s="198">
        <f>INDEX([2]Energy!$AA$4:$AE$24,MATCH($B28,[2]Energy!$T$4:$T$24,0),3)</f>
        <v>1952</v>
      </c>
      <c r="H28" s="196">
        <f>INDEX([2]Energy!$AA$29:$AE$49,MATCH($B28,[2]Energy!$T$29:$T$49,0),1)</f>
        <v>3326.3940000000412</v>
      </c>
      <c r="I28" s="197">
        <f>INDEX([2]Energy!$AA$29:$AE$49,MATCH($B28,[2]Energy!$T$29:$T$49,0),4)</f>
        <v>785.32400000000553</v>
      </c>
      <c r="J28" s="197">
        <f>INDEX([2]Energy!$AA$29:$AE$49,MATCH($B28,[2]Energy!$T$29:$T$49,0),5)</f>
        <v>1577.4420000000348</v>
      </c>
      <c r="K28" s="197">
        <f>INDEX([2]Energy!$AA$29:$AE$49,MATCH($B28,[2]Energy!$T$29:$T$49,0),2)</f>
        <v>327.01600000000002</v>
      </c>
      <c r="L28" s="198">
        <f>INDEX([2]Energy!$AA$29:$AE$49,MATCH($B28,[2]Energy!$T$29:$T$49,0),3)</f>
        <v>636.61200000000076</v>
      </c>
      <c r="M28" s="196">
        <f>INDEX([2]Energy!$AA$79:$AE$99,MATCH($B28,[2]Energy!$T$79:$T$99,0),1)</f>
        <v>2179.578</v>
      </c>
      <c r="N28" s="197">
        <f>INDEX([2]Energy!$AA$79:$AE$99,MATCH($B28,[2]Energy!$T$79:$T$99,0),4)</f>
        <v>67.189000000000163</v>
      </c>
      <c r="O28" s="197">
        <f>INDEX([2]Energy!$AA$79:$AE$99,MATCH($B28,[2]Energy!$T$79:$T$99,0),5)</f>
        <v>1175.4509999999993</v>
      </c>
      <c r="P28" s="197">
        <f>INDEX([2]Energy!$AA$79:$AE$99,MATCH($B28,[2]Energy!$T$79:$T$99,0),2)</f>
        <v>237.51699999999963</v>
      </c>
      <c r="Q28" s="198">
        <f>INDEX([2]Energy!$AA$79:$AE$99,MATCH($B28,[2]Energy!$T$79:$T$99,0),3)</f>
        <v>699.42100000000096</v>
      </c>
      <c r="R28" s="196">
        <f>INDEX([2]Energy!$AA$54:$AE$74,MATCH($B28,[2]Energy!$T$54:$T$74,0),1)</f>
        <v>2169.6683308184001</v>
      </c>
      <c r="S28" s="197">
        <f>INDEX([2]Energy!$AA$54:$AE$74,MATCH($B28,[2]Energy!$T$54:$T$74,0),4)</f>
        <v>120.07051203950799</v>
      </c>
      <c r="T28" s="197">
        <f>INDEX([2]Energy!$AA$54:$AE$74,MATCH($B28,[2]Energy!$T$54:$T$74,0),5)</f>
        <v>941.89326967328657</v>
      </c>
      <c r="U28" s="197">
        <f>INDEX([2]Energy!$AA$54:$AE$74,MATCH($B28,[2]Energy!$T$54:$T$74,0),2)</f>
        <v>293.88037833748706</v>
      </c>
      <c r="V28" s="198">
        <f>INDEX([2]Energy!$AA$54:$AE$74,MATCH($B28,[2]Energy!$T$54:$T$74,0),3)</f>
        <v>813.82417076811862</v>
      </c>
      <c r="Y28" t="s">
        <v>112</v>
      </c>
      <c r="Z28" s="317">
        <f>SUM(Z19:Z22)</f>
        <v>0.99359662239422986</v>
      </c>
      <c r="AA28" s="327">
        <f>SUM(AA19:AA22)</f>
        <v>0.33333333333333331</v>
      </c>
      <c r="AB28" s="327">
        <f>SUM(AB19:AB22)</f>
        <v>0.66346497786378167</v>
      </c>
    </row>
    <row r="29" spans="2:28">
      <c r="B29" s="14">
        <f t="shared" si="0"/>
        <v>2040</v>
      </c>
      <c r="C29" s="196">
        <f>INDEX([2]Energy!$AA$4:$AE$24,MATCH($B29,[2]Energy!$T$4:$T$24,0),1)</f>
        <v>8784</v>
      </c>
      <c r="D29" s="197">
        <f>INDEX([2]Energy!$AA$4:$AE$24,MATCH($B29,[2]Energy!$T$4:$T$24,0),4)</f>
        <v>1952</v>
      </c>
      <c r="E29" s="197">
        <f>INDEX([2]Energy!$AA$4:$AE$24,MATCH($B29,[2]Energy!$T$4:$T$24,0),5)</f>
        <v>3904</v>
      </c>
      <c r="F29" s="197">
        <f>INDEX([2]Energy!$AA$4:$AE$24,MATCH($B29,[2]Energy!$T$4:$T$24,0),2)</f>
        <v>976</v>
      </c>
      <c r="G29" s="198">
        <f>INDEX([2]Energy!$AA$4:$AE$24,MATCH($B29,[2]Energy!$T$4:$T$24,0),3)</f>
        <v>1952</v>
      </c>
      <c r="H29" s="196">
        <f>INDEX([2]Energy!$AA$29:$AE$49,MATCH($B29,[2]Energy!$T$29:$T$49,0),1)</f>
        <v>3336.3686785714699</v>
      </c>
      <c r="I29" s="197">
        <f>INDEX([2]Energy!$AA$29:$AE$49,MATCH($B29,[2]Energy!$T$29:$T$49,0),4)</f>
        <v>788.84557142857716</v>
      </c>
      <c r="J29" s="197">
        <f>INDEX([2]Energy!$AA$29:$AE$49,MATCH($B29,[2]Energy!$T$29:$T$49,0),5)</f>
        <v>1583.8951071428919</v>
      </c>
      <c r="K29" s="197">
        <f>INDEX([2]Energy!$AA$29:$AE$49,MATCH($B29,[2]Energy!$T$29:$T$49,0),2)</f>
        <v>327.01600000000002</v>
      </c>
      <c r="L29" s="198">
        <f>INDEX([2]Energy!$AA$29:$AE$49,MATCH($B29,[2]Energy!$T$29:$T$49,0),3)</f>
        <v>636.61200000000076</v>
      </c>
      <c r="M29" s="196">
        <f>INDEX([2]Energy!$AA$79:$AE$99,MATCH($B29,[2]Energy!$T$79:$T$99,0),1)</f>
        <v>2183.9111428571432</v>
      </c>
      <c r="N29" s="197">
        <f>INDEX([2]Energy!$AA$79:$AE$99,MATCH($B29,[2]Energy!$T$79:$T$99,0),4)</f>
        <v>67.310964285714462</v>
      </c>
      <c r="O29" s="197">
        <f>INDEX([2]Energy!$AA$79:$AE$99,MATCH($B29,[2]Energy!$T$79:$T$99,0),5)</f>
        <v>1179.6621785714283</v>
      </c>
      <c r="P29" s="197">
        <f>INDEX([2]Energy!$AA$79:$AE$99,MATCH($B29,[2]Energy!$T$79:$T$99,0),2)</f>
        <v>237.51699999999963</v>
      </c>
      <c r="Q29" s="198">
        <f>INDEX([2]Energy!$AA$79:$AE$99,MATCH($B29,[2]Energy!$T$79:$T$99,0),3)</f>
        <v>699.42100000000096</v>
      </c>
      <c r="R29" s="196">
        <f>INDEX([2]Energy!$AA$54:$AE$74,MATCH($B29,[2]Energy!$T$54:$T$74,0),1)</f>
        <v>2172.1054371859564</v>
      </c>
      <c r="S29" s="197">
        <f>INDEX([2]Energy!$AA$54:$AE$74,MATCH($B29,[2]Energy!$T$54:$T$74,0),4)</f>
        <v>120.33811927907573</v>
      </c>
      <c r="T29" s="197">
        <f>INDEX([2]Energy!$AA$54:$AE$74,MATCH($B29,[2]Energy!$T$54:$T$74,0),5)</f>
        <v>944.06276880127518</v>
      </c>
      <c r="U29" s="197">
        <f>INDEX([2]Energy!$AA$54:$AE$74,MATCH($B29,[2]Energy!$T$54:$T$74,0),2)</f>
        <v>293.88037833748706</v>
      </c>
      <c r="V29" s="198">
        <f>INDEX([2]Energy!$AA$54:$AE$74,MATCH($B29,[2]Energy!$T$54:$T$74,0),3)</f>
        <v>813.82417076811862</v>
      </c>
      <c r="Y29" t="s">
        <v>111</v>
      </c>
      <c r="Z29" s="317">
        <f>1-Z28</f>
        <v>6.4033776057701441E-3</v>
      </c>
      <c r="AA29" s="327">
        <f t="shared" ref="AA29:AB29" si="3">1-AA28</f>
        <v>0.66666666666666674</v>
      </c>
      <c r="AB29" s="327">
        <f t="shared" si="3"/>
        <v>0.33653502213621833</v>
      </c>
    </row>
    <row r="30" spans="2:28">
      <c r="B30" s="14">
        <f t="shared" si="0"/>
        <v>2041</v>
      </c>
      <c r="C30" s="196">
        <f>INDEX([2]Energy!$AA$4:$AE$24,MATCH($B30,[2]Energy!$T$4:$T$24,0),1)</f>
        <v>8760</v>
      </c>
      <c r="D30" s="197">
        <f>INDEX([2]Energy!$AA$4:$AE$24,MATCH($B30,[2]Energy!$T$4:$T$24,0),4)</f>
        <v>1944</v>
      </c>
      <c r="E30" s="197">
        <f>INDEX([2]Energy!$AA$4:$AE$24,MATCH($B30,[2]Energy!$T$4:$T$24,0),5)</f>
        <v>3888</v>
      </c>
      <c r="F30" s="197">
        <f>INDEX([2]Energy!$AA$4:$AE$24,MATCH($B30,[2]Energy!$T$4:$T$24,0),2)</f>
        <v>976</v>
      </c>
      <c r="G30" s="198">
        <f>INDEX([2]Energy!$AA$4:$AE$24,MATCH($B30,[2]Energy!$T$4:$T$24,0),3)</f>
        <v>1952</v>
      </c>
      <c r="H30" s="196">
        <f>INDEX([2]Energy!$AA$29:$AE$49,MATCH($B30,[2]Energy!$T$29:$T$49,0),1)</f>
        <v>3326.3940000000412</v>
      </c>
      <c r="I30" s="197">
        <f>INDEX([2]Energy!$AA$29:$AE$49,MATCH($B30,[2]Energy!$T$29:$T$49,0),4)</f>
        <v>785.32400000000553</v>
      </c>
      <c r="J30" s="197">
        <f>INDEX([2]Energy!$AA$29:$AE$49,MATCH($B30,[2]Energy!$T$29:$T$49,0),5)</f>
        <v>1577.4420000000348</v>
      </c>
      <c r="K30" s="197">
        <f>INDEX([2]Energy!$AA$29:$AE$49,MATCH($B30,[2]Energy!$T$29:$T$49,0),2)</f>
        <v>327.01600000000002</v>
      </c>
      <c r="L30" s="198">
        <f>INDEX([2]Energy!$AA$29:$AE$49,MATCH($B30,[2]Energy!$T$29:$T$49,0),3)</f>
        <v>636.61200000000076</v>
      </c>
      <c r="M30" s="196">
        <f>INDEX([2]Energy!$AA$79:$AE$99,MATCH($B30,[2]Energy!$T$79:$T$99,0),1)</f>
        <v>2179.578</v>
      </c>
      <c r="N30" s="197">
        <f>INDEX([2]Energy!$AA$79:$AE$99,MATCH($B30,[2]Energy!$T$79:$T$99,0),4)</f>
        <v>67.189000000000163</v>
      </c>
      <c r="O30" s="197">
        <f>INDEX([2]Energy!$AA$79:$AE$99,MATCH($B30,[2]Energy!$T$79:$T$99,0),5)</f>
        <v>1175.4509999999993</v>
      </c>
      <c r="P30" s="197">
        <f>INDEX([2]Energy!$AA$79:$AE$99,MATCH($B30,[2]Energy!$T$79:$T$99,0),2)</f>
        <v>237.51699999999963</v>
      </c>
      <c r="Q30" s="198">
        <f>INDEX([2]Energy!$AA$79:$AE$99,MATCH($B30,[2]Energy!$T$79:$T$99,0),3)</f>
        <v>699.42100000000096</v>
      </c>
      <c r="R30" s="196">
        <f>INDEX([2]Energy!$AA$54:$AE$74,MATCH($B30,[2]Energy!$T$54:$T$74,0),1)</f>
        <v>2169.6683308184001</v>
      </c>
      <c r="S30" s="197">
        <f>INDEX([2]Energy!$AA$54:$AE$74,MATCH($B30,[2]Energy!$T$54:$T$74,0),4)</f>
        <v>120.07051203950799</v>
      </c>
      <c r="T30" s="197">
        <f>INDEX([2]Energy!$AA$54:$AE$74,MATCH($B30,[2]Energy!$T$54:$T$74,0),5)</f>
        <v>941.89326967328657</v>
      </c>
      <c r="U30" s="197">
        <f>INDEX([2]Energy!$AA$54:$AE$74,MATCH($B30,[2]Energy!$T$54:$T$74,0),2)</f>
        <v>293.88037833748706</v>
      </c>
      <c r="V30" s="198">
        <f>INDEX([2]Energy!$AA$54:$AE$74,MATCH($B30,[2]Energy!$T$54:$T$74,0),3)</f>
        <v>813.82417076811862</v>
      </c>
    </row>
    <row r="31" spans="2:28">
      <c r="B31" s="28"/>
    </row>
    <row r="32" spans="2:28">
      <c r="B32" s="28"/>
    </row>
    <row r="33" spans="2:7">
      <c r="B33" s="28"/>
    </row>
    <row r="34" spans="2:7">
      <c r="B34" s="7"/>
      <c r="F34" s="180"/>
      <c r="G34" s="7"/>
    </row>
    <row r="35" spans="2:7">
      <c r="B35" s="7"/>
      <c r="G35" s="7"/>
    </row>
    <row r="37" spans="2:7">
      <c r="B37" s="10"/>
    </row>
  </sheetData>
  <mergeCells count="10">
    <mergeCell ref="C5:G5"/>
    <mergeCell ref="H5:L5"/>
    <mergeCell ref="M5:Q5"/>
    <mergeCell ref="R5:V5"/>
    <mergeCell ref="B1:I1"/>
    <mergeCell ref="B2:I2"/>
    <mergeCell ref="C4:G4"/>
    <mergeCell ref="H4:L4"/>
    <mergeCell ref="M4:Q4"/>
    <mergeCell ref="R4:V4"/>
  </mergeCells>
  <printOptions horizontalCentered="1"/>
  <pageMargins left="0.8" right="0.3" top="0.4" bottom="0.4" header="0.5" footer="0.2"/>
  <pageSetup scale="5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499984740745262"/>
    <pageSetUpPr fitToPage="1"/>
  </sheetPr>
  <dimension ref="A1:X87"/>
  <sheetViews>
    <sheetView workbookViewId="0">
      <selection activeCell="B1" sqref="B1"/>
    </sheetView>
  </sheetViews>
  <sheetFormatPr defaultRowHeight="12.75"/>
  <cols>
    <col min="2" max="2" width="51.5" customWidth="1"/>
    <col min="3" max="3" width="9.33203125" customWidth="1"/>
    <col min="4" max="4" width="11" customWidth="1"/>
    <col min="5" max="5" width="10.5" customWidth="1"/>
    <col min="6" max="6" width="10.33203125" customWidth="1"/>
    <col min="7" max="7" width="10.83203125" customWidth="1"/>
    <col min="8" max="8" width="11" customWidth="1"/>
    <col min="9" max="10" width="11.33203125" customWidth="1"/>
    <col min="11" max="14" width="10.5" customWidth="1"/>
    <col min="15" max="16" width="11" customWidth="1"/>
    <col min="17" max="17" width="10.5" customWidth="1"/>
    <col min="18" max="18" width="12.83203125" customWidth="1"/>
    <col min="19" max="19" width="11.6640625" customWidth="1"/>
    <col min="20" max="20" width="11" customWidth="1"/>
    <col min="21" max="21" width="11.6640625" customWidth="1"/>
    <col min="22" max="22" width="11.1640625" customWidth="1"/>
    <col min="23" max="23" width="13" customWidth="1"/>
    <col min="24" max="24" width="13.6640625" customWidth="1"/>
    <col min="25" max="25" width="8.6640625" customWidth="1"/>
  </cols>
  <sheetData>
    <row r="1" spans="1:24" s="60" customFormat="1" ht="15.75"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  <c r="M1" s="96"/>
      <c r="N1" s="96"/>
      <c r="O1" s="96"/>
      <c r="P1" s="96"/>
      <c r="Q1" s="96"/>
      <c r="R1" s="96"/>
    </row>
    <row r="2" spans="1:24" s="60" customFormat="1" ht="15.75">
      <c r="B2" s="97" t="s">
        <v>66</v>
      </c>
      <c r="C2" s="95"/>
      <c r="D2" s="95"/>
      <c r="E2" s="95"/>
      <c r="F2" s="95"/>
      <c r="G2" s="95"/>
      <c r="H2" s="95"/>
      <c r="I2" s="95"/>
      <c r="J2" s="95"/>
      <c r="K2" s="95"/>
      <c r="L2" s="96"/>
      <c r="M2" s="96"/>
      <c r="N2" s="96"/>
      <c r="O2" s="96"/>
      <c r="P2" s="96"/>
      <c r="Q2" s="96"/>
      <c r="R2" s="96"/>
    </row>
    <row r="3" spans="1:24" s="60" customFormat="1" ht="15.75">
      <c r="B3" s="97" t="s">
        <v>67</v>
      </c>
      <c r="C3" s="95"/>
      <c r="D3" s="95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</row>
    <row r="7" spans="1:24" ht="18.75">
      <c r="A7" s="98"/>
      <c r="B7" s="99"/>
      <c r="C7" s="100" t="s">
        <v>17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315" t="s">
        <v>33</v>
      </c>
      <c r="X7" s="314"/>
    </row>
    <row r="8" spans="1:24" ht="15.75">
      <c r="A8" s="102"/>
      <c r="B8" s="103" t="s">
        <v>18</v>
      </c>
      <c r="C8" s="104">
        <v>2017</v>
      </c>
      <c r="D8" s="105">
        <v>2018</v>
      </c>
      <c r="E8" s="105">
        <v>2019</v>
      </c>
      <c r="F8" s="105">
        <v>2020</v>
      </c>
      <c r="G8" s="105">
        <v>2021</v>
      </c>
      <c r="H8" s="105">
        <v>2022</v>
      </c>
      <c r="I8" s="105">
        <v>2023</v>
      </c>
      <c r="J8" s="105">
        <v>2024</v>
      </c>
      <c r="K8" s="105">
        <v>2025</v>
      </c>
      <c r="L8" s="105">
        <v>2026</v>
      </c>
      <c r="M8" s="105">
        <v>2027</v>
      </c>
      <c r="N8" s="105">
        <v>2028</v>
      </c>
      <c r="O8" s="105">
        <v>2029</v>
      </c>
      <c r="P8" s="105">
        <v>2030</v>
      </c>
      <c r="Q8" s="105">
        <v>2031</v>
      </c>
      <c r="R8" s="105">
        <v>2032</v>
      </c>
      <c r="S8" s="105">
        <v>2033</v>
      </c>
      <c r="T8" s="105">
        <v>2034</v>
      </c>
      <c r="U8" s="105">
        <v>2035</v>
      </c>
      <c r="V8" s="105">
        <v>2036</v>
      </c>
      <c r="W8" s="106" t="s">
        <v>34</v>
      </c>
      <c r="X8" s="106" t="s">
        <v>35</v>
      </c>
    </row>
    <row r="9" spans="1:24" hidden="1">
      <c r="A9" s="107" t="s">
        <v>19</v>
      </c>
      <c r="B9" s="312" t="s">
        <v>29</v>
      </c>
      <c r="C9" s="311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8"/>
      <c r="W9" s="311"/>
      <c r="X9" s="308"/>
    </row>
    <row r="10" spans="1:24" ht="15.75" hidden="1">
      <c r="A10" s="108"/>
      <c r="B10" s="313" t="s">
        <v>68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-82.3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-82.3</v>
      </c>
      <c r="X10" s="61">
        <v>-82.3</v>
      </c>
    </row>
    <row r="11" spans="1:24" ht="15.75" hidden="1">
      <c r="A11" s="108"/>
      <c r="B11" s="313" t="s">
        <v>69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-81.540000000000006</v>
      </c>
      <c r="V11" s="61">
        <v>0</v>
      </c>
      <c r="W11" s="61">
        <v>0</v>
      </c>
      <c r="X11" s="61">
        <v>-81.540000000000006</v>
      </c>
    </row>
    <row r="12" spans="1:24" ht="15.75" hidden="1">
      <c r="A12" s="108"/>
      <c r="B12" s="313" t="s">
        <v>36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-45.1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-45.1</v>
      </c>
    </row>
    <row r="13" spans="1:24" ht="15.75" hidden="1">
      <c r="A13" s="108"/>
      <c r="B13" s="313" t="s">
        <v>37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-32.68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-32.68</v>
      </c>
    </row>
    <row r="14" spans="1:24" ht="15.75" hidden="1">
      <c r="A14" s="108"/>
      <c r="B14" s="313" t="s">
        <v>70</v>
      </c>
      <c r="C14" s="62">
        <v>0</v>
      </c>
      <c r="D14" s="62">
        <v>0</v>
      </c>
      <c r="E14" s="62">
        <v>-482.5</v>
      </c>
      <c r="F14" s="62">
        <v>-111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1">
        <v>-593.5</v>
      </c>
      <c r="X14" s="61">
        <v>-593.5</v>
      </c>
    </row>
    <row r="15" spans="1:24" ht="15.75" hidden="1">
      <c r="A15" s="108"/>
      <c r="B15" s="313" t="s">
        <v>71</v>
      </c>
      <c r="C15" s="62">
        <v>0</v>
      </c>
      <c r="D15" s="62">
        <v>0</v>
      </c>
      <c r="E15" s="62">
        <v>483</v>
      </c>
      <c r="F15" s="62">
        <v>111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1">
        <v>594</v>
      </c>
      <c r="X15" s="61">
        <v>594</v>
      </c>
    </row>
    <row r="16" spans="1:24" ht="15.75" hidden="1">
      <c r="A16" s="108"/>
      <c r="B16" s="313" t="s">
        <v>38</v>
      </c>
      <c r="C16" s="61">
        <v>0</v>
      </c>
      <c r="D16" s="61">
        <v>0</v>
      </c>
      <c r="E16" s="61">
        <v>0</v>
      </c>
      <c r="F16" s="61">
        <v>0</v>
      </c>
      <c r="G16" s="61">
        <v>-387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-387</v>
      </c>
      <c r="X16" s="61">
        <v>-387</v>
      </c>
    </row>
    <row r="17" spans="1:24" ht="15.75" hidden="1">
      <c r="A17" s="108"/>
      <c r="B17" s="313" t="s">
        <v>39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-106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-106</v>
      </c>
    </row>
    <row r="18" spans="1:24" ht="15.75" hidden="1">
      <c r="A18" s="108"/>
      <c r="B18" s="313" t="s">
        <v>40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-106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-106</v>
      </c>
    </row>
    <row r="19" spans="1:24" ht="15.75" hidden="1">
      <c r="A19" s="108"/>
      <c r="B19" s="313" t="s">
        <v>41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-220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-220</v>
      </c>
    </row>
    <row r="20" spans="1:24" ht="15.75" hidden="1">
      <c r="A20" s="108"/>
      <c r="B20" s="313" t="s">
        <v>42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-330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-330</v>
      </c>
    </row>
    <row r="21" spans="1:24" ht="15.75" hidden="1">
      <c r="A21" s="108"/>
      <c r="B21" s="313" t="s">
        <v>43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-156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-156</v>
      </c>
    </row>
    <row r="22" spans="1:24" ht="15.75" hidden="1">
      <c r="A22" s="108"/>
      <c r="B22" s="313" t="s">
        <v>44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-201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-201</v>
      </c>
    </row>
    <row r="23" spans="1:24" ht="15.75" hidden="1">
      <c r="A23" s="108"/>
      <c r="B23" s="313" t="s">
        <v>45</v>
      </c>
      <c r="C23" s="61">
        <v>0</v>
      </c>
      <c r="D23" s="61">
        <v>0</v>
      </c>
      <c r="E23" s="61">
        <v>-280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-280</v>
      </c>
      <c r="X23" s="61">
        <v>-280</v>
      </c>
    </row>
    <row r="24" spans="1:24" ht="15.75" hidden="1">
      <c r="A24" s="108"/>
      <c r="B24" s="313" t="s">
        <v>46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-357.5</v>
      </c>
      <c r="T24" s="62">
        <v>0</v>
      </c>
      <c r="U24" s="62">
        <v>0</v>
      </c>
      <c r="V24" s="62">
        <v>0</v>
      </c>
      <c r="W24" s="61">
        <v>0</v>
      </c>
      <c r="X24" s="61">
        <v>-357.5</v>
      </c>
    </row>
    <row r="25" spans="1:24">
      <c r="A25" s="108" t="s">
        <v>19</v>
      </c>
      <c r="B25" s="312" t="s">
        <v>30</v>
      </c>
      <c r="C25" s="311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8"/>
      <c r="W25" s="110"/>
      <c r="X25" s="111"/>
    </row>
    <row r="26" spans="1:24" ht="16.5" thickBot="1">
      <c r="A26" s="109"/>
      <c r="B26" s="112" t="s">
        <v>62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476.577</v>
      </c>
      <c r="T26" s="62">
        <v>0</v>
      </c>
      <c r="U26" s="62">
        <v>0</v>
      </c>
      <c r="V26" s="62">
        <v>0</v>
      </c>
      <c r="W26" s="61">
        <v>0</v>
      </c>
      <c r="X26" s="61">
        <v>476.577</v>
      </c>
    </row>
    <row r="27" spans="1:24" ht="16.5" thickBot="1">
      <c r="A27" s="109"/>
      <c r="B27" s="114" t="s">
        <v>47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476.577</v>
      </c>
      <c r="T27" s="63">
        <v>0</v>
      </c>
      <c r="U27" s="63">
        <v>0</v>
      </c>
      <c r="V27" s="63">
        <v>0</v>
      </c>
      <c r="W27" s="63">
        <v>0</v>
      </c>
      <c r="X27" s="63">
        <v>476.577</v>
      </c>
    </row>
    <row r="28" spans="1:24" ht="15.75">
      <c r="A28" s="109"/>
      <c r="B28" s="112" t="s">
        <v>72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113">
        <v>0</v>
      </c>
      <c r="R28" s="113">
        <v>0</v>
      </c>
      <c r="S28" s="113">
        <v>199.92400000000001</v>
      </c>
      <c r="T28" s="113">
        <v>0</v>
      </c>
      <c r="U28" s="113">
        <v>0</v>
      </c>
      <c r="V28" s="113">
        <v>0</v>
      </c>
      <c r="W28" s="126">
        <v>0</v>
      </c>
      <c r="X28" s="61">
        <v>199.92400000000001</v>
      </c>
    </row>
    <row r="29" spans="1:24" ht="15.75">
      <c r="A29" s="109"/>
      <c r="B29" s="112" t="s">
        <v>73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113">
        <v>199.92400000000001</v>
      </c>
      <c r="P29" s="62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26">
        <v>0</v>
      </c>
      <c r="X29" s="61">
        <v>199.92400000000001</v>
      </c>
    </row>
    <row r="30" spans="1:24" ht="15.75">
      <c r="A30" s="109"/>
      <c r="B30" s="112" t="s">
        <v>74</v>
      </c>
      <c r="C30" s="62">
        <v>0</v>
      </c>
      <c r="D30" s="62">
        <v>0</v>
      </c>
      <c r="E30" s="62">
        <v>0</v>
      </c>
      <c r="F30" s="62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85.498999999999995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26">
        <v>0</v>
      </c>
      <c r="X30" s="61">
        <v>85.498999999999995</v>
      </c>
    </row>
    <row r="31" spans="1:24" ht="15.75">
      <c r="A31" s="109"/>
      <c r="B31" s="112" t="s">
        <v>75</v>
      </c>
      <c r="C31" s="62">
        <v>0</v>
      </c>
      <c r="D31" s="62">
        <v>0</v>
      </c>
      <c r="E31" s="62">
        <v>0</v>
      </c>
      <c r="F31" s="62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773.98800000000006</v>
      </c>
      <c r="W31" s="126">
        <v>0</v>
      </c>
      <c r="X31" s="61">
        <v>773.98800000000006</v>
      </c>
    </row>
    <row r="32" spans="1:24" ht="16.5" thickBot="1">
      <c r="A32" s="109"/>
      <c r="B32" s="112" t="s">
        <v>76</v>
      </c>
      <c r="C32" s="62">
        <v>0</v>
      </c>
      <c r="D32" s="62">
        <v>0</v>
      </c>
      <c r="E32" s="62">
        <v>0</v>
      </c>
      <c r="F32" s="62">
        <v>0</v>
      </c>
      <c r="G32" s="113">
        <v>1100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26">
        <v>1100</v>
      </c>
      <c r="X32" s="61">
        <v>1100</v>
      </c>
    </row>
    <row r="33" spans="1:24" ht="16.5" thickBot="1">
      <c r="A33" s="109"/>
      <c r="B33" s="114" t="s">
        <v>77</v>
      </c>
      <c r="C33" s="63">
        <v>0</v>
      </c>
      <c r="D33" s="63">
        <v>0</v>
      </c>
      <c r="E33" s="63">
        <v>0</v>
      </c>
      <c r="F33" s="63">
        <v>0</v>
      </c>
      <c r="G33" s="127">
        <v>1100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85.498999999999995</v>
      </c>
      <c r="R33" s="127">
        <v>0</v>
      </c>
      <c r="S33" s="127">
        <v>0</v>
      </c>
      <c r="T33" s="127">
        <v>0</v>
      </c>
      <c r="U33" s="127">
        <v>0</v>
      </c>
      <c r="V33" s="127">
        <v>773.98800000000006</v>
      </c>
      <c r="W33" s="127">
        <v>1100</v>
      </c>
      <c r="X33" s="63">
        <v>1959.4870000000001</v>
      </c>
    </row>
    <row r="34" spans="1:24" ht="16.5" thickBot="1">
      <c r="A34" s="109"/>
      <c r="B34" s="115" t="s">
        <v>78</v>
      </c>
      <c r="C34" s="128">
        <v>0</v>
      </c>
      <c r="D34" s="128">
        <v>0</v>
      </c>
      <c r="E34" s="128">
        <v>0</v>
      </c>
      <c r="F34" s="128">
        <v>0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79.44</v>
      </c>
      <c r="R34" s="129">
        <v>166.625</v>
      </c>
      <c r="S34" s="129">
        <v>209.99100000000001</v>
      </c>
      <c r="T34" s="129">
        <v>40.779000000000003</v>
      </c>
      <c r="U34" s="129">
        <v>290.57600000000002</v>
      </c>
      <c r="V34" s="129">
        <v>12.589</v>
      </c>
      <c r="W34" s="113">
        <v>0</v>
      </c>
      <c r="X34" s="62">
        <v>800.00000000000011</v>
      </c>
    </row>
    <row r="35" spans="1:24" ht="16.5" hidden="1" thickBot="1">
      <c r="A35" s="109"/>
      <c r="B35" s="115" t="s">
        <v>79</v>
      </c>
      <c r="C35" s="64">
        <v>0</v>
      </c>
      <c r="D35" s="64">
        <v>0</v>
      </c>
      <c r="E35" s="64">
        <v>0</v>
      </c>
      <c r="F35" s="64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3.35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1.34</v>
      </c>
      <c r="W35" s="131">
        <v>0</v>
      </c>
      <c r="X35" s="65">
        <v>4.6900000000000004</v>
      </c>
    </row>
    <row r="36" spans="1:24" ht="16.5" hidden="1" thickBot="1">
      <c r="A36" s="109"/>
      <c r="B36" s="115" t="s">
        <v>80</v>
      </c>
      <c r="C36" s="64">
        <v>0</v>
      </c>
      <c r="D36" s="64">
        <v>0</v>
      </c>
      <c r="E36" s="64">
        <v>0</v>
      </c>
      <c r="F36" s="64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0">
        <v>1.93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1">
        <v>0</v>
      </c>
      <c r="X36" s="65">
        <v>1.93</v>
      </c>
    </row>
    <row r="37" spans="1:24" ht="16.5" hidden="1" thickBot="1">
      <c r="A37" s="109"/>
      <c r="B37" s="115" t="s">
        <v>81</v>
      </c>
      <c r="C37" s="64">
        <v>0</v>
      </c>
      <c r="D37" s="64">
        <v>0</v>
      </c>
      <c r="E37" s="64">
        <v>0</v>
      </c>
      <c r="F37" s="64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10.93</v>
      </c>
      <c r="O37" s="130">
        <v>3.94</v>
      </c>
      <c r="P37" s="130">
        <v>0</v>
      </c>
      <c r="Q37" s="130">
        <v>0</v>
      </c>
      <c r="R37" s="130">
        <v>3.36</v>
      </c>
      <c r="S37" s="130">
        <v>0</v>
      </c>
      <c r="T37" s="130">
        <v>0</v>
      </c>
      <c r="U37" s="130">
        <v>3.05</v>
      </c>
      <c r="V37" s="130">
        <v>0</v>
      </c>
      <c r="W37" s="131">
        <v>0</v>
      </c>
      <c r="X37" s="65">
        <v>21.28</v>
      </c>
    </row>
    <row r="38" spans="1:24" ht="16.5" hidden="1" thickBot="1">
      <c r="A38" s="109"/>
      <c r="B38" s="115" t="s">
        <v>82</v>
      </c>
      <c r="C38" s="65">
        <v>0</v>
      </c>
      <c r="D38" s="65">
        <v>0</v>
      </c>
      <c r="E38" s="65">
        <v>0</v>
      </c>
      <c r="F38" s="65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68.37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65">
        <v>68.37</v>
      </c>
    </row>
    <row r="39" spans="1:24" ht="16.5" hidden="1" thickBot="1">
      <c r="A39" s="109"/>
      <c r="B39" s="115" t="s">
        <v>83</v>
      </c>
      <c r="C39" s="64">
        <v>0</v>
      </c>
      <c r="D39" s="64">
        <v>0</v>
      </c>
      <c r="E39" s="64">
        <v>0</v>
      </c>
      <c r="F39" s="64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34.75</v>
      </c>
      <c r="O39" s="130">
        <v>40.54</v>
      </c>
      <c r="P39" s="130">
        <v>4.75</v>
      </c>
      <c r="Q39" s="130">
        <v>0</v>
      </c>
      <c r="R39" s="130">
        <v>0</v>
      </c>
      <c r="S39" s="130">
        <v>0</v>
      </c>
      <c r="T39" s="130">
        <v>3.67</v>
      </c>
      <c r="U39" s="130">
        <v>0</v>
      </c>
      <c r="V39" s="130">
        <v>2.2200000000000002</v>
      </c>
      <c r="W39" s="131">
        <v>0</v>
      </c>
      <c r="X39" s="65">
        <v>85.929999999999993</v>
      </c>
    </row>
    <row r="40" spans="1:24" ht="16.5" hidden="1" thickBot="1">
      <c r="A40" s="109"/>
      <c r="B40" s="115" t="s">
        <v>84</v>
      </c>
      <c r="C40" s="64">
        <v>0</v>
      </c>
      <c r="D40" s="64">
        <v>0</v>
      </c>
      <c r="E40" s="64">
        <v>0</v>
      </c>
      <c r="F40" s="64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3.05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0">
        <v>0</v>
      </c>
      <c r="U40" s="130">
        <v>0</v>
      </c>
      <c r="V40" s="130">
        <v>3.25</v>
      </c>
      <c r="W40" s="131">
        <v>0</v>
      </c>
      <c r="X40" s="65">
        <v>6.3</v>
      </c>
    </row>
    <row r="41" spans="1:24" ht="16.5" hidden="1" thickBot="1">
      <c r="A41" s="109"/>
      <c r="B41" s="115" t="s">
        <v>85</v>
      </c>
      <c r="C41" s="64">
        <v>0</v>
      </c>
      <c r="D41" s="64">
        <v>0</v>
      </c>
      <c r="E41" s="64">
        <v>0</v>
      </c>
      <c r="F41" s="64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4.78</v>
      </c>
      <c r="O41" s="130">
        <v>0</v>
      </c>
      <c r="P41" s="130">
        <v>0</v>
      </c>
      <c r="Q41" s="130">
        <v>0</v>
      </c>
      <c r="R41" s="130">
        <v>0</v>
      </c>
      <c r="S41" s="130">
        <v>0</v>
      </c>
      <c r="T41" s="130">
        <v>0</v>
      </c>
      <c r="U41" s="130">
        <v>0</v>
      </c>
      <c r="V41" s="130">
        <v>2.87</v>
      </c>
      <c r="W41" s="131">
        <v>0</v>
      </c>
      <c r="X41" s="65">
        <v>7.65</v>
      </c>
    </row>
    <row r="42" spans="1:24" ht="16.5" hidden="1" thickBot="1">
      <c r="A42" s="109"/>
      <c r="B42" s="115" t="s">
        <v>86</v>
      </c>
      <c r="C42" s="64">
        <v>0</v>
      </c>
      <c r="D42" s="64">
        <v>0</v>
      </c>
      <c r="E42" s="64">
        <v>0</v>
      </c>
      <c r="F42" s="64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40.71</v>
      </c>
      <c r="P42" s="130">
        <v>0</v>
      </c>
      <c r="Q42" s="130">
        <v>0</v>
      </c>
      <c r="R42" s="130">
        <v>0</v>
      </c>
      <c r="S42" s="130">
        <v>3.11</v>
      </c>
      <c r="T42" s="130">
        <v>0</v>
      </c>
      <c r="U42" s="130">
        <v>0</v>
      </c>
      <c r="V42" s="130">
        <v>1.95</v>
      </c>
      <c r="W42" s="131">
        <v>0</v>
      </c>
      <c r="X42" s="65">
        <v>45.77</v>
      </c>
    </row>
    <row r="43" spans="1:24" ht="16.5" hidden="1" thickBot="1">
      <c r="A43" s="109"/>
      <c r="B43" s="115" t="s">
        <v>87</v>
      </c>
      <c r="C43" s="64">
        <v>0</v>
      </c>
      <c r="D43" s="64">
        <v>0</v>
      </c>
      <c r="E43" s="64">
        <v>0</v>
      </c>
      <c r="F43" s="64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1.88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0">
        <v>0</v>
      </c>
      <c r="V43" s="130">
        <v>0</v>
      </c>
      <c r="W43" s="131">
        <v>0</v>
      </c>
      <c r="X43" s="65">
        <v>1.88</v>
      </c>
    </row>
    <row r="44" spans="1:24" ht="16.5" thickBot="1">
      <c r="A44" s="109"/>
      <c r="B44" s="114" t="s">
        <v>20</v>
      </c>
      <c r="C44" s="66">
        <v>0</v>
      </c>
      <c r="D44" s="66">
        <v>0</v>
      </c>
      <c r="E44" s="66">
        <v>0</v>
      </c>
      <c r="F44" s="66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123.76</v>
      </c>
      <c r="O44" s="132">
        <v>90.47</v>
      </c>
      <c r="P44" s="132">
        <v>4.75</v>
      </c>
      <c r="Q44" s="132">
        <v>0</v>
      </c>
      <c r="R44" s="132">
        <v>3.36</v>
      </c>
      <c r="S44" s="132">
        <v>3.11</v>
      </c>
      <c r="T44" s="132">
        <v>3.67</v>
      </c>
      <c r="U44" s="132">
        <v>3.05</v>
      </c>
      <c r="V44" s="132">
        <v>11.629999999999999</v>
      </c>
      <c r="W44" s="132">
        <v>0</v>
      </c>
      <c r="X44" s="66">
        <v>243.80000000000004</v>
      </c>
    </row>
    <row r="45" spans="1:24" ht="16.5" hidden="1" thickBot="1">
      <c r="A45" s="109"/>
      <c r="B45" s="307" t="s">
        <v>48</v>
      </c>
      <c r="C45" s="62">
        <v>4.57</v>
      </c>
      <c r="D45" s="62">
        <v>6.5</v>
      </c>
      <c r="E45" s="62">
        <v>6.5299999999999994</v>
      </c>
      <c r="F45" s="62">
        <v>5.59</v>
      </c>
      <c r="G45" s="113">
        <v>5.7900000000000009</v>
      </c>
      <c r="H45" s="113">
        <v>5.42</v>
      </c>
      <c r="I45" s="113">
        <v>5.24</v>
      </c>
      <c r="J45" s="113">
        <v>5.5400000000000009</v>
      </c>
      <c r="K45" s="113">
        <v>5.33</v>
      </c>
      <c r="L45" s="113">
        <v>5.58</v>
      </c>
      <c r="M45" s="113">
        <v>5.25</v>
      </c>
      <c r="N45" s="113">
        <v>4.93</v>
      </c>
      <c r="O45" s="113">
        <v>4.76</v>
      </c>
      <c r="P45" s="113">
        <v>4.57</v>
      </c>
      <c r="Q45" s="113">
        <v>4.43</v>
      </c>
      <c r="R45" s="62">
        <v>3.7300000000000004</v>
      </c>
      <c r="S45" s="62">
        <v>3.48</v>
      </c>
      <c r="T45" s="62">
        <v>2.86</v>
      </c>
      <c r="U45" s="62">
        <v>2.56</v>
      </c>
      <c r="V45" s="62">
        <v>2.64</v>
      </c>
      <c r="W45" s="62">
        <v>56.09</v>
      </c>
      <c r="X45" s="62">
        <v>95.30000000000004</v>
      </c>
    </row>
    <row r="46" spans="1:24" ht="16.5" hidden="1" thickBot="1">
      <c r="A46" s="109"/>
      <c r="B46" s="307" t="s">
        <v>49</v>
      </c>
      <c r="C46" s="62">
        <v>84.4</v>
      </c>
      <c r="D46" s="62">
        <v>57.6</v>
      </c>
      <c r="E46" s="62">
        <v>61.5</v>
      </c>
      <c r="F46" s="62">
        <v>59.4</v>
      </c>
      <c r="G46" s="113">
        <v>61.5</v>
      </c>
      <c r="H46" s="113">
        <v>58.400000000000006</v>
      </c>
      <c r="I46" s="113">
        <v>65.8</v>
      </c>
      <c r="J46" s="113">
        <v>65.7</v>
      </c>
      <c r="K46" s="113">
        <v>62.6</v>
      </c>
      <c r="L46" s="113">
        <v>64.700000000000017</v>
      </c>
      <c r="M46" s="113">
        <v>64.600000000000009</v>
      </c>
      <c r="N46" s="113">
        <v>60.70000000000001</v>
      </c>
      <c r="O46" s="113">
        <v>56.800000000000011</v>
      </c>
      <c r="P46" s="113">
        <v>56.999999999999993</v>
      </c>
      <c r="Q46" s="113">
        <v>59.000000000000007</v>
      </c>
      <c r="R46" s="62">
        <v>49.300000000000011</v>
      </c>
      <c r="S46" s="62">
        <v>43.900000000000006</v>
      </c>
      <c r="T46" s="62">
        <v>37.000000000000007</v>
      </c>
      <c r="U46" s="62">
        <v>34.200000000000003</v>
      </c>
      <c r="V46" s="62">
        <v>34.800000000000004</v>
      </c>
      <c r="W46" s="62">
        <v>641.6</v>
      </c>
      <c r="X46" s="62">
        <v>1138.9000000000001</v>
      </c>
    </row>
    <row r="47" spans="1:24" ht="16.5" hidden="1" thickBot="1">
      <c r="A47" s="109"/>
      <c r="B47" s="307" t="s">
        <v>50</v>
      </c>
      <c r="C47" s="62">
        <v>7.5449999999999999</v>
      </c>
      <c r="D47" s="62">
        <v>10.210000000000001</v>
      </c>
      <c r="E47" s="62">
        <v>10.809999999999999</v>
      </c>
      <c r="F47" s="62">
        <v>10.28</v>
      </c>
      <c r="G47" s="113">
        <v>13.26</v>
      </c>
      <c r="H47" s="113">
        <v>13.489999999999998</v>
      </c>
      <c r="I47" s="113">
        <v>13.71</v>
      </c>
      <c r="J47" s="113">
        <v>13.75</v>
      </c>
      <c r="K47" s="113">
        <v>14.48</v>
      </c>
      <c r="L47" s="113">
        <v>13.88</v>
      </c>
      <c r="M47" s="113">
        <v>12.49</v>
      </c>
      <c r="N47" s="113">
        <v>11.32</v>
      </c>
      <c r="O47" s="113">
        <v>11.48</v>
      </c>
      <c r="P47" s="113">
        <v>11.030000000000001</v>
      </c>
      <c r="Q47" s="113">
        <v>10.64</v>
      </c>
      <c r="R47" s="62">
        <v>8.92</v>
      </c>
      <c r="S47" s="62">
        <v>7.62</v>
      </c>
      <c r="T47" s="62">
        <v>6.8900000000000006</v>
      </c>
      <c r="U47" s="62">
        <v>6.96</v>
      </c>
      <c r="V47" s="62">
        <v>6.98</v>
      </c>
      <c r="W47" s="67">
        <v>121.41500000000001</v>
      </c>
      <c r="X47" s="67">
        <v>215.745</v>
      </c>
    </row>
    <row r="48" spans="1:24" ht="16.5" thickBot="1">
      <c r="A48" s="109"/>
      <c r="B48" s="114" t="s">
        <v>21</v>
      </c>
      <c r="C48" s="63">
        <v>96.515000000000001</v>
      </c>
      <c r="D48" s="63">
        <v>74.31</v>
      </c>
      <c r="E48" s="63">
        <v>78.84</v>
      </c>
      <c r="F48" s="63">
        <v>75.27</v>
      </c>
      <c r="G48" s="127">
        <v>80.550000000000011</v>
      </c>
      <c r="H48" s="127">
        <v>77.31</v>
      </c>
      <c r="I48" s="127">
        <v>84.75</v>
      </c>
      <c r="J48" s="127">
        <v>84.990000000000009</v>
      </c>
      <c r="K48" s="127">
        <v>82.410000000000011</v>
      </c>
      <c r="L48" s="127">
        <v>84.160000000000011</v>
      </c>
      <c r="M48" s="127">
        <v>82.34</v>
      </c>
      <c r="N48" s="127">
        <v>76.950000000000017</v>
      </c>
      <c r="O48" s="127">
        <v>73.040000000000006</v>
      </c>
      <c r="P48" s="127">
        <v>72.599999999999994</v>
      </c>
      <c r="Q48" s="127">
        <v>74.070000000000007</v>
      </c>
      <c r="R48" s="63">
        <v>61.950000000000017</v>
      </c>
      <c r="S48" s="63">
        <v>55</v>
      </c>
      <c r="T48" s="63">
        <v>46.750000000000007</v>
      </c>
      <c r="U48" s="63">
        <v>43.720000000000006</v>
      </c>
      <c r="V48" s="63">
        <v>44.42</v>
      </c>
      <c r="W48" s="63">
        <v>819.10500000000002</v>
      </c>
      <c r="X48" s="63">
        <v>1449.9450000000002</v>
      </c>
    </row>
    <row r="49" spans="1:24" ht="15.75">
      <c r="A49" s="109"/>
      <c r="B49" s="116" t="s">
        <v>88</v>
      </c>
      <c r="C49" s="62">
        <v>0</v>
      </c>
      <c r="D49" s="62">
        <v>0</v>
      </c>
      <c r="E49" s="62">
        <v>0</v>
      </c>
      <c r="F49" s="62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27.126000000000001</v>
      </c>
      <c r="M49" s="113">
        <v>27.126000000000001</v>
      </c>
      <c r="N49" s="113">
        <v>300</v>
      </c>
      <c r="O49" s="113">
        <v>300</v>
      </c>
      <c r="P49" s="113">
        <v>290.67500000000001</v>
      </c>
      <c r="Q49" s="113">
        <v>300</v>
      </c>
      <c r="R49" s="62">
        <v>300</v>
      </c>
      <c r="S49" s="62">
        <v>300</v>
      </c>
      <c r="T49" s="62">
        <v>300</v>
      </c>
      <c r="U49" s="62">
        <v>300</v>
      </c>
      <c r="V49" s="62">
        <v>300</v>
      </c>
      <c r="W49" s="61">
        <v>2.7126000000000001</v>
      </c>
      <c r="X49" s="61">
        <v>137.24634999999998</v>
      </c>
    </row>
    <row r="50" spans="1:24" hidden="1">
      <c r="A50" s="107" t="s">
        <v>22</v>
      </c>
      <c r="B50" s="312" t="s">
        <v>29</v>
      </c>
      <c r="C50" s="311"/>
      <c r="D50" s="309"/>
      <c r="E50" s="309"/>
      <c r="F50" s="309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09"/>
      <c r="S50" s="309"/>
      <c r="T50" s="309"/>
      <c r="U50" s="309"/>
      <c r="V50" s="308"/>
      <c r="W50" s="311"/>
      <c r="X50" s="111"/>
    </row>
    <row r="51" spans="1:24" ht="15.75" hidden="1">
      <c r="A51" s="108"/>
      <c r="B51" s="313" t="s">
        <v>89</v>
      </c>
      <c r="C51" s="61">
        <v>0</v>
      </c>
      <c r="D51" s="61">
        <v>0</v>
      </c>
      <c r="E51" s="61">
        <v>0</v>
      </c>
      <c r="F51" s="61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-354</v>
      </c>
      <c r="P51" s="126">
        <v>0</v>
      </c>
      <c r="Q51" s="126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-354</v>
      </c>
    </row>
    <row r="52" spans="1:24" ht="15.75" hidden="1">
      <c r="A52" s="108"/>
      <c r="B52" s="313" t="s">
        <v>90</v>
      </c>
      <c r="C52" s="61">
        <v>0</v>
      </c>
      <c r="D52" s="61">
        <v>0</v>
      </c>
      <c r="E52" s="61">
        <v>0</v>
      </c>
      <c r="F52" s="61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26">
        <v>0</v>
      </c>
      <c r="Q52" s="126">
        <v>0</v>
      </c>
      <c r="R52" s="61">
        <v>0</v>
      </c>
      <c r="S52" s="61">
        <v>-359.3</v>
      </c>
      <c r="T52" s="61">
        <v>0</v>
      </c>
      <c r="U52" s="61">
        <v>0</v>
      </c>
      <c r="V52" s="61">
        <v>0</v>
      </c>
      <c r="W52" s="61">
        <v>0</v>
      </c>
      <c r="X52" s="61">
        <v>-359.3</v>
      </c>
    </row>
    <row r="53" spans="1:24" ht="15.75" hidden="1">
      <c r="A53" s="108"/>
      <c r="B53" s="313" t="s">
        <v>70</v>
      </c>
      <c r="C53" s="61">
        <v>0</v>
      </c>
      <c r="D53" s="61">
        <v>0</v>
      </c>
      <c r="E53" s="62">
        <v>-311.5</v>
      </c>
      <c r="F53" s="61">
        <v>0</v>
      </c>
      <c r="G53" s="126">
        <v>0</v>
      </c>
      <c r="H53" s="126">
        <v>0</v>
      </c>
      <c r="I53" s="126">
        <v>0</v>
      </c>
      <c r="J53" s="126">
        <v>0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  <c r="P53" s="126">
        <v>0</v>
      </c>
      <c r="Q53" s="126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-311.5</v>
      </c>
      <c r="X53" s="61">
        <v>-311.5</v>
      </c>
    </row>
    <row r="54" spans="1:24" ht="15.75" hidden="1">
      <c r="A54" s="108"/>
      <c r="B54" s="313" t="s">
        <v>91</v>
      </c>
      <c r="C54" s="62">
        <v>0</v>
      </c>
      <c r="D54" s="62">
        <v>0</v>
      </c>
      <c r="E54" s="62">
        <v>334.5</v>
      </c>
      <c r="F54" s="62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1">
        <v>334.5</v>
      </c>
      <c r="X54" s="61">
        <v>334.5</v>
      </c>
    </row>
    <row r="55" spans="1:24">
      <c r="A55" s="117" t="s">
        <v>22</v>
      </c>
      <c r="B55" s="312" t="s">
        <v>30</v>
      </c>
      <c r="C55" s="311"/>
      <c r="D55" s="309"/>
      <c r="E55" s="309"/>
      <c r="F55" s="309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09"/>
      <c r="S55" s="309"/>
      <c r="T55" s="309"/>
      <c r="U55" s="309"/>
      <c r="V55" s="308"/>
      <c r="W55" s="110"/>
      <c r="X55" s="111"/>
    </row>
    <row r="56" spans="1:24" ht="16.5" thickBot="1">
      <c r="A56" s="133"/>
      <c r="B56" s="134" t="s">
        <v>92</v>
      </c>
      <c r="C56" s="62">
        <v>0</v>
      </c>
      <c r="D56" s="62">
        <v>0</v>
      </c>
      <c r="E56" s="62">
        <v>0</v>
      </c>
      <c r="F56" s="62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436.35700000000003</v>
      </c>
      <c r="Q56" s="113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1">
        <v>0</v>
      </c>
      <c r="X56" s="61">
        <v>436.35700000000003</v>
      </c>
    </row>
    <row r="57" spans="1:24" ht="16.5" thickBot="1">
      <c r="A57" s="109"/>
      <c r="B57" s="114" t="s">
        <v>47</v>
      </c>
      <c r="C57" s="63">
        <v>0</v>
      </c>
      <c r="D57" s="63">
        <v>0</v>
      </c>
      <c r="E57" s="63">
        <v>0</v>
      </c>
      <c r="F57" s="63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436.35700000000003</v>
      </c>
      <c r="Q57" s="127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436.35700000000003</v>
      </c>
    </row>
    <row r="58" spans="1:24" ht="16.5" thickBot="1">
      <c r="A58" s="118"/>
      <c r="B58" s="306" t="s">
        <v>93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140">
        <v>11.44</v>
      </c>
      <c r="O58" s="62">
        <v>96.875</v>
      </c>
      <c r="P58" s="62">
        <v>0</v>
      </c>
      <c r="Q58" s="62">
        <v>38.485999999999997</v>
      </c>
      <c r="R58" s="62">
        <v>70.004999999999995</v>
      </c>
      <c r="S58" s="62">
        <v>15.853999999999999</v>
      </c>
      <c r="T58" s="62">
        <v>7.5119999999999996</v>
      </c>
      <c r="U58" s="62">
        <v>0</v>
      </c>
      <c r="V58" s="62">
        <v>0</v>
      </c>
      <c r="W58" s="61">
        <v>0</v>
      </c>
      <c r="X58" s="61">
        <v>240.17199999999997</v>
      </c>
    </row>
    <row r="59" spans="1:24" ht="16.5" hidden="1" thickBot="1">
      <c r="A59" s="118"/>
      <c r="B59" s="306" t="s">
        <v>94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2.41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5">
        <v>0</v>
      </c>
      <c r="X59" s="65">
        <v>2.41</v>
      </c>
    </row>
    <row r="60" spans="1:24" ht="16.5" hidden="1" thickBot="1">
      <c r="A60" s="118"/>
      <c r="B60" s="306" t="s">
        <v>95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1.21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5">
        <v>0</v>
      </c>
      <c r="X60" s="65">
        <v>1.21</v>
      </c>
    </row>
    <row r="61" spans="1:24" ht="16.5" hidden="1" thickBot="1">
      <c r="A61" s="109"/>
      <c r="B61" s="307" t="s">
        <v>96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3.69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5">
        <v>0</v>
      </c>
      <c r="X61" s="65">
        <v>3.69</v>
      </c>
    </row>
    <row r="62" spans="1:24" ht="16.5" hidden="1" thickBot="1">
      <c r="A62" s="109"/>
      <c r="B62" s="307" t="s">
        <v>97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36.06</v>
      </c>
      <c r="P62" s="64">
        <v>0</v>
      </c>
      <c r="Q62" s="64">
        <v>3.34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5">
        <v>0</v>
      </c>
      <c r="X62" s="65">
        <v>39.400000000000006</v>
      </c>
    </row>
    <row r="63" spans="1:24" ht="16.5" hidden="1" thickBot="1">
      <c r="A63" s="109"/>
      <c r="B63" s="307" t="s">
        <v>51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35.04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5">
        <v>0</v>
      </c>
      <c r="X63" s="65">
        <v>35.04</v>
      </c>
    </row>
    <row r="64" spans="1:24" ht="16.5" hidden="1" thickBot="1">
      <c r="A64" s="109"/>
      <c r="B64" s="307" t="s">
        <v>52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12.829999999999998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5">
        <v>0</v>
      </c>
      <c r="X64" s="65">
        <v>12.829999999999998</v>
      </c>
    </row>
    <row r="65" spans="1:24" ht="16.5" hidden="1" thickBot="1">
      <c r="A65" s="109"/>
      <c r="B65" s="307" t="s">
        <v>98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13.009999999999998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5">
        <v>0</v>
      </c>
      <c r="X65" s="65">
        <v>13.009999999999998</v>
      </c>
    </row>
    <row r="66" spans="1:24" ht="16.5" hidden="1" thickBot="1">
      <c r="A66" s="109"/>
      <c r="B66" s="307" t="s">
        <v>99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9.06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5">
        <v>0</v>
      </c>
      <c r="X66" s="65">
        <v>9.06</v>
      </c>
    </row>
    <row r="67" spans="1:24" ht="16.5" hidden="1" thickBot="1">
      <c r="A67" s="109"/>
      <c r="B67" s="307" t="s">
        <v>100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4.8099999999999996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5">
        <v>0</v>
      </c>
      <c r="X67" s="65">
        <v>4.8099999999999996</v>
      </c>
    </row>
    <row r="68" spans="1:24" ht="16.5" thickBot="1">
      <c r="A68" s="109"/>
      <c r="B68" s="114" t="s">
        <v>31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69.05</v>
      </c>
      <c r="O68" s="66">
        <v>49.07</v>
      </c>
      <c r="P68" s="66">
        <v>0</v>
      </c>
      <c r="Q68" s="66">
        <v>3.34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0</v>
      </c>
      <c r="X68" s="66">
        <v>121.46000000000001</v>
      </c>
    </row>
    <row r="69" spans="1:24" ht="16.5" hidden="1" thickBot="1">
      <c r="A69" s="118"/>
      <c r="B69" s="307" t="s">
        <v>53</v>
      </c>
      <c r="C69" s="62">
        <v>1.52</v>
      </c>
      <c r="D69" s="62">
        <v>1.74</v>
      </c>
      <c r="E69" s="62">
        <v>1.25</v>
      </c>
      <c r="F69" s="62">
        <v>1.28</v>
      </c>
      <c r="G69" s="62">
        <v>1.2800000000000002</v>
      </c>
      <c r="H69" s="62">
        <v>1.26</v>
      </c>
      <c r="I69" s="62">
        <v>1.2</v>
      </c>
      <c r="J69" s="62">
        <v>1.1299999999999999</v>
      </c>
      <c r="K69" s="62">
        <v>1.0900000000000001</v>
      </c>
      <c r="L69" s="62">
        <v>0.99</v>
      </c>
      <c r="M69" s="62">
        <v>1.25</v>
      </c>
      <c r="N69" s="62">
        <v>1.0999999999999999</v>
      </c>
      <c r="O69" s="62">
        <v>0.98</v>
      </c>
      <c r="P69" s="62">
        <v>1.07</v>
      </c>
      <c r="Q69" s="62">
        <v>0.98</v>
      </c>
      <c r="R69" s="62">
        <v>0.79</v>
      </c>
      <c r="S69" s="62">
        <v>0.7</v>
      </c>
      <c r="T69" s="62">
        <v>0.56999999999999995</v>
      </c>
      <c r="U69" s="62">
        <v>0.31</v>
      </c>
      <c r="V69" s="62">
        <v>0.25</v>
      </c>
      <c r="W69" s="62">
        <v>12.74</v>
      </c>
      <c r="X69" s="62">
        <v>20.74</v>
      </c>
    </row>
    <row r="70" spans="1:24" ht="16.5" hidden="1" thickBot="1">
      <c r="A70" s="109"/>
      <c r="B70" s="307" t="s">
        <v>54</v>
      </c>
      <c r="C70" s="62">
        <v>45.756999999999998</v>
      </c>
      <c r="D70" s="62">
        <v>43.5</v>
      </c>
      <c r="E70" s="62">
        <v>42.4</v>
      </c>
      <c r="F70" s="62">
        <v>36.800000000000004</v>
      </c>
      <c r="G70" s="62">
        <v>31.200000000000003</v>
      </c>
      <c r="H70" s="62">
        <v>26.2</v>
      </c>
      <c r="I70" s="62">
        <v>23.1</v>
      </c>
      <c r="J70" s="62">
        <v>22.500000000000004</v>
      </c>
      <c r="K70" s="62">
        <v>19.700000000000003</v>
      </c>
      <c r="L70" s="62">
        <v>18.5</v>
      </c>
      <c r="M70" s="62">
        <v>18.3</v>
      </c>
      <c r="N70" s="62">
        <v>17.100000000000001</v>
      </c>
      <c r="O70" s="62">
        <v>16.5</v>
      </c>
      <c r="P70" s="62">
        <v>16.400000000000002</v>
      </c>
      <c r="Q70" s="62">
        <v>16.100000000000001</v>
      </c>
      <c r="R70" s="62">
        <v>16.600000000000001</v>
      </c>
      <c r="S70" s="62">
        <v>15.4</v>
      </c>
      <c r="T70" s="62">
        <v>15.3</v>
      </c>
      <c r="U70" s="62">
        <v>16.3</v>
      </c>
      <c r="V70" s="62">
        <v>16.2</v>
      </c>
      <c r="W70" s="62">
        <v>309.65700000000004</v>
      </c>
      <c r="X70" s="62">
        <v>473.85700000000008</v>
      </c>
    </row>
    <row r="71" spans="1:24" ht="16.5" hidden="1" thickBot="1">
      <c r="A71" s="109"/>
      <c r="B71" s="307" t="s">
        <v>55</v>
      </c>
      <c r="C71" s="62">
        <v>9.98</v>
      </c>
      <c r="D71" s="62">
        <v>8.16</v>
      </c>
      <c r="E71" s="62">
        <v>8.7000000000000011</v>
      </c>
      <c r="F71" s="62">
        <v>8.23</v>
      </c>
      <c r="G71" s="62">
        <v>9.7200000000000006</v>
      </c>
      <c r="H71" s="62">
        <v>9.2900000000000009</v>
      </c>
      <c r="I71" s="62">
        <v>8.8100000000000023</v>
      </c>
      <c r="J71" s="62">
        <v>9.0300000000000011</v>
      </c>
      <c r="K71" s="62">
        <v>8.3800000000000008</v>
      </c>
      <c r="L71" s="62">
        <v>7.5699999999999994</v>
      </c>
      <c r="M71" s="62">
        <v>7.18</v>
      </c>
      <c r="N71" s="62">
        <v>6.5500000000000007</v>
      </c>
      <c r="O71" s="62">
        <v>5.8100000000000005</v>
      </c>
      <c r="P71" s="62">
        <v>5.2700000000000014</v>
      </c>
      <c r="Q71" s="62">
        <v>5.0500000000000016</v>
      </c>
      <c r="R71" s="62">
        <v>4.0200000000000005</v>
      </c>
      <c r="S71" s="62">
        <v>3.4499999999999997</v>
      </c>
      <c r="T71" s="62">
        <v>2.7100000000000004</v>
      </c>
      <c r="U71" s="62">
        <v>2.3999999999999995</v>
      </c>
      <c r="V71" s="62">
        <v>1.85</v>
      </c>
      <c r="W71" s="67">
        <v>87.87</v>
      </c>
      <c r="X71" s="67">
        <v>132.16</v>
      </c>
    </row>
    <row r="72" spans="1:24" ht="16.5" thickBot="1">
      <c r="A72" s="109"/>
      <c r="B72" s="114" t="s">
        <v>23</v>
      </c>
      <c r="C72" s="63">
        <v>57.257000000000005</v>
      </c>
      <c r="D72" s="63">
        <v>53.400000000000006</v>
      </c>
      <c r="E72" s="63">
        <v>52.35</v>
      </c>
      <c r="F72" s="63">
        <v>46.31</v>
      </c>
      <c r="G72" s="63">
        <v>42.2</v>
      </c>
      <c r="H72" s="63">
        <v>36.75</v>
      </c>
      <c r="I72" s="63">
        <v>33.11</v>
      </c>
      <c r="J72" s="63">
        <v>32.660000000000004</v>
      </c>
      <c r="K72" s="63">
        <v>29.17</v>
      </c>
      <c r="L72" s="63">
        <v>27.06</v>
      </c>
      <c r="M72" s="63">
        <v>26.73</v>
      </c>
      <c r="N72" s="63">
        <v>24.750000000000004</v>
      </c>
      <c r="O72" s="63">
        <v>23.29</v>
      </c>
      <c r="P72" s="63">
        <v>22.740000000000002</v>
      </c>
      <c r="Q72" s="63">
        <v>22.130000000000003</v>
      </c>
      <c r="R72" s="63">
        <v>21.41</v>
      </c>
      <c r="S72" s="63">
        <v>19.55</v>
      </c>
      <c r="T72" s="63">
        <v>18.580000000000002</v>
      </c>
      <c r="U72" s="63">
        <v>19.009999999999998</v>
      </c>
      <c r="V72" s="63">
        <v>18.3</v>
      </c>
      <c r="W72" s="63">
        <v>410.26700000000005</v>
      </c>
      <c r="X72" s="63">
        <v>626.75700000000006</v>
      </c>
    </row>
    <row r="73" spans="1:24" ht="15.75">
      <c r="A73" s="118"/>
      <c r="B73" s="306" t="s">
        <v>101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30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1">
        <v>0</v>
      </c>
      <c r="X73" s="61">
        <v>30</v>
      </c>
    </row>
    <row r="74" spans="1:24" ht="15.75">
      <c r="A74" s="118"/>
      <c r="B74" s="306" t="s">
        <v>102</v>
      </c>
      <c r="C74" s="62">
        <v>0</v>
      </c>
      <c r="D74" s="62">
        <v>0</v>
      </c>
      <c r="E74" s="62">
        <v>2.8730000000000002</v>
      </c>
      <c r="F74" s="62">
        <v>0</v>
      </c>
      <c r="G74" s="62">
        <v>0</v>
      </c>
      <c r="H74" s="62">
        <v>40.639000000000003</v>
      </c>
      <c r="I74" s="62">
        <v>0</v>
      </c>
      <c r="J74" s="62">
        <v>9.8089999999999993</v>
      </c>
      <c r="K74" s="62">
        <v>167.12899999999999</v>
      </c>
      <c r="L74" s="62">
        <v>76.040000000000006</v>
      </c>
      <c r="M74" s="62">
        <v>137.44200000000001</v>
      </c>
      <c r="N74" s="62">
        <v>400</v>
      </c>
      <c r="O74" s="62">
        <v>400</v>
      </c>
      <c r="P74" s="62">
        <v>400</v>
      </c>
      <c r="Q74" s="62">
        <v>400</v>
      </c>
      <c r="R74" s="62">
        <v>400</v>
      </c>
      <c r="S74" s="62">
        <v>400</v>
      </c>
      <c r="T74" s="62">
        <v>400</v>
      </c>
      <c r="U74" s="62">
        <v>400</v>
      </c>
      <c r="V74" s="62">
        <v>363.60700000000003</v>
      </c>
      <c r="W74" s="61">
        <v>29.649000000000001</v>
      </c>
      <c r="X74" s="61">
        <v>199.87694999999999</v>
      </c>
    </row>
    <row r="75" spans="1:24" ht="15.75">
      <c r="A75" s="118"/>
      <c r="B75" s="306" t="s">
        <v>103</v>
      </c>
      <c r="C75" s="62">
        <v>400</v>
      </c>
      <c r="D75" s="62">
        <v>400</v>
      </c>
      <c r="E75" s="62">
        <v>400</v>
      </c>
      <c r="F75" s="62">
        <v>400</v>
      </c>
      <c r="G75" s="62">
        <v>400</v>
      </c>
      <c r="H75" s="62">
        <v>400</v>
      </c>
      <c r="I75" s="62">
        <v>400</v>
      </c>
      <c r="J75" s="62">
        <v>400</v>
      </c>
      <c r="K75" s="62">
        <v>400</v>
      </c>
      <c r="L75" s="62">
        <v>400</v>
      </c>
      <c r="M75" s="62">
        <v>400</v>
      </c>
      <c r="N75" s="62">
        <v>400</v>
      </c>
      <c r="O75" s="62">
        <v>400</v>
      </c>
      <c r="P75" s="62">
        <v>400</v>
      </c>
      <c r="Q75" s="62">
        <v>400</v>
      </c>
      <c r="R75" s="62">
        <v>400</v>
      </c>
      <c r="S75" s="62">
        <v>400</v>
      </c>
      <c r="T75" s="62">
        <v>400</v>
      </c>
      <c r="U75" s="62">
        <v>400</v>
      </c>
      <c r="V75" s="62">
        <v>400</v>
      </c>
      <c r="W75" s="61">
        <v>400</v>
      </c>
      <c r="X75" s="61">
        <v>400</v>
      </c>
    </row>
    <row r="76" spans="1:24" ht="15.75">
      <c r="A76" s="118"/>
      <c r="B76" s="306" t="s">
        <v>104</v>
      </c>
      <c r="C76" s="62">
        <v>0</v>
      </c>
      <c r="D76" s="62">
        <v>21.074999999999999</v>
      </c>
      <c r="E76" s="62">
        <v>375</v>
      </c>
      <c r="F76" s="62">
        <v>307.39</v>
      </c>
      <c r="G76" s="62">
        <v>299.14100000000002</v>
      </c>
      <c r="H76" s="62">
        <v>375</v>
      </c>
      <c r="I76" s="62">
        <v>344.20600000000002</v>
      </c>
      <c r="J76" s="62">
        <v>375</v>
      </c>
      <c r="K76" s="62">
        <v>375</v>
      </c>
      <c r="L76" s="62">
        <v>375</v>
      </c>
      <c r="M76" s="62">
        <v>375</v>
      </c>
      <c r="N76" s="62">
        <v>375</v>
      </c>
      <c r="O76" s="62">
        <v>375</v>
      </c>
      <c r="P76" s="62">
        <v>375</v>
      </c>
      <c r="Q76" s="62">
        <v>375</v>
      </c>
      <c r="R76" s="62">
        <v>375</v>
      </c>
      <c r="S76" s="62">
        <v>375</v>
      </c>
      <c r="T76" s="62">
        <v>375</v>
      </c>
      <c r="U76" s="62">
        <v>375</v>
      </c>
      <c r="V76" s="62">
        <v>375</v>
      </c>
      <c r="W76" s="61">
        <v>284.68119999999999</v>
      </c>
      <c r="X76" s="61">
        <v>329.84059999999999</v>
      </c>
    </row>
    <row r="77" spans="1:24" ht="15.75">
      <c r="A77" s="118"/>
      <c r="B77" s="306" t="s">
        <v>105</v>
      </c>
      <c r="C77" s="62">
        <v>100</v>
      </c>
      <c r="D77" s="62">
        <v>100</v>
      </c>
      <c r="E77" s="62">
        <v>100</v>
      </c>
      <c r="F77" s="62">
        <v>100</v>
      </c>
      <c r="G77" s="62">
        <v>100</v>
      </c>
      <c r="H77" s="62">
        <v>100</v>
      </c>
      <c r="I77" s="62">
        <v>100</v>
      </c>
      <c r="J77" s="62">
        <v>100</v>
      </c>
      <c r="K77" s="62">
        <v>100</v>
      </c>
      <c r="L77" s="62">
        <v>100</v>
      </c>
      <c r="M77" s="62">
        <v>100</v>
      </c>
      <c r="N77" s="62">
        <v>100</v>
      </c>
      <c r="O77" s="62">
        <v>100</v>
      </c>
      <c r="P77" s="62">
        <v>100</v>
      </c>
      <c r="Q77" s="62">
        <v>100</v>
      </c>
      <c r="R77" s="62">
        <v>100</v>
      </c>
      <c r="S77" s="62">
        <v>100</v>
      </c>
      <c r="T77" s="62">
        <v>100</v>
      </c>
      <c r="U77" s="62">
        <v>100</v>
      </c>
      <c r="V77" s="62">
        <v>100</v>
      </c>
      <c r="W77" s="61">
        <v>100</v>
      </c>
      <c r="X77" s="61">
        <v>100</v>
      </c>
    </row>
    <row r="78" spans="1:24" ht="15.75">
      <c r="A78" s="135"/>
      <c r="B78" s="305" t="s">
        <v>106</v>
      </c>
      <c r="C78" s="136">
        <v>281.012</v>
      </c>
      <c r="D78" s="136">
        <v>332.17</v>
      </c>
      <c r="E78" s="136">
        <v>272.65499999999997</v>
      </c>
      <c r="F78" s="136">
        <v>307.34800000000001</v>
      </c>
      <c r="G78" s="136">
        <v>0</v>
      </c>
      <c r="H78" s="136">
        <v>307.57900000000001</v>
      </c>
      <c r="I78" s="136">
        <v>0</v>
      </c>
      <c r="J78" s="136">
        <v>287.03100000000001</v>
      </c>
      <c r="K78" s="136">
        <v>294.80599999999998</v>
      </c>
      <c r="L78" s="136">
        <v>0</v>
      </c>
      <c r="M78" s="136">
        <v>0</v>
      </c>
      <c r="N78" s="136">
        <v>0</v>
      </c>
      <c r="O78" s="136">
        <v>400</v>
      </c>
      <c r="P78" s="136">
        <v>40.570999999999998</v>
      </c>
      <c r="Q78" s="136">
        <v>390.202</v>
      </c>
      <c r="R78" s="136">
        <v>350.65800000000002</v>
      </c>
      <c r="S78" s="136">
        <v>0</v>
      </c>
      <c r="T78" s="136">
        <v>377.03399999999999</v>
      </c>
      <c r="U78" s="136">
        <v>4.4119999999999999</v>
      </c>
      <c r="V78" s="136">
        <v>291.37799999999999</v>
      </c>
      <c r="W78" s="137">
        <v>208.26009999999997</v>
      </c>
      <c r="X78" s="137">
        <v>196.84279999999998</v>
      </c>
    </row>
    <row r="79" spans="1:24" ht="15.75">
      <c r="A79" s="135"/>
      <c r="B79" s="305" t="s">
        <v>107</v>
      </c>
      <c r="C79" s="136">
        <v>0</v>
      </c>
      <c r="D79" s="136">
        <v>0</v>
      </c>
      <c r="E79" s="136">
        <v>0</v>
      </c>
      <c r="F79" s="136">
        <v>0</v>
      </c>
      <c r="G79" s="136">
        <v>319.30799999999999</v>
      </c>
      <c r="H79" s="136">
        <v>0</v>
      </c>
      <c r="I79" s="136">
        <v>305.923</v>
      </c>
      <c r="J79" s="136">
        <v>0</v>
      </c>
      <c r="K79" s="136">
        <v>0</v>
      </c>
      <c r="L79" s="136">
        <v>297.07</v>
      </c>
      <c r="M79" s="136">
        <v>288.548</v>
      </c>
      <c r="N79" s="136">
        <v>312.488</v>
      </c>
      <c r="O79" s="136">
        <v>50.639000000000003</v>
      </c>
      <c r="P79" s="136">
        <v>375</v>
      </c>
      <c r="Q79" s="136">
        <v>0</v>
      </c>
      <c r="R79" s="136">
        <v>0</v>
      </c>
      <c r="S79" s="136">
        <v>336.584</v>
      </c>
      <c r="T79" s="136">
        <v>0</v>
      </c>
      <c r="U79" s="136">
        <v>375</v>
      </c>
      <c r="V79" s="136">
        <v>375</v>
      </c>
      <c r="W79" s="137">
        <v>92.230099999999993</v>
      </c>
      <c r="X79" s="137">
        <v>151.77799999999999</v>
      </c>
    </row>
    <row r="80" spans="1:24" ht="16.5" thickBot="1">
      <c r="A80" s="138"/>
      <c r="B80" s="304" t="s">
        <v>108</v>
      </c>
      <c r="C80" s="139">
        <v>0</v>
      </c>
      <c r="D80" s="139">
        <v>0</v>
      </c>
      <c r="E80" s="139">
        <v>0</v>
      </c>
      <c r="F80" s="139">
        <v>0</v>
      </c>
      <c r="G80" s="139">
        <v>0</v>
      </c>
      <c r="H80" s="139">
        <v>0</v>
      </c>
      <c r="I80" s="139">
        <v>0</v>
      </c>
      <c r="J80" s="139">
        <v>0</v>
      </c>
      <c r="K80" s="139">
        <v>52.73</v>
      </c>
      <c r="L80" s="139">
        <v>54.026000000000003</v>
      </c>
      <c r="M80" s="139">
        <v>8.2089999999999996</v>
      </c>
      <c r="N80" s="139">
        <v>100</v>
      </c>
      <c r="O80" s="139">
        <v>100</v>
      </c>
      <c r="P80" s="139">
        <v>100</v>
      </c>
      <c r="Q80" s="139">
        <v>100</v>
      </c>
      <c r="R80" s="139">
        <v>100</v>
      </c>
      <c r="S80" s="139">
        <v>100</v>
      </c>
      <c r="T80" s="139">
        <v>100</v>
      </c>
      <c r="U80" s="139">
        <v>100</v>
      </c>
      <c r="V80" s="139">
        <v>100</v>
      </c>
      <c r="W80" s="137">
        <v>10.675599999999999</v>
      </c>
      <c r="X80" s="137">
        <v>50.748249999999999</v>
      </c>
    </row>
    <row r="81" spans="1:24" ht="17.25" thickTop="1" thickBot="1">
      <c r="A81" s="119"/>
      <c r="B81" s="120" t="s">
        <v>29</v>
      </c>
      <c r="C81" s="68">
        <v>0</v>
      </c>
      <c r="D81" s="68">
        <v>0</v>
      </c>
      <c r="E81" s="68">
        <v>-256.5</v>
      </c>
      <c r="F81" s="68">
        <v>0</v>
      </c>
      <c r="G81" s="68">
        <v>-387</v>
      </c>
      <c r="H81" s="68">
        <v>0</v>
      </c>
      <c r="I81" s="68">
        <v>0</v>
      </c>
      <c r="J81" s="68">
        <v>0</v>
      </c>
      <c r="K81" s="68">
        <v>0</v>
      </c>
      <c r="L81" s="68">
        <v>-82.3</v>
      </c>
      <c r="M81" s="68">
        <v>0</v>
      </c>
      <c r="N81" s="68">
        <v>-762</v>
      </c>
      <c r="O81" s="68">
        <v>-354</v>
      </c>
      <c r="P81" s="68">
        <v>-357</v>
      </c>
      <c r="Q81" s="68">
        <v>-77.78</v>
      </c>
      <c r="R81" s="68">
        <v>0</v>
      </c>
      <c r="S81" s="68">
        <v>-716.8</v>
      </c>
      <c r="T81" s="68">
        <v>0</v>
      </c>
      <c r="U81" s="68">
        <v>-81.540000000000006</v>
      </c>
      <c r="V81" s="68">
        <v>0</v>
      </c>
      <c r="W81" s="94"/>
      <c r="X81" s="94"/>
    </row>
    <row r="82" spans="1:24" ht="16.5" thickTop="1">
      <c r="A82" s="121"/>
      <c r="B82" s="122" t="s">
        <v>24</v>
      </c>
      <c r="C82" s="69">
        <v>153.77200000000005</v>
      </c>
      <c r="D82" s="69">
        <v>127.71000000000004</v>
      </c>
      <c r="E82" s="69">
        <v>131.18999999999983</v>
      </c>
      <c r="F82" s="69">
        <v>121.57999999999993</v>
      </c>
      <c r="G82" s="69">
        <v>1222.75</v>
      </c>
      <c r="H82" s="69">
        <v>114.05999999999995</v>
      </c>
      <c r="I82" s="69">
        <v>117.86000000000013</v>
      </c>
      <c r="J82" s="69">
        <v>117.64999999999986</v>
      </c>
      <c r="K82" s="69">
        <v>111.57999999999993</v>
      </c>
      <c r="L82" s="69">
        <v>111.22000000000003</v>
      </c>
      <c r="M82" s="69">
        <v>109.07000000000016</v>
      </c>
      <c r="N82" s="69">
        <v>305.95000000000005</v>
      </c>
      <c r="O82" s="69">
        <v>562.66900000000032</v>
      </c>
      <c r="P82" s="69">
        <v>536.44700000000057</v>
      </c>
      <c r="Q82" s="69">
        <v>302.96500000000015</v>
      </c>
      <c r="R82" s="69">
        <v>323.35000000000036</v>
      </c>
      <c r="S82" s="69">
        <v>980.00600000000009</v>
      </c>
      <c r="T82" s="69">
        <v>117.29099999999971</v>
      </c>
      <c r="U82" s="69">
        <v>356.35599999999931</v>
      </c>
      <c r="V82" s="69">
        <v>860.92700000000059</v>
      </c>
      <c r="W82" s="70"/>
      <c r="X82" s="70"/>
    </row>
    <row r="83" spans="1:24" ht="15.75">
      <c r="A83" s="123"/>
      <c r="B83" s="303" t="s">
        <v>25</v>
      </c>
      <c r="C83" s="71">
        <v>781.01199999999994</v>
      </c>
      <c r="D83" s="71">
        <v>853.24500000000012</v>
      </c>
      <c r="E83" s="71">
        <v>1150.528</v>
      </c>
      <c r="F83" s="71">
        <v>1114.7380000000001</v>
      </c>
      <c r="G83" s="71">
        <v>1118.4490000000001</v>
      </c>
      <c r="H83" s="71">
        <v>1223.2180000000001</v>
      </c>
      <c r="I83" s="71">
        <v>1150.1289999999999</v>
      </c>
      <c r="J83" s="71">
        <v>1171.8399999999999</v>
      </c>
      <c r="K83" s="71">
        <v>1389.665</v>
      </c>
      <c r="L83" s="71">
        <v>1329.2619999999999</v>
      </c>
      <c r="M83" s="71">
        <v>1336.325</v>
      </c>
      <c r="N83" s="71">
        <v>1987.4880000000001</v>
      </c>
      <c r="O83" s="71">
        <v>2125.6390000000001</v>
      </c>
      <c r="P83" s="71">
        <v>2081.2460000000001</v>
      </c>
      <c r="Q83" s="71">
        <v>2065.2020000000002</v>
      </c>
      <c r="R83" s="71">
        <v>2025.6579999999999</v>
      </c>
      <c r="S83" s="71">
        <v>2011.5840000000001</v>
      </c>
      <c r="T83" s="71">
        <v>2052.0340000000001</v>
      </c>
      <c r="U83" s="71">
        <v>2054.4120000000003</v>
      </c>
      <c r="V83" s="71">
        <v>2304.9849999999997</v>
      </c>
      <c r="W83" s="70"/>
      <c r="X83" s="70"/>
    </row>
    <row r="84" spans="1:24" ht="15.75">
      <c r="A84" s="123"/>
      <c r="B84" s="303" t="s">
        <v>26</v>
      </c>
      <c r="C84" s="71">
        <v>934.78399999999999</v>
      </c>
      <c r="D84" s="71">
        <v>980.95500000000015</v>
      </c>
      <c r="E84" s="71">
        <v>1281.7179999999998</v>
      </c>
      <c r="F84" s="71">
        <v>1236.318</v>
      </c>
      <c r="G84" s="71">
        <v>2341.1990000000001</v>
      </c>
      <c r="H84" s="71">
        <v>1337.278</v>
      </c>
      <c r="I84" s="71">
        <v>1267.989</v>
      </c>
      <c r="J84" s="71">
        <v>1289.4899999999998</v>
      </c>
      <c r="K84" s="71">
        <v>1501.2449999999999</v>
      </c>
      <c r="L84" s="71">
        <v>1440.482</v>
      </c>
      <c r="M84" s="71">
        <v>1445.3950000000002</v>
      </c>
      <c r="N84" s="71">
        <v>2293.4380000000001</v>
      </c>
      <c r="O84" s="71">
        <v>2688.3080000000004</v>
      </c>
      <c r="P84" s="71">
        <v>2617.6930000000007</v>
      </c>
      <c r="Q84" s="71">
        <v>2368.1670000000004</v>
      </c>
      <c r="R84" s="71">
        <v>2349.0080000000003</v>
      </c>
      <c r="S84" s="71">
        <v>2991.59</v>
      </c>
      <c r="T84" s="71">
        <v>2169.3249999999998</v>
      </c>
      <c r="U84" s="71">
        <v>2410.7679999999996</v>
      </c>
      <c r="V84" s="71">
        <v>3165.9120000000003</v>
      </c>
      <c r="W84" s="70"/>
      <c r="X84" s="70"/>
    </row>
    <row r="87" spans="1:24">
      <c r="B87" t="s">
        <v>109</v>
      </c>
    </row>
  </sheetData>
  <conditionalFormatting sqref="A7:B7">
    <cfRule type="expression" dxfId="1" priority="2" stopIfTrue="1">
      <formula>ROUND($G$325,0)&lt;&gt;0</formula>
    </cfRule>
  </conditionalFormatting>
  <conditionalFormatting sqref="B24">
    <cfRule type="containsText" dxfId="0" priority="1" operator="containsText" text="Early">
      <formula>NOT(ISERROR(SEARCH("Early",B24)))</formula>
    </cfRule>
  </conditionalFormatting>
  <printOptions horizontalCentered="1"/>
  <pageMargins left="0.25" right="0.25" top="0.75" bottom="0.75" header="0.3" footer="0.3"/>
  <pageSetup scale="47" fitToHeight="0" orientation="landscape" r:id="rId1"/>
  <headerFooter alignWithMargins="0">
    <oddFooter>&amp;L&amp;8NPC Group - &amp;F   ( &amp;A )&amp;C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X38"/>
  <sheetViews>
    <sheetView workbookViewId="0">
      <selection activeCell="N32" sqref="N32"/>
    </sheetView>
  </sheetViews>
  <sheetFormatPr defaultColWidth="9.33203125" defaultRowHeight="12.75"/>
  <cols>
    <col min="1" max="1" width="1.5" style="3" customWidth="1"/>
    <col min="2" max="2" width="9.1640625" style="3" customWidth="1"/>
    <col min="3" max="3" width="10.5" style="3" customWidth="1"/>
    <col min="4" max="7" width="9.33203125" style="3" customWidth="1"/>
    <col min="8" max="8" width="10.5" style="3" customWidth="1"/>
    <col min="9" max="12" width="9.33203125" style="3" customWidth="1"/>
    <col min="13" max="13" width="1.5" style="3" customWidth="1"/>
    <col min="14" max="14" width="9.1640625" style="3" customWidth="1"/>
    <col min="15" max="15" width="10.5" style="3" customWidth="1"/>
    <col min="16" max="19" width="9.33203125" style="3" customWidth="1"/>
    <col min="20" max="20" width="10.5" style="3" customWidth="1"/>
    <col min="21" max="23" width="9.33203125" style="3" customWidth="1"/>
    <col min="24" max="24" width="9.5" style="3" customWidth="1"/>
    <col min="25" max="25" width="3.33203125" style="3" customWidth="1"/>
    <col min="26" max="16384" width="9.33203125" style="3"/>
  </cols>
  <sheetData>
    <row r="1" spans="2:24" ht="15.75" customHeight="1">
      <c r="B1" s="341" t="s">
        <v>181</v>
      </c>
      <c r="C1" s="341"/>
      <c r="D1" s="341"/>
      <c r="E1" s="341"/>
      <c r="F1" s="341"/>
      <c r="G1" s="341"/>
      <c r="H1" s="341"/>
      <c r="I1" s="341"/>
      <c r="N1" s="341" t="s">
        <v>182</v>
      </c>
      <c r="O1" s="341"/>
      <c r="P1" s="341"/>
      <c r="Q1" s="341"/>
      <c r="R1" s="341"/>
      <c r="S1" s="341"/>
      <c r="T1" s="341"/>
      <c r="U1" s="341"/>
    </row>
    <row r="2" spans="2:24" ht="18.75" customHeight="1">
      <c r="B2" s="341" t="s">
        <v>157</v>
      </c>
      <c r="C2" s="341"/>
      <c r="D2" s="341"/>
      <c r="E2" s="341"/>
      <c r="F2" s="341"/>
      <c r="G2" s="341"/>
      <c r="H2" s="341"/>
      <c r="I2" s="341"/>
      <c r="N2" s="341" t="s">
        <v>157</v>
      </c>
      <c r="O2" s="341"/>
      <c r="P2" s="341"/>
      <c r="Q2" s="341"/>
      <c r="R2" s="341"/>
      <c r="S2" s="341"/>
      <c r="T2" s="341"/>
      <c r="U2" s="341"/>
    </row>
    <row r="3" spans="2:24" ht="15" thickBot="1">
      <c r="B3" s="181"/>
      <c r="C3" s="181"/>
      <c r="D3" s="181"/>
      <c r="E3" s="181"/>
      <c r="F3" s="181"/>
      <c r="G3" s="181"/>
      <c r="H3" s="181"/>
      <c r="I3" s="73"/>
      <c r="J3" s="73"/>
      <c r="N3" s="181"/>
    </row>
    <row r="4" spans="2:24" ht="14.25" thickTop="1" thickBot="1">
      <c r="B4" s="212"/>
      <c r="C4" s="342" t="s">
        <v>126</v>
      </c>
      <c r="D4" s="343"/>
      <c r="E4" s="343"/>
      <c r="F4" s="343"/>
      <c r="G4" s="344"/>
      <c r="H4" s="342" t="s">
        <v>141</v>
      </c>
      <c r="I4" s="343"/>
      <c r="J4" s="343"/>
      <c r="K4" s="343"/>
      <c r="L4" s="344"/>
      <c r="N4" s="212"/>
      <c r="O4" s="342" t="s">
        <v>142</v>
      </c>
      <c r="P4" s="343"/>
      <c r="Q4" s="343"/>
      <c r="R4" s="343"/>
      <c r="S4" s="344"/>
      <c r="T4" s="342" t="s">
        <v>143</v>
      </c>
      <c r="U4" s="343"/>
      <c r="V4" s="343"/>
      <c r="W4" s="343"/>
      <c r="X4" s="344"/>
    </row>
    <row r="5" spans="2:24" ht="13.5" thickBot="1">
      <c r="B5" s="213"/>
      <c r="C5" s="338" t="s">
        <v>110</v>
      </c>
      <c r="D5" s="339"/>
      <c r="E5" s="339"/>
      <c r="F5" s="339"/>
      <c r="G5" s="340"/>
      <c r="H5" s="338" t="s">
        <v>150</v>
      </c>
      <c r="I5" s="339"/>
      <c r="J5" s="339"/>
      <c r="K5" s="339"/>
      <c r="L5" s="340"/>
      <c r="N5" s="213"/>
      <c r="O5" s="338" t="s">
        <v>150</v>
      </c>
      <c r="P5" s="339"/>
      <c r="Q5" s="339"/>
      <c r="R5" s="339"/>
      <c r="S5" s="340"/>
      <c r="T5" s="338" t="s">
        <v>150</v>
      </c>
      <c r="U5" s="339"/>
      <c r="V5" s="339"/>
      <c r="W5" s="339"/>
      <c r="X5" s="340"/>
    </row>
    <row r="6" spans="2:24">
      <c r="B6" s="335" t="s">
        <v>2</v>
      </c>
      <c r="C6" s="336" t="s">
        <v>188</v>
      </c>
      <c r="D6" s="214" t="s">
        <v>0</v>
      </c>
      <c r="E6" s="215" t="s">
        <v>1</v>
      </c>
      <c r="F6" s="224" t="s">
        <v>0</v>
      </c>
      <c r="G6" s="215" t="s">
        <v>1</v>
      </c>
      <c r="H6" s="336" t="s">
        <v>188</v>
      </c>
      <c r="I6" s="214" t="s">
        <v>0</v>
      </c>
      <c r="J6" s="215" t="s">
        <v>1</v>
      </c>
      <c r="K6" s="224" t="s">
        <v>0</v>
      </c>
      <c r="L6" s="225" t="s">
        <v>1</v>
      </c>
      <c r="N6" s="335"/>
      <c r="O6" s="336" t="s">
        <v>188</v>
      </c>
      <c r="P6" s="214" t="s">
        <v>0</v>
      </c>
      <c r="Q6" s="215" t="s">
        <v>1</v>
      </c>
      <c r="R6" s="224" t="s">
        <v>0</v>
      </c>
      <c r="S6" s="215" t="s">
        <v>1</v>
      </c>
      <c r="T6" s="336" t="s">
        <v>188</v>
      </c>
      <c r="U6" s="214" t="s">
        <v>0</v>
      </c>
      <c r="V6" s="215" t="s">
        <v>1</v>
      </c>
      <c r="W6" s="224" t="s">
        <v>0</v>
      </c>
      <c r="X6" s="225" t="s">
        <v>1</v>
      </c>
    </row>
    <row r="7" spans="2:24" ht="13.5" thickBot="1">
      <c r="B7" s="335" t="s">
        <v>2</v>
      </c>
      <c r="C7" s="337" t="s">
        <v>186</v>
      </c>
      <c r="D7" s="216" t="s">
        <v>111</v>
      </c>
      <c r="E7" s="217" t="s">
        <v>111</v>
      </c>
      <c r="F7" s="217" t="s">
        <v>112</v>
      </c>
      <c r="G7" s="217" t="s">
        <v>112</v>
      </c>
      <c r="H7" s="337" t="s">
        <v>186</v>
      </c>
      <c r="I7" s="216" t="s">
        <v>111</v>
      </c>
      <c r="J7" s="217" t="s">
        <v>111</v>
      </c>
      <c r="K7" s="217" t="s">
        <v>112</v>
      </c>
      <c r="L7" s="238" t="s">
        <v>112</v>
      </c>
      <c r="N7" s="335" t="s">
        <v>2</v>
      </c>
      <c r="O7" s="337" t="s">
        <v>186</v>
      </c>
      <c r="P7" s="216" t="s">
        <v>111</v>
      </c>
      <c r="Q7" s="217" t="s">
        <v>111</v>
      </c>
      <c r="R7" s="217" t="s">
        <v>112</v>
      </c>
      <c r="S7" s="217" t="s">
        <v>112</v>
      </c>
      <c r="T7" s="337" t="s">
        <v>186</v>
      </c>
      <c r="U7" s="216" t="s">
        <v>111</v>
      </c>
      <c r="V7" s="217" t="s">
        <v>111</v>
      </c>
      <c r="W7" s="217" t="s">
        <v>112</v>
      </c>
      <c r="X7" s="238" t="s">
        <v>112</v>
      </c>
    </row>
    <row r="8" spans="2:24" ht="13.5" thickBot="1">
      <c r="B8" s="218"/>
      <c r="C8" s="332" t="s">
        <v>14</v>
      </c>
      <c r="D8" s="333"/>
      <c r="E8" s="333"/>
      <c r="F8" s="333"/>
      <c r="G8" s="334"/>
      <c r="H8" s="332" t="s">
        <v>14</v>
      </c>
      <c r="I8" s="333"/>
      <c r="J8" s="333"/>
      <c r="K8" s="333"/>
      <c r="L8" s="334"/>
      <c r="N8" s="218"/>
      <c r="O8" s="332" t="s">
        <v>14</v>
      </c>
      <c r="P8" s="333"/>
      <c r="Q8" s="333"/>
      <c r="R8" s="333"/>
      <c r="S8" s="334"/>
      <c r="T8" s="332" t="s">
        <v>14</v>
      </c>
      <c r="U8" s="333"/>
      <c r="V8" s="333"/>
      <c r="W8" s="333"/>
      <c r="X8" s="334"/>
    </row>
    <row r="9" spans="2:24" ht="13.5" thickBot="1">
      <c r="B9" s="219"/>
      <c r="C9" s="215" t="s">
        <v>4</v>
      </c>
      <c r="D9" s="215" t="s">
        <v>5</v>
      </c>
      <c r="E9" s="215" t="s">
        <v>6</v>
      </c>
      <c r="F9" s="215" t="s">
        <v>7</v>
      </c>
      <c r="G9" s="220" t="s">
        <v>8</v>
      </c>
      <c r="H9" s="215" t="s">
        <v>4</v>
      </c>
      <c r="I9" s="215" t="s">
        <v>5</v>
      </c>
      <c r="J9" s="215" t="s">
        <v>6</v>
      </c>
      <c r="K9" s="215" t="s">
        <v>7</v>
      </c>
      <c r="L9" s="220" t="s">
        <v>8</v>
      </c>
      <c r="N9" s="219"/>
      <c r="O9" s="215" t="s">
        <v>4</v>
      </c>
      <c r="P9" s="215" t="s">
        <v>5</v>
      </c>
      <c r="Q9" s="215" t="s">
        <v>6</v>
      </c>
      <c r="R9" s="215" t="s">
        <v>7</v>
      </c>
      <c r="S9" s="220" t="s">
        <v>8</v>
      </c>
      <c r="T9" s="215" t="s">
        <v>4</v>
      </c>
      <c r="U9" s="215" t="s">
        <v>5</v>
      </c>
      <c r="V9" s="215" t="s">
        <v>6</v>
      </c>
      <c r="W9" s="215" t="s">
        <v>7</v>
      </c>
      <c r="X9" s="220" t="s">
        <v>8</v>
      </c>
    </row>
    <row r="10" spans="2:24" ht="5.25" customHeight="1">
      <c r="B10" s="234"/>
      <c r="C10" s="221"/>
      <c r="D10" s="222"/>
      <c r="E10" s="223"/>
      <c r="F10" s="224"/>
      <c r="G10" s="225"/>
      <c r="H10" s="221"/>
      <c r="I10" s="222"/>
      <c r="J10" s="223"/>
      <c r="K10" s="224"/>
      <c r="L10" s="225"/>
      <c r="N10" s="234"/>
      <c r="O10" s="221"/>
      <c r="P10" s="222"/>
      <c r="Q10" s="223"/>
      <c r="R10" s="224"/>
      <c r="S10" s="225"/>
      <c r="T10" s="221"/>
      <c r="U10" s="222"/>
      <c r="V10" s="223"/>
      <c r="W10" s="224"/>
      <c r="X10" s="225"/>
    </row>
    <row r="11" spans="2:24">
      <c r="B11" s="235">
        <f>'Table A - Combined'!$B$11</f>
        <v>2022</v>
      </c>
      <c r="C11" s="226">
        <f>INDEX([2]Energy!$U$4:$Y$24,MATCH($B11,[2]Energy!$T$4:$T$24,0),1)</f>
        <v>59.220326484017946</v>
      </c>
      <c r="D11" s="227">
        <f>INDEX([2]Energy!$U$4:$Y$24,MATCH($B11,[2]Energy!$T$4:$T$24,0),4)</f>
        <v>73.859485596707458</v>
      </c>
      <c r="E11" s="228">
        <f>INDEX([2]Energy!$U$4:$Y$24,MATCH($B11,[2]Energy!$T$4:$T$24,0),5)</f>
        <v>43.702893518518557</v>
      </c>
      <c r="F11" s="228">
        <f>INDEX([2]Energy!$U$4:$Y$24,MATCH($B11,[2]Energy!$T$4:$T$24,0),2)</f>
        <v>110.2019979508201</v>
      </c>
      <c r="G11" s="229">
        <f>INDEX([2]Energy!$U$4:$Y$24,MATCH($B11,[2]Energy!$T$4:$T$24,0),3)</f>
        <v>50.058002049180637</v>
      </c>
      <c r="H11" s="226">
        <f>INDEX([2]Energy!$U$29:$Y$49,MATCH($B11,[2]Energy!$T$29:$T$49,0),1)</f>
        <v>56.514167259459853</v>
      </c>
      <c r="I11" s="227">
        <f>INDEX([2]Energy!$U$29:$Y$49,MATCH($B11,[2]Energy!$T$29:$T$49,0),4)</f>
        <v>73.694731179338518</v>
      </c>
      <c r="J11" s="228">
        <f>INDEX([2]Energy!$U$29:$Y$49,MATCH($B11,[2]Energy!$T$29:$T$49,0),5)</f>
        <v>41.740443119390086</v>
      </c>
      <c r="K11" s="228">
        <f>INDEX([2]Energy!$U$29:$Y$49,MATCH($B11,[2]Energy!$T$29:$T$49,0),2)</f>
        <v>101.63028289928138</v>
      </c>
      <c r="L11" s="229">
        <f>INDEX([2]Energy!$U$29:$Y$49,MATCH($B11,[2]Energy!$T$29:$T$49,0),3)</f>
        <v>48.752284202075415</v>
      </c>
      <c r="N11" s="235">
        <f>'Table A - Combined'!$B$11</f>
        <v>2022</v>
      </c>
      <c r="O11" s="226">
        <f>INDEX([2]Energy!$U$79:$Y$99,MATCH($B11,[2]Energy!$T$79:$T$99,0),1)</f>
        <v>47.501958607233263</v>
      </c>
      <c r="P11" s="227">
        <f>INDEX([2]Energy!$U$79:$Y$99,MATCH($B11,[2]Energy!$T$79:$T$99,0),4)</f>
        <v>46.552477832312896</v>
      </c>
      <c r="Q11" s="228">
        <f>INDEX([2]Energy!$U$79:$Y$99,MATCH($B11,[2]Energy!$T$79:$T$99,0),5)</f>
        <v>36.685894377379554</v>
      </c>
      <c r="R11" s="228">
        <f>INDEX([2]Energy!$U$79:$Y$99,MATCH($B11,[2]Energy!$T$79:$T$99,0),2)</f>
        <v>76.880714814890112</v>
      </c>
      <c r="S11" s="229">
        <f>INDEX([2]Energy!$U$79:$Y$99,MATCH($B11,[2]Energy!$T$79:$T$99,0),3)</f>
        <v>55.793951756793447</v>
      </c>
      <c r="T11" s="226">
        <f>INDEX([2]Energy!$U$54:$Y$74,MATCH($B11,[2]Energy!$T$54:$T$74,0),1)</f>
        <v>48.779834916605274</v>
      </c>
      <c r="U11" s="227">
        <f>INDEX([2]Energy!$U$54:$Y$74,MATCH($B11,[2]Energy!$T$54:$T$74,0),4)</f>
        <v>46.615355728150298</v>
      </c>
      <c r="V11" s="228">
        <f>INDEX([2]Energy!$U$54:$Y$74,MATCH($B11,[2]Energy!$T$54:$T$74,0),5)</f>
        <v>33.751185121974373</v>
      </c>
      <c r="W11" s="228">
        <f>INDEX([2]Energy!$U$54:$Y$74,MATCH($B11,[2]Energy!$T$54:$T$74,0),2)</f>
        <v>79.683885816072547</v>
      </c>
      <c r="X11" s="229">
        <f>INDEX([2]Energy!$U$54:$Y$74,MATCH($B11,[2]Energy!$T$54:$T$74,0),3)</f>
        <v>55.333068697764084</v>
      </c>
    </row>
    <row r="12" spans="2:24">
      <c r="B12" s="235">
        <f t="shared" ref="B12:B30" si="0">B11+1</f>
        <v>2023</v>
      </c>
      <c r="C12" s="226">
        <f>INDEX([2]Energy!$U$4:$Y$24,MATCH($B12,[2]Energy!$T$4:$T$24,0),1)</f>
        <v>49.573700913242824</v>
      </c>
      <c r="D12" s="227">
        <f>INDEX([2]Energy!$U$4:$Y$24,MATCH($B12,[2]Energy!$T$4:$T$24,0),4)</f>
        <v>57.990051440329296</v>
      </c>
      <c r="E12" s="228">
        <f>INDEX([2]Energy!$U$4:$Y$24,MATCH($B12,[2]Energy!$T$4:$T$24,0),5)</f>
        <v>35.311278292181207</v>
      </c>
      <c r="F12" s="228">
        <f>INDEX([2]Energy!$U$4:$Y$24,MATCH($B12,[2]Energy!$T$4:$T$24,0),2)</f>
        <v>96.368586065573595</v>
      </c>
      <c r="G12" s="229">
        <f>INDEX([2]Energy!$U$4:$Y$24,MATCH($B12,[2]Energy!$T$4:$T$24,0),3)</f>
        <v>46.202341188524578</v>
      </c>
      <c r="H12" s="226">
        <f>INDEX([2]Energy!$U$29:$Y$49,MATCH($B12,[2]Energy!$T$29:$T$49,0),1)</f>
        <v>46.917596684740772</v>
      </c>
      <c r="I12" s="227">
        <f>INDEX([2]Energy!$U$29:$Y$49,MATCH($B12,[2]Energy!$T$29:$T$49,0),4)</f>
        <v>57.935067314729118</v>
      </c>
      <c r="J12" s="228">
        <f>INDEX([2]Energy!$U$29:$Y$49,MATCH($B12,[2]Energy!$T$29:$T$49,0),5)</f>
        <v>33.886990000446787</v>
      </c>
      <c r="K12" s="228">
        <f>INDEX([2]Energy!$U$29:$Y$49,MATCH($B12,[2]Energy!$T$29:$T$49,0),2)</f>
        <v>88.269502633688163</v>
      </c>
      <c r="L12" s="229">
        <f>INDEX([2]Energy!$U$29:$Y$49,MATCH($B12,[2]Energy!$T$29:$T$49,0),3)</f>
        <v>44.372887016155488</v>
      </c>
      <c r="N12" s="235">
        <f t="shared" ref="N12:N30" si="1">N11+1</f>
        <v>2023</v>
      </c>
      <c r="O12" s="226">
        <f>INDEX([2]Energy!$U$79:$Y$99,MATCH($B12,[2]Energy!$T$79:$T$99,0),1)</f>
        <v>39.729741181103179</v>
      </c>
      <c r="P12" s="227">
        <f>INDEX([2]Energy!$U$79:$Y$99,MATCH($B12,[2]Energy!$T$79:$T$99,0),4)</f>
        <v>38.394462847301142</v>
      </c>
      <c r="Q12" s="228">
        <f>INDEX([2]Energy!$U$79:$Y$99,MATCH($B12,[2]Energy!$T$79:$T$99,0),5)</f>
        <v>28.896884323067948</v>
      </c>
      <c r="R12" s="228">
        <f>INDEX([2]Energy!$U$79:$Y$99,MATCH($B12,[2]Energy!$T$79:$T$99,0),2)</f>
        <v>67.360869347710803</v>
      </c>
      <c r="S12" s="229">
        <f>INDEX([2]Energy!$U$79:$Y$99,MATCH($B12,[2]Energy!$T$79:$T$99,0),3)</f>
        <v>48.680495839392691</v>
      </c>
      <c r="T12" s="226">
        <f>INDEX([2]Energy!$U$54:$Y$74,MATCH($B12,[2]Energy!$T$54:$T$74,0),1)</f>
        <v>41.838128432136344</v>
      </c>
      <c r="U12" s="227">
        <f>INDEX([2]Energy!$U$54:$Y$74,MATCH($B12,[2]Energy!$T$54:$T$74,0),4)</f>
        <v>38.321620565223512</v>
      </c>
      <c r="V12" s="228">
        <f>INDEX([2]Energy!$U$54:$Y$74,MATCH($B12,[2]Energy!$T$54:$T$74,0),5)</f>
        <v>27.259959753023523</v>
      </c>
      <c r="W12" s="228">
        <f>INDEX([2]Energy!$U$54:$Y$74,MATCH($B12,[2]Energy!$T$54:$T$74,0),2)</f>
        <v>70.5503285760919</v>
      </c>
      <c r="X12" s="229">
        <f>INDEX([2]Energy!$U$54:$Y$74,MATCH($B12,[2]Energy!$T$54:$T$74,0),3)</f>
        <v>48.860966813292684</v>
      </c>
    </row>
    <row r="13" spans="2:24">
      <c r="B13" s="235">
        <f t="shared" si="0"/>
        <v>2024</v>
      </c>
      <c r="C13" s="226">
        <f>INDEX([2]Energy!$U$4:$Y$24,MATCH($B13,[2]Energy!$T$4:$T$24,0),1)</f>
        <v>43.841770264116512</v>
      </c>
      <c r="D13" s="227">
        <f>INDEX([2]Energy!$U$4:$Y$24,MATCH($B13,[2]Energy!$T$4:$T$24,0),4)</f>
        <v>50.762638319672433</v>
      </c>
      <c r="E13" s="228">
        <f>INDEX([2]Energy!$U$4:$Y$24,MATCH($B13,[2]Energy!$T$4:$T$24,0),5)</f>
        <v>30.773012295081919</v>
      </c>
      <c r="F13" s="228">
        <f>INDEX([2]Energy!$U$4:$Y$24,MATCH($B13,[2]Energy!$T$4:$T$24,0),2)</f>
        <v>83.597643442623223</v>
      </c>
      <c r="G13" s="229">
        <f>INDEX([2]Energy!$U$4:$Y$24,MATCH($B13,[2]Energy!$T$4:$T$24,0),3)</f>
        <v>43.180481557376915</v>
      </c>
      <c r="H13" s="226">
        <f>INDEX([2]Energy!$U$29:$Y$49,MATCH($B13,[2]Energy!$T$29:$T$49,0),1)</f>
        <v>41.338223414428299</v>
      </c>
      <c r="I13" s="227">
        <f>INDEX([2]Energy!$U$29:$Y$49,MATCH($B13,[2]Energy!$T$29:$T$49,0),4)</f>
        <v>50.394565071551497</v>
      </c>
      <c r="J13" s="228">
        <f>INDEX([2]Energy!$U$29:$Y$49,MATCH($B13,[2]Energy!$T$29:$T$49,0),5)</f>
        <v>29.429852718613667</v>
      </c>
      <c r="K13" s="228">
        <f>INDEX([2]Energy!$U$29:$Y$49,MATCH($B13,[2]Energy!$T$29:$T$49,0),2)</f>
        <v>77.066628318012093</v>
      </c>
      <c r="L13" s="229">
        <f>INDEX([2]Energy!$U$29:$Y$49,MATCH($B13,[2]Energy!$T$29:$T$49,0),3)</f>
        <v>41.391309142673663</v>
      </c>
      <c r="N13" s="235">
        <f t="shared" si="1"/>
        <v>2024</v>
      </c>
      <c r="O13" s="226">
        <f>INDEX([2]Energy!$U$79:$Y$99,MATCH($B13,[2]Energy!$T$79:$T$99,0),1)</f>
        <v>34.601875197821371</v>
      </c>
      <c r="P13" s="227">
        <f>INDEX([2]Energy!$U$79:$Y$99,MATCH($B13,[2]Energy!$T$79:$T$99,0),4)</f>
        <v>36.048600484165199</v>
      </c>
      <c r="Q13" s="228">
        <f>INDEX([2]Energy!$U$79:$Y$99,MATCH($B13,[2]Energy!$T$79:$T$99,0),5)</f>
        <v>25.517941280743372</v>
      </c>
      <c r="R13" s="228">
        <f>INDEX([2]Energy!$U$79:$Y$99,MATCH($B13,[2]Energy!$T$79:$T$99,0),2)</f>
        <v>58.253746003421362</v>
      </c>
      <c r="S13" s="229">
        <f>INDEX([2]Energy!$U$79:$Y$99,MATCH($B13,[2]Energy!$T$79:$T$99,0),3)</f>
        <v>41.751891285991853</v>
      </c>
      <c r="T13" s="226">
        <f>INDEX([2]Energy!$U$54:$Y$74,MATCH($B13,[2]Energy!$T$54:$T$74,0),1)</f>
        <v>36.919967137542052</v>
      </c>
      <c r="U13" s="227">
        <f>INDEX([2]Energy!$U$54:$Y$74,MATCH($B13,[2]Energy!$T$54:$T$74,0),4)</f>
        <v>36.815681557506558</v>
      </c>
      <c r="V13" s="228">
        <f>INDEX([2]Energy!$U$54:$Y$74,MATCH($B13,[2]Energy!$T$54:$T$74,0),5)</f>
        <v>24.663268905356002</v>
      </c>
      <c r="W13" s="228">
        <f>INDEX([2]Energy!$U$54:$Y$74,MATCH($B13,[2]Energy!$T$54:$T$74,0),2)</f>
        <v>61.239199346624055</v>
      </c>
      <c r="X13" s="229">
        <f>INDEX([2]Energy!$U$54:$Y$74,MATCH($B13,[2]Energy!$T$54:$T$74,0),3)</f>
        <v>42.371632247636789</v>
      </c>
    </row>
    <row r="14" spans="2:24">
      <c r="B14" s="235">
        <f t="shared" si="0"/>
        <v>2025</v>
      </c>
      <c r="C14" s="226">
        <f>INDEX([2]Energy!$U$4:$Y$24,MATCH($B14,[2]Energy!$T$4:$T$24,0),1)</f>
        <v>32.813378995433901</v>
      </c>
      <c r="D14" s="227">
        <f>INDEX([2]Energy!$U$4:$Y$24,MATCH($B14,[2]Energy!$T$4:$T$24,0),4)</f>
        <v>40.424583333333523</v>
      </c>
      <c r="E14" s="228">
        <f>INDEX([2]Energy!$U$4:$Y$24,MATCH($B14,[2]Energy!$T$4:$T$24,0),5)</f>
        <v>24.270892489711894</v>
      </c>
      <c r="F14" s="228">
        <f>INDEX([2]Energy!$U$4:$Y$24,MATCH($B14,[2]Energy!$T$4:$T$24,0),2)</f>
        <v>57.084559426229305</v>
      </c>
      <c r="G14" s="229">
        <f>INDEX([2]Energy!$U$4:$Y$24,MATCH($B14,[2]Energy!$T$4:$T$24,0),3)</f>
        <v>30.112730532786927</v>
      </c>
      <c r="H14" s="226">
        <f>INDEX([2]Energy!$U$29:$Y$49,MATCH($B14,[2]Energy!$T$29:$T$49,0),1)</f>
        <v>31.054502127151096</v>
      </c>
      <c r="I14" s="227">
        <f>INDEX([2]Energy!$U$29:$Y$49,MATCH($B14,[2]Energy!$T$29:$T$49,0),4)</f>
        <v>40.012842914428369</v>
      </c>
      <c r="J14" s="228">
        <f>INDEX([2]Energy!$U$29:$Y$49,MATCH($B14,[2]Energy!$T$29:$T$49,0),5)</f>
        <v>23.004950929638522</v>
      </c>
      <c r="K14" s="228">
        <f>INDEX([2]Energy!$U$29:$Y$49,MATCH($B14,[2]Energy!$T$29:$T$49,0),2)</f>
        <v>52.698510562371524</v>
      </c>
      <c r="L14" s="229">
        <f>INDEX([2]Energy!$U$29:$Y$49,MATCH($B14,[2]Energy!$T$29:$T$49,0),3)</f>
        <v>28.83111183169315</v>
      </c>
      <c r="N14" s="235">
        <f t="shared" si="1"/>
        <v>2025</v>
      </c>
      <c r="O14" s="226">
        <f>INDEX([2]Energy!$U$79:$Y$99,MATCH($B14,[2]Energy!$T$79:$T$99,0),1)</f>
        <v>25.048049613259916</v>
      </c>
      <c r="P14" s="227">
        <f>INDEX([2]Energy!$U$79:$Y$99,MATCH($B14,[2]Energy!$T$79:$T$99,0),4)</f>
        <v>28.114249091524574</v>
      </c>
      <c r="Q14" s="228">
        <f>INDEX([2]Energy!$U$79:$Y$99,MATCH($B14,[2]Energy!$T$79:$T$99,0),5)</f>
        <v>20.026583083955909</v>
      </c>
      <c r="R14" s="228">
        <f>INDEX([2]Energy!$U$79:$Y$99,MATCH($B14,[2]Energy!$T$79:$T$99,0),2)</f>
        <v>39.422546377144421</v>
      </c>
      <c r="S14" s="229">
        <f>INDEX([2]Energy!$U$79:$Y$99,MATCH($B14,[2]Energy!$T$79:$T$99,0),3)</f>
        <v>28.311156710021031</v>
      </c>
      <c r="T14" s="226">
        <f>INDEX([2]Energy!$U$54:$Y$74,MATCH($B14,[2]Energy!$T$54:$T$74,0),1)</f>
        <v>26.159068288114327</v>
      </c>
      <c r="U14" s="227">
        <f>INDEX([2]Energy!$U$54:$Y$74,MATCH($B14,[2]Energy!$T$54:$T$74,0),4)</f>
        <v>28.397364063991045</v>
      </c>
      <c r="V14" s="228">
        <f>INDEX([2]Energy!$U$54:$Y$74,MATCH($B14,[2]Energy!$T$54:$T$74,0),5)</f>
        <v>19.109351358078627</v>
      </c>
      <c r="W14" s="228">
        <f>INDEX([2]Energy!$U$54:$Y$74,MATCH($B14,[2]Energy!$T$54:$T$74,0),2)</f>
        <v>41.062390157909071</v>
      </c>
      <c r="X14" s="229">
        <f>INDEX([2]Energy!$U$54:$Y$74,MATCH($B14,[2]Energy!$T$54:$T$74,0),3)</f>
        <v>28.606198530187985</v>
      </c>
    </row>
    <row r="15" spans="2:24">
      <c r="B15" s="235">
        <f t="shared" si="0"/>
        <v>2026</v>
      </c>
      <c r="C15" s="226">
        <f>INDEX([2]Energy!$U$4:$Y$24,MATCH($B15,[2]Energy!$T$4:$T$24,0),1)</f>
        <v>23.698091324200469</v>
      </c>
      <c r="D15" s="227">
        <f>INDEX([2]Energy!$U$4:$Y$24,MATCH($B15,[2]Energy!$T$4:$T$24,0),4)</f>
        <v>33.668894032921941</v>
      </c>
      <c r="E15" s="228">
        <f>INDEX([2]Energy!$U$4:$Y$24,MATCH($B15,[2]Energy!$T$4:$T$24,0),5)</f>
        <v>20.298135288065783</v>
      </c>
      <c r="F15" s="228">
        <f>INDEX([2]Energy!$U$4:$Y$24,MATCH($B15,[2]Energy!$T$4:$T$24,0),2)</f>
        <v>30.722940573770472</v>
      </c>
      <c r="G15" s="229">
        <f>INDEX([2]Energy!$U$4:$Y$24,MATCH($B15,[2]Energy!$T$4:$T$24,0),3)</f>
        <v>17.027771516393468</v>
      </c>
      <c r="H15" s="226">
        <f>INDEX([2]Energy!$U$29:$Y$49,MATCH($B15,[2]Energy!$T$29:$T$49,0),1)</f>
        <v>22.878411270585104</v>
      </c>
      <c r="I15" s="227">
        <f>INDEX([2]Energy!$U$29:$Y$49,MATCH($B15,[2]Energy!$T$29:$T$49,0),4)</f>
        <v>33.501799088917416</v>
      </c>
      <c r="J15" s="228">
        <f>INDEX([2]Energy!$U$29:$Y$49,MATCH($B15,[2]Energy!$T$29:$T$49,0),5)</f>
        <v>19.128309020621327</v>
      </c>
      <c r="K15" s="228">
        <f>INDEX([2]Energy!$U$29:$Y$49,MATCH($B15,[2]Energy!$T$29:$T$49,0),2)</f>
        <v>28.398952203252811</v>
      </c>
      <c r="L15" s="229">
        <f>INDEX([2]Energy!$U$29:$Y$49,MATCH($B15,[2]Energy!$T$29:$T$49,0),3)</f>
        <v>16.229875215193246</v>
      </c>
      <c r="N15" s="235">
        <f t="shared" si="1"/>
        <v>2026</v>
      </c>
      <c r="O15" s="226">
        <f>INDEX([2]Energy!$U$79:$Y$99,MATCH($B15,[2]Energy!$T$79:$T$99,0),1)</f>
        <v>16.349436121409756</v>
      </c>
      <c r="P15" s="227">
        <f>INDEX([2]Energy!$U$79:$Y$99,MATCH($B15,[2]Energy!$T$79:$T$99,0),4)</f>
        <v>20.822940254808575</v>
      </c>
      <c r="Q15" s="228">
        <f>INDEX([2]Energy!$U$79:$Y$99,MATCH($B15,[2]Energy!$T$79:$T$99,0),5)</f>
        <v>16.141173553526677</v>
      </c>
      <c r="R15" s="228">
        <f>INDEX([2]Energy!$U$79:$Y$99,MATCH($B15,[2]Energy!$T$79:$T$99,0),2)</f>
        <v>20.599178595931633</v>
      </c>
      <c r="S15" s="229">
        <f>INDEX([2]Energy!$U$79:$Y$99,MATCH($B15,[2]Energy!$T$79:$T$99,0),3)</f>
        <v>14.826528017621573</v>
      </c>
      <c r="T15" s="226">
        <f>INDEX([2]Energy!$U$54:$Y$74,MATCH($B15,[2]Energy!$T$54:$T$74,0),1)</f>
        <v>15.947335331814793</v>
      </c>
      <c r="U15" s="227">
        <f>INDEX([2]Energy!$U$54:$Y$74,MATCH($B15,[2]Energy!$T$54:$T$74,0),4)</f>
        <v>20.268596990738512</v>
      </c>
      <c r="V15" s="228">
        <f>INDEX([2]Energy!$U$54:$Y$74,MATCH($B15,[2]Energy!$T$54:$T$74,0),5)</f>
        <v>14.815357304519255</v>
      </c>
      <c r="W15" s="228">
        <f>INDEX([2]Energy!$U$54:$Y$74,MATCH($B15,[2]Energy!$T$54:$T$74,0),2)</f>
        <v>20.912299098602169</v>
      </c>
      <c r="X15" s="229">
        <f>INDEX([2]Energy!$U$54:$Y$74,MATCH($B15,[2]Energy!$T$54:$T$74,0),3)</f>
        <v>14.826996224572495</v>
      </c>
    </row>
    <row r="16" spans="2:24">
      <c r="B16" s="235">
        <f t="shared" si="0"/>
        <v>2027</v>
      </c>
      <c r="C16" s="226">
        <f>INDEX([2]Energy!$U$4:$Y$24,MATCH($B16,[2]Energy!$T$4:$T$24,0),1)</f>
        <v>23.917897260273776</v>
      </c>
      <c r="D16" s="227">
        <f>INDEX([2]Energy!$U$4:$Y$24,MATCH($B16,[2]Energy!$T$4:$T$24,0),4)</f>
        <v>34.136003086419869</v>
      </c>
      <c r="E16" s="228">
        <f>INDEX([2]Energy!$U$4:$Y$24,MATCH($B16,[2]Energy!$T$4:$T$24,0),5)</f>
        <v>20.547903806584344</v>
      </c>
      <c r="F16" s="228">
        <f>INDEX([2]Energy!$U$4:$Y$24,MATCH($B16,[2]Energy!$T$4:$T$24,0),2)</f>
        <v>30.687264344262413</v>
      </c>
      <c r="G16" s="229">
        <f>INDEX([2]Energy!$U$4:$Y$24,MATCH($B16,[2]Energy!$T$4:$T$24,0),3)</f>
        <v>17.069349385245857</v>
      </c>
      <c r="H16" s="226">
        <f>INDEX([2]Energy!$U$29:$Y$49,MATCH($B16,[2]Energy!$T$29:$T$49,0),1)</f>
        <v>23.135503436506298</v>
      </c>
      <c r="I16" s="227">
        <f>INDEX([2]Energy!$U$29:$Y$49,MATCH($B16,[2]Energy!$T$29:$T$49,0),4)</f>
        <v>34.079666028484276</v>
      </c>
      <c r="J16" s="228">
        <f>INDEX([2]Energy!$U$29:$Y$49,MATCH($B16,[2]Energy!$T$29:$T$49,0),5)</f>
        <v>19.399646752821265</v>
      </c>
      <c r="K16" s="228">
        <f>INDEX([2]Energy!$U$29:$Y$49,MATCH($B16,[2]Energy!$T$29:$T$49,0),2)</f>
        <v>28.297789186534281</v>
      </c>
      <c r="L16" s="229">
        <f>INDEX([2]Energy!$U$29:$Y$49,MATCH($B16,[2]Energy!$T$29:$T$49,0),3)</f>
        <v>16.23999040598251</v>
      </c>
      <c r="N16" s="235">
        <f t="shared" si="1"/>
        <v>2027</v>
      </c>
      <c r="O16" s="226">
        <f>INDEX([2]Energy!$U$79:$Y$99,MATCH($B16,[2]Energy!$T$79:$T$99,0),1)</f>
        <v>16.428630779260121</v>
      </c>
      <c r="P16" s="227">
        <f>INDEX([2]Energy!$U$79:$Y$99,MATCH($B16,[2]Energy!$T$79:$T$99,0),4)</f>
        <v>20.89658377215882</v>
      </c>
      <c r="Q16" s="228">
        <f>INDEX([2]Energy!$U$79:$Y$99,MATCH($B16,[2]Energy!$T$79:$T$99,0),5)</f>
        <v>16.285925407439233</v>
      </c>
      <c r="R16" s="228">
        <f>INDEX([2]Energy!$U$79:$Y$99,MATCH($B16,[2]Energy!$T$79:$T$99,0),2)</f>
        <v>20.614689737884497</v>
      </c>
      <c r="S16" s="229">
        <f>INDEX([2]Energy!$U$79:$Y$99,MATCH($B16,[2]Energy!$T$79:$T$99,0),3)</f>
        <v>14.817706475723437</v>
      </c>
      <c r="T16" s="226">
        <f>INDEX([2]Energy!$U$54:$Y$74,MATCH($B16,[2]Energy!$T$54:$T$74,0),1)</f>
        <v>16.001185336029636</v>
      </c>
      <c r="U16" s="227">
        <f>INDEX([2]Energy!$U$54:$Y$74,MATCH($B16,[2]Energy!$T$54:$T$74,0),4)</f>
        <v>20.307998482846408</v>
      </c>
      <c r="V16" s="228">
        <f>INDEX([2]Energy!$U$54:$Y$74,MATCH($B16,[2]Energy!$T$54:$T$74,0),5)</f>
        <v>14.92221015634367</v>
      </c>
      <c r="W16" s="228">
        <f>INDEX([2]Energy!$U$54:$Y$74,MATCH($B16,[2]Energy!$T$54:$T$74,0),2)</f>
        <v>20.913191847823473</v>
      </c>
      <c r="X16" s="229">
        <f>INDEX([2]Energy!$U$54:$Y$74,MATCH($B16,[2]Energy!$T$54:$T$74,0),3)</f>
        <v>14.840757609858695</v>
      </c>
    </row>
    <row r="17" spans="2:24">
      <c r="B17" s="235">
        <f t="shared" si="0"/>
        <v>2028</v>
      </c>
      <c r="C17" s="226">
        <f>INDEX([2]Energy!$U$4:$Y$24,MATCH($B17,[2]Energy!$T$4:$T$24,0),1)</f>
        <v>24.906483378871076</v>
      </c>
      <c r="D17" s="227">
        <f>INDEX([2]Energy!$U$4:$Y$24,MATCH($B17,[2]Energy!$T$4:$T$24,0),4)</f>
        <v>35.604902663934531</v>
      </c>
      <c r="E17" s="228">
        <f>INDEX([2]Energy!$U$4:$Y$24,MATCH($B17,[2]Energy!$T$4:$T$24,0),5)</f>
        <v>21.671667520491845</v>
      </c>
      <c r="F17" s="228">
        <f>INDEX([2]Energy!$U$4:$Y$24,MATCH($B17,[2]Energy!$T$4:$T$24,0),2)</f>
        <v>31.094159836065696</v>
      </c>
      <c r="G17" s="229">
        <f>INDEX([2]Energy!$U$4:$Y$24,MATCH($B17,[2]Energy!$T$4:$T$24,0),3)</f>
        <v>17.583857581967237</v>
      </c>
      <c r="H17" s="226">
        <f>INDEX([2]Energy!$U$29:$Y$49,MATCH($B17,[2]Energy!$T$29:$T$49,0),1)</f>
        <v>24.119493898920261</v>
      </c>
      <c r="I17" s="227">
        <f>INDEX([2]Energy!$U$29:$Y$49,MATCH($B17,[2]Energy!$T$29:$T$49,0),4)</f>
        <v>35.552699276349308</v>
      </c>
      <c r="J17" s="228">
        <f>INDEX([2]Energy!$U$29:$Y$49,MATCH($B17,[2]Energy!$T$29:$T$49,0),5)</f>
        <v>20.477140275475918</v>
      </c>
      <c r="K17" s="228">
        <f>INDEX([2]Energy!$U$29:$Y$49,MATCH($B17,[2]Energy!$T$29:$T$49,0),2)</f>
        <v>28.64140797638796</v>
      </c>
      <c r="L17" s="229">
        <f>INDEX([2]Energy!$U$29:$Y$49,MATCH($B17,[2]Energy!$T$29:$T$49,0),3)</f>
        <v>16.691632657666407</v>
      </c>
      <c r="N17" s="235">
        <f t="shared" si="1"/>
        <v>2028</v>
      </c>
      <c r="O17" s="226">
        <f>INDEX([2]Energy!$U$79:$Y$99,MATCH($B17,[2]Energy!$T$79:$T$99,0),1)</f>
        <v>16.929766480745993</v>
      </c>
      <c r="P17" s="227">
        <f>INDEX([2]Energy!$U$79:$Y$99,MATCH($B17,[2]Energy!$T$79:$T$99,0),4)</f>
        <v>22.063634568428505</v>
      </c>
      <c r="Q17" s="228">
        <f>INDEX([2]Energy!$U$79:$Y$99,MATCH($B17,[2]Energy!$T$79:$T$99,0),5)</f>
        <v>17.001017725645152</v>
      </c>
      <c r="R17" s="228">
        <f>INDEX([2]Energy!$U$79:$Y$99,MATCH($B17,[2]Energy!$T$79:$T$99,0),2)</f>
        <v>20.895447564613509</v>
      </c>
      <c r="S17" s="229">
        <f>INDEX([2]Energy!$U$79:$Y$99,MATCH($B17,[2]Energy!$T$79:$T$99,0),3)</f>
        <v>14.968809225704712</v>
      </c>
      <c r="T17" s="226">
        <f>INDEX([2]Energy!$U$54:$Y$74,MATCH($B17,[2]Energy!$T$54:$T$74,0),1)</f>
        <v>16.485730029925389</v>
      </c>
      <c r="U17" s="227">
        <f>INDEX([2]Energy!$U$54:$Y$74,MATCH($B17,[2]Energy!$T$54:$T$74,0),4)</f>
        <v>21.355004925470066</v>
      </c>
      <c r="V17" s="228">
        <f>INDEX([2]Energy!$U$54:$Y$74,MATCH($B17,[2]Energy!$T$54:$T$74,0),5)</f>
        <v>15.608893394707525</v>
      </c>
      <c r="W17" s="228">
        <f>INDEX([2]Energy!$U$54:$Y$74,MATCH($B17,[2]Energy!$T$54:$T$74,0),2)</f>
        <v>21.309525793632947</v>
      </c>
      <c r="X17" s="229">
        <f>INDEX([2]Energy!$U$54:$Y$74,MATCH($B17,[2]Energy!$T$54:$T$74,0),3)</f>
        <v>15.040959122588342</v>
      </c>
    </row>
    <row r="18" spans="2:24">
      <c r="B18" s="235">
        <f t="shared" si="0"/>
        <v>2029</v>
      </c>
      <c r="C18" s="226">
        <f>INDEX([2]Energy!$U$4:$Y$24,MATCH($B18,[2]Energy!$T$4:$T$24,0),1)</f>
        <v>25.103650684931104</v>
      </c>
      <c r="D18" s="227">
        <f>INDEX([2]Energy!$U$4:$Y$24,MATCH($B18,[2]Energy!$T$4:$T$24,0),4)</f>
        <v>35.631455761316907</v>
      </c>
      <c r="E18" s="228">
        <f>INDEX([2]Energy!$U$4:$Y$24,MATCH($B18,[2]Energy!$T$4:$T$24,0),5)</f>
        <v>21.670426954732552</v>
      </c>
      <c r="F18" s="228">
        <f>INDEX([2]Energy!$U$4:$Y$24,MATCH($B18,[2]Energy!$T$4:$T$24,0),2)</f>
        <v>31.523258196721386</v>
      </c>
      <c r="G18" s="229">
        <f>INDEX([2]Energy!$U$4:$Y$24,MATCH($B18,[2]Energy!$T$4:$T$24,0),3)</f>
        <v>18.247494877049206</v>
      </c>
      <c r="H18" s="226">
        <f>INDEX([2]Energy!$U$29:$Y$49,MATCH($B18,[2]Energy!$T$29:$T$49,0),1)</f>
        <v>24.217528246446509</v>
      </c>
      <c r="I18" s="227">
        <f>INDEX([2]Energy!$U$29:$Y$49,MATCH($B18,[2]Energy!$T$29:$T$49,0),4)</f>
        <v>35.53875610527691</v>
      </c>
      <c r="J18" s="228">
        <f>INDEX([2]Energy!$U$29:$Y$49,MATCH($B18,[2]Energy!$T$29:$T$49,0),5)</f>
        <v>20.411905364532913</v>
      </c>
      <c r="K18" s="228">
        <f>INDEX([2]Energy!$U$29:$Y$49,MATCH($B18,[2]Energy!$T$29:$T$49,0),2)</f>
        <v>28.869693353565879</v>
      </c>
      <c r="L18" s="229">
        <f>INDEX([2]Energy!$U$29:$Y$49,MATCH($B18,[2]Energy!$T$29:$T$49,0),3)</f>
        <v>17.291779122041117</v>
      </c>
      <c r="N18" s="235">
        <f t="shared" si="1"/>
        <v>2029</v>
      </c>
      <c r="O18" s="226">
        <f>INDEX([2]Energy!$U$79:$Y$99,MATCH($B18,[2]Energy!$T$79:$T$99,0),1)</f>
        <v>16.954102610973106</v>
      </c>
      <c r="P18" s="227">
        <f>INDEX([2]Energy!$U$79:$Y$99,MATCH($B18,[2]Energy!$T$79:$T$99,0),4)</f>
        <v>21.823995297649319</v>
      </c>
      <c r="Q18" s="228">
        <f>INDEX([2]Energy!$U$79:$Y$99,MATCH($B18,[2]Energy!$T$79:$T$99,0),5)</f>
        <v>16.97911483753775</v>
      </c>
      <c r="R18" s="228">
        <f>INDEX([2]Energy!$U$79:$Y$99,MATCH($B18,[2]Energy!$T$79:$T$99,0),2)</f>
        <v>20.918299518209945</v>
      </c>
      <c r="S18" s="229">
        <f>INDEX([2]Energy!$U$79:$Y$99,MATCH($B18,[2]Energy!$T$79:$T$99,0),3)</f>
        <v>15.098041635867395</v>
      </c>
      <c r="T18" s="226">
        <f>INDEX([2]Energy!$U$54:$Y$74,MATCH($B18,[2]Energy!$T$54:$T$74,0),1)</f>
        <v>16.350889631892411</v>
      </c>
      <c r="U18" s="227">
        <f>INDEX([2]Energy!$U$54:$Y$74,MATCH($B18,[2]Energy!$T$54:$T$74,0),4)</f>
        <v>20.95723843115665</v>
      </c>
      <c r="V18" s="228">
        <f>INDEX([2]Energy!$U$54:$Y$74,MATCH($B18,[2]Energy!$T$54:$T$74,0),5)</f>
        <v>15.485608602341534</v>
      </c>
      <c r="W18" s="228">
        <f>INDEX([2]Energy!$U$54:$Y$74,MATCH($B18,[2]Energy!$T$54:$T$74,0),2)</f>
        <v>20.82175202725502</v>
      </c>
      <c r="X18" s="229">
        <f>INDEX([2]Energy!$U$54:$Y$74,MATCH($B18,[2]Energy!$T$54:$T$74,0),3)</f>
        <v>15.058247989041449</v>
      </c>
    </row>
    <row r="19" spans="2:24">
      <c r="B19" s="235">
        <f t="shared" si="0"/>
        <v>2030</v>
      </c>
      <c r="C19" s="226">
        <f>INDEX([2]Energy!$U$4:$Y$24,MATCH($B19,[2]Energy!$T$4:$T$24,0),1)</f>
        <v>25.377404109588902</v>
      </c>
      <c r="D19" s="227">
        <f>INDEX([2]Energy!$U$4:$Y$24,MATCH($B19,[2]Energy!$T$4:$T$24,0),4)</f>
        <v>35.88676440329241</v>
      </c>
      <c r="E19" s="228">
        <f>INDEX([2]Energy!$U$4:$Y$24,MATCH($B19,[2]Energy!$T$4:$T$24,0),5)</f>
        <v>21.904130658436099</v>
      </c>
      <c r="F19" s="228">
        <f>INDEX([2]Energy!$U$4:$Y$24,MATCH($B19,[2]Energy!$T$4:$T$24,0),2)</f>
        <v>32.035799180327821</v>
      </c>
      <c r="G19" s="229">
        <f>INDEX([2]Energy!$U$4:$Y$24,MATCH($B19,[2]Energy!$T$4:$T$24,0),3)</f>
        <v>18.499994877049218</v>
      </c>
      <c r="H19" s="226">
        <f>INDEX([2]Energy!$U$29:$Y$49,MATCH($B19,[2]Energy!$T$29:$T$49,0),1)</f>
        <v>24.424481326008575</v>
      </c>
      <c r="I19" s="227">
        <f>INDEX([2]Energy!$U$29:$Y$49,MATCH($B19,[2]Energy!$T$29:$T$49,0),4)</f>
        <v>35.735234570951796</v>
      </c>
      <c r="J19" s="228">
        <f>INDEX([2]Energy!$U$29:$Y$49,MATCH($B19,[2]Energy!$T$29:$T$49,0),5)</f>
        <v>20.566257078345103</v>
      </c>
      <c r="K19" s="228">
        <f>INDEX([2]Energy!$U$29:$Y$49,MATCH($B19,[2]Energy!$T$29:$T$49,0),2)</f>
        <v>29.384869438205687</v>
      </c>
      <c r="L19" s="229">
        <f>INDEX([2]Energy!$U$29:$Y$49,MATCH($B19,[2]Energy!$T$29:$T$49,0),3)</f>
        <v>17.483664491661443</v>
      </c>
      <c r="N19" s="235">
        <f t="shared" si="1"/>
        <v>2030</v>
      </c>
      <c r="O19" s="226">
        <f>INDEX([2]Energy!$U$79:$Y$99,MATCH($B19,[2]Energy!$T$79:$T$99,0),1)</f>
        <v>17.107907359684365</v>
      </c>
      <c r="P19" s="227">
        <f>INDEX([2]Energy!$U$79:$Y$99,MATCH($B19,[2]Energy!$T$79:$T$99,0),4)</f>
        <v>21.722820775559846</v>
      </c>
      <c r="Q19" s="228">
        <f>INDEX([2]Energy!$U$79:$Y$99,MATCH($B19,[2]Energy!$T$79:$T$99,0),5)</f>
        <v>17.033836463638142</v>
      </c>
      <c r="R19" s="228">
        <f>INDEX([2]Energy!$U$79:$Y$99,MATCH($B19,[2]Energy!$T$79:$T$99,0),2)</f>
        <v>21.302197591968643</v>
      </c>
      <c r="S19" s="229">
        <f>INDEX([2]Energy!$U$79:$Y$99,MATCH($B19,[2]Energy!$T$79:$T$99,0),3)</f>
        <v>15.364722723002465</v>
      </c>
      <c r="T19" s="226">
        <f>INDEX([2]Energy!$U$54:$Y$74,MATCH($B19,[2]Energy!$T$54:$T$74,0),1)</f>
        <v>16.53756525171908</v>
      </c>
      <c r="U19" s="227">
        <f>INDEX([2]Energy!$U$54:$Y$74,MATCH($B19,[2]Energy!$T$54:$T$74,0),4)</f>
        <v>20.887677512897906</v>
      </c>
      <c r="V19" s="228">
        <f>INDEX([2]Energy!$U$54:$Y$74,MATCH($B19,[2]Energy!$T$54:$T$74,0),5)</f>
        <v>15.488785869211378</v>
      </c>
      <c r="W19" s="228">
        <f>INDEX([2]Energy!$U$54:$Y$74,MATCH($B19,[2]Energy!$T$54:$T$74,0),2)</f>
        <v>21.360519349104173</v>
      </c>
      <c r="X19" s="229">
        <f>INDEX([2]Energy!$U$54:$Y$74,MATCH($B19,[2]Energy!$T$54:$T$74,0),3)</f>
        <v>15.367959366435784</v>
      </c>
    </row>
    <row r="20" spans="2:24">
      <c r="B20" s="235">
        <f t="shared" si="0"/>
        <v>2031</v>
      </c>
      <c r="C20" s="226">
        <f>INDEX([2]Energy!$U$4:$Y$24,MATCH($B20,[2]Energy!$T$4:$T$24,0),1)</f>
        <v>26.408876712328631</v>
      </c>
      <c r="D20" s="227">
        <f>INDEX([2]Energy!$U$4:$Y$24,MATCH($B20,[2]Energy!$T$4:$T$24,0),4)</f>
        <v>37.646481481481516</v>
      </c>
      <c r="E20" s="228">
        <f>INDEX([2]Energy!$U$4:$Y$24,MATCH($B20,[2]Energy!$T$4:$T$24,0),5)</f>
        <v>23.047034465020719</v>
      </c>
      <c r="F20" s="228">
        <f>INDEX([2]Energy!$U$4:$Y$24,MATCH($B20,[2]Energy!$T$4:$T$24,0),2)</f>
        <v>32.417674180327843</v>
      </c>
      <c r="G20" s="229">
        <f>INDEX([2]Energy!$U$4:$Y$24,MATCH($B20,[2]Energy!$T$4:$T$24,0),3)</f>
        <v>18.909057377049095</v>
      </c>
      <c r="H20" s="226">
        <f>INDEX([2]Energy!$U$29:$Y$49,MATCH($B20,[2]Energy!$T$29:$T$49,0),1)</f>
        <v>25.497228608310291</v>
      </c>
      <c r="I20" s="227">
        <f>INDEX([2]Energy!$U$29:$Y$49,MATCH($B20,[2]Energy!$T$29:$T$49,0),4)</f>
        <v>37.489646580534348</v>
      </c>
      <c r="J20" s="228">
        <f>INDEX([2]Energy!$U$29:$Y$49,MATCH($B20,[2]Energy!$T$29:$T$49,0),5)</f>
        <v>21.710910058519158</v>
      </c>
      <c r="K20" s="228">
        <f>INDEX([2]Energy!$U$29:$Y$49,MATCH($B20,[2]Energy!$T$29:$T$49,0),2)</f>
        <v>29.77593391175354</v>
      </c>
      <c r="L20" s="229">
        <f>INDEX([2]Energy!$U$29:$Y$49,MATCH($B20,[2]Energy!$T$29:$T$49,0),3)</f>
        <v>17.887505826914772</v>
      </c>
      <c r="N20" s="235">
        <f t="shared" si="1"/>
        <v>2031</v>
      </c>
      <c r="O20" s="226">
        <f>INDEX([2]Energy!$U$79:$Y$99,MATCH($B20,[2]Energy!$T$79:$T$99,0),1)</f>
        <v>17.679474509995639</v>
      </c>
      <c r="P20" s="227">
        <f>INDEX([2]Energy!$U$79:$Y$99,MATCH($B20,[2]Energy!$T$79:$T$99,0),4)</f>
        <v>22.599314639637168</v>
      </c>
      <c r="Q20" s="228">
        <f>INDEX([2]Energy!$U$79:$Y$99,MATCH($B20,[2]Energy!$T$79:$T$99,0),5)</f>
        <v>17.845922002290685</v>
      </c>
      <c r="R20" s="228">
        <f>INDEX([2]Energy!$U$79:$Y$99,MATCH($B20,[2]Energy!$T$79:$T$99,0),2)</f>
        <v>21.560957271196667</v>
      </c>
      <c r="S20" s="229">
        <f>INDEX([2]Energy!$U$79:$Y$99,MATCH($B20,[2]Energy!$T$79:$T$99,0),3)</f>
        <v>15.609007436904069</v>
      </c>
      <c r="T20" s="226">
        <f>INDEX([2]Energy!$U$54:$Y$74,MATCH($B20,[2]Energy!$T$54:$T$74,0),1)</f>
        <v>17.007306524140397</v>
      </c>
      <c r="U20" s="227">
        <f>INDEX([2]Energy!$U$54:$Y$74,MATCH($B20,[2]Energy!$T$54:$T$74,0),4)</f>
        <v>21.78213981136652</v>
      </c>
      <c r="V20" s="228">
        <f>INDEX([2]Energy!$U$54:$Y$74,MATCH($B20,[2]Energy!$T$54:$T$74,0),5)</f>
        <v>16.216523530692534</v>
      </c>
      <c r="W20" s="228">
        <f>INDEX([2]Energy!$U$54:$Y$74,MATCH($B20,[2]Energy!$T$54:$T$74,0),2)</f>
        <v>21.531434714711168</v>
      </c>
      <c r="X20" s="229">
        <f>INDEX([2]Energy!$U$54:$Y$74,MATCH($B20,[2]Energy!$T$54:$T$74,0),3)</f>
        <v>15.584350504539058</v>
      </c>
    </row>
    <row r="21" spans="2:24">
      <c r="B21" s="235">
        <f t="shared" si="0"/>
        <v>2032</v>
      </c>
      <c r="C21" s="226">
        <f>INDEX([2]Energy!$U$4:$Y$24,MATCH($B21,[2]Energy!$T$4:$T$24,0),1)</f>
        <v>25.779585610200538</v>
      </c>
      <c r="D21" s="227">
        <f>INDEX([2]Energy!$U$4:$Y$24,MATCH($B21,[2]Energy!$T$4:$T$24,0),4)</f>
        <v>36.423171106557049</v>
      </c>
      <c r="E21" s="228">
        <f>INDEX([2]Energy!$U$4:$Y$24,MATCH($B21,[2]Energy!$T$4:$T$24,0),5)</f>
        <v>22.247953381147543</v>
      </c>
      <c r="F21" s="228">
        <f>INDEX([2]Energy!$U$4:$Y$24,MATCH($B21,[2]Energy!$T$4:$T$24,0),2)</f>
        <v>32.252428278688555</v>
      </c>
      <c r="G21" s="229">
        <f>INDEX([2]Energy!$U$4:$Y$24,MATCH($B21,[2]Energy!$T$4:$T$24,0),3)</f>
        <v>18.96284323770486</v>
      </c>
      <c r="H21" s="226">
        <f>INDEX([2]Energy!$U$29:$Y$49,MATCH($B21,[2]Energy!$T$29:$T$49,0),1)</f>
        <v>24.732954879938983</v>
      </c>
      <c r="I21" s="227">
        <f>INDEX([2]Energy!$U$29:$Y$49,MATCH($B21,[2]Energy!$T$29:$T$49,0),4)</f>
        <v>36.131950473689415</v>
      </c>
      <c r="J21" s="228">
        <f>INDEX([2]Energy!$U$29:$Y$49,MATCH($B21,[2]Energy!$T$29:$T$49,0),5)</f>
        <v>20.77340120196514</v>
      </c>
      <c r="K21" s="228">
        <f>INDEX([2]Energy!$U$29:$Y$49,MATCH($B21,[2]Energy!$T$29:$T$49,0),2)</f>
        <v>29.596388230650529</v>
      </c>
      <c r="L21" s="229">
        <f>INDEX([2]Energy!$U$29:$Y$49,MATCH($B21,[2]Energy!$T$29:$T$49,0),3)</f>
        <v>17.961247754612049</v>
      </c>
      <c r="N21" s="235">
        <f t="shared" si="1"/>
        <v>2032</v>
      </c>
      <c r="O21" s="226">
        <f>INDEX([2]Energy!$U$79:$Y$99,MATCH($B21,[2]Energy!$T$79:$T$99,0),1)</f>
        <v>17.216277075636818</v>
      </c>
      <c r="P21" s="227">
        <f>INDEX([2]Energy!$U$79:$Y$99,MATCH($B21,[2]Energy!$T$79:$T$99,0),4)</f>
        <v>21.283341577859449</v>
      </c>
      <c r="Q21" s="228">
        <f>INDEX([2]Energy!$U$79:$Y$99,MATCH($B21,[2]Energy!$T$79:$T$99,0),5)</f>
        <v>17.132472654837617</v>
      </c>
      <c r="R21" s="228">
        <f>INDEX([2]Energy!$U$79:$Y$99,MATCH($B21,[2]Energy!$T$79:$T$99,0),2)</f>
        <v>21.465033652282798</v>
      </c>
      <c r="S21" s="229">
        <f>INDEX([2]Energy!$U$79:$Y$99,MATCH($B21,[2]Energy!$T$79:$T$99,0),3)</f>
        <v>15.523378172603097</v>
      </c>
      <c r="T21" s="226">
        <f>INDEX([2]Energy!$U$54:$Y$74,MATCH($B21,[2]Energy!$T$54:$T$74,0),1)</f>
        <v>16.55219600930451</v>
      </c>
      <c r="U21" s="227">
        <f>INDEX([2]Energy!$U$54:$Y$74,MATCH($B21,[2]Energy!$T$54:$T$74,0),4)</f>
        <v>20.548515299221741</v>
      </c>
      <c r="V21" s="228">
        <f>INDEX([2]Energy!$U$54:$Y$74,MATCH($B21,[2]Energy!$T$54:$T$74,0),5)</f>
        <v>15.420085312663181</v>
      </c>
      <c r="W21" s="228">
        <f>INDEX([2]Energy!$U$54:$Y$74,MATCH($B21,[2]Energy!$T$54:$T$74,0),2)</f>
        <v>21.456778588743923</v>
      </c>
      <c r="X21" s="229">
        <f>INDEX([2]Energy!$U$54:$Y$74,MATCH($B21,[2]Energy!$T$54:$T$74,0),3)</f>
        <v>15.503460172725049</v>
      </c>
    </row>
    <row r="22" spans="2:24">
      <c r="B22" s="235">
        <f t="shared" si="0"/>
        <v>2033</v>
      </c>
      <c r="C22" s="226">
        <f>INDEX([2]Energy!$U$4:$Y$24,MATCH($B22,[2]Energy!$T$4:$T$24,0),1)</f>
        <v>25.266648401826973</v>
      </c>
      <c r="D22" s="227">
        <f>INDEX([2]Energy!$U$4:$Y$24,MATCH($B22,[2]Energy!$T$4:$T$24,0),4)</f>
        <v>35.883544238682923</v>
      </c>
      <c r="E22" s="228">
        <f>INDEX([2]Energy!$U$4:$Y$24,MATCH($B22,[2]Energy!$T$4:$T$24,0),5)</f>
        <v>22.275144032921709</v>
      </c>
      <c r="F22" s="228">
        <f>INDEX([2]Energy!$U$4:$Y$24,MATCH($B22,[2]Energy!$T$4:$T$24,0),2)</f>
        <v>30.31124999999999</v>
      </c>
      <c r="G22" s="229">
        <f>INDEX([2]Energy!$U$4:$Y$24,MATCH($B22,[2]Energy!$T$4:$T$24,0),3)</f>
        <v>18.129451844262288</v>
      </c>
      <c r="H22" s="226">
        <f>INDEX([2]Energy!$U$29:$Y$49,MATCH($B22,[2]Energy!$T$29:$T$49,0),1)</f>
        <v>24.201943520017686</v>
      </c>
      <c r="I22" s="227">
        <f>INDEX([2]Energy!$U$29:$Y$49,MATCH($B22,[2]Energy!$T$29:$T$49,0),4)</f>
        <v>35.525414250197187</v>
      </c>
      <c r="J22" s="228">
        <f>INDEX([2]Energy!$U$29:$Y$49,MATCH($B22,[2]Energy!$T$29:$T$49,0),5)</f>
        <v>20.713691723304361</v>
      </c>
      <c r="K22" s="228">
        <f>INDEX([2]Energy!$U$29:$Y$49,MATCH($B22,[2]Energy!$T$29:$T$49,0),2)</f>
        <v>27.707801343480995</v>
      </c>
      <c r="L22" s="229">
        <f>INDEX([2]Energy!$U$29:$Y$49,MATCH($B22,[2]Energy!$T$29:$T$49,0),3)</f>
        <v>17.075860381475717</v>
      </c>
      <c r="N22" s="235">
        <f t="shared" si="1"/>
        <v>2033</v>
      </c>
      <c r="O22" s="226">
        <f>INDEX([2]Energy!$U$79:$Y$99,MATCH($B22,[2]Energy!$T$79:$T$99,0),1)</f>
        <v>16.532733239461152</v>
      </c>
      <c r="P22" s="227">
        <f>INDEX([2]Energy!$U$79:$Y$99,MATCH($B22,[2]Energy!$T$79:$T$99,0),4)</f>
        <v>20.640953065428192</v>
      </c>
      <c r="Q22" s="228">
        <f>INDEX([2]Energy!$U$79:$Y$99,MATCH($B22,[2]Energy!$T$79:$T$99,0),5)</f>
        <v>16.783063687335904</v>
      </c>
      <c r="R22" s="228">
        <f>INDEX([2]Energy!$U$79:$Y$99,MATCH($B22,[2]Energy!$T$79:$T$99,0),2)</f>
        <v>20.153167182736155</v>
      </c>
      <c r="S22" s="229">
        <f>INDEX([2]Energy!$U$79:$Y$99,MATCH($B22,[2]Energy!$T$79:$T$99,0),3)</f>
        <v>14.487909069072826</v>
      </c>
      <c r="T22" s="226">
        <f>INDEX([2]Energy!$U$54:$Y$74,MATCH($B22,[2]Energy!$T$54:$T$74,0),1)</f>
        <v>15.833989940044413</v>
      </c>
      <c r="U22" s="227">
        <f>INDEX([2]Energy!$U$54:$Y$74,MATCH($B22,[2]Energy!$T$54:$T$74,0),4)</f>
        <v>19.876078444784625</v>
      </c>
      <c r="V22" s="228">
        <f>INDEX([2]Energy!$U$54:$Y$74,MATCH($B22,[2]Energy!$T$54:$T$74,0),5)</f>
        <v>15.028916621944676</v>
      </c>
      <c r="W22" s="228">
        <f>INDEX([2]Energy!$U$54:$Y$74,MATCH($B22,[2]Energy!$T$54:$T$74,0),2)</f>
        <v>20.258892434692036</v>
      </c>
      <c r="X22" s="229">
        <f>INDEX([2]Energy!$U$54:$Y$74,MATCH($B22,[2]Energy!$T$54:$T$74,0),3)</f>
        <v>14.571512671981907</v>
      </c>
    </row>
    <row r="23" spans="2:24">
      <c r="B23" s="235">
        <f t="shared" si="0"/>
        <v>2034</v>
      </c>
      <c r="C23" s="226">
        <f>INDEX([2]Energy!$U$4:$Y$24,MATCH($B23,[2]Energy!$T$4:$T$24,0),1)</f>
        <v>25.734897260274341</v>
      </c>
      <c r="D23" s="227">
        <f>INDEX([2]Energy!$U$4:$Y$24,MATCH($B23,[2]Energy!$T$4:$T$24,0),4)</f>
        <v>36.692767489711763</v>
      </c>
      <c r="E23" s="228">
        <f>INDEX([2]Energy!$U$4:$Y$24,MATCH($B23,[2]Energy!$T$4:$T$24,0),5)</f>
        <v>22.818315329218013</v>
      </c>
      <c r="F23" s="228">
        <f>INDEX([2]Energy!$U$4:$Y$24,MATCH($B23,[2]Energy!$T$4:$T$24,0),2)</f>
        <v>30.595594262295077</v>
      </c>
      <c r="G23" s="229">
        <f>INDEX([2]Energy!$U$4:$Y$24,MATCH($B23,[2]Energy!$T$4:$T$24,0),3)</f>
        <v>18.200845286885148</v>
      </c>
      <c r="H23" s="226">
        <f>INDEX([2]Energy!$U$29:$Y$49,MATCH($B23,[2]Energy!$T$29:$T$49,0),1)</f>
        <v>24.83789882533976</v>
      </c>
      <c r="I23" s="227">
        <f>INDEX([2]Energy!$U$29:$Y$49,MATCH($B23,[2]Energy!$T$29:$T$49,0),4)</f>
        <v>36.564300663167387</v>
      </c>
      <c r="J23" s="228">
        <f>INDEX([2]Energy!$U$29:$Y$49,MATCH($B23,[2]Energy!$T$29:$T$49,0),5)</f>
        <v>21.406475411485012</v>
      </c>
      <c r="K23" s="228">
        <f>INDEX([2]Energy!$U$29:$Y$49,MATCH($B23,[2]Energy!$T$29:$T$49,0),2)</f>
        <v>28.07665119913894</v>
      </c>
      <c r="L23" s="229">
        <f>INDEX([2]Energy!$U$29:$Y$49,MATCH($B23,[2]Energy!$T$29:$T$49,0),3)</f>
        <v>17.211154072864485</v>
      </c>
      <c r="N23" s="235">
        <f t="shared" si="1"/>
        <v>2034</v>
      </c>
      <c r="O23" s="226">
        <f>INDEX([2]Energy!$U$79:$Y$99,MATCH($B23,[2]Energy!$T$79:$T$99,0),1)</f>
        <v>16.876871556830825</v>
      </c>
      <c r="P23" s="227">
        <f>INDEX([2]Energy!$U$79:$Y$99,MATCH($B23,[2]Energy!$T$79:$T$99,0),4)</f>
        <v>21.999269054606902</v>
      </c>
      <c r="Q23" s="228">
        <f>INDEX([2]Energy!$U$79:$Y$99,MATCH($B23,[2]Energy!$T$79:$T$99,0),5)</f>
        <v>17.268359004974098</v>
      </c>
      <c r="R23" s="228">
        <f>INDEX([2]Energy!$U$79:$Y$99,MATCH($B23,[2]Energy!$T$79:$T$99,0),2)</f>
        <v>20.25678839735345</v>
      </c>
      <c r="S23" s="229">
        <f>INDEX([2]Energy!$U$79:$Y$99,MATCH($B23,[2]Energy!$T$79:$T$99,0),3)</f>
        <v>14.579069823545085</v>
      </c>
      <c r="T23" s="226">
        <f>INDEX([2]Energy!$U$54:$Y$74,MATCH($B23,[2]Energy!$T$54:$T$74,0),1)</f>
        <v>16.154945076610552</v>
      </c>
      <c r="U23" s="227">
        <f>INDEX([2]Energy!$U$54:$Y$74,MATCH($B23,[2]Energy!$T$54:$T$74,0),4)</f>
        <v>20.964061002738323</v>
      </c>
      <c r="V23" s="228">
        <f>INDEX([2]Energy!$U$54:$Y$74,MATCH($B23,[2]Energy!$T$54:$T$74,0),5)</f>
        <v>15.628694457693136</v>
      </c>
      <c r="W23" s="228">
        <f>INDEX([2]Energy!$U$54:$Y$74,MATCH($B23,[2]Energy!$T$54:$T$74,0),2)</f>
        <v>20.231916631937739</v>
      </c>
      <c r="X23" s="229">
        <f>INDEX([2]Energy!$U$54:$Y$74,MATCH($B23,[2]Energy!$T$54:$T$74,0),3)</f>
        <v>14.582242907381607</v>
      </c>
    </row>
    <row r="24" spans="2:24">
      <c r="B24" s="235">
        <f t="shared" si="0"/>
        <v>2035</v>
      </c>
      <c r="C24" s="226">
        <f>INDEX([2]Energy!$U$4:$Y$24,MATCH($B24,[2]Energy!$T$4:$T$24,0),1)</f>
        <v>26.109710045661799</v>
      </c>
      <c r="D24" s="227">
        <f>INDEX([2]Energy!$U$4:$Y$24,MATCH($B24,[2]Energy!$T$4:$T$24,0),4)</f>
        <v>36.185324074074039</v>
      </c>
      <c r="E24" s="228">
        <f>INDEX([2]Energy!$U$4:$Y$24,MATCH($B24,[2]Energy!$T$4:$T$24,0),5)</f>
        <v>22.654189814814387</v>
      </c>
      <c r="F24" s="228">
        <f>INDEX([2]Energy!$U$4:$Y$24,MATCH($B24,[2]Energy!$T$4:$T$24,0),2)</f>
        <v>32.749579918032637</v>
      </c>
      <c r="G24" s="229">
        <f>INDEX([2]Energy!$U$4:$Y$24,MATCH($B24,[2]Energy!$T$4:$T$24,0),3)</f>
        <v>19.638171106557419</v>
      </c>
      <c r="H24" s="226">
        <f>INDEX([2]Energy!$U$29:$Y$49,MATCH($B24,[2]Energy!$T$29:$T$49,0),1)</f>
        <v>24.889913856996969</v>
      </c>
      <c r="I24" s="227">
        <f>INDEX([2]Energy!$U$29:$Y$49,MATCH($B24,[2]Energy!$T$29:$T$49,0),4)</f>
        <v>35.747402894676092</v>
      </c>
      <c r="J24" s="228">
        <f>INDEX([2]Energy!$U$29:$Y$49,MATCH($B24,[2]Energy!$T$29:$T$49,0),5)</f>
        <v>21.054298333749578</v>
      </c>
      <c r="K24" s="228">
        <f>INDEX([2]Energy!$U$29:$Y$49,MATCH($B24,[2]Energy!$T$29:$T$49,0),2)</f>
        <v>29.664131617150147</v>
      </c>
      <c r="L24" s="229">
        <f>INDEX([2]Energy!$U$29:$Y$49,MATCH($B24,[2]Energy!$T$29:$T$49,0),3)</f>
        <v>18.547854181939833</v>
      </c>
      <c r="N24" s="235">
        <f t="shared" si="1"/>
        <v>2035</v>
      </c>
      <c r="O24" s="226">
        <f>INDEX([2]Energy!$U$79:$Y$99,MATCH($B24,[2]Energy!$T$79:$T$99,0),1)</f>
        <v>17.128151865080419</v>
      </c>
      <c r="P24" s="227">
        <f>INDEX([2]Energy!$U$79:$Y$99,MATCH($B24,[2]Energy!$T$79:$T$99,0),4)</f>
        <v>21.348533875907073</v>
      </c>
      <c r="Q24" s="228">
        <f>INDEX([2]Energy!$U$79:$Y$99,MATCH($B24,[2]Energy!$T$79:$T$99,0),5)</f>
        <v>16.922433937661204</v>
      </c>
      <c r="R24" s="228">
        <f>INDEX([2]Energy!$U$79:$Y$99,MATCH($B24,[2]Energy!$T$79:$T$99,0),2)</f>
        <v>21.524778688936884</v>
      </c>
      <c r="S24" s="229">
        <f>INDEX([2]Energy!$U$79:$Y$99,MATCH($B24,[2]Energy!$T$79:$T$99,0),3)</f>
        <v>15.575402495609589</v>
      </c>
      <c r="T24" s="226">
        <f>INDEX([2]Energy!$U$54:$Y$74,MATCH($B24,[2]Energy!$T$54:$T$74,0),1)</f>
        <v>16.424577037624427</v>
      </c>
      <c r="U24" s="227">
        <f>INDEX([2]Energy!$U$54:$Y$74,MATCH($B24,[2]Energy!$T$54:$T$74,0),4)</f>
        <v>20.614246206989318</v>
      </c>
      <c r="V24" s="228">
        <f>INDEX([2]Energy!$U$54:$Y$74,MATCH($B24,[2]Energy!$T$54:$T$74,0),5)</f>
        <v>15.248565839331389</v>
      </c>
      <c r="W24" s="228">
        <f>INDEX([2]Energy!$U$54:$Y$74,MATCH($B24,[2]Energy!$T$54:$T$74,0),2)</f>
        <v>21.021028808209063</v>
      </c>
      <c r="X24" s="229">
        <f>INDEX([2]Energy!$U$54:$Y$74,MATCH($B24,[2]Energy!$T$54:$T$74,0),3)</f>
        <v>15.507688965408429</v>
      </c>
    </row>
    <row r="25" spans="2:24">
      <c r="B25" s="235">
        <f t="shared" si="0"/>
        <v>2036</v>
      </c>
      <c r="C25" s="226">
        <f>INDEX([2]Energy!$U$4:$Y$24,MATCH($B25,[2]Energy!$T$4:$T$24,0),1)</f>
        <v>25.414141621129207</v>
      </c>
      <c r="D25" s="227">
        <f>INDEX([2]Energy!$U$4:$Y$24,MATCH($B25,[2]Energy!$T$4:$T$24,0),4)</f>
        <v>35.757735655737605</v>
      </c>
      <c r="E25" s="228">
        <f>INDEX([2]Energy!$U$4:$Y$24,MATCH($B25,[2]Energy!$T$4:$T$24,0),5)</f>
        <v>22.21787653688531</v>
      </c>
      <c r="F25" s="228">
        <f>INDEX([2]Energy!$U$4:$Y$24,MATCH($B25,[2]Energy!$T$4:$T$24,0),2)</f>
        <v>30.880368852459082</v>
      </c>
      <c r="G25" s="229">
        <f>INDEX([2]Energy!$U$4:$Y$24,MATCH($B25,[2]Energy!$T$4:$T$24,0),3)</f>
        <v>18.729964139344258</v>
      </c>
      <c r="H25" s="226">
        <f>INDEX([2]Energy!$U$29:$Y$49,MATCH($B25,[2]Energy!$T$29:$T$49,0),1)</f>
        <v>24.247627316689908</v>
      </c>
      <c r="I25" s="227">
        <f>INDEX([2]Energy!$U$29:$Y$49,MATCH($B25,[2]Energy!$T$29:$T$49,0),4)</f>
        <v>35.287175323063693</v>
      </c>
      <c r="J25" s="228">
        <f>INDEX([2]Energy!$U$29:$Y$49,MATCH($B25,[2]Energy!$T$29:$T$49,0),5)</f>
        <v>20.579275576646854</v>
      </c>
      <c r="K25" s="228">
        <f>INDEX([2]Energy!$U$29:$Y$49,MATCH($B25,[2]Energy!$T$29:$T$49,0),2)</f>
        <v>28.305214451872494</v>
      </c>
      <c r="L25" s="229">
        <f>INDEX([2]Energy!$U$29:$Y$49,MATCH($B25,[2]Energy!$T$29:$T$49,0),3)</f>
        <v>17.610758866730048</v>
      </c>
      <c r="N25" s="235">
        <f t="shared" si="1"/>
        <v>2036</v>
      </c>
      <c r="O25" s="226">
        <f>INDEX([2]Energy!$U$79:$Y$99,MATCH($B25,[2]Energy!$T$79:$T$99,0),1)</f>
        <v>16.517379388266409</v>
      </c>
      <c r="P25" s="227">
        <f>INDEX([2]Energy!$U$79:$Y$99,MATCH($B25,[2]Energy!$T$79:$T$99,0),4)</f>
        <v>20.422292331032864</v>
      </c>
      <c r="Q25" s="228">
        <f>INDEX([2]Energy!$U$79:$Y$99,MATCH($B25,[2]Energy!$T$79:$T$99,0),5)</f>
        <v>16.585927713520963</v>
      </c>
      <c r="R25" s="228">
        <f>INDEX([2]Energy!$U$79:$Y$99,MATCH($B25,[2]Energy!$T$79:$T$99,0),2)</f>
        <v>20.370268641642447</v>
      </c>
      <c r="S25" s="229">
        <f>INDEX([2]Energy!$U$79:$Y$99,MATCH($B25,[2]Energy!$T$79:$T$99,0),3)</f>
        <v>14.717556364463226</v>
      </c>
      <c r="T25" s="226">
        <f>INDEX([2]Energy!$U$54:$Y$74,MATCH($B25,[2]Energy!$T$54:$T$74,0),1)</f>
        <v>15.81413531692734</v>
      </c>
      <c r="U25" s="227">
        <f>INDEX([2]Energy!$U$54:$Y$74,MATCH($B25,[2]Energy!$T$54:$T$74,0),4)</f>
        <v>19.807099032042817</v>
      </c>
      <c r="V25" s="228">
        <f>INDEX([2]Energy!$U$54:$Y$74,MATCH($B25,[2]Energy!$T$54:$T$74,0),5)</f>
        <v>14.841159471647881</v>
      </c>
      <c r="W25" s="228">
        <f>INDEX([2]Energy!$U$54:$Y$74,MATCH($B25,[2]Energy!$T$54:$T$74,0),2)</f>
        <v>20.295011718894354</v>
      </c>
      <c r="X25" s="229">
        <f>INDEX([2]Energy!$U$54:$Y$74,MATCH($B25,[2]Energy!$T$54:$T$74,0),3)</f>
        <v>14.734298716818508</v>
      </c>
    </row>
    <row r="26" spans="2:24">
      <c r="B26" s="235">
        <f t="shared" si="0"/>
        <v>2037</v>
      </c>
      <c r="C26" s="226">
        <f>INDEX([2]Energy!$U$4:$Y$24,MATCH($B26,[2]Energy!$T$4:$T$24,0),1)</f>
        <v>25.786473744292497</v>
      </c>
      <c r="D26" s="227">
        <f>INDEX([2]Energy!$U$4:$Y$24,MATCH($B26,[2]Energy!$T$4:$T$24,0),4)</f>
        <v>36.465288065843339</v>
      </c>
      <c r="E26" s="228">
        <f>INDEX([2]Energy!$U$4:$Y$24,MATCH($B26,[2]Energy!$T$4:$T$24,0),5)</f>
        <v>22.782942386831003</v>
      </c>
      <c r="F26" s="228">
        <f>INDEX([2]Energy!$U$4:$Y$24,MATCH($B26,[2]Energy!$T$4:$T$24,0),2)</f>
        <v>30.683616803278621</v>
      </c>
      <c r="G26" s="229">
        <f>INDEX([2]Energy!$U$4:$Y$24,MATCH($B26,[2]Energy!$T$4:$T$24,0),3)</f>
        <v>18.685297131147493</v>
      </c>
      <c r="H26" s="226">
        <f>INDEX([2]Energy!$U$29:$Y$49,MATCH($B26,[2]Energy!$T$29:$T$49,0),1)</f>
        <v>24.686636031266826</v>
      </c>
      <c r="I26" s="227">
        <f>INDEX([2]Energy!$U$29:$Y$49,MATCH($B26,[2]Energy!$T$29:$T$49,0),4)</f>
        <v>36.051972873802335</v>
      </c>
      <c r="J26" s="228">
        <f>INDEX([2]Energy!$U$29:$Y$49,MATCH($B26,[2]Energy!$T$29:$T$49,0),5)</f>
        <v>21.192208603286222</v>
      </c>
      <c r="K26" s="228">
        <f>INDEX([2]Energy!$U$29:$Y$49,MATCH($B26,[2]Energy!$T$29:$T$49,0),2)</f>
        <v>28.060496815683052</v>
      </c>
      <c r="L26" s="229">
        <f>INDEX([2]Energy!$U$29:$Y$49,MATCH($B26,[2]Energy!$T$29:$T$49,0),3)</f>
        <v>17.59201378419316</v>
      </c>
      <c r="N26" s="235">
        <f t="shared" si="1"/>
        <v>2037</v>
      </c>
      <c r="O26" s="226">
        <f>INDEX([2]Energy!$U$79:$Y$99,MATCH($B26,[2]Energy!$T$79:$T$99,0),1)</f>
        <v>16.659839603408113</v>
      </c>
      <c r="P26" s="227">
        <f>INDEX([2]Energy!$U$79:$Y$99,MATCH($B26,[2]Energy!$T$79:$T$99,0),4)</f>
        <v>21.11429165845048</v>
      </c>
      <c r="Q26" s="228">
        <f>INDEX([2]Energy!$U$79:$Y$99,MATCH($B26,[2]Energy!$T$79:$T$99,0),5)</f>
        <v>16.92918042758097</v>
      </c>
      <c r="R26" s="228">
        <f>INDEX([2]Energy!$U$79:$Y$99,MATCH($B26,[2]Energy!$T$79:$T$99,0),2)</f>
        <v>20.179895959591956</v>
      </c>
      <c r="S26" s="229">
        <f>INDEX([2]Energy!$U$79:$Y$99,MATCH($B26,[2]Energy!$T$79:$T$99,0),3)</f>
        <v>14.583893433943725</v>
      </c>
      <c r="T26" s="226">
        <f>INDEX([2]Energy!$U$54:$Y$74,MATCH($B26,[2]Energy!$T$54:$T$74,0),1)</f>
        <v>15.903363677147714</v>
      </c>
      <c r="U26" s="227">
        <f>INDEX([2]Energy!$U$54:$Y$74,MATCH($B26,[2]Energy!$T$54:$T$74,0),4)</f>
        <v>20.250035536365544</v>
      </c>
      <c r="V26" s="228">
        <f>INDEX([2]Energy!$U$54:$Y$74,MATCH($B26,[2]Energy!$T$54:$T$74,0),5)</f>
        <v>15.208269012666603</v>
      </c>
      <c r="W26" s="228">
        <f>INDEX([2]Energy!$U$54:$Y$74,MATCH($B26,[2]Energy!$T$54:$T$74,0),2)</f>
        <v>20.02054218923022</v>
      </c>
      <c r="X26" s="229">
        <f>INDEX([2]Energy!$U$54:$Y$74,MATCH($B26,[2]Energy!$T$54:$T$74,0),3)</f>
        <v>14.579785259293812</v>
      </c>
    </row>
    <row r="27" spans="2:24">
      <c r="B27" s="235">
        <f t="shared" si="0"/>
        <v>2038</v>
      </c>
      <c r="C27" s="226">
        <f>INDEX([2]Energy!$U$4:$Y$24,MATCH($B27,[2]Energy!$T$4:$T$24,0),1)</f>
        <v>25.975804794520659</v>
      </c>
      <c r="D27" s="227">
        <f>INDEX([2]Energy!$U$4:$Y$24,MATCH($B27,[2]Energy!$T$4:$T$24,0),4)</f>
        <v>36.466085390946546</v>
      </c>
      <c r="E27" s="228">
        <f>INDEX([2]Energy!$U$4:$Y$24,MATCH($B27,[2]Energy!$T$4:$T$24,0),5)</f>
        <v>22.778775720164518</v>
      </c>
      <c r="F27" s="228">
        <f>INDEX([2]Energy!$U$4:$Y$24,MATCH($B27,[2]Energy!$T$4:$T$24,0),2)</f>
        <v>31.235532786885191</v>
      </c>
      <c r="G27" s="229">
        <f>INDEX([2]Energy!$U$4:$Y$24,MATCH($B27,[2]Energy!$T$4:$T$24,0),3)</f>
        <v>19.266506147541019</v>
      </c>
      <c r="H27" s="226">
        <f>INDEX([2]Energy!$U$29:$Y$49,MATCH($B27,[2]Energy!$T$29:$T$49,0),1)</f>
        <v>24.753579155558338</v>
      </c>
      <c r="I27" s="227">
        <f>INDEX([2]Energy!$U$29:$Y$49,MATCH($B27,[2]Energy!$T$29:$T$49,0),4)</f>
        <v>35.939694780631257</v>
      </c>
      <c r="J27" s="228">
        <f>INDEX([2]Energy!$U$29:$Y$49,MATCH($B27,[2]Energy!$T$29:$T$49,0),5)</f>
        <v>21.074536642789369</v>
      </c>
      <c r="K27" s="228">
        <f>INDEX([2]Energy!$U$29:$Y$49,MATCH($B27,[2]Energy!$T$29:$T$49,0),2)</f>
        <v>28.513696006423451</v>
      </c>
      <c r="L27" s="229">
        <f>INDEX([2]Energy!$U$29:$Y$49,MATCH($B27,[2]Energy!$T$29:$T$49,0),3)</f>
        <v>18.139083576117226</v>
      </c>
      <c r="N27" s="235">
        <f t="shared" si="1"/>
        <v>2038</v>
      </c>
      <c r="O27" s="226">
        <f>INDEX([2]Energy!$U$79:$Y$99,MATCH($B27,[2]Energy!$T$79:$T$99,0),1)</f>
        <v>16.774789455948056</v>
      </c>
      <c r="P27" s="227">
        <f>INDEX([2]Energy!$U$79:$Y$99,MATCH($B27,[2]Energy!$T$79:$T$99,0),4)</f>
        <v>20.800468935452976</v>
      </c>
      <c r="Q27" s="228">
        <f>INDEX([2]Energy!$U$79:$Y$99,MATCH($B27,[2]Energy!$T$79:$T$99,0),5)</f>
        <v>16.91167507713379</v>
      </c>
      <c r="R27" s="228">
        <f>INDEX([2]Energy!$U$79:$Y$99,MATCH($B27,[2]Energy!$T$79:$T$99,0),2)</f>
        <v>20.597187145495102</v>
      </c>
      <c r="S27" s="229">
        <f>INDEX([2]Energy!$U$79:$Y$99,MATCH($B27,[2]Energy!$T$79:$T$99,0),3)</f>
        <v>14.859965407362358</v>
      </c>
      <c r="T27" s="226">
        <f>INDEX([2]Energy!$U$54:$Y$74,MATCH($B27,[2]Energy!$T$54:$T$74,0),1)</f>
        <v>16.013832146573073</v>
      </c>
      <c r="U27" s="227">
        <f>INDEX([2]Energy!$U$54:$Y$74,MATCH($B27,[2]Energy!$T$54:$T$74,0),4)</f>
        <v>19.976346003884579</v>
      </c>
      <c r="V27" s="228">
        <f>INDEX([2]Energy!$U$54:$Y$74,MATCH($B27,[2]Energy!$T$54:$T$74,0),5)</f>
        <v>15.077627666123011</v>
      </c>
      <c r="W27" s="228">
        <f>INDEX([2]Energy!$U$54:$Y$74,MATCH($B27,[2]Energy!$T$54:$T$74,0),2)</f>
        <v>20.492082419640617</v>
      </c>
      <c r="X27" s="229">
        <f>INDEX([2]Energy!$U$54:$Y$74,MATCH($B27,[2]Energy!$T$54:$T$74,0),3)</f>
        <v>14.895597660717252</v>
      </c>
    </row>
    <row r="28" spans="2:24">
      <c r="B28" s="235">
        <f t="shared" si="0"/>
        <v>2039</v>
      </c>
      <c r="C28" s="226">
        <f>INDEX([2]Energy!$U$4:$Y$24,MATCH($B28,[2]Energy!$T$4:$T$24,0),1)</f>
        <v>25.998965753424489</v>
      </c>
      <c r="D28" s="227">
        <f>INDEX([2]Energy!$U$4:$Y$24,MATCH($B28,[2]Energy!$T$4:$T$24,0),4)</f>
        <v>36.558451646090646</v>
      </c>
      <c r="E28" s="228">
        <f>INDEX([2]Energy!$U$4:$Y$24,MATCH($B28,[2]Energy!$T$4:$T$24,0),5)</f>
        <v>23.019907407407288</v>
      </c>
      <c r="F28" s="228">
        <f>INDEX([2]Energy!$U$4:$Y$24,MATCH($B28,[2]Energy!$T$4:$T$24,0),2)</f>
        <v>30.996741803278688</v>
      </c>
      <c r="G28" s="229">
        <f>INDEX([2]Energy!$U$4:$Y$24,MATCH($B28,[2]Energy!$T$4:$T$24,0),3)</f>
        <v>18.917566598360633</v>
      </c>
      <c r="H28" s="226">
        <f>INDEX([2]Energy!$U$29:$Y$49,MATCH($B28,[2]Energy!$T$29:$T$49,0),1)</f>
        <v>24.768180789995743</v>
      </c>
      <c r="I28" s="227">
        <f>INDEX([2]Energy!$U$29:$Y$49,MATCH($B28,[2]Energy!$T$29:$T$49,0),4)</f>
        <v>36.002944651390564</v>
      </c>
      <c r="J28" s="228">
        <f>INDEX([2]Energy!$U$29:$Y$49,MATCH($B28,[2]Energy!$T$29:$T$49,0),5)</f>
        <v>21.253144752300752</v>
      </c>
      <c r="K28" s="228">
        <f>INDEX([2]Energy!$U$29:$Y$49,MATCH($B28,[2]Energy!$T$29:$T$49,0),2)</f>
        <v>28.293365697176704</v>
      </c>
      <c r="L28" s="229">
        <f>INDEX([2]Energy!$U$29:$Y$49,MATCH($B28,[2]Energy!$T$29:$T$49,0),3)</f>
        <v>17.807966271702835</v>
      </c>
      <c r="N28" s="235">
        <f t="shared" si="1"/>
        <v>2039</v>
      </c>
      <c r="O28" s="226">
        <f>INDEX([2]Energy!$U$79:$Y$99,MATCH($B28,[2]Energy!$T$79:$T$99,0),1)</f>
        <v>16.640827113219352</v>
      </c>
      <c r="P28" s="227">
        <f>INDEX([2]Energy!$U$79:$Y$99,MATCH($B28,[2]Energy!$T$79:$T$99,0),4)</f>
        <v>20.42422770212897</v>
      </c>
      <c r="Q28" s="228">
        <f>INDEX([2]Energy!$U$79:$Y$99,MATCH($B28,[2]Energy!$T$79:$T$99,0),5)</f>
        <v>16.809570894841723</v>
      </c>
      <c r="R28" s="228">
        <f>INDEX([2]Energy!$U$79:$Y$99,MATCH($B28,[2]Energy!$T$79:$T$99,0),2)</f>
        <v>20.410355238002037</v>
      </c>
      <c r="S28" s="229">
        <f>INDEX([2]Energy!$U$79:$Y$99,MATCH($B28,[2]Energy!$T$79:$T$99,0),3)</f>
        <v>14.713690294858784</v>
      </c>
      <c r="T28" s="226">
        <f>INDEX([2]Energy!$U$54:$Y$74,MATCH($B28,[2]Energy!$T$54:$T$74,0),1)</f>
        <v>15.848365427490313</v>
      </c>
      <c r="U28" s="227">
        <f>INDEX([2]Energy!$U$54:$Y$74,MATCH($B28,[2]Energy!$T$54:$T$74,0),4)</f>
        <v>19.674037748095884</v>
      </c>
      <c r="V28" s="228">
        <f>INDEX([2]Energy!$U$54:$Y$74,MATCH($B28,[2]Energy!$T$54:$T$74,0),5)</f>
        <v>14.915900059284239</v>
      </c>
      <c r="W28" s="228">
        <f>INDEX([2]Energy!$U$54:$Y$74,MATCH($B28,[2]Energy!$T$54:$T$74,0),2)</f>
        <v>20.321606552865287</v>
      </c>
      <c r="X28" s="229">
        <f>INDEX([2]Energy!$U$54:$Y$74,MATCH($B28,[2]Energy!$T$54:$T$74,0),3)</f>
        <v>14.747801686076659</v>
      </c>
    </row>
    <row r="29" spans="2:24">
      <c r="B29" s="235">
        <f t="shared" si="0"/>
        <v>2040</v>
      </c>
      <c r="C29" s="226">
        <f>INDEX([2]Energy!$U$4:$Y$24,MATCH($B29,[2]Energy!$T$4:$T$24,0),1)</f>
        <v>26.312382741347729</v>
      </c>
      <c r="D29" s="227">
        <f>INDEX([2]Energy!$U$4:$Y$24,MATCH($B29,[2]Energy!$T$4:$T$24,0),4)</f>
        <v>37.636746926229435</v>
      </c>
      <c r="E29" s="228">
        <f>INDEX([2]Energy!$U$4:$Y$24,MATCH($B29,[2]Energy!$T$4:$T$24,0),5)</f>
        <v>23.866667520491809</v>
      </c>
      <c r="F29" s="228">
        <f>INDEX([2]Energy!$U$4:$Y$24,MATCH($B29,[2]Energy!$T$4:$T$24,0),2)</f>
        <v>29.892418032786825</v>
      </c>
      <c r="G29" s="229">
        <f>INDEX([2]Energy!$U$4:$Y$24,MATCH($B29,[2]Energy!$T$4:$T$24,0),3)</f>
        <v>18.089431352459052</v>
      </c>
      <c r="H29" s="226">
        <f>INDEX([2]Energy!$U$29:$Y$49,MATCH($B29,[2]Energy!$T$29:$T$49,0),1)</f>
        <v>25.194577434822069</v>
      </c>
      <c r="I29" s="227">
        <f>INDEX([2]Energy!$U$29:$Y$49,MATCH($B29,[2]Energy!$T$29:$T$49,0),4)</f>
        <v>37.074766937627963</v>
      </c>
      <c r="J29" s="228">
        <f>INDEX([2]Energy!$U$29:$Y$49,MATCH($B29,[2]Energy!$T$29:$T$49,0),5)</f>
        <v>22.081005982408822</v>
      </c>
      <c r="K29" s="228">
        <f>INDEX([2]Energy!$U$29:$Y$49,MATCH($B29,[2]Energy!$T$29:$T$49,0),2)</f>
        <v>27.561060705194581</v>
      </c>
      <c r="L29" s="229">
        <f>INDEX([2]Energy!$U$29:$Y$49,MATCH($B29,[2]Energy!$T$29:$T$49,0),3)</f>
        <v>17.004436217019506</v>
      </c>
      <c r="N29" s="235">
        <f t="shared" si="1"/>
        <v>2040</v>
      </c>
      <c r="O29" s="226">
        <f>INDEX([2]Energy!$U$79:$Y$99,MATCH($B29,[2]Energy!$T$79:$T$99,0),1)</f>
        <v>16.653647857399651</v>
      </c>
      <c r="P29" s="227">
        <f>INDEX([2]Energy!$U$79:$Y$99,MATCH($B29,[2]Energy!$T$79:$T$99,0),4)</f>
        <v>21.135863761145551</v>
      </c>
      <c r="Q29" s="228">
        <f>INDEX([2]Energy!$U$79:$Y$99,MATCH($B29,[2]Energy!$T$79:$T$99,0),5)</f>
        <v>17.355820071806004</v>
      </c>
      <c r="R29" s="228">
        <f>INDEX([2]Energy!$U$79:$Y$99,MATCH($B29,[2]Energy!$T$79:$T$99,0),2)</f>
        <v>19.557429777952283</v>
      </c>
      <c r="S29" s="229">
        <f>INDEX([2]Energy!$U$79:$Y$99,MATCH($B29,[2]Energy!$T$79:$T$99,0),3)</f>
        <v>14.051887473852572</v>
      </c>
      <c r="T29" s="226">
        <f>INDEX([2]Energy!$U$54:$Y$74,MATCH($B29,[2]Energy!$T$54:$T$74,0),1)</f>
        <v>15.716804082269773</v>
      </c>
      <c r="U29" s="227">
        <f>INDEX([2]Energy!$U$54:$Y$74,MATCH($B29,[2]Energy!$T$54:$T$74,0),4)</f>
        <v>20.220229336073402</v>
      </c>
      <c r="V29" s="228">
        <f>INDEX([2]Energy!$U$54:$Y$74,MATCH($B29,[2]Energy!$T$54:$T$74,0),5)</f>
        <v>15.412623447642073</v>
      </c>
      <c r="W29" s="228">
        <f>INDEX([2]Energy!$U$54:$Y$74,MATCH($B29,[2]Energy!$T$54:$T$74,0),2)</f>
        <v>19.541901586313987</v>
      </c>
      <c r="X29" s="229">
        <f>INDEX([2]Energy!$U$54:$Y$74,MATCH($B29,[2]Energy!$T$54:$T$74,0),3)</f>
        <v>14.022471000987107</v>
      </c>
    </row>
    <row r="30" spans="2:24" ht="13.5" thickBot="1">
      <c r="B30" s="237">
        <f t="shared" si="0"/>
        <v>2041</v>
      </c>
      <c r="C30" s="230">
        <f>INDEX([2]Energy!$U$4:$Y$24,MATCH($B30,[2]Energy!$T$4:$T$24,0),1)</f>
        <v>26.643190639269665</v>
      </c>
      <c r="D30" s="231">
        <f>INDEX([2]Energy!$U$4:$Y$24,MATCH($B30,[2]Energy!$T$4:$T$24,0),4)</f>
        <v>36.751759259259188</v>
      </c>
      <c r="E30" s="232">
        <f>INDEX([2]Energy!$U$4:$Y$24,MATCH($B30,[2]Energy!$T$4:$T$24,0),5)</f>
        <v>23.555606995884592</v>
      </c>
      <c r="F30" s="232">
        <f>INDEX([2]Energy!$U$4:$Y$24,MATCH($B30,[2]Energy!$T$4:$T$24,0),2)</f>
        <v>32.7356864754098</v>
      </c>
      <c r="G30" s="233">
        <f>INDEX([2]Energy!$U$4:$Y$24,MATCH($B30,[2]Energy!$T$4:$T$24,0),3)</f>
        <v>19.679661885245952</v>
      </c>
      <c r="H30" s="230">
        <f>INDEX([2]Energy!$U$29:$Y$49,MATCH($B30,[2]Energy!$T$29:$T$49,0),1)</f>
        <v>25.202070530403386</v>
      </c>
      <c r="I30" s="231">
        <f>INDEX([2]Energy!$U$29:$Y$49,MATCH($B30,[2]Energy!$T$29:$T$49,0),4)</f>
        <v>35.896294788716745</v>
      </c>
      <c r="J30" s="232">
        <f>INDEX([2]Energy!$U$29:$Y$49,MATCH($B30,[2]Energy!$T$29:$T$49,0),5)</f>
        <v>21.623912049972787</v>
      </c>
      <c r="K30" s="232">
        <f>INDEX([2]Energy!$U$29:$Y$49,MATCH($B30,[2]Energy!$T$29:$T$49,0),2)</f>
        <v>29.761085908788548</v>
      </c>
      <c r="L30" s="233">
        <f>INDEX([2]Energy!$U$29:$Y$49,MATCH($B30,[2]Energy!$T$29:$T$49,0),3)</f>
        <v>18.534014517122166</v>
      </c>
      <c r="N30" s="237">
        <f t="shared" si="1"/>
        <v>2041</v>
      </c>
      <c r="O30" s="230">
        <f>INDEX([2]Energy!$U$79:$Y$99,MATCH($B30,[2]Energy!$T$79:$T$99,0),1)</f>
        <v>17.009798594898424</v>
      </c>
      <c r="P30" s="231">
        <f>INDEX([2]Energy!$U$79:$Y$99,MATCH($B30,[2]Energy!$T$79:$T$99,0),4)</f>
        <v>20.321578651541625</v>
      </c>
      <c r="Q30" s="232">
        <f>INDEX([2]Energy!$U$79:$Y$99,MATCH($B30,[2]Energy!$T$79:$T$99,0),5)</f>
        <v>16.86669759058563</v>
      </c>
      <c r="R30" s="232">
        <f>INDEX([2]Energy!$U$79:$Y$99,MATCH($B30,[2]Energy!$T$79:$T$99,0),2)</f>
        <v>21.320368008519718</v>
      </c>
      <c r="S30" s="233">
        <f>INDEX([2]Energy!$U$79:$Y$99,MATCH($B30,[2]Energy!$T$79:$T$99,0),3)</f>
        <v>15.468322878525923</v>
      </c>
      <c r="T30" s="230">
        <f>INDEX([2]Energy!$U$54:$Y$74,MATCH($B30,[2]Energy!$T$54:$T$74,0),1)</f>
        <v>16.12497284545131</v>
      </c>
      <c r="U30" s="231">
        <f>INDEX([2]Energy!$U$54:$Y$74,MATCH($B30,[2]Energy!$T$54:$T$74,0),4)</f>
        <v>19.510037342818841</v>
      </c>
      <c r="V30" s="232">
        <f>INDEX([2]Energy!$U$54:$Y$74,MATCH($B30,[2]Energy!$T$54:$T$74,0),5)</f>
        <v>14.927729970401074</v>
      </c>
      <c r="W30" s="232">
        <f>INDEX([2]Energy!$U$54:$Y$74,MATCH($B30,[2]Energy!$T$54:$T$74,0),2)</f>
        <v>20.826573334273409</v>
      </c>
      <c r="X30" s="233">
        <f>INDEX([2]Energy!$U$54:$Y$74,MATCH($B30,[2]Energy!$T$54:$T$74,0),3)</f>
        <v>15.313397599247246</v>
      </c>
    </row>
    <row r="31" spans="2:24" ht="5.25" customHeight="1" thickTop="1">
      <c r="B31" s="200"/>
      <c r="C31"/>
      <c r="D31"/>
      <c r="E31"/>
      <c r="F31"/>
      <c r="G31"/>
      <c r="H31"/>
      <c r="I31"/>
      <c r="J31"/>
      <c r="K31"/>
      <c r="N31" s="200"/>
    </row>
    <row r="32" spans="2:24">
      <c r="B32" s="48" t="s">
        <v>152</v>
      </c>
      <c r="F32" s="180"/>
      <c r="G32" s="7"/>
      <c r="N32" s="48" t="str">
        <f t="shared" ref="N32:N37" si="2">B32</f>
        <v>(1) Avoided cost prices have been reduced by wind and solar integration charges.</v>
      </c>
    </row>
    <row r="33" spans="2:15">
      <c r="B33" s="1" t="str">
        <f>"      If the QF resource is not in PacifiCorp's BAA, prices will be increased by the applicable integration charges."</f>
        <v xml:space="preserve">      If the QF resource is not in PacifiCorp's BAA, prices will be increased by the applicable integration charges.</v>
      </c>
      <c r="G33" s="7"/>
      <c r="N33" s="1" t="str">
        <f t="shared" si="2"/>
        <v xml:space="preserve">      If the QF resource is not in PacifiCorp's BAA, prices will be increased by the applicable integration charges.</v>
      </c>
    </row>
    <row r="34" spans="2:15">
      <c r="B34" s="7" t="str">
        <f>C9</f>
        <v>(a)</v>
      </c>
      <c r="C34" s="3" t="s">
        <v>193</v>
      </c>
      <c r="N34" s="7" t="str">
        <f t="shared" si="2"/>
        <v>(a)</v>
      </c>
      <c r="O34" s="3" t="str">
        <f t="shared" ref="O34:O38" si="3">C34</f>
        <v>Illustrative price for all hours</v>
      </c>
    </row>
    <row r="35" spans="2:15">
      <c r="B35" s="7" t="s">
        <v>5</v>
      </c>
      <c r="C35" s="3" t="s">
        <v>169</v>
      </c>
      <c r="N35" s="7" t="str">
        <f t="shared" si="2"/>
        <v>(b)</v>
      </c>
      <c r="O35" s="3" t="str">
        <f t="shared" si="3"/>
        <v>On-peak Winter hours:  6:00a - 8:00a and 5:00p - 11:00p Pacific Prevailing Time (PPT), Oct. through May</v>
      </c>
    </row>
    <row r="36" spans="2:15">
      <c r="B36" s="7" t="s">
        <v>6</v>
      </c>
      <c r="C36" s="3" t="s">
        <v>170</v>
      </c>
      <c r="N36" s="7" t="str">
        <f t="shared" si="2"/>
        <v>(c)</v>
      </c>
      <c r="O36" s="3" t="str">
        <f t="shared" si="3"/>
        <v>Off-peak Winter hours:  All other hours, Oct. through May</v>
      </c>
    </row>
    <row r="37" spans="2:15">
      <c r="B37" s="7" t="s">
        <v>7</v>
      </c>
      <c r="C37" s="3" t="s">
        <v>163</v>
      </c>
      <c r="N37" s="7" t="str">
        <f t="shared" si="2"/>
        <v>(d)</v>
      </c>
      <c r="O37" s="3" t="str">
        <f t="shared" si="3"/>
        <v>On-peak Summer hours:  2:00p - 10:00p PPT, June through September</v>
      </c>
    </row>
    <row r="38" spans="2:15">
      <c r="B38" s="7" t="s">
        <v>8</v>
      </c>
      <c r="C38" s="3" t="s">
        <v>162</v>
      </c>
      <c r="N38" s="7" t="str">
        <f>B38</f>
        <v>(e)</v>
      </c>
      <c r="O38" s="3" t="str">
        <f t="shared" si="3"/>
        <v>Off-peak Summer hours:  All other hours, June through September</v>
      </c>
    </row>
  </sheetData>
  <mergeCells count="22">
    <mergeCell ref="C5:G5"/>
    <mergeCell ref="B2:I2"/>
    <mergeCell ref="B1:I1"/>
    <mergeCell ref="C4:G4"/>
    <mergeCell ref="H4:L4"/>
    <mergeCell ref="H5:L5"/>
    <mergeCell ref="N1:U1"/>
    <mergeCell ref="N2:U2"/>
    <mergeCell ref="O4:S4"/>
    <mergeCell ref="O5:S5"/>
    <mergeCell ref="T4:X4"/>
    <mergeCell ref="T5:X5"/>
    <mergeCell ref="O8:S8"/>
    <mergeCell ref="T8:X8"/>
    <mergeCell ref="C8:G8"/>
    <mergeCell ref="H8:L8"/>
    <mergeCell ref="B6:B7"/>
    <mergeCell ref="C6:C7"/>
    <mergeCell ref="H6:H7"/>
    <mergeCell ref="N6:N7"/>
    <mergeCell ref="O6:O7"/>
    <mergeCell ref="T6:T7"/>
  </mergeCells>
  <printOptions horizontalCentered="1"/>
  <pageMargins left="0.8" right="0.3" top="0.4" bottom="0.4" header="0.5" footer="0.2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X40"/>
  <sheetViews>
    <sheetView workbookViewId="0">
      <selection activeCell="F13" sqref="F13"/>
    </sheetView>
  </sheetViews>
  <sheetFormatPr defaultColWidth="9.33203125" defaultRowHeight="12.75"/>
  <cols>
    <col min="1" max="1" width="1.5" style="3" customWidth="1"/>
    <col min="2" max="2" width="9.33203125" style="3" customWidth="1"/>
    <col min="3" max="3" width="23.1640625" style="3" bestFit="1" customWidth="1"/>
    <col min="4" max="7" width="12" style="3" customWidth="1"/>
    <col min="8" max="8" width="1.5" style="3" customWidth="1"/>
    <col min="9" max="9" width="22.83203125" style="3" customWidth="1"/>
    <col min="10" max="11" width="11.5" style="3" customWidth="1"/>
    <col min="12" max="12" width="10" style="3" customWidth="1"/>
    <col min="13" max="13" width="11.6640625" style="3" customWidth="1"/>
    <col min="14" max="14" width="10.1640625" style="3" customWidth="1"/>
    <col min="15" max="15" width="9.6640625" style="3" customWidth="1"/>
    <col min="16" max="17" width="11.6640625" style="3" customWidth="1"/>
    <col min="18" max="18" width="1.5" style="3" customWidth="1"/>
    <col min="19" max="19" width="22.33203125" style="3" customWidth="1"/>
    <col min="20" max="23" width="18.1640625" style="3" customWidth="1"/>
    <col min="24" max="24" width="29.6640625" style="3" customWidth="1"/>
    <col min="25" max="16384" width="9.33203125" style="3"/>
  </cols>
  <sheetData>
    <row r="1" spans="2:23" ht="15.75" customHeight="1">
      <c r="B1" s="345" t="s">
        <v>176</v>
      </c>
      <c r="C1" s="346"/>
      <c r="D1" s="346"/>
      <c r="E1" s="346"/>
      <c r="F1" s="346"/>
      <c r="G1" s="346"/>
      <c r="H1" s="209"/>
      <c r="I1" s="345" t="s">
        <v>177</v>
      </c>
      <c r="J1" s="346"/>
      <c r="K1" s="346"/>
      <c r="L1" s="346"/>
      <c r="M1" s="346"/>
      <c r="N1" s="346"/>
      <c r="O1" s="346"/>
      <c r="P1" s="346"/>
      <c r="Q1" s="346"/>
      <c r="R1" s="209"/>
      <c r="S1" s="345" t="s">
        <v>178</v>
      </c>
      <c r="T1" s="346"/>
      <c r="U1" s="346"/>
      <c r="V1" s="346"/>
      <c r="W1" s="346"/>
    </row>
    <row r="2" spans="2:23" ht="15.75" customHeight="1">
      <c r="B2" s="345" t="s">
        <v>156</v>
      </c>
      <c r="C2" s="346"/>
      <c r="D2" s="346"/>
      <c r="E2" s="346"/>
      <c r="F2" s="346"/>
      <c r="G2" s="346"/>
      <c r="H2" s="209"/>
      <c r="I2" s="345" t="s">
        <v>156</v>
      </c>
      <c r="J2" s="346"/>
      <c r="K2" s="346"/>
      <c r="L2" s="346"/>
      <c r="M2" s="346"/>
      <c r="N2" s="346"/>
      <c r="O2" s="346"/>
      <c r="P2" s="346"/>
      <c r="Q2" s="346"/>
      <c r="R2" s="209"/>
      <c r="S2" s="345" t="s">
        <v>156</v>
      </c>
      <c r="T2" s="346"/>
      <c r="U2" s="346"/>
      <c r="V2" s="346"/>
      <c r="W2" s="346"/>
    </row>
    <row r="3" spans="2:23" ht="15" thickBot="1">
      <c r="B3" s="4"/>
      <c r="C3" s="4"/>
      <c r="E3" s="19"/>
      <c r="I3" s="4"/>
      <c r="J3" s="176"/>
      <c r="K3" s="4"/>
      <c r="N3" s="176"/>
      <c r="O3" s="4"/>
      <c r="S3" s="4"/>
      <c r="T3" s="176"/>
      <c r="U3" s="4"/>
    </row>
    <row r="4" spans="2:23" ht="14.25" thickTop="1" thickBot="1">
      <c r="B4" s="239"/>
      <c r="C4" s="240"/>
      <c r="D4" s="352" t="s">
        <v>126</v>
      </c>
      <c r="E4" s="353"/>
      <c r="F4" s="353"/>
      <c r="G4" s="354"/>
      <c r="I4" s="264"/>
      <c r="J4" s="349" t="s">
        <v>141</v>
      </c>
      <c r="K4" s="350"/>
      <c r="L4" s="350"/>
      <c r="M4" s="351"/>
      <c r="N4" s="349" t="s">
        <v>142</v>
      </c>
      <c r="O4" s="350"/>
      <c r="P4" s="350"/>
      <c r="Q4" s="351"/>
      <c r="S4" s="264"/>
      <c r="T4" s="349" t="s">
        <v>143</v>
      </c>
      <c r="U4" s="350"/>
      <c r="V4" s="350"/>
      <c r="W4" s="351"/>
    </row>
    <row r="5" spans="2:23" ht="69" customHeight="1" thickTop="1" thickBot="1">
      <c r="B5" s="241"/>
      <c r="C5" s="242" t="s">
        <v>202</v>
      </c>
      <c r="D5" s="243" t="s">
        <v>204</v>
      </c>
      <c r="E5" s="243" t="s">
        <v>127</v>
      </c>
      <c r="F5" s="243" t="s">
        <v>204</v>
      </c>
      <c r="G5" s="244" t="s">
        <v>127</v>
      </c>
      <c r="I5" s="265"/>
      <c r="J5" s="243" t="s">
        <v>124</v>
      </c>
      <c r="K5" s="266" t="s">
        <v>127</v>
      </c>
      <c r="L5" s="266" t="s">
        <v>124</v>
      </c>
      <c r="M5" s="267" t="s">
        <v>127</v>
      </c>
      <c r="N5" s="243" t="s">
        <v>124</v>
      </c>
      <c r="O5" s="243" t="s">
        <v>127</v>
      </c>
      <c r="P5" s="243" t="s">
        <v>124</v>
      </c>
      <c r="Q5" s="244" t="s">
        <v>127</v>
      </c>
      <c r="S5" s="265"/>
      <c r="T5" s="243" t="s">
        <v>124</v>
      </c>
      <c r="U5" s="266" t="s">
        <v>127</v>
      </c>
      <c r="V5" s="266" t="s">
        <v>124</v>
      </c>
      <c r="W5" s="267" t="s">
        <v>127</v>
      </c>
    </row>
    <row r="6" spans="2:23" ht="13.5" thickBot="1">
      <c r="B6" s="241"/>
      <c r="C6" s="245" t="s">
        <v>3</v>
      </c>
      <c r="D6" s="246" t="s">
        <v>3</v>
      </c>
      <c r="E6" s="246" t="s">
        <v>3</v>
      </c>
      <c r="F6" s="246" t="s">
        <v>3</v>
      </c>
      <c r="G6" s="247" t="s">
        <v>3</v>
      </c>
      <c r="I6" s="265"/>
      <c r="J6" s="246" t="s">
        <v>3</v>
      </c>
      <c r="K6" s="246" t="s">
        <v>3</v>
      </c>
      <c r="L6" s="246" t="s">
        <v>3</v>
      </c>
      <c r="M6" s="247" t="s">
        <v>3</v>
      </c>
      <c r="N6" s="246" t="s">
        <v>3</v>
      </c>
      <c r="O6" s="246" t="s">
        <v>3</v>
      </c>
      <c r="P6" s="246" t="s">
        <v>3</v>
      </c>
      <c r="Q6" s="247" t="s">
        <v>3</v>
      </c>
      <c r="S6" s="265"/>
      <c r="T6" s="246" t="s">
        <v>3</v>
      </c>
      <c r="U6" s="246" t="s">
        <v>3</v>
      </c>
      <c r="V6" s="246" t="s">
        <v>3</v>
      </c>
      <c r="W6" s="247" t="s">
        <v>3</v>
      </c>
    </row>
    <row r="7" spans="2:23" ht="13.5" thickBot="1">
      <c r="B7" s="241"/>
      <c r="C7" s="248"/>
      <c r="D7" s="246"/>
      <c r="E7" s="249"/>
      <c r="F7" s="246" t="s">
        <v>140</v>
      </c>
      <c r="G7" s="247" t="s">
        <v>140</v>
      </c>
      <c r="I7" s="265"/>
      <c r="J7" s="246"/>
      <c r="K7" s="249"/>
      <c r="L7" s="246" t="s">
        <v>140</v>
      </c>
      <c r="M7" s="247" t="s">
        <v>140</v>
      </c>
      <c r="N7" s="246"/>
      <c r="O7" s="249"/>
      <c r="P7" s="246" t="s">
        <v>140</v>
      </c>
      <c r="Q7" s="247" t="s">
        <v>140</v>
      </c>
      <c r="S7" s="265"/>
      <c r="T7" s="246"/>
      <c r="U7" s="249"/>
      <c r="V7" s="246" t="s">
        <v>140</v>
      </c>
      <c r="W7" s="247" t="s">
        <v>140</v>
      </c>
    </row>
    <row r="8" spans="2:23" ht="13.5" thickBot="1">
      <c r="B8" s="241" t="s">
        <v>2</v>
      </c>
      <c r="C8" s="245" t="s">
        <v>120</v>
      </c>
      <c r="D8" s="246" t="s">
        <v>120</v>
      </c>
      <c r="E8" s="246" t="s">
        <v>120</v>
      </c>
      <c r="F8" s="246" t="s">
        <v>125</v>
      </c>
      <c r="G8" s="247" t="s">
        <v>125</v>
      </c>
      <c r="I8" s="265" t="s">
        <v>2</v>
      </c>
      <c r="J8" s="246" t="s">
        <v>120</v>
      </c>
      <c r="K8" s="246" t="s">
        <v>120</v>
      </c>
      <c r="L8" s="268" t="s">
        <v>125</v>
      </c>
      <c r="M8" s="247" t="s">
        <v>125</v>
      </c>
      <c r="N8" s="246" t="s">
        <v>120</v>
      </c>
      <c r="O8" s="246" t="s">
        <v>120</v>
      </c>
      <c r="P8" s="246" t="s">
        <v>125</v>
      </c>
      <c r="Q8" s="247" t="s">
        <v>125</v>
      </c>
      <c r="S8" s="265" t="s">
        <v>2</v>
      </c>
      <c r="T8" s="246" t="s">
        <v>120</v>
      </c>
      <c r="U8" s="246" t="s">
        <v>120</v>
      </c>
      <c r="V8" s="246" t="s">
        <v>125</v>
      </c>
      <c r="W8" s="247" t="s">
        <v>125</v>
      </c>
    </row>
    <row r="9" spans="2:23" ht="13.5" thickBot="1">
      <c r="B9" s="241"/>
      <c r="C9" s="245" t="s">
        <v>4</v>
      </c>
      <c r="D9" s="246" t="s">
        <v>5</v>
      </c>
      <c r="E9" s="246" t="s">
        <v>6</v>
      </c>
      <c r="F9" s="246" t="s">
        <v>7</v>
      </c>
      <c r="G9" s="247" t="s">
        <v>8</v>
      </c>
      <c r="I9" s="269"/>
      <c r="J9" s="246" t="s">
        <v>5</v>
      </c>
      <c r="K9" s="246" t="s">
        <v>6</v>
      </c>
      <c r="L9" s="246" t="s">
        <v>7</v>
      </c>
      <c r="M9" s="247" t="s">
        <v>8</v>
      </c>
      <c r="N9" s="246" t="s">
        <v>5</v>
      </c>
      <c r="O9" s="246" t="s">
        <v>6</v>
      </c>
      <c r="P9" s="246" t="s">
        <v>7</v>
      </c>
      <c r="Q9" s="247" t="s">
        <v>8</v>
      </c>
      <c r="S9" s="269"/>
      <c r="T9" s="246" t="s">
        <v>5</v>
      </c>
      <c r="U9" s="246" t="s">
        <v>6</v>
      </c>
      <c r="V9" s="246" t="s">
        <v>7</v>
      </c>
      <c r="W9" s="247" t="s">
        <v>8</v>
      </c>
    </row>
    <row r="10" spans="2:23" ht="13.5" thickBot="1">
      <c r="B10" s="241"/>
      <c r="C10" s="316" t="s">
        <v>128</v>
      </c>
      <c r="D10" s="250">
        <v>1</v>
      </c>
      <c r="E10" s="250">
        <v>1</v>
      </c>
      <c r="F10" s="251"/>
      <c r="G10" s="247"/>
      <c r="I10" s="270" t="s">
        <v>128</v>
      </c>
      <c r="J10" s="250">
        <v>0.11776428835036618</v>
      </c>
      <c r="K10" s="250">
        <v>0.11776428835036618</v>
      </c>
      <c r="L10" s="251"/>
      <c r="M10" s="247"/>
      <c r="N10" s="250">
        <v>0.02</v>
      </c>
      <c r="O10" s="250">
        <v>0.02</v>
      </c>
      <c r="P10" s="251"/>
      <c r="Q10" s="247"/>
      <c r="S10" s="270" t="s">
        <v>128</v>
      </c>
      <c r="T10" s="250">
        <v>0.02</v>
      </c>
      <c r="U10" s="250">
        <v>0.02</v>
      </c>
      <c r="V10" s="251"/>
      <c r="W10" s="247"/>
    </row>
    <row r="11" spans="2:23" ht="13.5" thickBot="1">
      <c r="B11" s="241"/>
      <c r="C11" s="319" t="s">
        <v>174</v>
      </c>
      <c r="D11" s="252"/>
      <c r="E11" s="253"/>
      <c r="F11" s="254">
        <f>AVERAGE(Profiles!$D$11:$E$30)*2/8760</f>
        <v>0.66643835616438352</v>
      </c>
      <c r="G11" s="255">
        <f>AVERAGE(Profiles!$F$11:$G$30)*2/8760</f>
        <v>0.33424657534246577</v>
      </c>
      <c r="I11" s="271" t="s">
        <v>174</v>
      </c>
      <c r="J11" s="252"/>
      <c r="K11" s="253"/>
      <c r="L11" s="254">
        <f>AVERAGE(Profiles!$I$11:$J$30)*2/8760</f>
        <v>0.27000681160307038</v>
      </c>
      <c r="M11" s="255">
        <f>AVERAGE(Profiles!$K$11:$L$30)*2/8760</f>
        <v>0.11000319634703204</v>
      </c>
      <c r="N11" s="252"/>
      <c r="O11" s="253"/>
      <c r="P11" s="254">
        <f>AVERAGE(Profiles!$N$11:$O$30)*2/8760</f>
        <v>0.1419775440313111</v>
      </c>
      <c r="Q11" s="255">
        <f>AVERAGE(Profiles!$P$11:$Q$30)*2/8760</f>
        <v>0.106956392694064</v>
      </c>
      <c r="S11" s="271" t="s">
        <v>174</v>
      </c>
      <c r="T11" s="252"/>
      <c r="U11" s="253"/>
      <c r="V11" s="254">
        <f>AVERAGE(Profiles!$S$11:$T$30)*2/8760</f>
        <v>0.1212982943270187</v>
      </c>
      <c r="W11" s="255">
        <f>AVERAGE(Profiles!$U$11:$V$30)*2/8760</f>
        <v>0.12645029099379063</v>
      </c>
    </row>
    <row r="12" spans="2:23" ht="5.25" customHeight="1" thickBot="1">
      <c r="B12" s="234"/>
      <c r="C12" s="245"/>
      <c r="D12" s="256"/>
      <c r="E12" s="246"/>
      <c r="F12" s="257"/>
      <c r="G12" s="258"/>
      <c r="I12" s="234"/>
      <c r="J12" s="256"/>
      <c r="K12" s="246"/>
      <c r="L12" s="257"/>
      <c r="M12" s="258"/>
      <c r="N12" s="256"/>
      <c r="O12" s="246"/>
      <c r="P12" s="257"/>
      <c r="Q12" s="258"/>
      <c r="S12" s="234"/>
      <c r="T12" s="256"/>
      <c r="U12" s="246"/>
      <c r="V12" s="257"/>
      <c r="W12" s="258"/>
    </row>
    <row r="13" spans="2:23" ht="13.5" thickBot="1">
      <c r="B13" s="235">
        <f>'Table A - Combined'!$B$11</f>
        <v>2022</v>
      </c>
      <c r="C13" s="259">
        <f>INDEX('Exhibit 3 - Levelized Capacity'!$F$9:$F$29,MATCH($B13,'Exhibit 3 - Levelized Capacity'!$B$9:$B$29,0),1)</f>
        <v>122616.93644707486</v>
      </c>
      <c r="D13" s="256">
        <f>$C13*IF(LEFT(D$5,6)="Winter",Profiles!$AB$29,Profiles!$AB$28)*D$10</f>
        <v>41264.893421491615</v>
      </c>
      <c r="E13" s="256">
        <f>$C13*IF(LEFT(E$5,6)="Winter",Profiles!$AB$29,Profiles!$AB$28)*E$10</f>
        <v>81352.043025583247</v>
      </c>
      <c r="F13" s="257">
        <f t="shared" ref="F13:F32" si="0">D13/(F$11*8760)</f>
        <v>7.0683270677443675</v>
      </c>
      <c r="G13" s="258">
        <f t="shared" ref="G13:G32" si="1">E13/(G$11*8760)</f>
        <v>27.784167699994278</v>
      </c>
      <c r="I13" s="235">
        <f>'Table A - Combined'!$B$11</f>
        <v>2022</v>
      </c>
      <c r="J13" s="256">
        <f>$C13*IF(LEFT(J$5,6)="Winter",Profiles!$AB$29,Profiles!$AB$28)*J$10</f>
        <v>4859.5308076356669</v>
      </c>
      <c r="K13" s="256">
        <f>$C13*IF(LEFT(K$5,6)="Winter",Profiles!$AB$29,Profiles!$AB$28)*K$10</f>
        <v>9580.3654527561812</v>
      </c>
      <c r="L13" s="257">
        <f t="shared" ref="L13:L32" si="2">J13/(L$11*8760)</f>
        <v>2.0545443149459155</v>
      </c>
      <c r="M13" s="258">
        <f t="shared" ref="M13:M32" si="3">K13/(M$11*8760)</f>
        <v>9.9419749662278125</v>
      </c>
      <c r="N13" s="256">
        <f>$C13*IF(LEFT(N$5,6)="Winter",Profiles!$AB$29,Profiles!$AB$28)*N$10</f>
        <v>825.29786842983231</v>
      </c>
      <c r="O13" s="256">
        <f>$C13*IF(LEFT(O$5,6)="Winter",Profiles!$AB$29,Profiles!$AB$28)*O$10</f>
        <v>1627.040860511665</v>
      </c>
      <c r="P13" s="257">
        <f t="shared" ref="P13:P32" si="4">N13/(P$11*8760)</f>
        <v>0.66357032782887371</v>
      </c>
      <c r="Q13" s="258">
        <f t="shared" ref="Q13:Q32" si="5">O13/(Q$11*8760)</f>
        <v>1.7365512558052547</v>
      </c>
      <c r="S13" s="235">
        <f>'Table A - Combined'!$B$11</f>
        <v>2022</v>
      </c>
      <c r="T13" s="256">
        <f>$C13*IF(LEFT(T$5,6)="Winter",Profiles!$AB$29,Profiles!$AB$28)*T$10</f>
        <v>825.29786842983231</v>
      </c>
      <c r="U13" s="256">
        <f>$C13*IF(LEFT(U$5,6)="Winter",Profiles!$AB$29,Profiles!$AB$28)*U$10</f>
        <v>1627.040860511665</v>
      </c>
      <c r="V13" s="257">
        <f t="shared" ref="V13:V32" si="6">T13/(V$11*8760)</f>
        <v>0.77669752868247965</v>
      </c>
      <c r="W13" s="258">
        <f t="shared" ref="W13:W32" si="7">U13/(W$11*8760)</f>
        <v>1.4688400998491764</v>
      </c>
    </row>
    <row r="14" spans="2:23" ht="13.5" thickBot="1">
      <c r="B14" s="235">
        <f t="shared" ref="B14:B32" si="8">B13+1</f>
        <v>2023</v>
      </c>
      <c r="C14" s="259">
        <f>INDEX('Exhibit 3 - Levelized Capacity'!$F$9:$F$29,MATCH($B14,'Exhibit 3 - Levelized Capacity'!$B$9:$B$29,0),1)</f>
        <v>124946.65823956927</v>
      </c>
      <c r="D14" s="256">
        <f>$C14*IF(LEFT(D$5,6)="Winter",Profiles!$AB$29,Profiles!$AB$28)*D$10</f>
        <v>42048.926396499948</v>
      </c>
      <c r="E14" s="256">
        <f>$C14*IF(LEFT(E$5,6)="Winter",Profiles!$AB$29,Profiles!$AB$28)*E$10</f>
        <v>82897.731843069312</v>
      </c>
      <c r="F14" s="257">
        <f t="shared" si="0"/>
        <v>7.2026252820315086</v>
      </c>
      <c r="G14" s="258">
        <f t="shared" si="1"/>
        <v>28.312066886294165</v>
      </c>
      <c r="I14" s="235">
        <f t="shared" ref="I14:I32" si="9">I13+1</f>
        <v>2023</v>
      </c>
      <c r="J14" s="256">
        <f>$C14*IF(LEFT(J$5,6)="Winter",Profiles!$AB$29,Profiles!$AB$28)*J$10</f>
        <v>4951.8618929807435</v>
      </c>
      <c r="K14" s="256">
        <f>$C14*IF(LEFT(K$5,6)="Winter",Profiles!$AB$29,Profiles!$AB$28)*K$10</f>
        <v>9762.3923963585457</v>
      </c>
      <c r="L14" s="257">
        <f t="shared" si="2"/>
        <v>2.0935806569298876</v>
      </c>
      <c r="M14" s="258">
        <f t="shared" si="3"/>
        <v>10.130872490586139</v>
      </c>
      <c r="N14" s="256">
        <f>$C14*IF(LEFT(N$5,6)="Winter",Profiles!$AB$29,Profiles!$AB$28)*N$10</f>
        <v>840.97852792999902</v>
      </c>
      <c r="O14" s="256">
        <f>$C14*IF(LEFT(O$5,6)="Winter",Profiles!$AB$29,Profiles!$AB$28)*O$10</f>
        <v>1657.9546368613862</v>
      </c>
      <c r="P14" s="257">
        <f t="shared" si="4"/>
        <v>0.67617816405762221</v>
      </c>
      <c r="Q14" s="258">
        <f t="shared" si="5"/>
        <v>1.7695457296655541</v>
      </c>
      <c r="S14" s="235">
        <f t="shared" ref="S14:S32" si="10">S13+1</f>
        <v>2023</v>
      </c>
      <c r="T14" s="256">
        <f>$C14*IF(LEFT(T$5,6)="Winter",Profiles!$AB$29,Profiles!$AB$28)*T$10</f>
        <v>840.97852792999902</v>
      </c>
      <c r="U14" s="256">
        <f>$C14*IF(LEFT(U$5,6)="Winter",Profiles!$AB$29,Profiles!$AB$28)*U$10</f>
        <v>1657.9546368613862</v>
      </c>
      <c r="V14" s="257">
        <f t="shared" si="6"/>
        <v>0.79145478172744665</v>
      </c>
      <c r="W14" s="258">
        <f t="shared" si="7"/>
        <v>1.4967480617463105</v>
      </c>
    </row>
    <row r="15" spans="2:23" ht="13.5" thickBot="1">
      <c r="B15" s="235">
        <f t="shared" si="8"/>
        <v>2024</v>
      </c>
      <c r="C15" s="259">
        <f>INDEX('Exhibit 3 - Levelized Capacity'!$F$9:$F$29,MATCH($B15,'Exhibit 3 - Levelized Capacity'!$B$9:$B$29,0),1)</f>
        <v>127695.4847208398</v>
      </c>
      <c r="D15" s="256">
        <f>$C15*IF(LEFT(D$5,6)="Winter",Profiles!$AB$29,Profiles!$AB$28)*D$10</f>
        <v>42974.002777222951</v>
      </c>
      <c r="E15" s="256">
        <f>$C15*IF(LEFT(E$5,6)="Winter",Profiles!$AB$29,Profiles!$AB$28)*E$10</f>
        <v>84721.481943616847</v>
      </c>
      <c r="F15" s="257">
        <f t="shared" si="0"/>
        <v>7.3610830382362025</v>
      </c>
      <c r="G15" s="258">
        <f t="shared" si="1"/>
        <v>28.93493235779264</v>
      </c>
      <c r="I15" s="235">
        <f t="shared" si="9"/>
        <v>2024</v>
      </c>
      <c r="J15" s="256">
        <f>$C15*IF(LEFT(J$5,6)="Winter",Profiles!$AB$29,Profiles!$AB$28)*J$10</f>
        <v>5060.8028546263204</v>
      </c>
      <c r="K15" s="256">
        <f>$C15*IF(LEFT(K$5,6)="Winter",Profiles!$AB$29,Profiles!$AB$28)*K$10</f>
        <v>9977.1650290784364</v>
      </c>
      <c r="L15" s="257">
        <f t="shared" si="2"/>
        <v>2.1396394313823452</v>
      </c>
      <c r="M15" s="258">
        <f t="shared" si="3"/>
        <v>10.353751685379036</v>
      </c>
      <c r="N15" s="256">
        <f>$C15*IF(LEFT(N$5,6)="Winter",Profiles!$AB$29,Profiles!$AB$28)*N$10</f>
        <v>859.48005554445899</v>
      </c>
      <c r="O15" s="256">
        <f>$C15*IF(LEFT(O$5,6)="Winter",Profiles!$AB$29,Profiles!$AB$28)*O$10</f>
        <v>1694.4296388723369</v>
      </c>
      <c r="P15" s="257">
        <f t="shared" si="4"/>
        <v>0.69105408366688992</v>
      </c>
      <c r="Q15" s="258">
        <f t="shared" si="5"/>
        <v>1.8084757357181966</v>
      </c>
      <c r="S15" s="235">
        <f t="shared" si="10"/>
        <v>2024</v>
      </c>
      <c r="T15" s="256">
        <f>$C15*IF(LEFT(T$5,6)="Winter",Profiles!$AB$29,Profiles!$AB$28)*T$10</f>
        <v>859.48005554445899</v>
      </c>
      <c r="U15" s="256">
        <f>$C15*IF(LEFT(U$5,6)="Winter",Profiles!$AB$29,Profiles!$AB$28)*U$10</f>
        <v>1694.4296388723369</v>
      </c>
      <c r="V15" s="257">
        <f t="shared" si="6"/>
        <v>0.80886678692545044</v>
      </c>
      <c r="W15" s="258">
        <f t="shared" si="7"/>
        <v>1.5296765191047295</v>
      </c>
    </row>
    <row r="16" spans="2:23" ht="13.5" thickBot="1">
      <c r="B16" s="235">
        <f t="shared" si="8"/>
        <v>2025</v>
      </c>
      <c r="C16" s="259">
        <f>INDEX('Exhibit 3 - Levelized Capacity'!$F$9:$F$29,MATCH($B16,'Exhibit 3 - Levelized Capacity'!$B$9:$B$29,0),1)</f>
        <v>130632.4808694191</v>
      </c>
      <c r="D16" s="256">
        <f>$C16*IF(LEFT(D$5,6)="Winter",Profiles!$AB$29,Profiles!$AB$28)*D$10</f>
        <v>43962.404841099073</v>
      </c>
      <c r="E16" s="256">
        <f>$C16*IF(LEFT(E$5,6)="Winter",Profiles!$AB$29,Profiles!$AB$28)*E$10</f>
        <v>86670.076028320022</v>
      </c>
      <c r="F16" s="257">
        <f t="shared" si="0"/>
        <v>7.5303879481156342</v>
      </c>
      <c r="G16" s="258">
        <f t="shared" si="1"/>
        <v>29.600435802021867</v>
      </c>
      <c r="I16" s="235">
        <f t="shared" si="9"/>
        <v>2025</v>
      </c>
      <c r="J16" s="256">
        <f>$C16*IF(LEFT(J$5,6)="Winter",Profiles!$AB$29,Profiles!$AB$28)*J$10</f>
        <v>5177.2013202827247</v>
      </c>
      <c r="K16" s="256">
        <f>$C16*IF(LEFT(K$5,6)="Winter",Profiles!$AB$29,Profiles!$AB$28)*K$10</f>
        <v>10206.639824747239</v>
      </c>
      <c r="L16" s="257">
        <f t="shared" si="2"/>
        <v>2.1888511383041385</v>
      </c>
      <c r="M16" s="258">
        <f t="shared" si="3"/>
        <v>10.591887974142752</v>
      </c>
      <c r="N16" s="256">
        <f>$C16*IF(LEFT(N$5,6)="Winter",Profiles!$AB$29,Profiles!$AB$28)*N$10</f>
        <v>879.24809682198145</v>
      </c>
      <c r="O16" s="256">
        <f>$C16*IF(LEFT(O$5,6)="Winter",Profiles!$AB$29,Profiles!$AB$28)*O$10</f>
        <v>1733.4015205664004</v>
      </c>
      <c r="P16" s="257">
        <f t="shared" si="4"/>
        <v>0.70694832759122828</v>
      </c>
      <c r="Q16" s="258">
        <f t="shared" si="5"/>
        <v>1.8500706776397149</v>
      </c>
      <c r="S16" s="235">
        <f t="shared" si="10"/>
        <v>2025</v>
      </c>
      <c r="T16" s="256">
        <f>$C16*IF(LEFT(T$5,6)="Winter",Profiles!$AB$29,Profiles!$AB$28)*T$10</f>
        <v>879.24809682198145</v>
      </c>
      <c r="U16" s="256">
        <f>$C16*IF(LEFT(U$5,6)="Winter",Profiles!$AB$29,Profiles!$AB$28)*U$10</f>
        <v>1733.4015205664004</v>
      </c>
      <c r="V16" s="257">
        <f t="shared" si="6"/>
        <v>0.82747072302473579</v>
      </c>
      <c r="W16" s="258">
        <f t="shared" si="7"/>
        <v>1.5648590790441381</v>
      </c>
    </row>
    <row r="17" spans="2:23" ht="13.5" thickBot="1">
      <c r="B17" s="235">
        <f t="shared" si="8"/>
        <v>2026</v>
      </c>
      <c r="C17" s="259">
        <f>INDEX('Exhibit 3 - Levelized Capacity'!$F$9:$F$29,MATCH($B17,'Exhibit 3 - Levelized Capacity'!$B$9:$B$29,0),1)</f>
        <v>133767.66041028517</v>
      </c>
      <c r="D17" s="256">
        <f>$C17*IF(LEFT(D$5,6)="Winter",Profiles!$AB$29,Profiles!$AB$28)*D$10</f>
        <v>45017.502557285457</v>
      </c>
      <c r="E17" s="256">
        <f>$C17*IF(LEFT(E$5,6)="Winter",Profiles!$AB$29,Profiles!$AB$28)*E$10</f>
        <v>88750.15785299972</v>
      </c>
      <c r="F17" s="257">
        <f t="shared" si="0"/>
        <v>7.7111172588704102</v>
      </c>
      <c r="G17" s="258">
        <f t="shared" si="1"/>
        <v>30.310846261270395</v>
      </c>
      <c r="I17" s="235">
        <f t="shared" si="9"/>
        <v>2026</v>
      </c>
      <c r="J17" s="256">
        <f>$C17*IF(LEFT(J$5,6)="Winter",Profiles!$AB$29,Profiles!$AB$28)*J$10</f>
        <v>5301.4541519695113</v>
      </c>
      <c r="K17" s="256">
        <f>$C17*IF(LEFT(K$5,6)="Winter",Profiles!$AB$29,Profiles!$AB$28)*K$10</f>
        <v>10451.599180541174</v>
      </c>
      <c r="L17" s="257">
        <f t="shared" si="2"/>
        <v>2.2413835656234387</v>
      </c>
      <c r="M17" s="258">
        <f t="shared" si="3"/>
        <v>10.84609328552218</v>
      </c>
      <c r="N17" s="256">
        <f>$C17*IF(LEFT(N$5,6)="Winter",Profiles!$AB$29,Profiles!$AB$28)*N$10</f>
        <v>900.35005114570913</v>
      </c>
      <c r="O17" s="256">
        <f>$C17*IF(LEFT(O$5,6)="Winter",Profiles!$AB$29,Profiles!$AB$28)*O$10</f>
        <v>1775.0031570599945</v>
      </c>
      <c r="P17" s="257">
        <f t="shared" si="4"/>
        <v>0.72391508745341793</v>
      </c>
      <c r="Q17" s="258">
        <f t="shared" si="5"/>
        <v>1.8944723739030684</v>
      </c>
      <c r="S17" s="235">
        <f t="shared" si="10"/>
        <v>2026</v>
      </c>
      <c r="T17" s="256">
        <f>$C17*IF(LEFT(T$5,6)="Winter",Profiles!$AB$29,Profiles!$AB$28)*T$10</f>
        <v>900.35005114570913</v>
      </c>
      <c r="U17" s="256">
        <f>$C17*IF(LEFT(U$5,6)="Winter",Profiles!$AB$29,Profiles!$AB$28)*U$10</f>
        <v>1775.0031570599945</v>
      </c>
      <c r="V17" s="257">
        <f t="shared" si="6"/>
        <v>0.84733002037732952</v>
      </c>
      <c r="W17" s="258">
        <f t="shared" si="7"/>
        <v>1.6024156969411978</v>
      </c>
    </row>
    <row r="18" spans="2:23" ht="13.5" thickBot="1">
      <c r="B18" s="235">
        <f t="shared" si="8"/>
        <v>2027</v>
      </c>
      <c r="C18" s="259">
        <f>INDEX('Exhibit 3 - Levelized Capacity'!$F$9:$F$29,MATCH($B18,'Exhibit 3 - Levelized Capacity'!$B$9:$B$29,0),1)</f>
        <v>137111.85192054228</v>
      </c>
      <c r="D18" s="256">
        <f>$C18*IF(LEFT(D$5,6)="Winter",Profiles!$AB$29,Profiles!$AB$28)*D$10</f>
        <v>46142.940121217587</v>
      </c>
      <c r="E18" s="256">
        <f>$C18*IF(LEFT(E$5,6)="Winter",Profiles!$AB$29,Profiles!$AB$28)*E$10</f>
        <v>90968.911799324691</v>
      </c>
      <c r="F18" s="257">
        <f t="shared" si="0"/>
        <v>7.9038951903421699</v>
      </c>
      <c r="G18" s="258">
        <f t="shared" si="1"/>
        <v>31.068617417802148</v>
      </c>
      <c r="I18" s="235">
        <f t="shared" si="9"/>
        <v>2027</v>
      </c>
      <c r="J18" s="256">
        <f>$C18*IF(LEFT(J$5,6)="Winter",Profiles!$AB$29,Profiles!$AB$28)*J$10</f>
        <v>5433.9905057687483</v>
      </c>
      <c r="K18" s="256">
        <f>$C18*IF(LEFT(K$5,6)="Winter",Profiles!$AB$29,Profiles!$AB$28)*K$10</f>
        <v>10712.889160054701</v>
      </c>
      <c r="L18" s="257">
        <f t="shared" si="2"/>
        <v>2.2974181547640242</v>
      </c>
      <c r="M18" s="258">
        <f t="shared" si="3"/>
        <v>11.117245617660233</v>
      </c>
      <c r="N18" s="256">
        <f>$C18*IF(LEFT(N$5,6)="Winter",Profiles!$AB$29,Profiles!$AB$28)*N$10</f>
        <v>922.85880242435178</v>
      </c>
      <c r="O18" s="256">
        <f>$C18*IF(LEFT(O$5,6)="Winter",Profiles!$AB$29,Profiles!$AB$28)*O$10</f>
        <v>1819.3782359864938</v>
      </c>
      <c r="P18" s="257">
        <f t="shared" si="4"/>
        <v>0.7420129646397533</v>
      </c>
      <c r="Q18" s="258">
        <f t="shared" si="5"/>
        <v>1.9418341832506447</v>
      </c>
      <c r="S18" s="235">
        <f t="shared" si="10"/>
        <v>2027</v>
      </c>
      <c r="T18" s="256">
        <f>$C18*IF(LEFT(T$5,6)="Winter",Profiles!$AB$29,Profiles!$AB$28)*T$10</f>
        <v>922.85880242435178</v>
      </c>
      <c r="U18" s="256">
        <f>$C18*IF(LEFT(U$5,6)="Winter",Profiles!$AB$29,Profiles!$AB$28)*U$10</f>
        <v>1819.3782359864938</v>
      </c>
      <c r="V18" s="257">
        <f t="shared" si="6"/>
        <v>0.86851327088676267</v>
      </c>
      <c r="W18" s="258">
        <f t="shared" si="7"/>
        <v>1.6424760893647272</v>
      </c>
    </row>
    <row r="19" spans="2:23" ht="13.5" thickBot="1">
      <c r="B19" s="235">
        <f t="shared" si="8"/>
        <v>2028</v>
      </c>
      <c r="C19" s="259">
        <f>INDEX('Exhibit 3 - Levelized Capacity'!$F$9:$F$29,MATCH($B19,'Exhibit 3 - Levelized Capacity'!$B$9:$B$29,0),1)</f>
        <v>140539.64821855581</v>
      </c>
      <c r="D19" s="256">
        <f>$C19*IF(LEFT(D$5,6)="Winter",Profiles!$AB$29,Profiles!$AB$28)*D$10</f>
        <v>47296.513624248015</v>
      </c>
      <c r="E19" s="256">
        <f>$C19*IF(LEFT(E$5,6)="Winter",Profiles!$AB$29,Profiles!$AB$28)*E$10</f>
        <v>93243.13459430779</v>
      </c>
      <c r="F19" s="257">
        <f t="shared" si="0"/>
        <v>8.1014925701007225</v>
      </c>
      <c r="G19" s="258">
        <f t="shared" si="1"/>
        <v>31.845332853247196</v>
      </c>
      <c r="I19" s="235">
        <f t="shared" si="9"/>
        <v>2028</v>
      </c>
      <c r="J19" s="256">
        <f>$C19*IF(LEFT(J$5,6)="Winter",Profiles!$AB$29,Profiles!$AB$28)*J$10</f>
        <v>5569.840268412966</v>
      </c>
      <c r="K19" s="256">
        <f>$C19*IF(LEFT(K$5,6)="Winter",Profiles!$AB$29,Profiles!$AB$28)*K$10</f>
        <v>10980.711389056067</v>
      </c>
      <c r="L19" s="257">
        <f t="shared" si="2"/>
        <v>2.3548536086331242</v>
      </c>
      <c r="M19" s="258">
        <f t="shared" si="3"/>
        <v>11.395176758101735</v>
      </c>
      <c r="N19" s="256">
        <f>$C19*IF(LEFT(N$5,6)="Winter",Profiles!$AB$29,Profiles!$AB$28)*N$10</f>
        <v>945.93027248496037</v>
      </c>
      <c r="O19" s="256">
        <f>$C19*IF(LEFT(O$5,6)="Winter",Profiles!$AB$29,Profiles!$AB$28)*O$10</f>
        <v>1864.8626918861557</v>
      </c>
      <c r="P19" s="257">
        <f t="shared" si="4"/>
        <v>0.76056328875574697</v>
      </c>
      <c r="Q19" s="258">
        <f t="shared" si="5"/>
        <v>1.9903800378319103</v>
      </c>
      <c r="S19" s="235">
        <f t="shared" si="10"/>
        <v>2028</v>
      </c>
      <c r="T19" s="256">
        <f>$C19*IF(LEFT(T$5,6)="Winter",Profiles!$AB$29,Profiles!$AB$28)*T$10</f>
        <v>945.93027248496037</v>
      </c>
      <c r="U19" s="256">
        <f>$C19*IF(LEFT(U$5,6)="Winter",Profiles!$AB$29,Profiles!$AB$28)*U$10</f>
        <v>1864.8626918861557</v>
      </c>
      <c r="V19" s="257">
        <f t="shared" si="6"/>
        <v>0.89022610265893154</v>
      </c>
      <c r="W19" s="258">
        <f t="shared" si="7"/>
        <v>1.6835379915988451</v>
      </c>
    </row>
    <row r="20" spans="2:23" ht="13.5" thickBot="1">
      <c r="B20" s="235">
        <f t="shared" si="8"/>
        <v>2029</v>
      </c>
      <c r="C20" s="259">
        <f>INDEX('Exhibit 3 - Levelized Capacity'!$F$9:$F$29,MATCH($B20,'Exhibit 3 - Levelized Capacity'!$B$9:$B$29,0),1)</f>
        <v>143912.59977580115</v>
      </c>
      <c r="D20" s="256">
        <f>$C20*IF(LEFT(D$5,6)="Winter",Profiles!$AB$29,Profiles!$AB$28)*D$10</f>
        <v>48431.629951229967</v>
      </c>
      <c r="E20" s="256">
        <f>$C20*IF(LEFT(E$5,6)="Winter",Profiles!$AB$29,Profiles!$AB$28)*E$10</f>
        <v>95480.969824571177</v>
      </c>
      <c r="F20" s="257">
        <f t="shared" si="0"/>
        <v>8.2959283917831392</v>
      </c>
      <c r="G20" s="258">
        <f t="shared" si="1"/>
        <v>32.609620841725132</v>
      </c>
      <c r="I20" s="235">
        <f t="shared" si="9"/>
        <v>2029</v>
      </c>
      <c r="J20" s="256">
        <f>$C20*IF(LEFT(J$5,6)="Winter",Profiles!$AB$29,Profiles!$AB$28)*J$10</f>
        <v>5703.5164348548769</v>
      </c>
      <c r="K20" s="256">
        <f>$C20*IF(LEFT(K$5,6)="Winter",Profiles!$AB$29,Profiles!$AB$28)*K$10</f>
        <v>11244.248462393412</v>
      </c>
      <c r="L20" s="257">
        <f t="shared" si="2"/>
        <v>2.411370095240319</v>
      </c>
      <c r="M20" s="258">
        <f t="shared" si="3"/>
        <v>11.668661000296177</v>
      </c>
      <c r="N20" s="256">
        <f>$C20*IF(LEFT(N$5,6)="Winter",Profiles!$AB$29,Profiles!$AB$28)*N$10</f>
        <v>968.63259902459936</v>
      </c>
      <c r="O20" s="256">
        <f>$C20*IF(LEFT(O$5,6)="Winter",Profiles!$AB$29,Profiles!$AB$28)*O$10</f>
        <v>1909.6193964914237</v>
      </c>
      <c r="P20" s="257">
        <f t="shared" si="4"/>
        <v>0.77881680768588479</v>
      </c>
      <c r="Q20" s="258">
        <f t="shared" si="5"/>
        <v>2.0381491587398766</v>
      </c>
      <c r="S20" s="235">
        <f t="shared" si="10"/>
        <v>2029</v>
      </c>
      <c r="T20" s="256">
        <f>$C20*IF(LEFT(T$5,6)="Winter",Profiles!$AB$29,Profiles!$AB$28)*T$10</f>
        <v>968.63259902459936</v>
      </c>
      <c r="U20" s="256">
        <f>$C20*IF(LEFT(U$5,6)="Winter",Profiles!$AB$29,Profiles!$AB$28)*U$10</f>
        <v>1909.6193964914237</v>
      </c>
      <c r="V20" s="257">
        <f t="shared" si="6"/>
        <v>0.91159152912274588</v>
      </c>
      <c r="W20" s="258">
        <f t="shared" si="7"/>
        <v>1.7239429033972176</v>
      </c>
    </row>
    <row r="21" spans="2:23" ht="13.5" thickBot="1">
      <c r="B21" s="235">
        <f t="shared" si="8"/>
        <v>2030</v>
      </c>
      <c r="C21" s="259">
        <f>INDEX('Exhibit 3 - Levelized Capacity'!$F$9:$F$29,MATCH($B21,'Exhibit 3 - Levelized Capacity'!$B$9:$B$29,0),1)</f>
        <v>147222.58957064457</v>
      </c>
      <c r="D21" s="256">
        <f>$C21*IF(LEFT(D$5,6)="Winter",Profiles!$AB$29,Profiles!$AB$28)*D$10</f>
        <v>49545.557440108256</v>
      </c>
      <c r="E21" s="256">
        <f>$C21*IF(LEFT(E$5,6)="Winter",Profiles!$AB$29,Profiles!$AB$28)*E$10</f>
        <v>97677.032130536318</v>
      </c>
      <c r="F21" s="257">
        <f t="shared" si="0"/>
        <v>8.4867347447941519</v>
      </c>
      <c r="G21" s="258">
        <f t="shared" si="1"/>
        <v>33.359642121084811</v>
      </c>
      <c r="I21" s="235">
        <f t="shared" si="9"/>
        <v>2030</v>
      </c>
      <c r="J21" s="256">
        <f>$C21*IF(LEFT(J$5,6)="Winter",Profiles!$AB$29,Profiles!$AB$28)*J$10</f>
        <v>5834.6973128565387</v>
      </c>
      <c r="K21" s="256">
        <f>$C21*IF(LEFT(K$5,6)="Winter",Profiles!$AB$29,Profiles!$AB$28)*K$10</f>
        <v>11502.86617702846</v>
      </c>
      <c r="L21" s="257">
        <f t="shared" si="2"/>
        <v>2.4668316074308465</v>
      </c>
      <c r="M21" s="258">
        <f t="shared" si="3"/>
        <v>11.937040203302988</v>
      </c>
      <c r="N21" s="256">
        <f>$C21*IF(LEFT(N$5,6)="Winter",Profiles!$AB$29,Profiles!$AB$28)*N$10</f>
        <v>990.91114880216514</v>
      </c>
      <c r="O21" s="256">
        <f>$C21*IF(LEFT(O$5,6)="Winter",Profiles!$AB$29,Profiles!$AB$28)*O$10</f>
        <v>1953.5406426107263</v>
      </c>
      <c r="P21" s="257">
        <f t="shared" si="4"/>
        <v>0.79672959426266021</v>
      </c>
      <c r="Q21" s="258">
        <f t="shared" si="5"/>
        <v>2.0850265893908935</v>
      </c>
      <c r="S21" s="235">
        <f t="shared" si="10"/>
        <v>2030</v>
      </c>
      <c r="T21" s="256">
        <f>$C21*IF(LEFT(T$5,6)="Winter",Profiles!$AB$29,Profiles!$AB$28)*T$10</f>
        <v>990.91114880216514</v>
      </c>
      <c r="U21" s="256">
        <f>$C21*IF(LEFT(U$5,6)="Winter",Profiles!$AB$29,Profiles!$AB$28)*U$10</f>
        <v>1953.5406426107263</v>
      </c>
      <c r="V21" s="257">
        <f t="shared" si="6"/>
        <v>0.93255813429256906</v>
      </c>
      <c r="W21" s="258">
        <f t="shared" si="7"/>
        <v>1.7635935901753534</v>
      </c>
    </row>
    <row r="22" spans="2:23" ht="13.5" thickBot="1">
      <c r="B22" s="235">
        <f t="shared" si="8"/>
        <v>2031</v>
      </c>
      <c r="C22" s="259">
        <f>INDEX('Exhibit 3 - Levelized Capacity'!$F$9:$F$29,MATCH($B22,'Exhibit 3 - Levelized Capacity'!$B$9:$B$29,0),1)</f>
        <v>150608.70913076939</v>
      </c>
      <c r="D22" s="256">
        <f>$C22*IF(LEFT(D$5,6)="Winter",Profiles!$AB$29,Profiles!$AB$28)*D$10</f>
        <v>50685.105261230747</v>
      </c>
      <c r="E22" s="256">
        <f>$C22*IF(LEFT(E$5,6)="Winter",Profiles!$AB$29,Profiles!$AB$28)*E$10</f>
        <v>99923.603869538652</v>
      </c>
      <c r="F22" s="257">
        <f t="shared" si="0"/>
        <v>8.6819296439244162</v>
      </c>
      <c r="G22" s="258">
        <f t="shared" si="1"/>
        <v>34.126913889869755</v>
      </c>
      <c r="I22" s="235">
        <f t="shared" si="9"/>
        <v>2031</v>
      </c>
      <c r="J22" s="256">
        <f>$C22*IF(LEFT(J$5,6)="Winter",Profiles!$AB$29,Profiles!$AB$28)*J$10</f>
        <v>5968.8953510522397</v>
      </c>
      <c r="K22" s="256">
        <f>$C22*IF(LEFT(K$5,6)="Winter",Profiles!$AB$29,Profiles!$AB$28)*K$10</f>
        <v>11767.432099100115</v>
      </c>
      <c r="L22" s="257">
        <f t="shared" si="2"/>
        <v>2.5235687344017559</v>
      </c>
      <c r="M22" s="258">
        <f t="shared" si="3"/>
        <v>12.211592127978959</v>
      </c>
      <c r="N22" s="256">
        <f>$C22*IF(LEFT(N$5,6)="Winter",Profiles!$AB$29,Profiles!$AB$28)*N$10</f>
        <v>1013.7021052246149</v>
      </c>
      <c r="O22" s="256">
        <f>$C22*IF(LEFT(O$5,6)="Winter",Profiles!$AB$29,Profiles!$AB$28)*O$10</f>
        <v>1998.4720773907732</v>
      </c>
      <c r="P22" s="257">
        <f t="shared" si="4"/>
        <v>0.81505437493070132</v>
      </c>
      <c r="Q22" s="258">
        <f t="shared" si="5"/>
        <v>2.1329822009468842</v>
      </c>
      <c r="S22" s="235">
        <f t="shared" si="10"/>
        <v>2031</v>
      </c>
      <c r="T22" s="256">
        <f>$C22*IF(LEFT(T$5,6)="Winter",Profiles!$AB$29,Profiles!$AB$28)*T$10</f>
        <v>1013.7021052246149</v>
      </c>
      <c r="U22" s="256">
        <f>$C22*IF(LEFT(U$5,6)="Winter",Profiles!$AB$29,Profiles!$AB$28)*U$10</f>
        <v>1998.4720773907732</v>
      </c>
      <c r="V22" s="257">
        <f t="shared" si="6"/>
        <v>0.95400697138129809</v>
      </c>
      <c r="W22" s="258">
        <f t="shared" si="7"/>
        <v>1.8041562427493867</v>
      </c>
    </row>
    <row r="23" spans="2:23" ht="13.5" thickBot="1">
      <c r="B23" s="235">
        <f t="shared" si="8"/>
        <v>2032</v>
      </c>
      <c r="C23" s="259">
        <f>INDEX('Exhibit 3 - Levelized Capacity'!$F$9:$F$29,MATCH($B23,'Exhibit 3 - Levelized Capacity'!$B$9:$B$29,0),1)</f>
        <v>154072.70944077708</v>
      </c>
      <c r="D23" s="256">
        <f>$C23*IF(LEFT(D$5,6)="Winter",Profiles!$AB$29,Profiles!$AB$28)*D$10</f>
        <v>51850.862682239051</v>
      </c>
      <c r="E23" s="256">
        <f>$C23*IF(LEFT(E$5,6)="Winter",Profiles!$AB$29,Profiles!$AB$28)*E$10</f>
        <v>102221.84675853803</v>
      </c>
      <c r="F23" s="257">
        <f t="shared" si="0"/>
        <v>8.8816140257346774</v>
      </c>
      <c r="G23" s="258">
        <f t="shared" si="1"/>
        <v>34.911832909336759</v>
      </c>
      <c r="I23" s="235">
        <f t="shared" si="9"/>
        <v>2032</v>
      </c>
      <c r="J23" s="256">
        <f>$C23*IF(LEFT(J$5,6)="Winter",Profiles!$AB$29,Profiles!$AB$28)*J$10</f>
        <v>6106.1799441264402</v>
      </c>
      <c r="K23" s="256">
        <f>$C23*IF(LEFT(K$5,6)="Winter",Profiles!$AB$29,Profiles!$AB$28)*K$10</f>
        <v>12038.083037379416</v>
      </c>
      <c r="L23" s="257">
        <f t="shared" si="2"/>
        <v>2.5816108152929962</v>
      </c>
      <c r="M23" s="258">
        <f t="shared" si="3"/>
        <v>12.492458746922473</v>
      </c>
      <c r="N23" s="256">
        <f>$C23*IF(LEFT(N$5,6)="Winter",Profiles!$AB$29,Profiles!$AB$28)*N$10</f>
        <v>1037.017253644781</v>
      </c>
      <c r="O23" s="256">
        <f>$C23*IF(LEFT(O$5,6)="Winter",Profiles!$AB$29,Profiles!$AB$28)*O$10</f>
        <v>2044.4369351707605</v>
      </c>
      <c r="P23" s="257">
        <f t="shared" si="4"/>
        <v>0.8338006255541075</v>
      </c>
      <c r="Q23" s="258">
        <f t="shared" si="5"/>
        <v>2.1820407915686619</v>
      </c>
      <c r="S23" s="235">
        <f t="shared" si="10"/>
        <v>2032</v>
      </c>
      <c r="T23" s="256">
        <f>$C23*IF(LEFT(T$5,6)="Winter",Profiles!$AB$29,Profiles!$AB$28)*T$10</f>
        <v>1037.017253644781</v>
      </c>
      <c r="U23" s="256">
        <f>$C23*IF(LEFT(U$5,6)="Winter",Profiles!$AB$29,Profiles!$AB$28)*U$10</f>
        <v>2044.4369351707605</v>
      </c>
      <c r="V23" s="257">
        <f t="shared" si="6"/>
        <v>0.97594913172306796</v>
      </c>
      <c r="W23" s="258">
        <f t="shared" si="7"/>
        <v>1.8456518363326222</v>
      </c>
    </row>
    <row r="24" spans="2:23" ht="13.5" thickBot="1">
      <c r="B24" s="235">
        <f t="shared" si="8"/>
        <v>2033</v>
      </c>
      <c r="C24" s="259">
        <f>INDEX('Exhibit 3 - Levelized Capacity'!$F$9:$F$29,MATCH($B24,'Exhibit 3 - Levelized Capacity'!$B$9:$B$29,0),1)</f>
        <v>157616.38175791493</v>
      </c>
      <c r="D24" s="256">
        <f>$C24*IF(LEFT(D$5,6)="Winter",Profiles!$AB$29,Profiles!$AB$28)*D$10</f>
        <v>53043.43252393054</v>
      </c>
      <c r="E24" s="256">
        <f>$C24*IF(LEFT(E$5,6)="Winter",Profiles!$AB$29,Profiles!$AB$28)*E$10</f>
        <v>104572.94923398439</v>
      </c>
      <c r="F24" s="257">
        <f t="shared" si="0"/>
        <v>9.0858911483265743</v>
      </c>
      <c r="G24" s="258">
        <f t="shared" si="1"/>
        <v>35.7148050662515</v>
      </c>
      <c r="I24" s="235">
        <f t="shared" si="9"/>
        <v>2033</v>
      </c>
      <c r="J24" s="256">
        <f>$C24*IF(LEFT(J$5,6)="Winter",Profiles!$AB$29,Profiles!$AB$28)*J$10</f>
        <v>6246.6220828413479</v>
      </c>
      <c r="K24" s="256">
        <f>$C24*IF(LEFT(K$5,6)="Winter",Profiles!$AB$29,Profiles!$AB$28)*K$10</f>
        <v>12314.958947239142</v>
      </c>
      <c r="L24" s="257">
        <f t="shared" si="2"/>
        <v>2.6409878640447348</v>
      </c>
      <c r="M24" s="258">
        <f t="shared" si="3"/>
        <v>12.779785298101688</v>
      </c>
      <c r="N24" s="256">
        <f>$C24*IF(LEFT(N$5,6)="Winter",Profiles!$AB$29,Profiles!$AB$28)*N$10</f>
        <v>1060.8686504786108</v>
      </c>
      <c r="O24" s="256">
        <f>$C24*IF(LEFT(O$5,6)="Winter",Profiles!$AB$29,Profiles!$AB$28)*O$10</f>
        <v>2091.4589846796875</v>
      </c>
      <c r="P24" s="257">
        <f t="shared" si="4"/>
        <v>0.85297803994185173</v>
      </c>
      <c r="Q24" s="258">
        <f t="shared" si="5"/>
        <v>2.2322277297747406</v>
      </c>
      <c r="S24" s="235">
        <f t="shared" si="10"/>
        <v>2033</v>
      </c>
      <c r="T24" s="256">
        <f>$C24*IF(LEFT(T$5,6)="Winter",Profiles!$AB$29,Profiles!$AB$28)*T$10</f>
        <v>1060.8686504786108</v>
      </c>
      <c r="U24" s="256">
        <f>$C24*IF(LEFT(U$5,6)="Winter",Profiles!$AB$29,Profiles!$AB$28)*U$10</f>
        <v>2091.4589846796875</v>
      </c>
      <c r="V24" s="257">
        <f t="shared" si="6"/>
        <v>0.99839596175269829</v>
      </c>
      <c r="W24" s="258">
        <f t="shared" si="7"/>
        <v>1.888101828568272</v>
      </c>
    </row>
    <row r="25" spans="2:23" ht="13.5" thickBot="1">
      <c r="B25" s="235">
        <f t="shared" si="8"/>
        <v>2034</v>
      </c>
      <c r="C25" s="259">
        <f>INDEX('Exhibit 3 - Levelized Capacity'!$F$9:$F$29,MATCH($B25,'Exhibit 3 - Levelized Capacity'!$B$9:$B$29,0),1)</f>
        <v>161241.55853834696</v>
      </c>
      <c r="D25" s="256">
        <f>$C25*IF(LEFT(D$5,6)="Winter",Profiles!$AB$29,Profiles!$AB$28)*D$10</f>
        <v>54263.431471980941</v>
      </c>
      <c r="E25" s="256">
        <f>$C25*IF(LEFT(E$5,6)="Winter",Profiles!$AB$29,Profiles!$AB$28)*E$10</f>
        <v>106978.12706636603</v>
      </c>
      <c r="F25" s="257">
        <f t="shared" si="0"/>
        <v>9.2948666447380859</v>
      </c>
      <c r="G25" s="258">
        <f t="shared" si="1"/>
        <v>36.53624558277528</v>
      </c>
      <c r="I25" s="235">
        <f t="shared" si="9"/>
        <v>2034</v>
      </c>
      <c r="J25" s="256">
        <f>$C25*IF(LEFT(J$5,6)="Winter",Profiles!$AB$29,Profiles!$AB$28)*J$10</f>
        <v>6390.2943907466988</v>
      </c>
      <c r="K25" s="256">
        <f>$C25*IF(LEFT(K$5,6)="Winter",Profiles!$AB$29,Profiles!$AB$28)*K$10</f>
        <v>12598.203003025641</v>
      </c>
      <c r="L25" s="257">
        <f t="shared" si="2"/>
        <v>2.7017305849177635</v>
      </c>
      <c r="M25" s="258">
        <f t="shared" si="3"/>
        <v>13.073720359958026</v>
      </c>
      <c r="N25" s="256">
        <f>$C25*IF(LEFT(N$5,6)="Winter",Profiles!$AB$29,Profiles!$AB$28)*N$10</f>
        <v>1085.2686294396187</v>
      </c>
      <c r="O25" s="256">
        <f>$C25*IF(LEFT(O$5,6)="Winter",Profiles!$AB$29,Profiles!$AB$28)*O$10</f>
        <v>2139.5625413273206</v>
      </c>
      <c r="P25" s="257">
        <f t="shared" si="4"/>
        <v>0.87259653486051425</v>
      </c>
      <c r="Q25" s="258">
        <f t="shared" si="5"/>
        <v>2.2835689675595598</v>
      </c>
      <c r="S25" s="235">
        <f t="shared" si="10"/>
        <v>2034</v>
      </c>
      <c r="T25" s="256">
        <f>$C25*IF(LEFT(T$5,6)="Winter",Profiles!$AB$29,Profiles!$AB$28)*T$10</f>
        <v>1085.2686294396187</v>
      </c>
      <c r="U25" s="256">
        <f>$C25*IF(LEFT(U$5,6)="Winter",Profiles!$AB$29,Profiles!$AB$28)*U$10</f>
        <v>2139.5625413273206</v>
      </c>
      <c r="V25" s="257">
        <f t="shared" si="6"/>
        <v>1.0213590688730103</v>
      </c>
      <c r="W25" s="258">
        <f t="shared" si="7"/>
        <v>1.9315281706253424</v>
      </c>
    </row>
    <row r="26" spans="2:23" ht="13.5" thickBot="1">
      <c r="B26" s="235">
        <f t="shared" si="8"/>
        <v>2035</v>
      </c>
      <c r="C26" s="259">
        <f>INDEX('Exhibit 3 - Levelized Capacity'!$F$9:$F$29,MATCH($B26,'Exhibit 3 - Levelized Capacity'!$B$9:$B$29,0),1)</f>
        <v>164950.11438472892</v>
      </c>
      <c r="D26" s="256">
        <f>$C26*IF(LEFT(D$5,6)="Winter",Profiles!$AB$29,Profiles!$AB$28)*D$10</f>
        <v>55511.490395836496</v>
      </c>
      <c r="E26" s="256">
        <f>$C26*IF(LEFT(E$5,6)="Winter",Profiles!$AB$29,Profiles!$AB$28)*E$10</f>
        <v>109438.62398889243</v>
      </c>
      <c r="F26" s="257">
        <f t="shared" si="0"/>
        <v>9.5086485775670599</v>
      </c>
      <c r="G26" s="258">
        <f t="shared" si="1"/>
        <v>37.376579231179107</v>
      </c>
      <c r="I26" s="235">
        <f t="shared" si="9"/>
        <v>2035</v>
      </c>
      <c r="J26" s="256">
        <f>$C26*IF(LEFT(J$5,6)="Winter",Profiles!$AB$29,Profiles!$AB$28)*J$10</f>
        <v>6537.2711617338718</v>
      </c>
      <c r="K26" s="256">
        <f>$C26*IF(LEFT(K$5,6)="Winter",Profiles!$AB$29,Profiles!$AB$28)*K$10</f>
        <v>12887.961672095229</v>
      </c>
      <c r="L26" s="257">
        <f t="shared" si="2"/>
        <v>2.7638703883708717</v>
      </c>
      <c r="M26" s="258">
        <f t="shared" si="3"/>
        <v>13.37441592823706</v>
      </c>
      <c r="N26" s="256">
        <f>$C26*IF(LEFT(N$5,6)="Winter",Profiles!$AB$29,Profiles!$AB$28)*N$10</f>
        <v>1110.2298079167299</v>
      </c>
      <c r="O26" s="256">
        <f>$C26*IF(LEFT(O$5,6)="Winter",Profiles!$AB$29,Profiles!$AB$28)*O$10</f>
        <v>2188.7724797778487</v>
      </c>
      <c r="P26" s="257">
        <f t="shared" si="4"/>
        <v>0.89266625516230602</v>
      </c>
      <c r="Q26" s="258">
        <f t="shared" si="5"/>
        <v>2.3360910538134299</v>
      </c>
      <c r="S26" s="235">
        <f t="shared" si="10"/>
        <v>2035</v>
      </c>
      <c r="T26" s="256">
        <f>$C26*IF(LEFT(T$5,6)="Winter",Profiles!$AB$29,Profiles!$AB$28)*T$10</f>
        <v>1110.2298079167299</v>
      </c>
      <c r="U26" s="256">
        <f>$C26*IF(LEFT(U$5,6)="Winter",Profiles!$AB$29,Profiles!$AB$28)*U$10</f>
        <v>2188.7724797778487</v>
      </c>
      <c r="V26" s="257">
        <f t="shared" si="6"/>
        <v>1.0448503274570895</v>
      </c>
      <c r="W26" s="258">
        <f t="shared" si="7"/>
        <v>1.9759533185497251</v>
      </c>
    </row>
    <row r="27" spans="2:23" ht="13.5" thickBot="1">
      <c r="B27" s="235">
        <f t="shared" si="8"/>
        <v>2036</v>
      </c>
      <c r="C27" s="259">
        <f>INDEX('Exhibit 3 - Levelized Capacity'!$F$9:$F$29,MATCH($B27,'Exhibit 3 - Levelized Capacity'!$B$9:$B$29,0),1)</f>
        <v>168743.96701557768</v>
      </c>
      <c r="D27" s="256">
        <f>$C27*IF(LEFT(D$5,6)="Winter",Profiles!$AB$29,Profiles!$AB$28)*D$10</f>
        <v>56788.254674940734</v>
      </c>
      <c r="E27" s="256">
        <f>$C27*IF(LEFT(E$5,6)="Winter",Profiles!$AB$29,Profiles!$AB$28)*E$10</f>
        <v>111955.71234063695</v>
      </c>
      <c r="F27" s="257">
        <f t="shared" si="0"/>
        <v>9.7273474948511023</v>
      </c>
      <c r="G27" s="258">
        <f t="shared" si="1"/>
        <v>38.236240553496224</v>
      </c>
      <c r="I27" s="235">
        <f t="shared" si="9"/>
        <v>2036</v>
      </c>
      <c r="J27" s="256">
        <f>$C27*IF(LEFT(J$5,6)="Winter",Profiles!$AB$29,Profiles!$AB$28)*J$10</f>
        <v>6687.6283984537504</v>
      </c>
      <c r="K27" s="256">
        <f>$C27*IF(LEFT(K$5,6)="Winter",Profiles!$AB$29,Profiles!$AB$28)*K$10</f>
        <v>13184.384790553418</v>
      </c>
      <c r="L27" s="257">
        <f t="shared" si="2"/>
        <v>2.8274394073034017</v>
      </c>
      <c r="M27" s="258">
        <f t="shared" si="3"/>
        <v>13.68202749458651</v>
      </c>
      <c r="N27" s="256">
        <f>$C27*IF(LEFT(N$5,6)="Winter",Profiles!$AB$29,Profiles!$AB$28)*N$10</f>
        <v>1135.7650934988146</v>
      </c>
      <c r="O27" s="256">
        <f>$C27*IF(LEFT(O$5,6)="Winter",Profiles!$AB$29,Profiles!$AB$28)*O$10</f>
        <v>2239.1142468127391</v>
      </c>
      <c r="P27" s="257">
        <f t="shared" si="4"/>
        <v>0.91319757903103904</v>
      </c>
      <c r="Q27" s="258">
        <f t="shared" si="5"/>
        <v>2.3898211480511384</v>
      </c>
      <c r="S27" s="235">
        <f t="shared" si="10"/>
        <v>2036</v>
      </c>
      <c r="T27" s="256">
        <f>$C27*IF(LEFT(T$5,6)="Winter",Profiles!$AB$29,Profiles!$AB$28)*T$10</f>
        <v>1135.7650934988146</v>
      </c>
      <c r="U27" s="256">
        <f>$C27*IF(LEFT(U$5,6)="Winter",Profiles!$AB$29,Profiles!$AB$28)*U$10</f>
        <v>2239.1142468127391</v>
      </c>
      <c r="V27" s="257">
        <f t="shared" si="6"/>
        <v>1.0688818849886024</v>
      </c>
      <c r="W27" s="258">
        <f t="shared" si="7"/>
        <v>2.0214002448763688</v>
      </c>
    </row>
    <row r="28" spans="2:23" ht="13.5" thickBot="1">
      <c r="B28" s="235">
        <f t="shared" si="8"/>
        <v>2037</v>
      </c>
      <c r="C28" s="259">
        <f>INDEX('Exhibit 3 - Levelized Capacity'!$F$9:$F$29,MATCH($B28,'Exhibit 3 - Levelized Capacity'!$B$9:$B$29,0),1)</f>
        <v>172625.07825693596</v>
      </c>
      <c r="D28" s="256">
        <f>$C28*IF(LEFT(D$5,6)="Winter",Profiles!$AB$29,Profiles!$AB$28)*D$10</f>
        <v>58094.384532464363</v>
      </c>
      <c r="E28" s="256">
        <f>$C28*IF(LEFT(E$5,6)="Winter",Profiles!$AB$29,Profiles!$AB$28)*E$10</f>
        <v>114530.6937244716</v>
      </c>
      <c r="F28" s="257">
        <f t="shared" si="0"/>
        <v>9.951076487232676</v>
      </c>
      <c r="G28" s="258">
        <f t="shared" si="1"/>
        <v>39.11567408622664</v>
      </c>
      <c r="I28" s="235">
        <f t="shared" si="9"/>
        <v>2037</v>
      </c>
      <c r="J28" s="256">
        <f>$C28*IF(LEFT(J$5,6)="Winter",Profiles!$AB$29,Profiles!$AB$28)*J$10</f>
        <v>6841.4438516181863</v>
      </c>
      <c r="K28" s="256">
        <f>$C28*IF(LEFT(K$5,6)="Winter",Profiles!$AB$29,Profiles!$AB$28)*K$10</f>
        <v>13487.625640736147</v>
      </c>
      <c r="L28" s="257">
        <f t="shared" si="2"/>
        <v>2.8924705136713795</v>
      </c>
      <c r="M28" s="258">
        <f t="shared" si="3"/>
        <v>13.996714126962001</v>
      </c>
      <c r="N28" s="256">
        <f>$C28*IF(LEFT(N$5,6)="Winter",Profiles!$AB$29,Profiles!$AB$28)*N$10</f>
        <v>1161.8876906492874</v>
      </c>
      <c r="O28" s="256">
        <f>$C28*IF(LEFT(O$5,6)="Winter",Profiles!$AB$29,Profiles!$AB$28)*O$10</f>
        <v>2290.613874489432</v>
      </c>
      <c r="P28" s="257">
        <f t="shared" si="4"/>
        <v>0.93420112334875294</v>
      </c>
      <c r="Q28" s="258">
        <f t="shared" si="5"/>
        <v>2.4447870344563145</v>
      </c>
      <c r="S28" s="235">
        <f t="shared" si="10"/>
        <v>2037</v>
      </c>
      <c r="T28" s="256">
        <f>$C28*IF(LEFT(T$5,6)="Winter",Profiles!$AB$29,Profiles!$AB$28)*T$10</f>
        <v>1161.8876906492874</v>
      </c>
      <c r="U28" s="256">
        <f>$C28*IF(LEFT(U$5,6)="Winter",Profiles!$AB$29,Profiles!$AB$28)*U$10</f>
        <v>2290.613874489432</v>
      </c>
      <c r="V28" s="257">
        <f t="shared" si="6"/>
        <v>1.0934661683433402</v>
      </c>
      <c r="W28" s="258">
        <f t="shared" si="7"/>
        <v>2.0678924505085252</v>
      </c>
    </row>
    <row r="29" spans="2:23" ht="13.5" thickBot="1">
      <c r="B29" s="235">
        <f t="shared" si="8"/>
        <v>2038</v>
      </c>
      <c r="C29" s="259">
        <f>INDEX('Exhibit 3 - Levelized Capacity'!$F$9:$F$29,MATCH($B29,'Exhibit 3 - Levelized Capacity'!$B$9:$B$29,0),1)</f>
        <v>176595.45505684547</v>
      </c>
      <c r="D29" s="256">
        <f>$C29*IF(LEFT(D$5,6)="Winter",Profiles!$AB$29,Profiles!$AB$28)*D$10</f>
        <v>59430.55537671104</v>
      </c>
      <c r="E29" s="256">
        <f>$C29*IF(LEFT(E$5,6)="Winter",Profiles!$AB$29,Profiles!$AB$28)*E$10</f>
        <v>117164.89968013443</v>
      </c>
      <c r="F29" s="257">
        <f t="shared" si="0"/>
        <v>10.179951246439026</v>
      </c>
      <c r="G29" s="258">
        <f t="shared" si="1"/>
        <v>40.015334590209847</v>
      </c>
      <c r="I29" s="235">
        <f t="shared" si="9"/>
        <v>2038</v>
      </c>
      <c r="J29" s="256">
        <f>$C29*IF(LEFT(J$5,6)="Winter",Profiles!$AB$29,Profiles!$AB$28)*J$10</f>
        <v>6998.7970602054038</v>
      </c>
      <c r="K29" s="256">
        <f>$C29*IF(LEFT(K$5,6)="Winter",Profiles!$AB$29,Profiles!$AB$28)*K$10</f>
        <v>13797.841030473077</v>
      </c>
      <c r="L29" s="257">
        <f t="shared" si="2"/>
        <v>2.958997335485821</v>
      </c>
      <c r="M29" s="258">
        <f t="shared" si="3"/>
        <v>14.318638551882124</v>
      </c>
      <c r="N29" s="256">
        <f>$C29*IF(LEFT(N$5,6)="Winter",Profiles!$AB$29,Profiles!$AB$28)*N$10</f>
        <v>1188.6111075342208</v>
      </c>
      <c r="O29" s="256">
        <f>$C29*IF(LEFT(O$5,6)="Winter",Profiles!$AB$29,Profiles!$AB$28)*O$10</f>
        <v>2343.2979936026886</v>
      </c>
      <c r="P29" s="257">
        <f t="shared" si="4"/>
        <v>0.95568774918577404</v>
      </c>
      <c r="Q29" s="258">
        <f t="shared" si="5"/>
        <v>2.5010171362488092</v>
      </c>
      <c r="S29" s="235">
        <f t="shared" si="10"/>
        <v>2038</v>
      </c>
      <c r="T29" s="256">
        <f>$C29*IF(LEFT(T$5,6)="Winter",Profiles!$AB$29,Profiles!$AB$28)*T$10</f>
        <v>1188.6111075342208</v>
      </c>
      <c r="U29" s="256">
        <f>$C29*IF(LEFT(U$5,6)="Winter",Profiles!$AB$29,Profiles!$AB$28)*U$10</f>
        <v>2343.2979936026886</v>
      </c>
      <c r="V29" s="257">
        <f t="shared" si="6"/>
        <v>1.118615890215237</v>
      </c>
      <c r="W29" s="258">
        <f t="shared" si="7"/>
        <v>2.1154539768702207</v>
      </c>
    </row>
    <row r="30" spans="2:23" ht="13.5" thickBot="1">
      <c r="B30" s="235">
        <f t="shared" si="8"/>
        <v>2039</v>
      </c>
      <c r="C30" s="259">
        <f>INDEX('Exhibit 3 - Levelized Capacity'!$F$9:$F$29,MATCH($B30,'Exhibit 3 - Levelized Capacity'!$B$9:$B$29,0),1)</f>
        <v>180657.1505231529</v>
      </c>
      <c r="D30" s="256">
        <f>$C30*IF(LEFT(D$5,6)="Winter",Profiles!$AB$29,Profiles!$AB$28)*D$10</f>
        <v>60797.458150375387</v>
      </c>
      <c r="E30" s="256">
        <f>$C30*IF(LEFT(E$5,6)="Winter",Profiles!$AB$29,Profiles!$AB$28)*E$10</f>
        <v>119859.69237277751</v>
      </c>
      <c r="F30" s="257">
        <f t="shared" si="0"/>
        <v>10.414090125107123</v>
      </c>
      <c r="G30" s="258">
        <f t="shared" si="1"/>
        <v>40.935687285784667</v>
      </c>
      <c r="I30" s="235">
        <f t="shared" si="9"/>
        <v>2039</v>
      </c>
      <c r="J30" s="256">
        <f>$C30*IF(LEFT(J$5,6)="Winter",Profiles!$AB$29,Profiles!$AB$28)*J$10</f>
        <v>7159.7693925901276</v>
      </c>
      <c r="K30" s="256">
        <f>$C30*IF(LEFT(K$5,6)="Winter",Profiles!$AB$29,Profiles!$AB$28)*K$10</f>
        <v>14115.191374173957</v>
      </c>
      <c r="L30" s="257">
        <f t="shared" si="2"/>
        <v>3.0270542742019946</v>
      </c>
      <c r="M30" s="258">
        <f t="shared" si="3"/>
        <v>14.647967238575413</v>
      </c>
      <c r="N30" s="256">
        <f>$C30*IF(LEFT(N$5,6)="Winter",Profiles!$AB$29,Profiles!$AB$28)*N$10</f>
        <v>1215.9491630075079</v>
      </c>
      <c r="O30" s="256">
        <f>$C30*IF(LEFT(O$5,6)="Winter",Profiles!$AB$29,Profiles!$AB$28)*O$10</f>
        <v>2397.1938474555504</v>
      </c>
      <c r="P30" s="257">
        <f t="shared" si="4"/>
        <v>0.97766856741704689</v>
      </c>
      <c r="Q30" s="258">
        <f t="shared" si="5"/>
        <v>2.5585405303825319</v>
      </c>
      <c r="S30" s="235">
        <f t="shared" si="10"/>
        <v>2039</v>
      </c>
      <c r="T30" s="256">
        <f>$C30*IF(LEFT(T$5,6)="Winter",Profiles!$AB$29,Profiles!$AB$28)*T$10</f>
        <v>1215.9491630075079</v>
      </c>
      <c r="U30" s="256">
        <f>$C30*IF(LEFT(U$5,6)="Winter",Profiles!$AB$29,Profiles!$AB$28)*U$10</f>
        <v>2397.1938474555504</v>
      </c>
      <c r="V30" s="257">
        <f t="shared" si="6"/>
        <v>1.1443440556901874</v>
      </c>
      <c r="W30" s="258">
        <f t="shared" si="7"/>
        <v>2.1641094183382359</v>
      </c>
    </row>
    <row r="31" spans="2:23" ht="13.5" thickBot="1">
      <c r="B31" s="235">
        <f t="shared" si="8"/>
        <v>2040</v>
      </c>
      <c r="C31" s="259">
        <f>INDEX('Exhibit 3 - Levelized Capacity'!$F$9:$F$29,MATCH($B31,'Exhibit 3 - Levelized Capacity'!$B$9:$B$29,0),1)</f>
        <v>184812.26498518541</v>
      </c>
      <c r="D31" s="256">
        <f>$C31*IF(LEFT(D$5,6)="Winter",Profiles!$AB$29,Profiles!$AB$28)*D$10</f>
        <v>62195.79968783402</v>
      </c>
      <c r="E31" s="256">
        <f>$C31*IF(LEFT(E$5,6)="Winter",Profiles!$AB$29,Profiles!$AB$28)*E$10</f>
        <v>122616.46529735139</v>
      </c>
      <c r="F31" s="257">
        <f t="shared" si="0"/>
        <v>10.653614197984588</v>
      </c>
      <c r="G31" s="258">
        <f t="shared" si="1"/>
        <v>41.877208093357716</v>
      </c>
      <c r="I31" s="235">
        <f t="shared" si="9"/>
        <v>2040</v>
      </c>
      <c r="J31" s="256">
        <f>$C31*IF(LEFT(J$5,6)="Winter",Profiles!$AB$29,Profiles!$AB$28)*J$10</f>
        <v>7324.4440886196999</v>
      </c>
      <c r="K31" s="256">
        <f>$C31*IF(LEFT(K$5,6)="Winter",Profiles!$AB$29,Profiles!$AB$28)*K$10</f>
        <v>14439.840775779956</v>
      </c>
      <c r="L31" s="257">
        <f t="shared" si="2"/>
        <v>3.0966765225086403</v>
      </c>
      <c r="M31" s="258">
        <f t="shared" si="3"/>
        <v>14.984870485062645</v>
      </c>
      <c r="N31" s="256">
        <f>$C31*IF(LEFT(N$5,6)="Winter",Profiles!$AB$29,Profiles!$AB$28)*N$10</f>
        <v>1243.9159937566803</v>
      </c>
      <c r="O31" s="256">
        <f>$C31*IF(LEFT(O$5,6)="Winter",Profiles!$AB$29,Profiles!$AB$28)*O$10</f>
        <v>2452.3293059470279</v>
      </c>
      <c r="P31" s="257">
        <f t="shared" si="4"/>
        <v>1.0001549444676388</v>
      </c>
      <c r="Q31" s="258">
        <f t="shared" si="5"/>
        <v>2.61738696258133</v>
      </c>
      <c r="S31" s="235">
        <f t="shared" si="10"/>
        <v>2040</v>
      </c>
      <c r="T31" s="256">
        <f>$C31*IF(LEFT(T$5,6)="Winter",Profiles!$AB$29,Profiles!$AB$28)*T$10</f>
        <v>1243.9159937566803</v>
      </c>
      <c r="U31" s="256">
        <f>$C31*IF(LEFT(U$5,6)="Winter",Profiles!$AB$29,Profiles!$AB$28)*U$10</f>
        <v>2452.3293059470279</v>
      </c>
      <c r="V31" s="257">
        <f t="shared" si="6"/>
        <v>1.1706639689710614</v>
      </c>
      <c r="W31" s="258">
        <f t="shared" si="7"/>
        <v>2.2138839349600152</v>
      </c>
    </row>
    <row r="32" spans="2:23" ht="13.5" thickBot="1">
      <c r="B32" s="237">
        <f t="shared" si="8"/>
        <v>2041</v>
      </c>
      <c r="C32" s="260">
        <f>INDEX('Exhibit 3 - Levelized Capacity'!$F$9:$F$29,MATCH($B32,'Exhibit 3 - Levelized Capacity'!$B$9:$B$29,0),1)</f>
        <v>188878.13481485948</v>
      </c>
      <c r="D32" s="261">
        <f>$C32*IF(LEFT(D$5,6)="Winter",Profiles!$AB$29,Profiles!$AB$28)*D$10</f>
        <v>63564.107280966367</v>
      </c>
      <c r="E32" s="261">
        <f>$C32*IF(LEFT(E$5,6)="Winter",Profiles!$AB$29,Profiles!$AB$28)*E$10</f>
        <v>125314.02753389312</v>
      </c>
      <c r="F32" s="262">
        <f t="shared" si="0"/>
        <v>10.887993710340249</v>
      </c>
      <c r="G32" s="263">
        <f t="shared" si="1"/>
        <v>42.798506671411587</v>
      </c>
      <c r="I32" s="237">
        <f t="shared" si="9"/>
        <v>2041</v>
      </c>
      <c r="J32" s="261">
        <f>$C32*IF(LEFT(J$5,6)="Winter",Profiles!$AB$29,Profiles!$AB$28)*J$10</f>
        <v>7485.5818585693332</v>
      </c>
      <c r="K32" s="261">
        <f>$C32*IF(LEFT(K$5,6)="Winter",Profiles!$AB$29,Profiles!$AB$28)*K$10</f>
        <v>14757.517272847117</v>
      </c>
      <c r="L32" s="262">
        <f t="shared" si="2"/>
        <v>3.1648034060038306</v>
      </c>
      <c r="M32" s="263">
        <f t="shared" si="3"/>
        <v>15.314537635734025</v>
      </c>
      <c r="N32" s="261">
        <f>$C32*IF(LEFT(N$5,6)="Winter",Profiles!$AB$29,Profiles!$AB$28)*N$10</f>
        <v>1271.2821456193274</v>
      </c>
      <c r="O32" s="261">
        <f>$C32*IF(LEFT(O$5,6)="Winter",Profiles!$AB$29,Profiles!$AB$28)*O$10</f>
        <v>2506.2805506778627</v>
      </c>
      <c r="P32" s="262">
        <f t="shared" si="4"/>
        <v>1.0221583532459269</v>
      </c>
      <c r="Q32" s="263">
        <f t="shared" si="5"/>
        <v>2.6749694757581195</v>
      </c>
      <c r="S32" s="237">
        <f t="shared" si="10"/>
        <v>2041</v>
      </c>
      <c r="T32" s="261">
        <f>$C32*IF(LEFT(T$5,6)="Winter",Profiles!$AB$29,Profiles!$AB$28)*T$10</f>
        <v>1271.2821456193274</v>
      </c>
      <c r="U32" s="261">
        <f>$C32*IF(LEFT(U$5,6)="Winter",Profiles!$AB$29,Profiles!$AB$28)*U$10</f>
        <v>2506.2805506778627</v>
      </c>
      <c r="V32" s="262">
        <f t="shared" si="6"/>
        <v>1.196418576288425</v>
      </c>
      <c r="W32" s="263">
        <f t="shared" si="7"/>
        <v>2.2625893815291356</v>
      </c>
    </row>
    <row r="33" spans="2:24" ht="6.75" customHeight="1" thickTop="1">
      <c r="B33" s="28"/>
      <c r="D33" s="5"/>
      <c r="F33" s="125"/>
      <c r="I33" s="207"/>
      <c r="K33" s="29"/>
      <c r="M33" s="13"/>
      <c r="O33" s="29"/>
      <c r="Q33" s="13"/>
      <c r="S33" s="207"/>
      <c r="U33" s="29"/>
      <c r="W33" s="13"/>
    </row>
    <row r="34" spans="2:24">
      <c r="B34" s="207" t="s">
        <v>219</v>
      </c>
      <c r="C34" s="318"/>
      <c r="D34" s="318"/>
      <c r="E34" s="318"/>
      <c r="F34" s="318"/>
      <c r="G34" s="318"/>
      <c r="I34" s="207" t="s">
        <v>220</v>
      </c>
      <c r="J34" s="10"/>
      <c r="K34" s="10"/>
      <c r="N34" s="10"/>
      <c r="O34" s="10"/>
      <c r="S34" s="207" t="str">
        <f t="shared" ref="S34:S39" si="11">I34</f>
        <v>Capacity Contribution: UE-190666, Order 01 (solar)</v>
      </c>
      <c r="T34" s="10"/>
      <c r="U34" s="10"/>
    </row>
    <row r="35" spans="2:24">
      <c r="B35" s="207" t="s">
        <v>171</v>
      </c>
      <c r="C35" s="318"/>
      <c r="D35" s="318"/>
      <c r="E35" s="318"/>
      <c r="F35" s="318"/>
      <c r="G35" s="318"/>
      <c r="I35" s="207" t="str">
        <f t="shared" ref="I35:I39" si="12">B35</f>
        <v>Capacity Factor Weighting: The resource's annual capacity factor divided by season.</v>
      </c>
      <c r="S35" s="207" t="str">
        <f t="shared" si="11"/>
        <v>Capacity Factor Weighting: The resource's annual capacity factor divided by season.</v>
      </c>
    </row>
    <row r="36" spans="2:24">
      <c r="B36" s="142" t="s">
        <v>4</v>
      </c>
      <c r="C36" s="347" t="s">
        <v>187</v>
      </c>
      <c r="D36" s="348"/>
      <c r="E36" s="348"/>
      <c r="F36" s="348"/>
      <c r="G36" s="348"/>
      <c r="H36" s="208"/>
      <c r="I36" s="210" t="str">
        <f t="shared" si="12"/>
        <v>(a)</v>
      </c>
      <c r="J36" s="348" t="str">
        <f t="shared" ref="J36:J39" si="13">C36</f>
        <v>Levelized capacity cost at 100% capacity contribution</v>
      </c>
      <c r="K36" s="348"/>
      <c r="L36" s="348"/>
      <c r="M36" s="348"/>
      <c r="N36" s="348"/>
      <c r="O36" s="348"/>
      <c r="P36" s="348"/>
      <c r="Q36" s="348"/>
      <c r="R36" s="10"/>
      <c r="S36" s="211" t="str">
        <f t="shared" si="11"/>
        <v>(a)</v>
      </c>
      <c r="T36" s="355" t="str">
        <f t="shared" ref="T36:T39" si="14">J36</f>
        <v>Levelized capacity cost at 100% capacity contribution</v>
      </c>
      <c r="U36" s="348"/>
      <c r="V36" s="348"/>
      <c r="W36" s="348"/>
      <c r="X36" s="348"/>
    </row>
    <row r="37" spans="2:24">
      <c r="B37" s="142" t="s">
        <v>208</v>
      </c>
      <c r="C37" s="347" t="s">
        <v>207</v>
      </c>
      <c r="D37" s="348"/>
      <c r="E37" s="348"/>
      <c r="F37" s="348"/>
      <c r="G37" s="348"/>
      <c r="H37" s="208"/>
      <c r="I37" s="210" t="str">
        <f t="shared" si="12"/>
        <v>(b),(c)</v>
      </c>
      <c r="J37" s="348" t="str">
        <f t="shared" si="13"/>
        <v>Summer-winter split based on months and 2017 IRP loss of load probability</v>
      </c>
      <c r="K37" s="348"/>
      <c r="L37" s="348"/>
      <c r="M37" s="348"/>
      <c r="N37" s="348"/>
      <c r="O37" s="348"/>
      <c r="P37" s="348"/>
      <c r="Q37" s="348"/>
      <c r="R37" s="10"/>
      <c r="S37" s="211" t="str">
        <f t="shared" si="11"/>
        <v>(b),(c)</v>
      </c>
      <c r="T37" s="355" t="str">
        <f t="shared" si="14"/>
        <v>Summer-winter split based on months and 2017 IRP loss of load probability</v>
      </c>
      <c r="U37" s="348"/>
      <c r="V37" s="348"/>
      <c r="W37" s="348"/>
      <c r="X37" s="348"/>
    </row>
    <row r="38" spans="2:24">
      <c r="B38" s="142" t="s">
        <v>7</v>
      </c>
      <c r="C38" s="347" t="s">
        <v>205</v>
      </c>
      <c r="D38" s="348"/>
      <c r="E38" s="348"/>
      <c r="F38" s="348"/>
      <c r="G38" s="348"/>
      <c r="H38" s="208"/>
      <c r="I38" s="210" t="str">
        <f t="shared" si="12"/>
        <v>(d)</v>
      </c>
      <c r="J38" s="348" t="str">
        <f t="shared" si="13"/>
        <v>Winter Capacity Cost (b) divided by seasonal capacity factor weighting</v>
      </c>
      <c r="K38" s="348"/>
      <c r="L38" s="348"/>
      <c r="M38" s="348"/>
      <c r="N38" s="348"/>
      <c r="O38" s="348"/>
      <c r="P38" s="348"/>
      <c r="Q38" s="348"/>
      <c r="R38" s="10"/>
      <c r="S38" s="211" t="str">
        <f t="shared" si="11"/>
        <v>(d)</v>
      </c>
      <c r="T38" s="355" t="str">
        <f t="shared" si="14"/>
        <v>Winter Capacity Cost (b) divided by seasonal capacity factor weighting</v>
      </c>
      <c r="U38" s="348"/>
      <c r="V38" s="348"/>
      <c r="W38" s="348"/>
      <c r="X38" s="348"/>
    </row>
    <row r="39" spans="2:24">
      <c r="B39" s="142" t="s">
        <v>8</v>
      </c>
      <c r="C39" s="347" t="s">
        <v>206</v>
      </c>
      <c r="D39" s="348"/>
      <c r="E39" s="348"/>
      <c r="F39" s="348"/>
      <c r="G39" s="348"/>
      <c r="H39" s="208"/>
      <c r="I39" s="210" t="str">
        <f t="shared" si="12"/>
        <v>(e)</v>
      </c>
      <c r="J39" s="348" t="str">
        <f t="shared" si="13"/>
        <v>Summer Capacity Cost (c) divided by seasonal capacity factor weighting</v>
      </c>
      <c r="K39" s="348"/>
      <c r="L39" s="348"/>
      <c r="M39" s="348"/>
      <c r="N39" s="348"/>
      <c r="O39" s="348"/>
      <c r="P39" s="348"/>
      <c r="Q39" s="348"/>
      <c r="R39" s="10"/>
      <c r="S39" s="211" t="str">
        <f t="shared" si="11"/>
        <v>(e)</v>
      </c>
      <c r="T39" s="355" t="str">
        <f t="shared" si="14"/>
        <v>Summer Capacity Cost (c) divided by seasonal capacity factor weighting</v>
      </c>
      <c r="U39" s="348"/>
      <c r="V39" s="348"/>
      <c r="W39" s="348"/>
      <c r="X39" s="348"/>
    </row>
    <row r="40" spans="2:24">
      <c r="B40" s="48"/>
      <c r="C40" s="27"/>
      <c r="I40" s="48"/>
      <c r="S40" s="48"/>
    </row>
  </sheetData>
  <mergeCells count="22">
    <mergeCell ref="C37:G37"/>
    <mergeCell ref="C38:G38"/>
    <mergeCell ref="C39:G39"/>
    <mergeCell ref="T36:X36"/>
    <mergeCell ref="T37:X37"/>
    <mergeCell ref="T38:X38"/>
    <mergeCell ref="J37:Q37"/>
    <mergeCell ref="T39:X39"/>
    <mergeCell ref="J39:Q39"/>
    <mergeCell ref="J38:Q38"/>
    <mergeCell ref="B1:G1"/>
    <mergeCell ref="B2:G2"/>
    <mergeCell ref="C36:G36"/>
    <mergeCell ref="T4:W4"/>
    <mergeCell ref="D4:G4"/>
    <mergeCell ref="J4:M4"/>
    <mergeCell ref="N4:Q4"/>
    <mergeCell ref="S1:W1"/>
    <mergeCell ref="S2:W2"/>
    <mergeCell ref="I2:Q2"/>
    <mergeCell ref="I1:Q1"/>
    <mergeCell ref="J36:Q36"/>
  </mergeCells>
  <printOptions horizontalCentered="1"/>
  <pageMargins left="0.8" right="0.3" top="0.4" bottom="0.4" header="0.5" footer="0.2"/>
  <pageSetup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83"/>
  <sheetViews>
    <sheetView workbookViewId="0"/>
  </sheetViews>
  <sheetFormatPr defaultColWidth="9.33203125" defaultRowHeight="12.75"/>
  <cols>
    <col min="1" max="1" width="1.5" style="34" customWidth="1"/>
    <col min="2" max="2" width="10.83203125" style="34" customWidth="1"/>
    <col min="3" max="3" width="15" style="34" customWidth="1"/>
    <col min="4" max="4" width="12.33203125" style="34" customWidth="1"/>
    <col min="5" max="5" width="9.1640625" style="34" customWidth="1"/>
    <col min="6" max="6" width="9.83203125" style="34" bestFit="1" customWidth="1"/>
    <col min="7" max="7" width="9.83203125" style="34" customWidth="1"/>
    <col min="8" max="8" width="10.5" style="34" customWidth="1"/>
    <col min="9" max="10" width="12.5" style="34" customWidth="1"/>
    <col min="11" max="11" width="11.6640625" style="34" customWidth="1"/>
    <col min="12" max="16384" width="9.33203125" style="34"/>
  </cols>
  <sheetData>
    <row r="1" spans="2:10" ht="15.75">
      <c r="B1" s="80" t="s">
        <v>175</v>
      </c>
      <c r="C1" s="80"/>
      <c r="D1" s="80"/>
      <c r="E1" s="33"/>
      <c r="F1" s="33"/>
      <c r="G1" s="33"/>
    </row>
    <row r="2" spans="2:10" ht="15.75">
      <c r="B2" s="81" t="s">
        <v>63</v>
      </c>
      <c r="C2" s="81"/>
      <c r="D2" s="81"/>
      <c r="E2" s="82"/>
      <c r="F2" s="82"/>
      <c r="G2" s="33"/>
    </row>
    <row r="3" spans="2:10" ht="15.75">
      <c r="B3" s="32"/>
      <c r="C3" s="33"/>
      <c r="D3" s="33"/>
      <c r="E3" s="33"/>
      <c r="F3" s="33"/>
    </row>
    <row r="4" spans="2:10">
      <c r="B4" s="36"/>
    </row>
    <row r="5" spans="2:10" ht="51.75" customHeight="1">
      <c r="B5" s="37" t="s">
        <v>2</v>
      </c>
      <c r="C5" s="38" t="s">
        <v>32</v>
      </c>
      <c r="D5" s="38" t="s">
        <v>65</v>
      </c>
    </row>
    <row r="6" spans="2:10" ht="24" customHeight="1">
      <c r="B6" s="39"/>
      <c r="C6" s="40" t="s">
        <v>15</v>
      </c>
      <c r="D6" s="40" t="s">
        <v>15</v>
      </c>
    </row>
    <row r="7" spans="2:10">
      <c r="C7" s="41"/>
    </row>
    <row r="8" spans="2:10" ht="6" customHeight="1"/>
    <row r="9" spans="2:10">
      <c r="B9" s="43">
        <v>2016</v>
      </c>
      <c r="C9" s="51">
        <v>0.57299999999999995</v>
      </c>
      <c r="D9" s="51">
        <v>0.60299999999999998</v>
      </c>
    </row>
    <row r="10" spans="2:10">
      <c r="B10" s="43">
        <f t="shared" ref="B10:B34" si="0">B9+1</f>
        <v>2017</v>
      </c>
      <c r="C10" s="51">
        <f t="shared" ref="C10:C31" si="1">ROUND(C9*(1+(IFERROR(INDEX($C$41:$C$49,MATCH($B10,$B$41:$B$49,0),1),0)+IFERROR(INDEX($F$41:$F$49,MATCH($B10,$E$41:$E$49,0),1),0)+IFERROR(INDEX($I$41:$I$49,MATCH($B10,$H$41:$H$49,0),1),0))),2)</f>
        <v>0.56999999999999995</v>
      </c>
      <c r="D10" s="51">
        <f t="shared" ref="D10:D31" si="2">ROUND(D9*(1+(IFERROR(INDEX($C$41:$C$49,MATCH($B10,$B$41:$B$49,0),1),0)+IFERROR(INDEX($F$41:$F$49,MATCH($B10,$E$41:$E$49,0),1),0)+IFERROR(INDEX($I$41:$I$49,MATCH($B10,$H$41:$H$49,0),1),0))),2)</f>
        <v>0.6</v>
      </c>
    </row>
    <row r="11" spans="2:10">
      <c r="B11" s="43">
        <f t="shared" si="0"/>
        <v>2018</v>
      </c>
      <c r="C11" s="51">
        <f t="shared" si="1"/>
        <v>0.56999999999999995</v>
      </c>
      <c r="D11" s="51">
        <f t="shared" si="2"/>
        <v>0.6</v>
      </c>
    </row>
    <row r="12" spans="2:10">
      <c r="B12" s="43">
        <f>B11+1</f>
        <v>2019</v>
      </c>
      <c r="C12" s="51">
        <f t="shared" si="1"/>
        <v>0.56999999999999995</v>
      </c>
      <c r="D12" s="51">
        <f t="shared" si="2"/>
        <v>0.6</v>
      </c>
      <c r="E12" s="46"/>
      <c r="F12" s="46"/>
      <c r="G12" s="46"/>
      <c r="H12" s="46"/>
      <c r="I12" s="46"/>
      <c r="J12" s="47"/>
    </row>
    <row r="13" spans="2:10">
      <c r="B13" s="43">
        <f t="shared" si="0"/>
        <v>2020</v>
      </c>
      <c r="C13" s="51">
        <f t="shared" si="1"/>
        <v>0.56999999999999995</v>
      </c>
      <c r="D13" s="51">
        <f t="shared" si="2"/>
        <v>0.6</v>
      </c>
      <c r="E13" s="46"/>
      <c r="F13" s="46"/>
      <c r="G13" s="46"/>
      <c r="H13" s="46"/>
      <c r="I13" s="46"/>
      <c r="J13" s="47"/>
    </row>
    <row r="14" spans="2:10">
      <c r="B14" s="43">
        <f t="shared" si="0"/>
        <v>2021</v>
      </c>
      <c r="C14" s="51">
        <f t="shared" si="1"/>
        <v>0.59</v>
      </c>
      <c r="D14" s="51">
        <f t="shared" si="2"/>
        <v>0.62</v>
      </c>
    </row>
    <row r="15" spans="2:10">
      <c r="B15" s="43">
        <f t="shared" si="0"/>
        <v>2022</v>
      </c>
      <c r="C15" s="51">
        <f t="shared" si="1"/>
        <v>0.6</v>
      </c>
      <c r="D15" s="51">
        <f t="shared" si="2"/>
        <v>0.64</v>
      </c>
    </row>
    <row r="16" spans="2:10">
      <c r="B16" s="43">
        <f t="shared" si="0"/>
        <v>2023</v>
      </c>
      <c r="C16" s="51">
        <f t="shared" si="1"/>
        <v>0.61</v>
      </c>
      <c r="D16" s="51">
        <f t="shared" si="2"/>
        <v>0.65</v>
      </c>
    </row>
    <row r="17" spans="2:4">
      <c r="B17" s="43">
        <f t="shared" si="0"/>
        <v>2024</v>
      </c>
      <c r="C17" s="51">
        <f t="shared" si="1"/>
        <v>0.62</v>
      </c>
      <c r="D17" s="51">
        <f t="shared" si="2"/>
        <v>0.66</v>
      </c>
    </row>
    <row r="18" spans="2:4">
      <c r="B18" s="43">
        <f t="shared" si="0"/>
        <v>2025</v>
      </c>
      <c r="C18" s="51">
        <f t="shared" si="1"/>
        <v>0.63</v>
      </c>
      <c r="D18" s="51">
        <f t="shared" si="2"/>
        <v>0.68</v>
      </c>
    </row>
    <row r="19" spans="2:4">
      <c r="B19" s="59">
        <f t="shared" si="0"/>
        <v>2026</v>
      </c>
      <c r="C19" s="51">
        <f t="shared" si="1"/>
        <v>0.65</v>
      </c>
      <c r="D19" s="51">
        <f t="shared" si="2"/>
        <v>0.7</v>
      </c>
    </row>
    <row r="20" spans="2:4">
      <c r="B20" s="59">
        <f t="shared" si="0"/>
        <v>2027</v>
      </c>
      <c r="C20" s="51">
        <f t="shared" si="1"/>
        <v>0.67</v>
      </c>
      <c r="D20" s="51">
        <f t="shared" si="2"/>
        <v>0.72</v>
      </c>
    </row>
    <row r="21" spans="2:4">
      <c r="B21" s="59">
        <f t="shared" si="0"/>
        <v>2028</v>
      </c>
      <c r="C21" s="51">
        <f t="shared" si="1"/>
        <v>0.69</v>
      </c>
      <c r="D21" s="51">
        <f t="shared" si="2"/>
        <v>0.74</v>
      </c>
    </row>
    <row r="22" spans="2:4">
      <c r="B22" s="59">
        <f t="shared" si="0"/>
        <v>2029</v>
      </c>
      <c r="C22" s="51">
        <f t="shared" si="1"/>
        <v>0.71</v>
      </c>
      <c r="D22" s="51">
        <f t="shared" si="2"/>
        <v>0.76</v>
      </c>
    </row>
    <row r="23" spans="2:4">
      <c r="B23" s="43">
        <f t="shared" si="0"/>
        <v>2030</v>
      </c>
      <c r="C23" s="51">
        <f t="shared" si="1"/>
        <v>0.73</v>
      </c>
      <c r="D23" s="51">
        <f t="shared" si="2"/>
        <v>0.78</v>
      </c>
    </row>
    <row r="24" spans="2:4">
      <c r="B24" s="43">
        <f t="shared" si="0"/>
        <v>2031</v>
      </c>
      <c r="C24" s="51">
        <f t="shared" si="1"/>
        <v>0.75</v>
      </c>
      <c r="D24" s="51">
        <f t="shared" si="2"/>
        <v>0.8</v>
      </c>
    </row>
    <row r="25" spans="2:4">
      <c r="B25" s="43">
        <f t="shared" si="0"/>
        <v>2032</v>
      </c>
      <c r="C25" s="51">
        <f t="shared" si="1"/>
        <v>0.77</v>
      </c>
      <c r="D25" s="51">
        <f t="shared" si="2"/>
        <v>0.82</v>
      </c>
    </row>
    <row r="26" spans="2:4">
      <c r="B26" s="43">
        <f t="shared" si="0"/>
        <v>2033</v>
      </c>
      <c r="C26" s="51">
        <f t="shared" si="1"/>
        <v>0.79</v>
      </c>
      <c r="D26" s="51">
        <f t="shared" si="2"/>
        <v>0.84</v>
      </c>
    </row>
    <row r="27" spans="2:4">
      <c r="B27" s="43">
        <f t="shared" si="0"/>
        <v>2034</v>
      </c>
      <c r="C27" s="51">
        <f t="shared" si="1"/>
        <v>0.81</v>
      </c>
      <c r="D27" s="51">
        <f t="shared" si="2"/>
        <v>0.86</v>
      </c>
    </row>
    <row r="28" spans="2:4">
      <c r="B28" s="43">
        <f t="shared" si="0"/>
        <v>2035</v>
      </c>
      <c r="C28" s="51">
        <f t="shared" si="1"/>
        <v>0.83</v>
      </c>
      <c r="D28" s="51">
        <f t="shared" si="2"/>
        <v>0.88</v>
      </c>
    </row>
    <row r="29" spans="2:4">
      <c r="B29" s="43">
        <f t="shared" si="0"/>
        <v>2036</v>
      </c>
      <c r="C29" s="51">
        <f t="shared" si="1"/>
        <v>0.85</v>
      </c>
      <c r="D29" s="51">
        <f t="shared" si="2"/>
        <v>0.9</v>
      </c>
    </row>
    <row r="30" spans="2:4">
      <c r="B30" s="43">
        <f t="shared" si="0"/>
        <v>2037</v>
      </c>
      <c r="C30" s="51">
        <f t="shared" si="1"/>
        <v>0.87</v>
      </c>
      <c r="D30" s="51">
        <f t="shared" si="2"/>
        <v>0.92</v>
      </c>
    </row>
    <row r="31" spans="2:4">
      <c r="B31" s="43">
        <f t="shared" si="0"/>
        <v>2038</v>
      </c>
      <c r="C31" s="51">
        <f t="shared" si="1"/>
        <v>0.89</v>
      </c>
      <c r="D31" s="51">
        <f t="shared" si="2"/>
        <v>0.94</v>
      </c>
    </row>
    <row r="32" spans="2:4">
      <c r="B32" s="43">
        <f t="shared" si="0"/>
        <v>2039</v>
      </c>
      <c r="C32" s="51">
        <f t="shared" ref="C32:C34" si="3">ROUND(C31*(1+(IFERROR(INDEX($C$41:$C$49,MATCH($B32,$B$41:$B$49,0),1),0)+IFERROR(INDEX($F$41:$F$49,MATCH($B32,$E$41:$E$49,0),1),0)+IFERROR(INDEX($I$41:$I$49,MATCH($B32,$H$41:$H$49,0),1),0))),2)</f>
        <v>0.91</v>
      </c>
      <c r="D32" s="51">
        <f t="shared" ref="D32:D34" si="4">ROUND(D31*(1+(IFERROR(INDEX($C$41:$C$49,MATCH($B32,$B$41:$B$49,0),1),0)+IFERROR(INDEX($F$41:$F$49,MATCH($B32,$E$41:$E$49,0),1),0)+IFERROR(INDEX($I$41:$I$49,MATCH($B32,$H$41:$H$49,0),1),0))),2)</f>
        <v>0.96</v>
      </c>
    </row>
    <row r="33" spans="2:11">
      <c r="B33" s="43">
        <f t="shared" si="0"/>
        <v>2040</v>
      </c>
      <c r="C33" s="51">
        <f t="shared" si="3"/>
        <v>0.93</v>
      </c>
      <c r="D33" s="51">
        <f t="shared" si="4"/>
        <v>0.98</v>
      </c>
    </row>
    <row r="34" spans="2:11">
      <c r="B34" s="43">
        <f t="shared" si="0"/>
        <v>2041</v>
      </c>
      <c r="C34" s="51">
        <f t="shared" si="3"/>
        <v>0.95</v>
      </c>
      <c r="D34" s="51">
        <f t="shared" si="4"/>
        <v>1</v>
      </c>
    </row>
    <row r="35" spans="2:11">
      <c r="B35" s="43"/>
      <c r="C35" s="51"/>
    </row>
    <row r="36" spans="2:11">
      <c r="B36" s="43"/>
      <c r="C36" s="51"/>
    </row>
    <row r="37" spans="2:11">
      <c r="B37" s="10" t="s">
        <v>59</v>
      </c>
      <c r="C37" s="48" t="s">
        <v>64</v>
      </c>
      <c r="D37" s="3"/>
      <c r="E37" s="50"/>
      <c r="F37" s="3"/>
      <c r="H37" s="3"/>
      <c r="I37" s="3"/>
    </row>
    <row r="38" spans="2:11">
      <c r="B38" s="10"/>
      <c r="C38" s="48"/>
      <c r="D38" s="3"/>
      <c r="E38" s="50"/>
      <c r="F38" s="3"/>
      <c r="H38" s="3"/>
      <c r="I38" s="3"/>
    </row>
    <row r="39" spans="2:11" ht="13.5" thickBot="1">
      <c r="B39" s="43"/>
      <c r="C39" s="3"/>
    </row>
    <row r="40" spans="2:11" ht="13.5" thickBot="1">
      <c r="B40" s="20" t="s">
        <v>222</v>
      </c>
      <c r="C40" s="21"/>
      <c r="D40" s="21"/>
      <c r="E40" s="21"/>
      <c r="F40" s="21"/>
      <c r="G40" s="21"/>
      <c r="H40" s="21"/>
      <c r="I40" s="21"/>
      <c r="J40" s="26"/>
      <c r="K40" s="147"/>
    </row>
    <row r="41" spans="2:11">
      <c r="B41" s="146">
        <v>2021</v>
      </c>
      <c r="C41" s="143">
        <v>0.04</v>
      </c>
      <c r="D41" s="48"/>
      <c r="E41" s="146">
        <f>B48+1</f>
        <v>2029</v>
      </c>
      <c r="F41" s="143">
        <v>2.4E-2</v>
      </c>
      <c r="G41" s="143"/>
      <c r="H41" s="146">
        <f>E48+1</f>
        <v>2037</v>
      </c>
      <c r="I41" s="143">
        <v>2.3E-2</v>
      </c>
      <c r="J41" s="144"/>
      <c r="K41" s="48"/>
    </row>
    <row r="42" spans="2:11">
      <c r="B42" s="146">
        <f t="shared" ref="B42:B48" si="5">B41+1</f>
        <v>2022</v>
      </c>
      <c r="C42" s="143">
        <v>2.5000000000000001E-2</v>
      </c>
      <c r="D42" s="48"/>
      <c r="E42" s="146">
        <f t="shared" ref="E42:E48" si="6">E41+1</f>
        <v>2030</v>
      </c>
      <c r="F42" s="143">
        <v>2.3E-2</v>
      </c>
      <c r="G42" s="143"/>
      <c r="H42" s="146">
        <f t="shared" ref="H42:H45" si="7">H41+1</f>
        <v>2038</v>
      </c>
      <c r="I42" s="143">
        <v>2.3E-2</v>
      </c>
      <c r="J42" s="144"/>
      <c r="K42" s="48"/>
    </row>
    <row r="43" spans="2:11">
      <c r="B43" s="146">
        <f t="shared" si="5"/>
        <v>2023</v>
      </c>
      <c r="C43" s="143">
        <v>1.9E-2</v>
      </c>
      <c r="D43" s="48"/>
      <c r="E43" s="146">
        <f t="shared" si="6"/>
        <v>2031</v>
      </c>
      <c r="F43" s="143">
        <v>2.3E-2</v>
      </c>
      <c r="G43" s="143"/>
      <c r="H43" s="146">
        <f t="shared" si="7"/>
        <v>2039</v>
      </c>
      <c r="I43" s="143">
        <v>2.3E-2</v>
      </c>
      <c r="J43" s="144"/>
      <c r="K43" s="48"/>
    </row>
    <row r="44" spans="2:11">
      <c r="B44" s="146">
        <f t="shared" si="5"/>
        <v>2024</v>
      </c>
      <c r="C44" s="143">
        <v>2.1999999999999999E-2</v>
      </c>
      <c r="D44" s="48"/>
      <c r="E44" s="146">
        <f t="shared" si="6"/>
        <v>2032</v>
      </c>
      <c r="F44" s="143">
        <v>2.3E-2</v>
      </c>
      <c r="G44" s="143"/>
      <c r="H44" s="146">
        <f t="shared" si="7"/>
        <v>2040</v>
      </c>
      <c r="I44" s="143">
        <v>2.3E-2</v>
      </c>
      <c r="J44" s="144"/>
      <c r="K44" s="48"/>
    </row>
    <row r="45" spans="2:11">
      <c r="B45" s="146">
        <f t="shared" si="5"/>
        <v>2025</v>
      </c>
      <c r="C45" s="143">
        <v>2.3E-2</v>
      </c>
      <c r="D45" s="48"/>
      <c r="E45" s="146">
        <f t="shared" si="6"/>
        <v>2033</v>
      </c>
      <c r="F45" s="143">
        <v>2.3E-2</v>
      </c>
      <c r="G45" s="143"/>
      <c r="H45" s="146">
        <f t="shared" si="7"/>
        <v>2041</v>
      </c>
      <c r="I45" s="143">
        <v>2.1999999999999999E-2</v>
      </c>
      <c r="J45" s="144"/>
      <c r="K45" s="48"/>
    </row>
    <row r="46" spans="2:11">
      <c r="B46" s="146">
        <f t="shared" si="5"/>
        <v>2026</v>
      </c>
      <c r="C46" s="143">
        <v>2.4E-2</v>
      </c>
      <c r="D46" s="48"/>
      <c r="E46" s="146">
        <f t="shared" si="6"/>
        <v>2034</v>
      </c>
      <c r="F46" s="143">
        <v>2.3E-2</v>
      </c>
      <c r="G46" s="143"/>
      <c r="H46" s="146"/>
      <c r="I46" s="143"/>
      <c r="J46" s="144"/>
      <c r="K46" s="48"/>
    </row>
    <row r="47" spans="2:11">
      <c r="B47" s="146">
        <f t="shared" si="5"/>
        <v>2027</v>
      </c>
      <c r="C47" s="143">
        <v>2.5000000000000001E-2</v>
      </c>
      <c r="D47" s="54"/>
      <c r="E47" s="146">
        <f t="shared" si="6"/>
        <v>2035</v>
      </c>
      <c r="F47" s="143">
        <v>2.3E-2</v>
      </c>
      <c r="G47" s="143"/>
      <c r="H47" s="146"/>
      <c r="I47" s="143"/>
      <c r="J47" s="145"/>
      <c r="K47" s="54"/>
    </row>
    <row r="48" spans="2:11">
      <c r="B48" s="146">
        <f t="shared" si="5"/>
        <v>2028</v>
      </c>
      <c r="C48" s="143">
        <v>2.5000000000000001E-2</v>
      </c>
      <c r="D48" s="54"/>
      <c r="E48" s="146">
        <f t="shared" si="6"/>
        <v>2036</v>
      </c>
      <c r="F48" s="143">
        <v>2.3E-2</v>
      </c>
      <c r="G48" s="143"/>
      <c r="H48" s="146"/>
      <c r="I48" s="143"/>
      <c r="J48" s="145"/>
      <c r="K48" s="54"/>
    </row>
    <row r="49" spans="2:11">
      <c r="B49" s="145"/>
      <c r="C49" s="145"/>
      <c r="D49" s="54"/>
      <c r="E49" s="146"/>
      <c r="F49" s="143"/>
      <c r="G49" s="143"/>
      <c r="H49" s="146"/>
      <c r="I49" s="143"/>
      <c r="J49" s="145"/>
      <c r="K49" s="54"/>
    </row>
    <row r="53" spans="2:11" s="35" customFormat="1"/>
    <row r="54" spans="2:11" s="35" customFormat="1"/>
    <row r="55" spans="2:11" s="35" customFormat="1">
      <c r="H55" s="45"/>
      <c r="I55" s="27"/>
      <c r="J55" s="27"/>
    </row>
    <row r="56" spans="2:11" s="35" customFormat="1">
      <c r="H56" s="45"/>
      <c r="I56" s="27"/>
      <c r="J56" s="27"/>
    </row>
    <row r="57" spans="2:11" s="35" customFormat="1">
      <c r="H57" s="45"/>
      <c r="I57" s="27"/>
      <c r="J57" s="27"/>
    </row>
    <row r="74" spans="3:4">
      <c r="C74" s="45"/>
      <c r="D74" s="27"/>
    </row>
    <row r="75" spans="3:4">
      <c r="C75" s="45"/>
      <c r="D75" s="27"/>
    </row>
    <row r="76" spans="3:4">
      <c r="C76" s="45"/>
      <c r="D76" s="27"/>
    </row>
    <row r="77" spans="3:4">
      <c r="C77" s="45"/>
      <c r="D77" s="27"/>
    </row>
    <row r="78" spans="3:4">
      <c r="C78" s="45"/>
      <c r="D78" s="27"/>
    </row>
    <row r="79" spans="3:4">
      <c r="C79" s="45"/>
      <c r="D79" s="27"/>
    </row>
    <row r="80" spans="3:4">
      <c r="C80" s="45"/>
      <c r="D80" s="27"/>
    </row>
    <row r="81" spans="3:4">
      <c r="C81" s="45"/>
      <c r="D81" s="27"/>
    </row>
    <row r="82" spans="3:4">
      <c r="C82" s="45"/>
      <c r="D82" s="27"/>
    </row>
    <row r="83" spans="3:4">
      <c r="C83" s="45"/>
      <c r="D83" s="27"/>
    </row>
  </sheetData>
  <printOptions horizontalCentered="1"/>
  <pageMargins left="0.8" right="0.3" top="0.4" bottom="0.4" header="0.5" footer="0.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0"/>
  <sheetViews>
    <sheetView workbookViewId="0"/>
  </sheetViews>
  <sheetFormatPr defaultColWidth="9.33203125" defaultRowHeight="12.75"/>
  <cols>
    <col min="1" max="1" width="1.33203125" style="144" customWidth="1"/>
    <col min="2" max="2" width="13.6640625" style="144" customWidth="1"/>
    <col min="3" max="3" width="9.83203125" style="144" customWidth="1"/>
    <col min="4" max="4" width="12.1640625" style="144" customWidth="1"/>
    <col min="5" max="5" width="9.1640625" style="144" customWidth="1"/>
    <col min="6" max="6" width="11.33203125" style="144" customWidth="1"/>
    <col min="7" max="8" width="10.1640625" style="144" customWidth="1"/>
    <col min="9" max="9" width="11.5" style="144" customWidth="1"/>
    <col min="10" max="10" width="9" style="144" customWidth="1"/>
    <col min="11" max="11" width="3.5" style="144" customWidth="1"/>
    <col min="12" max="13" width="9.33203125" style="144"/>
    <col min="14" max="15" width="9.33203125" style="144" customWidth="1"/>
    <col min="16" max="16384" width="9.33203125" style="144"/>
  </cols>
  <sheetData>
    <row r="1" spans="1:17" ht="15.75">
      <c r="B1" s="158" t="s">
        <v>183</v>
      </c>
      <c r="C1" s="157"/>
      <c r="D1" s="157"/>
      <c r="E1" s="157"/>
      <c r="F1" s="157"/>
      <c r="G1" s="157"/>
      <c r="H1" s="157"/>
      <c r="I1" s="157"/>
      <c r="J1" s="158"/>
    </row>
    <row r="2" spans="1:17" ht="15.75">
      <c r="B2" s="158" t="s">
        <v>138</v>
      </c>
      <c r="C2" s="157"/>
      <c r="D2" s="157"/>
      <c r="E2" s="157"/>
      <c r="F2" s="157"/>
      <c r="G2" s="157"/>
      <c r="H2" s="157"/>
      <c r="I2" s="157"/>
      <c r="J2" s="157"/>
    </row>
    <row r="3" spans="1:17" ht="15.75">
      <c r="B3" s="32" t="str">
        <f>"2017 IRP: "&amp;B9</f>
        <v>2017 IRP: SCCT Frame "F"x1 - West Side Options (1500')</v>
      </c>
      <c r="C3" s="157"/>
      <c r="D3" s="157"/>
      <c r="E3" s="157"/>
      <c r="F3" s="157"/>
      <c r="G3" s="157"/>
      <c r="H3" s="157"/>
      <c r="I3" s="157"/>
      <c r="J3" s="157"/>
    </row>
    <row r="4" spans="1:17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45"/>
    </row>
    <row r="5" spans="1:17" ht="51.75" customHeight="1">
      <c r="A5" s="175"/>
      <c r="B5" s="168" t="s">
        <v>2</v>
      </c>
      <c r="C5" s="167" t="s">
        <v>10</v>
      </c>
      <c r="D5" s="167" t="s">
        <v>11</v>
      </c>
      <c r="E5" s="167" t="s">
        <v>12</v>
      </c>
      <c r="F5"/>
      <c r="G5" s="151" t="s">
        <v>115</v>
      </c>
      <c r="H5" s="151" t="s">
        <v>121</v>
      </c>
      <c r="I5" s="167" t="s">
        <v>137</v>
      </c>
      <c r="J5" s="156"/>
      <c r="O5"/>
      <c r="P5"/>
      <c r="Q5"/>
    </row>
    <row r="6" spans="1:17" ht="24.75" customHeight="1">
      <c r="B6" s="166"/>
      <c r="C6" s="165" t="s">
        <v>129</v>
      </c>
      <c r="D6" s="164" t="s">
        <v>120</v>
      </c>
      <c r="E6" s="164" t="s">
        <v>120</v>
      </c>
      <c r="F6"/>
      <c r="G6" s="164" t="s">
        <v>120</v>
      </c>
      <c r="H6" s="40" t="s">
        <v>119</v>
      </c>
      <c r="I6" s="164" t="s">
        <v>120</v>
      </c>
      <c r="J6" s="156"/>
      <c r="O6"/>
      <c r="P6"/>
      <c r="Q6"/>
    </row>
    <row r="7" spans="1:17">
      <c r="C7" s="163" t="s">
        <v>4</v>
      </c>
      <c r="D7" s="163" t="s">
        <v>5</v>
      </c>
      <c r="E7" s="163" t="s">
        <v>6</v>
      </c>
      <c r="F7"/>
      <c r="G7" s="163" t="s">
        <v>7</v>
      </c>
      <c r="H7" s="163" t="s">
        <v>8</v>
      </c>
      <c r="I7" s="163" t="s">
        <v>9</v>
      </c>
      <c r="J7" s="156"/>
      <c r="O7"/>
      <c r="P7"/>
      <c r="Q7"/>
    </row>
    <row r="8" spans="1:17" ht="6" customHeight="1">
      <c r="F8"/>
      <c r="J8" s="156"/>
      <c r="O8"/>
      <c r="P8"/>
      <c r="Q8"/>
    </row>
    <row r="9" spans="1:17" ht="15.75">
      <c r="B9" s="42" t="str">
        <f>C42</f>
        <v>SCCT Frame "F"x1 - West Side Options (1500')</v>
      </c>
      <c r="C9" s="145"/>
      <c r="E9" s="145"/>
      <c r="F9"/>
      <c r="G9" s="145"/>
      <c r="H9" s="145"/>
      <c r="I9" s="145"/>
      <c r="J9" s="156"/>
      <c r="O9"/>
      <c r="P9"/>
      <c r="Q9"/>
    </row>
    <row r="10" spans="1:17">
      <c r="B10" s="155">
        <v>2016</v>
      </c>
      <c r="C10" s="162">
        <f>C44*1000</f>
        <v>616137.73555279954</v>
      </c>
      <c r="D10" s="162">
        <f>ROUND(C10*C49,0)</f>
        <v>43863</v>
      </c>
      <c r="E10" s="162">
        <f>C47*1000</f>
        <v>48461.415653539763</v>
      </c>
      <c r="F10"/>
      <c r="G10" s="161"/>
      <c r="H10" s="161"/>
      <c r="I10" s="161"/>
      <c r="J10" s="156"/>
      <c r="O10"/>
      <c r="P10"/>
      <c r="Q10"/>
    </row>
    <row r="11" spans="1:17">
      <c r="B11" s="155">
        <f t="shared" ref="B11:B35" si="0">B10+1</f>
        <v>2017</v>
      </c>
      <c r="C11" s="160"/>
      <c r="D11" s="162">
        <f t="shared" ref="D11:D35" si="1">ROUND(D10*(1+(IFERROR(INDEX($D$52:$D$60,MATCH($B11,$C$52:$C$60,0),1),0)+IFERROR(INDEX($G$52:$G$60,MATCH($B11,$F$52:$F$60,0),1),0)+IFERROR(INDEX($J$52:$J$60,MATCH($B11,$I$52:$I$60,0),1),0))),2)</f>
        <v>43863</v>
      </c>
      <c r="E11" s="162">
        <f t="shared" ref="E11:E35" si="2">ROUND(E10*(1+(IFERROR(INDEX($D$52:$D$60,MATCH($B11,$C$52:$C$60,0),1),0)+IFERROR(INDEX($G$52:$G$60,MATCH($B11,$F$52:$F$60,0),1),0)+IFERROR(INDEX($J$52:$J$60,MATCH($B11,$I$52:$I$60,0),1),0))),2)</f>
        <v>48461.42</v>
      </c>
      <c r="F11"/>
      <c r="G11" s="161"/>
      <c r="H11" s="161"/>
      <c r="I11" s="161"/>
      <c r="J11" s="156"/>
      <c r="O11"/>
      <c r="P11"/>
      <c r="Q11"/>
    </row>
    <row r="12" spans="1:17">
      <c r="B12" s="155">
        <f t="shared" si="0"/>
        <v>2018</v>
      </c>
      <c r="C12" s="160"/>
      <c r="D12" s="162">
        <f t="shared" si="1"/>
        <v>43863</v>
      </c>
      <c r="E12" s="162">
        <f t="shared" si="2"/>
        <v>48461.42</v>
      </c>
      <c r="F12"/>
      <c r="G12" s="161"/>
      <c r="H12" s="161"/>
      <c r="I12" s="161"/>
      <c r="J12" s="174"/>
      <c r="O12"/>
      <c r="P12"/>
      <c r="Q12"/>
    </row>
    <row r="13" spans="1:17">
      <c r="B13" s="155">
        <f t="shared" si="0"/>
        <v>2019</v>
      </c>
      <c r="C13" s="160"/>
      <c r="D13" s="162">
        <f t="shared" si="1"/>
        <v>43863</v>
      </c>
      <c r="E13" s="162">
        <f t="shared" si="2"/>
        <v>48461.42</v>
      </c>
      <c r="F13"/>
      <c r="G13" s="162">
        <f>D13+E13</f>
        <v>92324.42</v>
      </c>
      <c r="H13" s="146">
        <v>12</v>
      </c>
      <c r="I13" s="162">
        <f t="shared" ref="I13:I34" si="3">G13*H13/12</f>
        <v>92324.42</v>
      </c>
      <c r="J13" s="174"/>
      <c r="O13"/>
      <c r="P13"/>
      <c r="Q13"/>
    </row>
    <row r="14" spans="1:17">
      <c r="B14" s="155">
        <f t="shared" si="0"/>
        <v>2020</v>
      </c>
      <c r="C14" s="160"/>
      <c r="D14" s="162">
        <f t="shared" si="1"/>
        <v>43863</v>
      </c>
      <c r="E14" s="162">
        <f t="shared" si="2"/>
        <v>48461.42</v>
      </c>
      <c r="F14"/>
      <c r="G14" s="162">
        <f t="shared" ref="G14:G34" si="4">D14+E14</f>
        <v>92324.42</v>
      </c>
      <c r="H14" s="146">
        <v>12</v>
      </c>
      <c r="I14" s="162">
        <f t="shared" si="3"/>
        <v>92324.42</v>
      </c>
      <c r="J14" s="174"/>
      <c r="O14"/>
      <c r="P14"/>
      <c r="Q14"/>
    </row>
    <row r="15" spans="1:17">
      <c r="B15" s="155">
        <f t="shared" si="0"/>
        <v>2021</v>
      </c>
      <c r="C15" s="160"/>
      <c r="D15" s="162">
        <f t="shared" si="1"/>
        <v>45617.52</v>
      </c>
      <c r="E15" s="162">
        <f t="shared" si="2"/>
        <v>50399.88</v>
      </c>
      <c r="F15"/>
      <c r="G15" s="162">
        <f t="shared" si="4"/>
        <v>96017.4</v>
      </c>
      <c r="H15" s="146">
        <v>12</v>
      </c>
      <c r="I15" s="162">
        <f t="shared" si="3"/>
        <v>96017.39999999998</v>
      </c>
      <c r="J15" s="174"/>
      <c r="O15"/>
      <c r="P15"/>
      <c r="Q15"/>
    </row>
    <row r="16" spans="1:17">
      <c r="B16" s="155">
        <f t="shared" si="0"/>
        <v>2022</v>
      </c>
      <c r="C16" s="160"/>
      <c r="D16" s="162">
        <f t="shared" si="1"/>
        <v>46757.96</v>
      </c>
      <c r="E16" s="162">
        <f t="shared" si="2"/>
        <v>51659.88</v>
      </c>
      <c r="F16"/>
      <c r="G16" s="162">
        <f t="shared" si="4"/>
        <v>98417.84</v>
      </c>
      <c r="H16" s="146">
        <v>12</v>
      </c>
      <c r="I16" s="162">
        <f t="shared" si="3"/>
        <v>98417.840000000011</v>
      </c>
      <c r="J16" s="174"/>
      <c r="O16"/>
      <c r="P16"/>
      <c r="Q16"/>
    </row>
    <row r="17" spans="2:17">
      <c r="B17" s="155">
        <f t="shared" si="0"/>
        <v>2023</v>
      </c>
      <c r="C17" s="160"/>
      <c r="D17" s="162">
        <f t="shared" si="1"/>
        <v>47646.36</v>
      </c>
      <c r="E17" s="162">
        <f t="shared" si="2"/>
        <v>52641.42</v>
      </c>
      <c r="F17"/>
      <c r="G17" s="162">
        <f t="shared" si="4"/>
        <v>100287.78</v>
      </c>
      <c r="H17" s="146">
        <v>12</v>
      </c>
      <c r="I17" s="162">
        <f t="shared" si="3"/>
        <v>100287.77999999998</v>
      </c>
      <c r="J17" s="174"/>
      <c r="O17"/>
      <c r="P17"/>
      <c r="Q17"/>
    </row>
    <row r="18" spans="2:17">
      <c r="B18" s="155">
        <f t="shared" si="0"/>
        <v>2024</v>
      </c>
      <c r="C18" s="160"/>
      <c r="D18" s="162">
        <f t="shared" si="1"/>
        <v>48694.58</v>
      </c>
      <c r="E18" s="162">
        <f t="shared" si="2"/>
        <v>53799.53</v>
      </c>
      <c r="F18"/>
      <c r="G18" s="162">
        <f t="shared" si="4"/>
        <v>102494.11</v>
      </c>
      <c r="H18" s="146">
        <v>12</v>
      </c>
      <c r="I18" s="162">
        <f t="shared" si="3"/>
        <v>102494.11</v>
      </c>
      <c r="J18" s="174"/>
      <c r="O18"/>
      <c r="P18"/>
      <c r="Q18"/>
    </row>
    <row r="19" spans="2:17">
      <c r="B19" s="155">
        <f t="shared" si="0"/>
        <v>2025</v>
      </c>
      <c r="C19" s="160"/>
      <c r="D19" s="162">
        <f t="shared" si="1"/>
        <v>49814.559999999998</v>
      </c>
      <c r="E19" s="162">
        <f t="shared" si="2"/>
        <v>55036.92</v>
      </c>
      <c r="F19"/>
      <c r="G19" s="162">
        <f t="shared" si="4"/>
        <v>104851.48</v>
      </c>
      <c r="H19" s="146">
        <v>12</v>
      </c>
      <c r="I19" s="162">
        <f t="shared" si="3"/>
        <v>104851.48</v>
      </c>
      <c r="J19" s="174"/>
      <c r="O19"/>
      <c r="P19"/>
      <c r="Q19"/>
    </row>
    <row r="20" spans="2:17">
      <c r="B20" s="155">
        <f t="shared" si="0"/>
        <v>2026</v>
      </c>
      <c r="C20" s="160"/>
      <c r="D20" s="162">
        <f t="shared" si="1"/>
        <v>51010.11</v>
      </c>
      <c r="E20" s="162">
        <f t="shared" si="2"/>
        <v>56357.81</v>
      </c>
      <c r="F20"/>
      <c r="G20" s="162">
        <f t="shared" si="4"/>
        <v>107367.92</v>
      </c>
      <c r="H20" s="146">
        <v>12</v>
      </c>
      <c r="I20" s="162">
        <f t="shared" si="3"/>
        <v>107367.92</v>
      </c>
      <c r="J20" s="174"/>
      <c r="O20"/>
      <c r="P20"/>
      <c r="Q20"/>
    </row>
    <row r="21" spans="2:17">
      <c r="B21" s="155">
        <f t="shared" si="0"/>
        <v>2027</v>
      </c>
      <c r="C21" s="160"/>
      <c r="D21" s="162">
        <f t="shared" si="1"/>
        <v>52285.36</v>
      </c>
      <c r="E21" s="162">
        <f t="shared" si="2"/>
        <v>57766.76</v>
      </c>
      <c r="F21"/>
      <c r="G21" s="162">
        <f t="shared" si="4"/>
        <v>110052.12</v>
      </c>
      <c r="H21" s="146">
        <v>12</v>
      </c>
      <c r="I21" s="162">
        <f t="shared" si="3"/>
        <v>110052.12</v>
      </c>
      <c r="J21" s="174"/>
      <c r="O21"/>
      <c r="P21"/>
      <c r="Q21"/>
    </row>
    <row r="22" spans="2:17">
      <c r="B22" s="155">
        <f t="shared" si="0"/>
        <v>2028</v>
      </c>
      <c r="C22" s="160"/>
      <c r="D22" s="162">
        <f t="shared" si="1"/>
        <v>53592.49</v>
      </c>
      <c r="E22" s="162">
        <f t="shared" si="2"/>
        <v>59210.93</v>
      </c>
      <c r="F22"/>
      <c r="G22" s="162">
        <f t="shared" si="4"/>
        <v>112803.42</v>
      </c>
      <c r="H22" s="146">
        <v>12</v>
      </c>
      <c r="I22" s="162">
        <f t="shared" si="3"/>
        <v>112803.42</v>
      </c>
      <c r="J22" s="174"/>
      <c r="O22"/>
      <c r="P22"/>
      <c r="Q22"/>
    </row>
    <row r="23" spans="2:17">
      <c r="B23" s="155">
        <f t="shared" si="0"/>
        <v>2029</v>
      </c>
      <c r="C23" s="160"/>
      <c r="D23" s="162">
        <f t="shared" si="1"/>
        <v>54878.71</v>
      </c>
      <c r="E23" s="162">
        <f t="shared" si="2"/>
        <v>60631.99</v>
      </c>
      <c r="F23"/>
      <c r="G23" s="162">
        <f t="shared" si="4"/>
        <v>115510.7</v>
      </c>
      <c r="H23" s="146">
        <v>12</v>
      </c>
      <c r="I23" s="162">
        <f t="shared" si="3"/>
        <v>115510.7</v>
      </c>
      <c r="J23" s="174"/>
      <c r="O23"/>
      <c r="P23"/>
      <c r="Q23"/>
    </row>
    <row r="24" spans="2:17">
      <c r="B24" s="155">
        <f t="shared" si="0"/>
        <v>2030</v>
      </c>
      <c r="C24" s="160"/>
      <c r="D24" s="162">
        <f t="shared" si="1"/>
        <v>56140.92</v>
      </c>
      <c r="E24" s="162">
        <f t="shared" si="2"/>
        <v>62026.53</v>
      </c>
      <c r="F24"/>
      <c r="G24" s="162">
        <f t="shared" si="4"/>
        <v>118167.45</v>
      </c>
      <c r="H24" s="146">
        <v>12</v>
      </c>
      <c r="I24" s="162">
        <f t="shared" si="3"/>
        <v>118167.45</v>
      </c>
      <c r="J24" s="174"/>
      <c r="O24"/>
      <c r="P24"/>
      <c r="Q24"/>
    </row>
    <row r="25" spans="2:17">
      <c r="B25" s="155">
        <f t="shared" si="0"/>
        <v>2031</v>
      </c>
      <c r="C25" s="160"/>
      <c r="D25" s="162">
        <f t="shared" si="1"/>
        <v>57432.160000000003</v>
      </c>
      <c r="E25" s="162">
        <f t="shared" si="2"/>
        <v>63453.14</v>
      </c>
      <c r="F25"/>
      <c r="G25" s="162">
        <f t="shared" si="4"/>
        <v>120885.3</v>
      </c>
      <c r="H25" s="146">
        <v>12</v>
      </c>
      <c r="I25" s="162">
        <f t="shared" si="3"/>
        <v>120885.3</v>
      </c>
      <c r="J25" s="174"/>
      <c r="O25"/>
      <c r="P25"/>
      <c r="Q25"/>
    </row>
    <row r="26" spans="2:17">
      <c r="B26" s="155">
        <f t="shared" si="0"/>
        <v>2032</v>
      </c>
      <c r="C26" s="160"/>
      <c r="D26" s="162">
        <f t="shared" si="1"/>
        <v>58753.1</v>
      </c>
      <c r="E26" s="162">
        <f t="shared" si="2"/>
        <v>64912.56</v>
      </c>
      <c r="F26"/>
      <c r="G26" s="162">
        <f t="shared" si="4"/>
        <v>123665.66</v>
      </c>
      <c r="H26" s="146">
        <v>12</v>
      </c>
      <c r="I26" s="162">
        <f t="shared" si="3"/>
        <v>123665.65999999999</v>
      </c>
      <c r="J26" s="174"/>
      <c r="O26"/>
      <c r="P26"/>
      <c r="Q26"/>
    </row>
    <row r="27" spans="2:17">
      <c r="B27" s="155">
        <f t="shared" si="0"/>
        <v>2033</v>
      </c>
      <c r="C27" s="160"/>
      <c r="D27" s="162">
        <f t="shared" si="1"/>
        <v>60104.42</v>
      </c>
      <c r="E27" s="162">
        <f t="shared" si="2"/>
        <v>66405.55</v>
      </c>
      <c r="F27"/>
      <c r="G27" s="162">
        <f t="shared" si="4"/>
        <v>126509.97</v>
      </c>
      <c r="H27" s="146">
        <v>12</v>
      </c>
      <c r="I27" s="162">
        <f t="shared" si="3"/>
        <v>126509.97000000002</v>
      </c>
      <c r="J27" s="174"/>
      <c r="O27"/>
      <c r="P27"/>
      <c r="Q27"/>
    </row>
    <row r="28" spans="2:17">
      <c r="B28" s="155">
        <f t="shared" si="0"/>
        <v>2034</v>
      </c>
      <c r="C28" s="160"/>
      <c r="D28" s="162">
        <f t="shared" si="1"/>
        <v>61486.82</v>
      </c>
      <c r="E28" s="162">
        <f t="shared" si="2"/>
        <v>67932.88</v>
      </c>
      <c r="F28"/>
      <c r="G28" s="162">
        <f t="shared" si="4"/>
        <v>129419.70000000001</v>
      </c>
      <c r="H28" s="146">
        <v>12</v>
      </c>
      <c r="I28" s="162">
        <f t="shared" si="3"/>
        <v>129419.70000000001</v>
      </c>
      <c r="J28" s="174"/>
      <c r="O28"/>
      <c r="P28"/>
      <c r="Q28"/>
    </row>
    <row r="29" spans="2:17">
      <c r="B29" s="155">
        <f t="shared" si="0"/>
        <v>2035</v>
      </c>
      <c r="C29" s="160"/>
      <c r="D29" s="162">
        <f t="shared" si="1"/>
        <v>62901.02</v>
      </c>
      <c r="E29" s="162">
        <f t="shared" si="2"/>
        <v>69495.34</v>
      </c>
      <c r="F29"/>
      <c r="G29" s="162">
        <f t="shared" si="4"/>
        <v>132396.35999999999</v>
      </c>
      <c r="H29" s="146">
        <v>12</v>
      </c>
      <c r="I29" s="162">
        <f t="shared" si="3"/>
        <v>132396.35999999999</v>
      </c>
      <c r="J29" s="174"/>
      <c r="O29"/>
      <c r="P29"/>
      <c r="Q29"/>
    </row>
    <row r="30" spans="2:17">
      <c r="B30" s="155">
        <f t="shared" si="0"/>
        <v>2036</v>
      </c>
      <c r="C30" s="160"/>
      <c r="D30" s="162">
        <f t="shared" si="1"/>
        <v>64347.74</v>
      </c>
      <c r="E30" s="162">
        <f t="shared" si="2"/>
        <v>71093.73</v>
      </c>
      <c r="F30"/>
      <c r="G30" s="162">
        <f t="shared" si="4"/>
        <v>135441.47</v>
      </c>
      <c r="H30" s="146">
        <v>12</v>
      </c>
      <c r="I30" s="162">
        <f t="shared" si="3"/>
        <v>135441.47</v>
      </c>
      <c r="J30" s="174"/>
      <c r="O30"/>
      <c r="P30"/>
      <c r="Q30"/>
    </row>
    <row r="31" spans="2:17">
      <c r="B31" s="155">
        <f t="shared" si="0"/>
        <v>2037</v>
      </c>
      <c r="C31" s="160"/>
      <c r="D31" s="162">
        <f t="shared" si="1"/>
        <v>65827.740000000005</v>
      </c>
      <c r="E31" s="162">
        <f t="shared" si="2"/>
        <v>72728.89</v>
      </c>
      <c r="F31"/>
      <c r="G31" s="162">
        <f t="shared" si="4"/>
        <v>138556.63</v>
      </c>
      <c r="H31" s="146">
        <v>12</v>
      </c>
      <c r="I31" s="162">
        <f t="shared" si="3"/>
        <v>138556.63</v>
      </c>
      <c r="J31" s="174"/>
      <c r="O31"/>
      <c r="P31"/>
      <c r="Q31"/>
    </row>
    <row r="32" spans="2:17">
      <c r="B32" s="155">
        <f t="shared" si="0"/>
        <v>2038</v>
      </c>
      <c r="C32" s="160"/>
      <c r="D32" s="162">
        <f t="shared" si="1"/>
        <v>67341.78</v>
      </c>
      <c r="E32" s="162">
        <f t="shared" si="2"/>
        <v>74401.649999999994</v>
      </c>
      <c r="F32"/>
      <c r="G32" s="162">
        <f t="shared" si="4"/>
        <v>141743.43</v>
      </c>
      <c r="H32" s="146">
        <v>12</v>
      </c>
      <c r="I32" s="162">
        <f t="shared" si="3"/>
        <v>141743.43</v>
      </c>
      <c r="J32" s="174"/>
      <c r="O32"/>
      <c r="P32"/>
      <c r="Q32"/>
    </row>
    <row r="33" spans="2:17">
      <c r="B33" s="155">
        <f t="shared" si="0"/>
        <v>2039</v>
      </c>
      <c r="C33" s="160"/>
      <c r="D33" s="162">
        <f t="shared" si="1"/>
        <v>68890.64</v>
      </c>
      <c r="E33" s="162">
        <f t="shared" si="2"/>
        <v>76112.89</v>
      </c>
      <c r="F33"/>
      <c r="G33" s="162">
        <f t="shared" si="4"/>
        <v>145003.53</v>
      </c>
      <c r="H33" s="146">
        <v>12</v>
      </c>
      <c r="I33" s="162">
        <f t="shared" si="3"/>
        <v>145003.53</v>
      </c>
      <c r="J33" s="174"/>
      <c r="O33"/>
      <c r="P33"/>
      <c r="Q33"/>
    </row>
    <row r="34" spans="2:17">
      <c r="B34" s="155">
        <f t="shared" si="0"/>
        <v>2040</v>
      </c>
      <c r="C34" s="160"/>
      <c r="D34" s="162">
        <f t="shared" si="1"/>
        <v>70475.12</v>
      </c>
      <c r="E34" s="162">
        <f t="shared" si="2"/>
        <v>77863.490000000005</v>
      </c>
      <c r="F34"/>
      <c r="G34" s="162">
        <f t="shared" si="4"/>
        <v>148338.60999999999</v>
      </c>
      <c r="H34" s="146">
        <v>12</v>
      </c>
      <c r="I34" s="162">
        <f t="shared" si="3"/>
        <v>148338.60999999999</v>
      </c>
      <c r="J34" s="174"/>
      <c r="O34"/>
      <c r="P34"/>
      <c r="Q34"/>
    </row>
    <row r="35" spans="2:17">
      <c r="B35" s="155">
        <f t="shared" si="0"/>
        <v>2041</v>
      </c>
      <c r="C35" s="160"/>
      <c r="D35" s="162">
        <f t="shared" si="1"/>
        <v>72025.570000000007</v>
      </c>
      <c r="E35" s="162">
        <f t="shared" si="2"/>
        <v>79576.490000000005</v>
      </c>
      <c r="F35"/>
      <c r="G35" s="162">
        <f t="shared" ref="G35" si="5">D35+E35</f>
        <v>151602.06</v>
      </c>
      <c r="H35" s="146">
        <v>12</v>
      </c>
      <c r="I35" s="162">
        <f t="shared" ref="I35" si="6">G35*H35/12</f>
        <v>151602.06</v>
      </c>
      <c r="J35" s="174"/>
      <c r="O35"/>
      <c r="P35"/>
      <c r="Q35"/>
    </row>
    <row r="36" spans="2:17">
      <c r="B36" s="34"/>
      <c r="C36" s="22"/>
      <c r="D36" s="159"/>
      <c r="E36" s="159"/>
      <c r="F36" s="159"/>
      <c r="G36" s="159"/>
      <c r="H36" s="159"/>
      <c r="I36" s="159"/>
      <c r="J36" s="159"/>
      <c r="K36" s="159"/>
      <c r="L36" s="159"/>
    </row>
    <row r="37" spans="2:17">
      <c r="B37" s="159"/>
      <c r="C37" s="173" t="str">
        <f>D7</f>
        <v>(b)</v>
      </c>
      <c r="D37" s="172" t="str">
        <f>"= "&amp;C7&amp;" x "&amp;TEXT(C49,"0.000% ")&amp;"Payment Factor"</f>
        <v>= (a) x 7.119% Payment Factor</v>
      </c>
      <c r="E37" s="159"/>
      <c r="F37" s="159"/>
      <c r="G37" s="159"/>
      <c r="H37" s="159"/>
      <c r="I37" s="159"/>
      <c r="J37" s="159"/>
      <c r="K37" s="159"/>
      <c r="L37" s="159"/>
    </row>
    <row r="38" spans="2:17">
      <c r="B38" s="159"/>
      <c r="C38" s="173" t="s">
        <v>7</v>
      </c>
      <c r="D38" s="172" t="str">
        <f>"= "&amp;D7&amp;" + "&amp;E7</f>
        <v>= (b) + (c)</v>
      </c>
      <c r="E38" s="159"/>
      <c r="F38" s="159"/>
      <c r="G38" s="159"/>
      <c r="H38" s="159"/>
      <c r="I38" s="159"/>
      <c r="J38" s="159"/>
      <c r="K38" s="159"/>
      <c r="L38" s="159"/>
    </row>
    <row r="39" spans="2:17">
      <c r="B39" s="159"/>
      <c r="C39" s="173" t="str">
        <f>G7</f>
        <v>(d)</v>
      </c>
      <c r="D39" s="172" t="s">
        <v>159</v>
      </c>
      <c r="E39" s="159"/>
      <c r="F39" s="159"/>
      <c r="G39" s="159"/>
      <c r="H39" s="159"/>
      <c r="I39" s="159"/>
      <c r="J39" s="159"/>
      <c r="K39" s="159"/>
      <c r="L39" s="159"/>
    </row>
    <row r="40" spans="2:17">
      <c r="B40" s="159"/>
      <c r="C40" s="173" t="str">
        <f>I7</f>
        <v>(f)</v>
      </c>
      <c r="D40" s="172" t="str">
        <f>"= "&amp;G7&amp;" x "&amp;H7&amp;" / 12"</f>
        <v>= (d) x (e) / 12</v>
      </c>
      <c r="E40" s="159"/>
      <c r="F40" s="159"/>
      <c r="G40" s="159"/>
      <c r="H40" s="159"/>
      <c r="I40" s="159"/>
      <c r="J40" s="159"/>
      <c r="K40" s="159"/>
      <c r="L40" s="159"/>
    </row>
    <row r="41" spans="2:17" ht="6" customHeight="1" thickBot="1">
      <c r="B41" s="159"/>
      <c r="C41" s="173"/>
      <c r="D41" s="172"/>
      <c r="E41" s="159"/>
      <c r="F41" s="159"/>
      <c r="G41" s="159"/>
      <c r="H41" s="159"/>
      <c r="I41" s="159"/>
      <c r="J41" s="159"/>
      <c r="K41" s="159"/>
      <c r="L41" s="159"/>
    </row>
    <row r="42" spans="2:17" ht="13.5" thickBot="1">
      <c r="B42" s="159"/>
      <c r="C42" s="171" t="s">
        <v>118</v>
      </c>
      <c r="D42" s="92"/>
      <c r="E42" s="170"/>
      <c r="F42" s="92"/>
      <c r="G42" s="92"/>
      <c r="H42" s="92"/>
      <c r="I42" s="92"/>
      <c r="J42" s="23"/>
    </row>
    <row r="43" spans="2:17">
      <c r="B43" s="159"/>
      <c r="C43" s="159">
        <v>227.654578125</v>
      </c>
      <c r="D43" s="144" t="s">
        <v>16</v>
      </c>
      <c r="E43" s="159"/>
      <c r="J43" s="159"/>
    </row>
    <row r="44" spans="2:17">
      <c r="B44" s="159" t="s">
        <v>113</v>
      </c>
      <c r="C44" s="154">
        <v>616.13773555279954</v>
      </c>
      <c r="D44" s="144" t="s">
        <v>117</v>
      </c>
      <c r="E44" s="169"/>
      <c r="F44" s="24"/>
      <c r="G44" s="25"/>
      <c r="H44" s="25"/>
      <c r="I44" s="159"/>
      <c r="J44" s="159"/>
    </row>
    <row r="45" spans="2:17">
      <c r="B45" s="159" t="s">
        <v>113</v>
      </c>
      <c r="C45" s="152">
        <v>14.060233397539761</v>
      </c>
      <c r="D45" s="48" t="s">
        <v>28</v>
      </c>
      <c r="E45" s="169"/>
      <c r="F45" s="24"/>
      <c r="G45" s="25"/>
      <c r="H45" s="25"/>
      <c r="I45" s="159"/>
      <c r="J45" s="159"/>
    </row>
    <row r="46" spans="2:17">
      <c r="B46" s="159" t="s">
        <v>113</v>
      </c>
      <c r="C46" s="153">
        <v>34.401182255999998</v>
      </c>
      <c r="D46" s="48" t="s">
        <v>27</v>
      </c>
      <c r="E46" s="169"/>
      <c r="F46" s="24"/>
      <c r="G46" s="25"/>
      <c r="H46" s="25"/>
      <c r="I46" s="159"/>
      <c r="J46" s="159"/>
    </row>
    <row r="47" spans="2:17">
      <c r="B47" s="159"/>
      <c r="C47" s="152">
        <f>C45+C46</f>
        <v>48.46141565353976</v>
      </c>
      <c r="D47" s="48" t="s">
        <v>116</v>
      </c>
      <c r="E47" s="169"/>
      <c r="F47" s="24"/>
      <c r="G47" s="25"/>
      <c r="H47" s="25"/>
      <c r="I47" s="159"/>
      <c r="J47" s="159"/>
    </row>
    <row r="48" spans="2:17">
      <c r="B48" s="159"/>
      <c r="C48" s="152"/>
      <c r="D48" s="48"/>
      <c r="E48" s="169"/>
      <c r="F48" s="24"/>
      <c r="G48" s="25"/>
      <c r="H48" s="25"/>
      <c r="I48" s="159"/>
      <c r="J48" s="159"/>
    </row>
    <row r="49" spans="2:15">
      <c r="B49" s="159"/>
      <c r="C49" s="201">
        <v>7.1190000000000003E-2</v>
      </c>
      <c r="D49" s="144" t="s">
        <v>158</v>
      </c>
      <c r="E49" s="159"/>
      <c r="F49" s="159"/>
      <c r="G49" s="159"/>
      <c r="H49" s="159"/>
      <c r="I49" s="159"/>
      <c r="J49" s="159"/>
    </row>
    <row r="50" spans="2:15" ht="13.5" thickBot="1">
      <c r="B50" s="35"/>
      <c r="C50" s="35"/>
      <c r="D50" s="35"/>
      <c r="E50" s="35"/>
      <c r="F50" s="35"/>
      <c r="G50" s="35"/>
      <c r="H50" s="35"/>
      <c r="I50" s="35"/>
    </row>
    <row r="51" spans="2:15" ht="13.5" thickBot="1">
      <c r="C51" s="20" t="str">
        <f>'Table D - Integration'!$B$40</f>
        <v>Company Official Inflation Forecast Sept 2021</v>
      </c>
      <c r="D51" s="21"/>
      <c r="E51" s="21"/>
      <c r="F51" s="21"/>
      <c r="G51" s="21"/>
      <c r="H51" s="21"/>
      <c r="I51" s="21"/>
      <c r="J51" s="147"/>
    </row>
    <row r="52" spans="2:15">
      <c r="C52" s="146">
        <f>'Table D - Integration'!B41</f>
        <v>2021</v>
      </c>
      <c r="D52" s="143">
        <f>'Table D - Integration'!C41</f>
        <v>0.04</v>
      </c>
      <c r="E52" s="48"/>
      <c r="F52" s="146">
        <f>'Table D - Integration'!E41</f>
        <v>2029</v>
      </c>
      <c r="G52" s="143">
        <f>'Table D - Integration'!F41</f>
        <v>2.4E-2</v>
      </c>
      <c r="H52" s="143"/>
      <c r="I52" s="146">
        <f>'Table D - Integration'!H41</f>
        <v>2037</v>
      </c>
      <c r="J52" s="143">
        <f>'Table D - Integration'!I41</f>
        <v>2.3E-2</v>
      </c>
      <c r="K52" s="48"/>
      <c r="N52" s="146"/>
      <c r="O52" s="143"/>
    </row>
    <row r="53" spans="2:15">
      <c r="C53" s="146">
        <f>'Table D - Integration'!B42</f>
        <v>2022</v>
      </c>
      <c r="D53" s="143">
        <f>'Table D - Integration'!C42</f>
        <v>2.5000000000000001E-2</v>
      </c>
      <c r="E53" s="48"/>
      <c r="F53" s="146">
        <f>'Table D - Integration'!E42</f>
        <v>2030</v>
      </c>
      <c r="G53" s="143">
        <f>'Table D - Integration'!F42</f>
        <v>2.3E-2</v>
      </c>
      <c r="H53" s="143"/>
      <c r="I53" s="146">
        <f>'Table D - Integration'!H42</f>
        <v>2038</v>
      </c>
      <c r="J53" s="143">
        <f>'Table D - Integration'!I42</f>
        <v>2.3E-2</v>
      </c>
      <c r="K53" s="48"/>
      <c r="N53" s="146"/>
      <c r="O53" s="143"/>
    </row>
    <row r="54" spans="2:15">
      <c r="C54" s="146">
        <f>'Table D - Integration'!B43</f>
        <v>2023</v>
      </c>
      <c r="D54" s="143">
        <f>'Table D - Integration'!C43</f>
        <v>1.9E-2</v>
      </c>
      <c r="E54" s="48"/>
      <c r="F54" s="146">
        <f>'Table D - Integration'!E43</f>
        <v>2031</v>
      </c>
      <c r="G54" s="143">
        <f>'Table D - Integration'!F43</f>
        <v>2.3E-2</v>
      </c>
      <c r="H54" s="143"/>
      <c r="I54" s="146">
        <f>'Table D - Integration'!H43</f>
        <v>2039</v>
      </c>
      <c r="J54" s="143">
        <f>'Table D - Integration'!I43</f>
        <v>2.3E-2</v>
      </c>
      <c r="K54" s="48"/>
      <c r="N54" s="146"/>
      <c r="O54" s="143"/>
    </row>
    <row r="55" spans="2:15">
      <c r="C55" s="146">
        <f>'Table D - Integration'!B44</f>
        <v>2024</v>
      </c>
      <c r="D55" s="143">
        <f>'Table D - Integration'!C44</f>
        <v>2.1999999999999999E-2</v>
      </c>
      <c r="E55" s="48"/>
      <c r="F55" s="146">
        <f>'Table D - Integration'!E44</f>
        <v>2032</v>
      </c>
      <c r="G55" s="143">
        <f>'Table D - Integration'!F44</f>
        <v>2.3E-2</v>
      </c>
      <c r="H55" s="143"/>
      <c r="I55" s="146">
        <f>'Table D - Integration'!H44</f>
        <v>2040</v>
      </c>
      <c r="J55" s="143">
        <f>'Table D - Integration'!I44</f>
        <v>2.3E-2</v>
      </c>
      <c r="K55" s="48"/>
      <c r="N55" s="146"/>
      <c r="O55" s="143"/>
    </row>
    <row r="56" spans="2:15">
      <c r="C56" s="146">
        <f>'Table D - Integration'!B45</f>
        <v>2025</v>
      </c>
      <c r="D56" s="143">
        <f>'Table D - Integration'!C45</f>
        <v>2.3E-2</v>
      </c>
      <c r="E56" s="48"/>
      <c r="F56" s="146">
        <f>'Table D - Integration'!E45</f>
        <v>2033</v>
      </c>
      <c r="G56" s="143">
        <f>'Table D - Integration'!F45</f>
        <v>2.3E-2</v>
      </c>
      <c r="H56" s="143"/>
      <c r="I56" s="146">
        <f>'Table D - Integration'!H45</f>
        <v>2041</v>
      </c>
      <c r="J56" s="143">
        <f>'Table D - Integration'!I45</f>
        <v>2.1999999999999999E-2</v>
      </c>
      <c r="K56" s="48"/>
      <c r="N56" s="146"/>
      <c r="O56" s="143"/>
    </row>
    <row r="57" spans="2:15">
      <c r="C57" s="146">
        <f>'Table D - Integration'!B46</f>
        <v>2026</v>
      </c>
      <c r="D57" s="143">
        <f>'Table D - Integration'!C46</f>
        <v>2.4E-2</v>
      </c>
      <c r="E57" s="48"/>
      <c r="F57" s="146">
        <f>'Table D - Integration'!E46</f>
        <v>2034</v>
      </c>
      <c r="G57" s="143">
        <f>'Table D - Integration'!F46</f>
        <v>2.3E-2</v>
      </c>
      <c r="H57" s="143"/>
      <c r="I57"/>
      <c r="J57"/>
      <c r="K57" s="48"/>
      <c r="N57" s="146"/>
      <c r="O57" s="143"/>
    </row>
    <row r="58" spans="2:15" s="145" customFormat="1">
      <c r="C58" s="146">
        <f>'Table D - Integration'!B47</f>
        <v>2027</v>
      </c>
      <c r="D58" s="143">
        <f>'Table D - Integration'!C47</f>
        <v>2.5000000000000001E-2</v>
      </c>
      <c r="E58" s="54"/>
      <c r="F58" s="146">
        <f>'Table D - Integration'!E47</f>
        <v>2035</v>
      </c>
      <c r="G58" s="143">
        <f>'Table D - Integration'!F47</f>
        <v>2.3E-2</v>
      </c>
      <c r="H58" s="143"/>
      <c r="I58"/>
      <c r="J58"/>
      <c r="K58" s="54"/>
      <c r="N58" s="146"/>
      <c r="O58" s="143"/>
    </row>
    <row r="59" spans="2:15" s="145" customFormat="1">
      <c r="C59" s="146">
        <f>'Table D - Integration'!B48</f>
        <v>2028</v>
      </c>
      <c r="D59" s="143">
        <f>'Table D - Integration'!C48</f>
        <v>2.5000000000000001E-2</v>
      </c>
      <c r="E59" s="54"/>
      <c r="F59" s="146">
        <f>'Table D - Integration'!E48</f>
        <v>2036</v>
      </c>
      <c r="G59" s="143">
        <f>'Table D - Integration'!F48</f>
        <v>2.3E-2</v>
      </c>
      <c r="H59" s="143"/>
      <c r="I59"/>
      <c r="J59"/>
      <c r="K59" s="54"/>
      <c r="N59" s="146"/>
      <c r="O59" s="143"/>
    </row>
    <row r="60" spans="2:15" s="145" customFormat="1">
      <c r="E60" s="54"/>
      <c r="F60" s="146"/>
      <c r="G60" s="143"/>
      <c r="H60" s="143"/>
      <c r="I60"/>
      <c r="J60"/>
      <c r="K60" s="54"/>
      <c r="N60" s="146"/>
      <c r="O60" s="143"/>
    </row>
  </sheetData>
  <printOptions horizontalCentered="1"/>
  <pageMargins left="0.25" right="0.25" top="0.75" bottom="0.75" header="0.3" footer="0.3"/>
  <pageSetup scale="95" orientation="portrait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Q57"/>
  <sheetViews>
    <sheetView tabSelected="1" workbookViewId="0">
      <selection activeCell="J2" sqref="J2"/>
    </sheetView>
  </sheetViews>
  <sheetFormatPr defaultRowHeight="15"/>
  <cols>
    <col min="1" max="3" width="9.33203125" style="182"/>
    <col min="4" max="4" width="20.1640625" style="182" customWidth="1"/>
    <col min="5" max="5" width="15.33203125" style="182" customWidth="1"/>
    <col min="6" max="6" width="14.83203125" style="182" customWidth="1"/>
    <col min="7" max="7" width="14.33203125" style="182" customWidth="1"/>
    <col min="8" max="8" width="11.83203125" style="182" customWidth="1"/>
    <col min="9" max="9" width="9.33203125" style="182"/>
    <col min="10" max="10" width="13.33203125" style="182" customWidth="1"/>
    <col min="11" max="11" width="12.83203125" style="182" customWidth="1"/>
    <col min="12" max="16384" width="9.33203125" style="182"/>
  </cols>
  <sheetData>
    <row r="1" spans="2:17" ht="15.75">
      <c r="B1" s="356" t="s">
        <v>184</v>
      </c>
      <c r="C1" s="348"/>
      <c r="D1" s="348"/>
      <c r="E1" s="348"/>
      <c r="F1" s="348"/>
      <c r="G1" s="348"/>
      <c r="H1" s="348"/>
    </row>
    <row r="2" spans="2:17" ht="15.75">
      <c r="B2" s="356" t="s">
        <v>139</v>
      </c>
      <c r="C2" s="348"/>
      <c r="D2" s="348"/>
      <c r="E2" s="348"/>
      <c r="F2" s="348"/>
      <c r="G2" s="348"/>
      <c r="H2" s="348"/>
      <c r="J2" s="330" t="s">
        <v>223</v>
      </c>
      <c r="K2" s="331"/>
      <c r="L2" s="331"/>
    </row>
    <row r="3" spans="2:17" s="144" customFormat="1" ht="15.75">
      <c r="B3" s="32" t="s">
        <v>136</v>
      </c>
      <c r="C3" s="33"/>
      <c r="D3" s="33"/>
      <c r="E3" s="33"/>
      <c r="F3" s="33"/>
      <c r="G3" s="33"/>
      <c r="H3" s="33"/>
      <c r="J3" s="357" t="s">
        <v>194</v>
      </c>
      <c r="K3" s="348"/>
      <c r="L3" s="348"/>
      <c r="M3" s="146"/>
    </row>
    <row r="4" spans="2:17" s="144" customFormat="1">
      <c r="B4" s="36"/>
      <c r="C4" s="36"/>
      <c r="D4" s="36"/>
      <c r="E4" s="36"/>
      <c r="F4" s="36"/>
      <c r="G4" s="36"/>
      <c r="H4" s="36"/>
      <c r="K4" s="183"/>
      <c r="M4" s="146"/>
      <c r="O4" s="320"/>
      <c r="P4" s="320" t="s">
        <v>209</v>
      </c>
    </row>
    <row r="5" spans="2:17" s="144" customFormat="1" ht="51.75">
      <c r="B5" s="83" t="s">
        <v>2</v>
      </c>
      <c r="C5" s="84" t="s">
        <v>135</v>
      </c>
      <c r="D5" s="84" t="s">
        <v>218</v>
      </c>
      <c r="E5" s="151" t="str">
        <f>"Total Capacity Cost @ "&amp;TEXT(C44,"00.0%")&amp;" Contribution"</f>
        <v>Total Capacity Cost @ 64.8% Contribution</v>
      </c>
      <c r="F5" s="151" t="s">
        <v>115</v>
      </c>
      <c r="G5"/>
      <c r="H5" s="182"/>
      <c r="I5" s="151" t="s">
        <v>134</v>
      </c>
      <c r="J5" s="151" t="s">
        <v>195</v>
      </c>
      <c r="K5" s="151" t="s">
        <v>173</v>
      </c>
      <c r="L5" s="151"/>
      <c r="M5" s="146"/>
      <c r="O5" s="321" t="s">
        <v>210</v>
      </c>
      <c r="P5" s="321" t="s">
        <v>211</v>
      </c>
      <c r="Q5" s="144" t="s">
        <v>212</v>
      </c>
    </row>
    <row r="6" spans="2:17" s="144" customFormat="1">
      <c r="B6" s="39"/>
      <c r="C6" s="164" t="s">
        <v>120</v>
      </c>
      <c r="D6" s="164" t="s">
        <v>120</v>
      </c>
      <c r="E6" s="164" t="s">
        <v>120</v>
      </c>
      <c r="F6" s="164" t="s">
        <v>120</v>
      </c>
      <c r="G6"/>
      <c r="H6" s="182"/>
      <c r="I6" s="40" t="s">
        <v>133</v>
      </c>
      <c r="J6" s="40" t="s">
        <v>15</v>
      </c>
      <c r="K6" s="40" t="s">
        <v>133</v>
      </c>
      <c r="L6" s="40"/>
      <c r="M6" s="146"/>
      <c r="O6" s="320">
        <v>2017</v>
      </c>
      <c r="P6" s="322">
        <v>1789.0158140000001</v>
      </c>
    </row>
    <row r="7" spans="2:17" s="144" customFormat="1">
      <c r="B7" s="34"/>
      <c r="C7" s="41" t="s">
        <v>4</v>
      </c>
      <c r="D7" s="41" t="s">
        <v>5</v>
      </c>
      <c r="E7" s="41" t="s">
        <v>6</v>
      </c>
      <c r="F7" s="41" t="s">
        <v>7</v>
      </c>
      <c r="G7"/>
      <c r="K7" s="183"/>
      <c r="M7"/>
      <c r="N7"/>
      <c r="O7" s="320">
        <f t="shared" ref="O7:O30" si="0">O6+1</f>
        <v>2018</v>
      </c>
      <c r="P7" s="322">
        <v>1816.554097</v>
      </c>
      <c r="Q7" s="143">
        <f>P7/P6-1</f>
        <v>1.539297908073145E-2</v>
      </c>
    </row>
    <row r="8" spans="2:17" s="144" customFormat="1" ht="33.75" customHeight="1">
      <c r="C8" s="35"/>
      <c r="D8" s="34"/>
      <c r="E8" s="35"/>
      <c r="F8" s="35"/>
      <c r="G8"/>
      <c r="H8" s="177" t="s">
        <v>161</v>
      </c>
      <c r="I8" s="274">
        <f>-PMT($C$45,COUNT(I$10:I$24),NPV($C$45,I$10:I$24))</f>
        <v>1.1463579276191889</v>
      </c>
      <c r="J8" s="190"/>
      <c r="M8"/>
      <c r="N8"/>
      <c r="O8" s="320">
        <f t="shared" si="0"/>
        <v>2019</v>
      </c>
      <c r="P8" s="322">
        <v>1844.5162769999999</v>
      </c>
      <c r="Q8" s="143">
        <f t="shared" ref="Q8:Q25" si="1">P8/P7-1</f>
        <v>1.5392979513342731E-2</v>
      </c>
    </row>
    <row r="9" spans="2:17" s="144" customFormat="1">
      <c r="B9" s="59">
        <v>2020</v>
      </c>
      <c r="C9" s="35"/>
      <c r="D9" s="34"/>
      <c r="E9" s="35"/>
      <c r="F9" s="206">
        <v>0</v>
      </c>
      <c r="G9"/>
      <c r="H9" s="182"/>
      <c r="I9" s="191"/>
      <c r="M9"/>
      <c r="N9"/>
      <c r="O9" s="320">
        <f t="shared" si="0"/>
        <v>2020</v>
      </c>
      <c r="P9" s="322">
        <v>1872.9088790000001</v>
      </c>
      <c r="Q9" s="143">
        <f t="shared" si="1"/>
        <v>1.5392979912423943E-2</v>
      </c>
    </row>
    <row r="10" spans="2:17" s="144" customFormat="1">
      <c r="B10" s="59">
        <v>2021</v>
      </c>
      <c r="C10" s="329">
        <v>75110.766943950861</v>
      </c>
      <c r="D10" s="206">
        <f>C10</f>
        <v>75110.766943950861</v>
      </c>
      <c r="E10" s="206"/>
      <c r="F10" s="206">
        <f t="shared" ref="F10:F28" si="2">E10*100%/$C$44</f>
        <v>0</v>
      </c>
      <c r="G10"/>
      <c r="H10" s="182"/>
      <c r="I10" s="191">
        <v>1</v>
      </c>
      <c r="J10" s="272"/>
      <c r="K10" s="276"/>
      <c r="L10"/>
      <c r="M10"/>
      <c r="N10"/>
      <c r="O10" s="320">
        <f t="shared" si="0"/>
        <v>2021</v>
      </c>
      <c r="P10" s="322">
        <v>1901.738527</v>
      </c>
      <c r="Q10" s="143">
        <f t="shared" si="1"/>
        <v>1.5392979510777227E-2</v>
      </c>
    </row>
    <row r="11" spans="2:17" s="144" customFormat="1">
      <c r="B11" s="59">
        <f t="shared" ref="B11:B30" si="3">B10+1</f>
        <v>2022</v>
      </c>
      <c r="C11"/>
      <c r="D11" s="206">
        <f t="shared" ref="D11:D28" si="4">(1+INDEX($Q$6:$Q$28,MATCH($B11,$O$6:$O$28,0),1))*D10</f>
        <v>76266.945433410423</v>
      </c>
      <c r="E11" s="206"/>
      <c r="F11" s="206">
        <f t="shared" si="2"/>
        <v>0</v>
      </c>
      <c r="G11"/>
      <c r="H11" s="182"/>
      <c r="I11" s="191">
        <f t="shared" ref="I11:I30" si="5">I10*(1+IFERROR(INDEX($D$48:$D$55,MATCH($B11,$C$48:$C$55,0),1),IFERROR(INDEX($F$48:$F$55,MATCH($B11,$E$48:$E$55,0),1),INDEX($H$48:$H$56,MATCH($B11,$G$48:$G$56,0),1))))</f>
        <v>1.0249999999999999</v>
      </c>
      <c r="J11"/>
      <c r="K11"/>
      <c r="L11"/>
      <c r="M11"/>
      <c r="N11"/>
      <c r="O11" s="320">
        <f t="shared" si="0"/>
        <v>2022</v>
      </c>
      <c r="P11" s="322">
        <v>1931.011949</v>
      </c>
      <c r="Q11" s="143">
        <f t="shared" si="1"/>
        <v>1.5392979415618679E-2</v>
      </c>
    </row>
    <row r="12" spans="2:17" s="144" customFormat="1">
      <c r="B12" s="59">
        <f t="shared" si="3"/>
        <v>2023</v>
      </c>
      <c r="C12"/>
      <c r="D12" s="206">
        <f t="shared" si="4"/>
        <v>77440.920947360079</v>
      </c>
      <c r="E12" s="206"/>
      <c r="F12" s="206">
        <f t="shared" si="2"/>
        <v>0</v>
      </c>
      <c r="G12"/>
      <c r="H12" s="182"/>
      <c r="I12" s="191">
        <f t="shared" si="5"/>
        <v>1.0444749999999998</v>
      </c>
      <c r="J12"/>
      <c r="K12"/>
      <c r="L12"/>
      <c r="M12"/>
      <c r="N12"/>
      <c r="O12" s="320">
        <f t="shared" si="0"/>
        <v>2023</v>
      </c>
      <c r="P12" s="322">
        <v>1960.7359759999999</v>
      </c>
      <c r="Q12" s="143">
        <f t="shared" si="1"/>
        <v>1.5392979321227296E-2</v>
      </c>
    </row>
    <row r="13" spans="2:17" s="144" customFormat="1">
      <c r="B13" s="59">
        <f t="shared" si="3"/>
        <v>2024</v>
      </c>
      <c r="C13"/>
      <c r="D13" s="206">
        <f t="shared" si="4"/>
        <v>78632.967468465125</v>
      </c>
      <c r="E13" s="325"/>
      <c r="F13" s="206">
        <f t="shared" si="2"/>
        <v>0</v>
      </c>
      <c r="G13"/>
      <c r="H13" s="182"/>
      <c r="I13" s="191">
        <f t="shared" si="5"/>
        <v>1.0674534499999999</v>
      </c>
      <c r="J13"/>
      <c r="K13"/>
      <c r="L13"/>
      <c r="M13"/>
      <c r="N13"/>
      <c r="O13" s="320">
        <f t="shared" si="0"/>
        <v>2024</v>
      </c>
      <c r="P13" s="322">
        <v>1990.917545</v>
      </c>
      <c r="Q13" s="143">
        <f t="shared" si="1"/>
        <v>1.539297966142894E-2</v>
      </c>
    </row>
    <row r="14" spans="2:17" s="144" customFormat="1">
      <c r="B14" s="59">
        <f t="shared" si="3"/>
        <v>2025</v>
      </c>
      <c r="C14"/>
      <c r="D14" s="206">
        <f>(1+INDEX($Q$6:$Q$28,MATCH($B14,$O$6:$O$28,0),1))*D13*$H$44/$H$43</f>
        <v>105986.76521210758</v>
      </c>
      <c r="E14" s="206"/>
      <c r="F14" s="206">
        <f t="shared" si="2"/>
        <v>0</v>
      </c>
      <c r="G14"/>
      <c r="H14" s="182"/>
      <c r="I14" s="191">
        <f t="shared" si="5"/>
        <v>1.0920048793499999</v>
      </c>
      <c r="J14"/>
      <c r="K14"/>
      <c r="L14"/>
      <c r="M14"/>
      <c r="N14"/>
      <c r="O14" s="320">
        <f t="shared" si="0"/>
        <v>2025</v>
      </c>
      <c r="P14" s="322">
        <v>2021.5636980000002</v>
      </c>
      <c r="Q14" s="143">
        <f t="shared" si="1"/>
        <v>1.5392979521911876E-2</v>
      </c>
    </row>
    <row r="15" spans="2:17" s="144" customFormat="1">
      <c r="B15" s="59">
        <f t="shared" si="3"/>
        <v>2026</v>
      </c>
      <c r="C15"/>
      <c r="D15" s="206">
        <f t="shared" si="4"/>
        <v>107618.21733929127</v>
      </c>
      <c r="E15" s="206"/>
      <c r="F15" s="206">
        <f t="shared" si="2"/>
        <v>0</v>
      </c>
      <c r="G15"/>
      <c r="H15" s="182"/>
      <c r="I15" s="191">
        <f t="shared" si="5"/>
        <v>1.1182129964543999</v>
      </c>
      <c r="J15"/>
      <c r="K15"/>
      <c r="L15"/>
      <c r="M15"/>
      <c r="N15"/>
      <c r="O15" s="320">
        <f t="shared" si="0"/>
        <v>2026</v>
      </c>
      <c r="P15" s="322">
        <v>2052.681587</v>
      </c>
      <c r="Q15" s="143">
        <f t="shared" si="1"/>
        <v>1.5392979717030908E-2</v>
      </c>
    </row>
    <row r="16" spans="2:17" s="144" customFormat="1">
      <c r="B16" s="59">
        <f t="shared" si="3"/>
        <v>2027</v>
      </c>
      <c r="C16"/>
      <c r="D16" s="206">
        <f t="shared" si="4"/>
        <v>107618.21733929127</v>
      </c>
      <c r="E16" s="206"/>
      <c r="F16" s="206">
        <f t="shared" si="2"/>
        <v>0</v>
      </c>
      <c r="G16"/>
      <c r="H16" s="182"/>
      <c r="I16" s="191">
        <f t="shared" si="5"/>
        <v>1.1461683213657599</v>
      </c>
      <c r="J16"/>
      <c r="K16"/>
      <c r="L16"/>
      <c r="M16"/>
      <c r="N16"/>
      <c r="O16" s="320">
        <f t="shared" si="0"/>
        <v>2027</v>
      </c>
      <c r="P16" s="322">
        <v>2052.681587</v>
      </c>
      <c r="Q16" s="143">
        <f t="shared" si="1"/>
        <v>0</v>
      </c>
    </row>
    <row r="17" spans="2:17" s="144" customFormat="1">
      <c r="B17" s="59">
        <f t="shared" si="3"/>
        <v>2028</v>
      </c>
      <c r="C17"/>
      <c r="D17" s="206">
        <f t="shared" si="4"/>
        <v>107618.21733929127</v>
      </c>
      <c r="E17" s="206">
        <f>D17</f>
        <v>107618.21733929127</v>
      </c>
      <c r="F17" s="206">
        <f t="shared" si="2"/>
        <v>166077.49589396801</v>
      </c>
      <c r="G17"/>
      <c r="H17" s="182"/>
      <c r="I17" s="191">
        <f t="shared" si="5"/>
        <v>1.1748225293999037</v>
      </c>
      <c r="J17"/>
      <c r="K17"/>
      <c r="L17"/>
      <c r="M17"/>
      <c r="N17"/>
      <c r="O17" s="320">
        <f t="shared" si="0"/>
        <v>2028</v>
      </c>
      <c r="P17" s="322">
        <v>2052.681587</v>
      </c>
      <c r="Q17" s="143">
        <f t="shared" si="1"/>
        <v>0</v>
      </c>
    </row>
    <row r="18" spans="2:17" s="144" customFormat="1">
      <c r="B18" s="59">
        <f t="shared" si="3"/>
        <v>2029</v>
      </c>
      <c r="C18"/>
      <c r="D18" s="206">
        <f t="shared" si="4"/>
        <v>107618.21733929127</v>
      </c>
      <c r="E18" s="206">
        <f t="shared" ref="E18:E30" si="6">ROUND(E17*(1+(IFERROR(INDEX($D$48:$D$56,MATCH($B18,$C$48:$C$56,0),1),0)+IFERROR(INDEX($F$48:$F$56,MATCH($B18,$E$48:$E$56,0),1),0)+IFERROR(INDEX($H$48:$H$56,MATCH($B18,$G$48:$G$56,0),1),0))),2)</f>
        <v>110201.05</v>
      </c>
      <c r="F18" s="206">
        <f t="shared" si="2"/>
        <v>170063.34876543211</v>
      </c>
      <c r="G18"/>
      <c r="H18" s="182"/>
      <c r="I18" s="191">
        <f t="shared" si="5"/>
        <v>1.2030182701055014</v>
      </c>
      <c r="J18"/>
      <c r="K18"/>
      <c r="L18"/>
      <c r="M18"/>
      <c r="N18"/>
      <c r="O18" s="320">
        <f t="shared" si="0"/>
        <v>2029</v>
      </c>
      <c r="P18" s="322">
        <v>2052.681587</v>
      </c>
      <c r="Q18" s="143">
        <f t="shared" si="1"/>
        <v>0</v>
      </c>
    </row>
    <row r="19" spans="2:17" s="144" customFormat="1">
      <c r="B19" s="59">
        <f t="shared" si="3"/>
        <v>2030</v>
      </c>
      <c r="C19"/>
      <c r="D19" s="206">
        <f t="shared" si="4"/>
        <v>107618.21733929127</v>
      </c>
      <c r="E19" s="206">
        <f t="shared" si="6"/>
        <v>112735.67</v>
      </c>
      <c r="F19" s="206">
        <f t="shared" si="2"/>
        <v>173974.79938271604</v>
      </c>
      <c r="G19"/>
      <c r="H19" s="182"/>
      <c r="I19" s="191">
        <f t="shared" si="5"/>
        <v>1.2306876903179278</v>
      </c>
      <c r="J19"/>
      <c r="K19"/>
      <c r="L19"/>
      <c r="M19"/>
      <c r="N19"/>
      <c r="O19" s="320">
        <f t="shared" si="0"/>
        <v>2030</v>
      </c>
      <c r="P19" s="322">
        <v>2052.681587</v>
      </c>
      <c r="Q19" s="143">
        <f t="shared" si="1"/>
        <v>0</v>
      </c>
    </row>
    <row r="20" spans="2:17" s="144" customFormat="1">
      <c r="B20" s="59">
        <f t="shared" si="3"/>
        <v>2031</v>
      </c>
      <c r="C20"/>
      <c r="D20" s="206">
        <f t="shared" si="4"/>
        <v>107618.21733929127</v>
      </c>
      <c r="E20" s="206">
        <f t="shared" si="6"/>
        <v>115328.59</v>
      </c>
      <c r="F20" s="206">
        <f t="shared" si="2"/>
        <v>177976.21913580247</v>
      </c>
      <c r="G20"/>
      <c r="H20" s="182"/>
      <c r="I20" s="191">
        <f t="shared" si="5"/>
        <v>1.2589935071952401</v>
      </c>
      <c r="J20"/>
      <c r="K20"/>
      <c r="L20"/>
      <c r="M20"/>
      <c r="N20"/>
      <c r="O20" s="320">
        <f t="shared" si="0"/>
        <v>2031</v>
      </c>
      <c r="P20" s="322">
        <v>2052.681587</v>
      </c>
      <c r="Q20" s="143">
        <f t="shared" si="1"/>
        <v>0</v>
      </c>
    </row>
    <row r="21" spans="2:17" s="144" customFormat="1">
      <c r="B21" s="59">
        <f t="shared" si="3"/>
        <v>2032</v>
      </c>
      <c r="C21"/>
      <c r="D21" s="206">
        <f t="shared" si="4"/>
        <v>107618.21733929127</v>
      </c>
      <c r="E21" s="206">
        <f t="shared" si="6"/>
        <v>117981.15</v>
      </c>
      <c r="F21" s="206">
        <f t="shared" si="2"/>
        <v>182069.6759259259</v>
      </c>
      <c r="G21"/>
      <c r="H21" s="182"/>
      <c r="I21" s="191">
        <f t="shared" si="5"/>
        <v>1.2879503578607305</v>
      </c>
      <c r="J21"/>
      <c r="K21"/>
      <c r="L21"/>
      <c r="M21"/>
      <c r="N21"/>
      <c r="O21" s="320">
        <f t="shared" si="0"/>
        <v>2032</v>
      </c>
      <c r="P21" s="322">
        <v>2052.681587</v>
      </c>
      <c r="Q21" s="143">
        <f t="shared" si="1"/>
        <v>0</v>
      </c>
    </row>
    <row r="22" spans="2:17" s="144" customFormat="1">
      <c r="B22" s="59">
        <f t="shared" si="3"/>
        <v>2033</v>
      </c>
      <c r="C22"/>
      <c r="D22" s="206">
        <f t="shared" si="4"/>
        <v>107618.21733929127</v>
      </c>
      <c r="E22" s="206">
        <f t="shared" si="6"/>
        <v>120694.72</v>
      </c>
      <c r="F22" s="206">
        <f t="shared" si="2"/>
        <v>186257.28395061727</v>
      </c>
      <c r="G22"/>
      <c r="H22" s="182"/>
      <c r="I22" s="191">
        <f t="shared" si="5"/>
        <v>1.3175732160915272</v>
      </c>
      <c r="J22"/>
      <c r="K22"/>
      <c r="L22"/>
      <c r="M22"/>
      <c r="N22"/>
      <c r="O22" s="320">
        <f t="shared" si="0"/>
        <v>2033</v>
      </c>
      <c r="P22" s="322">
        <v>2052.681587</v>
      </c>
      <c r="Q22" s="143">
        <f t="shared" si="1"/>
        <v>0</v>
      </c>
    </row>
    <row r="23" spans="2:17" s="144" customFormat="1">
      <c r="B23" s="59">
        <f t="shared" si="3"/>
        <v>2034</v>
      </c>
      <c r="C23"/>
      <c r="D23" s="206">
        <f t="shared" si="4"/>
        <v>107618.21733929127</v>
      </c>
      <c r="E23" s="206">
        <f t="shared" si="6"/>
        <v>123470.7</v>
      </c>
      <c r="F23" s="206">
        <f t="shared" si="2"/>
        <v>190541.20370370368</v>
      </c>
      <c r="G23"/>
      <c r="H23" s="182"/>
      <c r="I23" s="191">
        <f t="shared" si="5"/>
        <v>1.3478774000616323</v>
      </c>
      <c r="J23"/>
      <c r="K23"/>
      <c r="L23"/>
      <c r="M23"/>
      <c r="N23"/>
      <c r="O23" s="320">
        <f t="shared" si="0"/>
        <v>2034</v>
      </c>
      <c r="P23" s="322">
        <v>2052.681587</v>
      </c>
      <c r="Q23" s="143">
        <f t="shared" si="1"/>
        <v>0</v>
      </c>
    </row>
    <row r="24" spans="2:17" s="144" customFormat="1">
      <c r="B24" s="59">
        <f t="shared" si="3"/>
        <v>2035</v>
      </c>
      <c r="C24"/>
      <c r="D24" s="206">
        <f t="shared" si="4"/>
        <v>107618.21733929127</v>
      </c>
      <c r="E24" s="206">
        <f t="shared" si="6"/>
        <v>126310.53</v>
      </c>
      <c r="F24" s="206">
        <f t="shared" si="2"/>
        <v>194923.65740740739</v>
      </c>
      <c r="G24"/>
      <c r="H24" s="182"/>
      <c r="I24" s="191">
        <f t="shared" si="5"/>
        <v>1.3788785802630497</v>
      </c>
      <c r="J24"/>
      <c r="K24"/>
      <c r="L24"/>
      <c r="M24"/>
      <c r="N24"/>
      <c r="O24" s="320">
        <f t="shared" si="0"/>
        <v>2035</v>
      </c>
      <c r="P24" s="322">
        <v>2052.681587</v>
      </c>
      <c r="Q24" s="143">
        <f t="shared" si="1"/>
        <v>0</v>
      </c>
    </row>
    <row r="25" spans="2:17" s="144" customFormat="1">
      <c r="B25" s="59">
        <f t="shared" si="3"/>
        <v>2036</v>
      </c>
      <c r="C25"/>
      <c r="D25" s="206">
        <f t="shared" si="4"/>
        <v>107618.21733929127</v>
      </c>
      <c r="E25" s="206">
        <f t="shared" si="6"/>
        <v>129215.67</v>
      </c>
      <c r="F25" s="206">
        <f t="shared" si="2"/>
        <v>199406.89814814815</v>
      </c>
      <c r="G25"/>
      <c r="H25" s="182"/>
      <c r="I25" s="191">
        <f t="shared" si="5"/>
        <v>1.4105927876090998</v>
      </c>
      <c r="J25"/>
      <c r="K25"/>
      <c r="L25"/>
      <c r="M25"/>
      <c r="N25"/>
      <c r="O25" s="320">
        <f t="shared" si="0"/>
        <v>2036</v>
      </c>
      <c r="P25" s="322">
        <v>2052.681587</v>
      </c>
      <c r="Q25" s="143">
        <f t="shared" si="1"/>
        <v>0</v>
      </c>
    </row>
    <row r="26" spans="2:17" s="144" customFormat="1">
      <c r="B26" s="59">
        <f t="shared" si="3"/>
        <v>2037</v>
      </c>
      <c r="C26"/>
      <c r="D26" s="206">
        <f t="shared" si="4"/>
        <v>107618.21733929127</v>
      </c>
      <c r="E26" s="206">
        <f t="shared" si="6"/>
        <v>132187.63</v>
      </c>
      <c r="F26" s="206">
        <f t="shared" si="2"/>
        <v>203993.25617283949</v>
      </c>
      <c r="G26"/>
      <c r="H26" s="182"/>
      <c r="I26" s="191">
        <f t="shared" si="5"/>
        <v>1.443036421724109</v>
      </c>
      <c r="J26"/>
      <c r="K26"/>
      <c r="L26"/>
      <c r="M26"/>
      <c r="N26"/>
      <c r="O26" s="320">
        <f t="shared" si="0"/>
        <v>2037</v>
      </c>
      <c r="Q26" s="143">
        <f>Q25</f>
        <v>0</v>
      </c>
    </row>
    <row r="27" spans="2:17" s="144" customFormat="1">
      <c r="B27" s="59">
        <f t="shared" si="3"/>
        <v>2038</v>
      </c>
      <c r="C27"/>
      <c r="D27" s="206">
        <f t="shared" si="4"/>
        <v>107618.21733929127</v>
      </c>
      <c r="E27" s="206">
        <f t="shared" si="6"/>
        <v>135227.95000000001</v>
      </c>
      <c r="F27" s="206">
        <f t="shared" si="2"/>
        <v>208685.10802469138</v>
      </c>
      <c r="G27"/>
      <c r="H27" s="182"/>
      <c r="I27" s="191">
        <f t="shared" si="5"/>
        <v>1.4762262594237634</v>
      </c>
      <c r="J27"/>
      <c r="K27"/>
      <c r="L27"/>
      <c r="M27"/>
      <c r="N27"/>
      <c r="O27" s="320">
        <f t="shared" si="0"/>
        <v>2038</v>
      </c>
      <c r="Q27" s="143">
        <f t="shared" ref="Q27:Q30" si="7">Q26</f>
        <v>0</v>
      </c>
    </row>
    <row r="28" spans="2:17" s="144" customFormat="1">
      <c r="B28" s="59">
        <f t="shared" si="3"/>
        <v>2039</v>
      </c>
      <c r="C28"/>
      <c r="D28" s="206">
        <f t="shared" si="4"/>
        <v>107618.21733929127</v>
      </c>
      <c r="E28" s="206">
        <f t="shared" si="6"/>
        <v>138338.19</v>
      </c>
      <c r="F28" s="206">
        <f t="shared" si="2"/>
        <v>213484.86111111109</v>
      </c>
      <c r="G28"/>
      <c r="H28" s="182"/>
      <c r="I28" s="191">
        <f t="shared" si="5"/>
        <v>1.5101794633905099</v>
      </c>
      <c r="J28"/>
      <c r="K28"/>
      <c r="L28"/>
      <c r="M28"/>
      <c r="N28"/>
      <c r="O28" s="320">
        <f t="shared" si="0"/>
        <v>2039</v>
      </c>
      <c r="Q28" s="143">
        <f t="shared" si="7"/>
        <v>0</v>
      </c>
    </row>
    <row r="29" spans="2:17" s="144" customFormat="1">
      <c r="B29" s="59">
        <f t="shared" si="3"/>
        <v>2040</v>
      </c>
      <c r="C29" s="93"/>
      <c r="D29" s="206">
        <f>(1+INDEX($Q$6:$Q$29,MATCH($B29,$O$6:$O$29,0),1))*D28</f>
        <v>107618.21733929127</v>
      </c>
      <c r="E29" s="206">
        <f t="shared" si="6"/>
        <v>141519.97</v>
      </c>
      <c r="F29" s="206">
        <f t="shared" ref="F29" si="8">E29*100%/$C$44</f>
        <v>218395.01543209876</v>
      </c>
      <c r="G29" s="182"/>
      <c r="H29" s="182"/>
      <c r="I29" s="191">
        <f t="shared" si="5"/>
        <v>1.5449135910484915</v>
      </c>
      <c r="J29"/>
      <c r="K29"/>
      <c r="L29"/>
      <c r="M29"/>
      <c r="N29"/>
      <c r="O29" s="320">
        <f t="shared" si="0"/>
        <v>2040</v>
      </c>
      <c r="Q29" s="143">
        <f t="shared" si="7"/>
        <v>0</v>
      </c>
    </row>
    <row r="30" spans="2:17" s="144" customFormat="1">
      <c r="B30" s="59">
        <f t="shared" si="3"/>
        <v>2041</v>
      </c>
      <c r="C30" s="93"/>
      <c r="D30" s="206">
        <f>(1+INDEX($Q$6:$Q$30,MATCH($B30,$O$6:$O$30,0),1))*D29</f>
        <v>107618.21733929127</v>
      </c>
      <c r="E30" s="206">
        <f t="shared" si="6"/>
        <v>144633.41</v>
      </c>
      <c r="F30" s="206">
        <f t="shared" ref="F30" si="9">E30*100%/$C$44</f>
        <v>223199.70679012345</v>
      </c>
      <c r="G30" s="182"/>
      <c r="H30" s="182"/>
      <c r="I30" s="191">
        <f t="shared" si="5"/>
        <v>1.5789016900515582</v>
      </c>
      <c r="J30"/>
      <c r="K30"/>
      <c r="L30"/>
      <c r="M30"/>
      <c r="N30"/>
      <c r="O30" s="320">
        <f t="shared" si="0"/>
        <v>2041</v>
      </c>
      <c r="Q30" s="143">
        <f t="shared" si="7"/>
        <v>0</v>
      </c>
    </row>
    <row r="31" spans="2:17" s="144" customFormat="1" ht="12.75">
      <c r="B31" s="34"/>
      <c r="C31" s="34"/>
      <c r="D31" s="34"/>
      <c r="E31" s="34"/>
      <c r="F31" s="34"/>
      <c r="G31" s="34"/>
      <c r="H31" s="34"/>
    </row>
    <row r="32" spans="2:17" s="144" customFormat="1" ht="14.25">
      <c r="B32" s="87" t="s">
        <v>13</v>
      </c>
      <c r="C32" s="88"/>
      <c r="D32" s="88"/>
      <c r="E32" s="88"/>
      <c r="F32" s="88"/>
      <c r="G32" s="88"/>
      <c r="H32" s="88"/>
    </row>
    <row r="33" spans="2:14" s="144" customFormat="1" ht="12.75">
      <c r="B33" s="34"/>
      <c r="C33" s="34"/>
      <c r="D33" s="34"/>
      <c r="E33" s="34"/>
      <c r="F33" s="34"/>
      <c r="G33" s="34"/>
      <c r="H33" s="34"/>
    </row>
    <row r="34" spans="2:14" s="144" customFormat="1" ht="12.75">
      <c r="B34" s="34" t="s">
        <v>59</v>
      </c>
      <c r="C34" s="22" t="s">
        <v>149</v>
      </c>
      <c r="D34" s="22"/>
      <c r="E34" s="34"/>
      <c r="F34" s="34"/>
      <c r="G34" s="34"/>
      <c r="H34" s="34"/>
    </row>
    <row r="35" spans="2:14" s="144" customFormat="1" ht="12.75">
      <c r="B35" s="34"/>
      <c r="C35" s="89" t="str">
        <f>C7</f>
        <v>(a)</v>
      </c>
      <c r="D35" s="34" t="s">
        <v>221</v>
      </c>
      <c r="E35" s="34"/>
      <c r="F35" s="34"/>
      <c r="G35" s="34"/>
      <c r="H35" s="34"/>
    </row>
    <row r="36" spans="2:14" s="144" customFormat="1" ht="12.75">
      <c r="B36" s="34"/>
      <c r="C36" s="89" t="str">
        <f>D7</f>
        <v>(b)</v>
      </c>
      <c r="D36" s="34" t="s">
        <v>148</v>
      </c>
      <c r="E36" s="34"/>
      <c r="F36" s="34"/>
      <c r="G36" s="34"/>
      <c r="H36" s="34"/>
    </row>
    <row r="37" spans="2:14" s="144" customFormat="1" ht="12.75">
      <c r="B37" s="34"/>
      <c r="C37" s="89" t="str">
        <f>E7</f>
        <v>(c)</v>
      </c>
      <c r="D37" s="86" t="str">
        <f>"= "&amp;C7&amp;" - "&amp;D7</f>
        <v>= (a) - (b)</v>
      </c>
      <c r="E37" s="34"/>
      <c r="F37" s="34"/>
      <c r="G37" s="34"/>
      <c r="H37" s="34"/>
    </row>
    <row r="38" spans="2:14" s="144" customFormat="1" ht="12.75">
      <c r="B38" s="34"/>
      <c r="C38" s="89" t="str">
        <f>F7</f>
        <v>(d)</v>
      </c>
      <c r="D38" s="86" t="str">
        <f>"= "&amp;E7&amp;" * 100% / "&amp;TEXT(C44,"00.0%")</f>
        <v>= (c) * 100% / 64.8%</v>
      </c>
      <c r="E38" s="34"/>
      <c r="F38" s="34"/>
      <c r="G38" s="34"/>
      <c r="H38" s="34"/>
    </row>
    <row r="39" spans="2:14" s="144" customFormat="1" ht="12.75">
      <c r="B39" s="34"/>
      <c r="C39" s="89" t="s">
        <v>8</v>
      </c>
      <c r="D39" s="3" t="s">
        <v>164</v>
      </c>
      <c r="E39" s="34"/>
      <c r="F39" s="34"/>
      <c r="G39" s="34"/>
      <c r="H39" s="34"/>
    </row>
    <row r="40" spans="2:14" s="144" customFormat="1" ht="13.5" thickBot="1">
      <c r="B40" s="34"/>
      <c r="C40" s="34"/>
      <c r="D40" s="34"/>
      <c r="E40" s="34"/>
      <c r="F40" s="34"/>
      <c r="G40" s="34"/>
      <c r="H40" s="34"/>
    </row>
    <row r="41" spans="2:14" s="144" customFormat="1" ht="13.5" thickBot="1">
      <c r="B41" s="34"/>
      <c r="C41" s="90" t="str">
        <f>B3</f>
        <v>2017S RFP: 2021 Solar (Oregon)</v>
      </c>
      <c r="D41" s="44"/>
      <c r="E41" s="44"/>
      <c r="F41" s="44"/>
      <c r="G41" s="44"/>
      <c r="H41" s="79"/>
    </row>
    <row r="42" spans="2:14" s="144" customFormat="1" ht="15.75" thickBot="1">
      <c r="B42" s="34"/>
      <c r="C42" s="91" t="s">
        <v>114</v>
      </c>
      <c r="D42" s="92" t="s">
        <v>60</v>
      </c>
      <c r="E42" s="92"/>
      <c r="F42" s="92"/>
      <c r="G42" s="92"/>
      <c r="H42" s="189"/>
      <c r="J42" s="182"/>
    </row>
    <row r="43" spans="2:14" s="144" customFormat="1">
      <c r="B43" s="34"/>
      <c r="C43" s="273"/>
      <c r="D43" s="34" t="s">
        <v>132</v>
      </c>
      <c r="E43" s="34"/>
      <c r="F43" s="34"/>
      <c r="G43" s="34"/>
      <c r="H43" s="323">
        <v>5.0849999999999999E-2</v>
      </c>
      <c r="I43" s="144" t="s">
        <v>216</v>
      </c>
      <c r="K43" s="182"/>
      <c r="L43" s="182"/>
      <c r="M43" s="182"/>
      <c r="N43" s="182"/>
    </row>
    <row r="44" spans="2:14" s="144" customFormat="1">
      <c r="B44" s="34"/>
      <c r="C44" s="149">
        <v>0.64800000000000002</v>
      </c>
      <c r="D44" s="34" t="s">
        <v>131</v>
      </c>
      <c r="E44" s="34"/>
      <c r="F44" s="34"/>
      <c r="G44" s="34"/>
      <c r="H44" s="324">
        <v>6.7500000000000004E-2</v>
      </c>
      <c r="I44" s="144" t="s">
        <v>217</v>
      </c>
      <c r="J44" s="185"/>
    </row>
    <row r="45" spans="2:14" s="144" customFormat="1">
      <c r="B45" s="34"/>
      <c r="C45" s="188">
        <v>6.9099999999999995E-2</v>
      </c>
      <c r="D45" s="148" t="s">
        <v>130</v>
      </c>
      <c r="E45" s="34"/>
      <c r="F45" s="34"/>
      <c r="G45" s="34"/>
      <c r="H45" s="34"/>
      <c r="J45" s="185"/>
    </row>
    <row r="46" spans="2:14" s="144" customFormat="1" ht="15.75" thickBot="1">
      <c r="B46" s="35"/>
      <c r="C46" s="35"/>
      <c r="D46" s="35"/>
      <c r="E46" s="35"/>
      <c r="F46" s="35"/>
      <c r="G46" s="35"/>
      <c r="H46" s="35"/>
      <c r="I46" s="185"/>
    </row>
    <row r="47" spans="2:14" s="144" customFormat="1" ht="15.75" thickBot="1">
      <c r="C47" s="20" t="str">
        <f>'Table D - Integration'!$B$40</f>
        <v>Company Official Inflation Forecast Sept 2021</v>
      </c>
      <c r="D47" s="187"/>
      <c r="E47" s="187"/>
      <c r="F47" s="187"/>
      <c r="G47" s="187"/>
      <c r="H47" s="186"/>
      <c r="I47" s="185"/>
    </row>
    <row r="48" spans="2:14" s="144" customFormat="1">
      <c r="C48" s="146">
        <f>'Table D - Integration'!B41</f>
        <v>2021</v>
      </c>
      <c r="D48" s="183">
        <f>'Table D - Integration'!C41</f>
        <v>0.04</v>
      </c>
      <c r="E48" s="146">
        <f>'Table D - Integration'!E41</f>
        <v>2029</v>
      </c>
      <c r="F48" s="183">
        <f>'Table D - Integration'!F41</f>
        <v>2.4E-2</v>
      </c>
      <c r="G48" s="146">
        <f>'Table D - Integration'!H41</f>
        <v>2037</v>
      </c>
      <c r="H48" s="183">
        <f>'Table D - Integration'!I41</f>
        <v>2.3E-2</v>
      </c>
      <c r="I48" s="185"/>
      <c r="L48" s="146"/>
      <c r="M48" s="183"/>
    </row>
    <row r="49" spans="3:13" s="144" customFormat="1">
      <c r="C49" s="146">
        <f>'Table D - Integration'!B42</f>
        <v>2022</v>
      </c>
      <c r="D49" s="183">
        <f>'Table D - Integration'!C42</f>
        <v>2.5000000000000001E-2</v>
      </c>
      <c r="E49" s="146">
        <f>'Table D - Integration'!E42</f>
        <v>2030</v>
      </c>
      <c r="F49" s="183">
        <f>'Table D - Integration'!F42</f>
        <v>2.3E-2</v>
      </c>
      <c r="G49" s="146">
        <f>'Table D - Integration'!H42</f>
        <v>2038</v>
      </c>
      <c r="H49" s="183">
        <f>'Table D - Integration'!I42</f>
        <v>2.3E-2</v>
      </c>
      <c r="I49" s="184"/>
      <c r="J49" s="145"/>
      <c r="L49" s="146"/>
      <c r="M49" s="183"/>
    </row>
    <row r="50" spans="3:13" s="144" customFormat="1">
      <c r="C50" s="146">
        <f>'Table D - Integration'!B43</f>
        <v>2023</v>
      </c>
      <c r="D50" s="183">
        <f>'Table D - Integration'!C43</f>
        <v>1.9E-2</v>
      </c>
      <c r="E50" s="146">
        <f>'Table D - Integration'!E43</f>
        <v>2031</v>
      </c>
      <c r="F50" s="183">
        <f>'Table D - Integration'!F43</f>
        <v>2.3E-2</v>
      </c>
      <c r="G50" s="146">
        <f>'Table D - Integration'!H43</f>
        <v>2039</v>
      </c>
      <c r="H50" s="183">
        <f>'Table D - Integration'!I43</f>
        <v>2.3E-2</v>
      </c>
      <c r="I50" s="184"/>
      <c r="J50" s="145"/>
      <c r="L50" s="146"/>
      <c r="M50" s="183"/>
    </row>
    <row r="51" spans="3:13" s="144" customFormat="1">
      <c r="C51" s="146">
        <f>'Table D - Integration'!B44</f>
        <v>2024</v>
      </c>
      <c r="D51" s="183">
        <f>'Table D - Integration'!C44</f>
        <v>2.1999999999999999E-2</v>
      </c>
      <c r="E51" s="146">
        <f>'Table D - Integration'!E44</f>
        <v>2032</v>
      </c>
      <c r="F51" s="183">
        <f>'Table D - Integration'!F44</f>
        <v>2.3E-2</v>
      </c>
      <c r="G51" s="146">
        <f>'Table D - Integration'!H44</f>
        <v>2040</v>
      </c>
      <c r="H51" s="183">
        <f>'Table D - Integration'!I44</f>
        <v>2.3E-2</v>
      </c>
      <c r="I51" s="184"/>
      <c r="J51" s="145"/>
      <c r="L51" s="146"/>
      <c r="M51" s="183"/>
    </row>
    <row r="52" spans="3:13" s="144" customFormat="1" ht="12.75">
      <c r="C52" s="146">
        <f>'Table D - Integration'!B45</f>
        <v>2025</v>
      </c>
      <c r="D52" s="183">
        <f>'Table D - Integration'!C45</f>
        <v>2.3E-2</v>
      </c>
      <c r="E52" s="146">
        <f>'Table D - Integration'!E45</f>
        <v>2033</v>
      </c>
      <c r="F52" s="183">
        <f>'Table D - Integration'!F45</f>
        <v>2.3E-2</v>
      </c>
      <c r="G52" s="146">
        <f>'Table D - Integration'!H45</f>
        <v>2041</v>
      </c>
      <c r="H52" s="183">
        <f>'Table D - Integration'!I45</f>
        <v>2.1999999999999999E-2</v>
      </c>
      <c r="L52" s="146"/>
      <c r="M52" s="183"/>
    </row>
    <row r="53" spans="3:13" s="144" customFormat="1">
      <c r="C53" s="146">
        <f>'Table D - Integration'!B46</f>
        <v>2026</v>
      </c>
      <c r="D53" s="183">
        <f>'Table D - Integration'!C46</f>
        <v>2.4E-2</v>
      </c>
      <c r="E53" s="146">
        <f>'Table D - Integration'!E46</f>
        <v>2034</v>
      </c>
      <c r="F53" s="183">
        <f>'Table D - Integration'!F46</f>
        <v>2.3E-2</v>
      </c>
      <c r="G53"/>
      <c r="H53"/>
      <c r="I53" s="182"/>
      <c r="J53" s="182"/>
      <c r="L53" s="146"/>
      <c r="M53" s="183"/>
    </row>
    <row r="54" spans="3:13" s="145" customFormat="1">
      <c r="C54" s="146">
        <f>'Table D - Integration'!B47</f>
        <v>2027</v>
      </c>
      <c r="D54" s="183">
        <f>'Table D - Integration'!C47</f>
        <v>2.5000000000000001E-2</v>
      </c>
      <c r="E54" s="146">
        <f>'Table D - Integration'!E47</f>
        <v>2035</v>
      </c>
      <c r="F54" s="183">
        <f>'Table D - Integration'!F47</f>
        <v>2.3E-2</v>
      </c>
      <c r="G54"/>
      <c r="H54"/>
      <c r="I54" s="182"/>
      <c r="J54" s="182"/>
      <c r="L54" s="146"/>
      <c r="M54" s="183"/>
    </row>
    <row r="55" spans="3:13" s="145" customFormat="1">
      <c r="C55" s="146">
        <f>'Table D - Integration'!B48</f>
        <v>2028</v>
      </c>
      <c r="D55" s="183">
        <f>'Table D - Integration'!C48</f>
        <v>2.5000000000000001E-2</v>
      </c>
      <c r="E55" s="146">
        <f>'Table D - Integration'!E48</f>
        <v>2036</v>
      </c>
      <c r="F55" s="183">
        <f>'Table D - Integration'!F48</f>
        <v>2.3E-2</v>
      </c>
      <c r="G55"/>
      <c r="H55"/>
      <c r="I55" s="182"/>
      <c r="J55" s="182"/>
      <c r="L55" s="146"/>
      <c r="M55" s="183"/>
    </row>
    <row r="56" spans="3:13" s="145" customFormat="1">
      <c r="E56" s="146"/>
      <c r="F56" s="183"/>
      <c r="G56"/>
      <c r="H56"/>
      <c r="I56" s="182"/>
      <c r="J56" s="182"/>
      <c r="L56" s="146"/>
      <c r="M56" s="183"/>
    </row>
    <row r="57" spans="3:13" s="144" customFormat="1">
      <c r="J57" s="182"/>
    </row>
  </sheetData>
  <mergeCells count="3">
    <mergeCell ref="B1:H1"/>
    <mergeCell ref="B2:H2"/>
    <mergeCell ref="J3:L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47"/>
  <sheetViews>
    <sheetView workbookViewId="0">
      <selection activeCell="F9" sqref="F9"/>
    </sheetView>
  </sheetViews>
  <sheetFormatPr defaultRowHeight="15"/>
  <cols>
    <col min="1" max="3" width="9.33203125" style="182"/>
    <col min="4" max="4" width="12.1640625" style="182" customWidth="1"/>
    <col min="5" max="5" width="15.33203125" style="182" customWidth="1"/>
    <col min="6" max="6" width="14.83203125" style="182" customWidth="1"/>
    <col min="7" max="7" width="14.33203125" style="182" customWidth="1"/>
    <col min="8" max="8" width="11.83203125" style="182" customWidth="1"/>
    <col min="9" max="9" width="9.33203125" style="182"/>
    <col min="10" max="10" width="13.33203125" customWidth="1"/>
    <col min="11" max="11" width="12.83203125" customWidth="1"/>
    <col min="13" max="16384" width="9.33203125" style="182"/>
  </cols>
  <sheetData>
    <row r="1" spans="2:16" ht="15.75">
      <c r="B1" s="356" t="s">
        <v>185</v>
      </c>
      <c r="C1" s="348"/>
      <c r="D1" s="348"/>
      <c r="E1" s="348"/>
      <c r="F1" s="348"/>
      <c r="G1" s="348"/>
      <c r="H1" s="348"/>
    </row>
    <row r="2" spans="2:16" ht="15.75">
      <c r="B2" s="356" t="s">
        <v>197</v>
      </c>
      <c r="C2" s="348"/>
      <c r="D2" s="348"/>
      <c r="E2" s="348"/>
      <c r="F2" s="348"/>
      <c r="G2" s="348"/>
      <c r="H2" s="348"/>
    </row>
    <row r="3" spans="2:16" s="144" customFormat="1" ht="15.75">
      <c r="B3" s="32"/>
      <c r="C3" s="33"/>
      <c r="D3" s="33"/>
      <c r="E3" s="33"/>
      <c r="F3" s="33"/>
      <c r="G3" s="33"/>
      <c r="H3" s="33"/>
      <c r="J3"/>
      <c r="K3"/>
      <c r="L3"/>
      <c r="M3" s="146"/>
    </row>
    <row r="4" spans="2:16" s="144" customFormat="1" ht="12.75">
      <c r="B4" s="36"/>
      <c r="C4" s="36"/>
      <c r="D4" s="36"/>
      <c r="E4" s="36"/>
      <c r="F4" s="36"/>
      <c r="G4" s="36"/>
      <c r="H4" s="36"/>
      <c r="J4"/>
      <c r="K4"/>
      <c r="L4"/>
      <c r="M4" s="146"/>
    </row>
    <row r="5" spans="2:16" s="144" customFormat="1" ht="64.5">
      <c r="B5" s="83" t="s">
        <v>2</v>
      </c>
      <c r="C5" s="84" t="s">
        <v>198</v>
      </c>
      <c r="D5" s="84" t="s">
        <v>199</v>
      </c>
      <c r="E5" s="151" t="s">
        <v>200</v>
      </c>
      <c r="F5" s="151" t="s">
        <v>201</v>
      </c>
      <c r="H5" s="182"/>
      <c r="I5" s="151" t="s">
        <v>134</v>
      </c>
      <c r="J5"/>
      <c r="K5"/>
      <c r="L5"/>
      <c r="M5" s="146"/>
    </row>
    <row r="6" spans="2:16" s="144" customFormat="1">
      <c r="B6" s="39"/>
      <c r="C6" s="164" t="s">
        <v>120</v>
      </c>
      <c r="D6" s="164" t="s">
        <v>120</v>
      </c>
      <c r="E6" s="164" t="s">
        <v>120</v>
      </c>
      <c r="F6" s="164" t="s">
        <v>120</v>
      </c>
      <c r="H6" s="182"/>
      <c r="I6" s="40" t="s">
        <v>133</v>
      </c>
      <c r="J6"/>
      <c r="K6"/>
      <c r="L6"/>
      <c r="M6" s="146"/>
    </row>
    <row r="7" spans="2:16" s="144" customFormat="1" ht="12.75">
      <c r="B7" s="34"/>
      <c r="C7" s="41" t="s">
        <v>4</v>
      </c>
      <c r="D7" s="41" t="s">
        <v>5</v>
      </c>
      <c r="E7" s="41" t="s">
        <v>6</v>
      </c>
      <c r="F7" s="41" t="s">
        <v>7</v>
      </c>
      <c r="J7"/>
      <c r="K7"/>
      <c r="L7"/>
      <c r="M7"/>
      <c r="N7"/>
      <c r="O7"/>
    </row>
    <row r="8" spans="2:16" s="144" customFormat="1" ht="33.75" customHeight="1">
      <c r="C8" s="35"/>
      <c r="D8" s="34"/>
      <c r="E8" s="206"/>
      <c r="F8" s="206"/>
      <c r="H8" s="177" t="str">
        <f>"Nominal Levelized "&amp;B9&amp;" - "&amp;B23</f>
        <v>Nominal Levelized 2022 - 2036</v>
      </c>
      <c r="I8" s="191">
        <f>-PMT($C$35,COUNT(I$9:I$23),NPV($C$35,I$9:I$23))</f>
        <v>1.144316344941875</v>
      </c>
      <c r="J8"/>
      <c r="K8"/>
      <c r="L8"/>
      <c r="M8"/>
      <c r="N8"/>
      <c r="O8"/>
      <c r="P8" s="275"/>
    </row>
    <row r="9" spans="2:16" s="144" customFormat="1">
      <c r="B9" s="59">
        <f>[2]Energy!$T$4</f>
        <v>2022</v>
      </c>
      <c r="C9" s="206">
        <f>IF(D9=0,INDEX('Exhibit 1 - Market Capacity'!$I$10:$I$34,MATCH($B9,'Exhibit 1 - Market Capacity'!$B$10:$B$34,0),1),0)</f>
        <v>98417.840000000011</v>
      </c>
      <c r="D9" s="206">
        <f>INDEX('CONF Exhibit 2 - Planned Cap'!$F$9:$F$29,MATCH($B9,'CONF Exhibit 2 - Planned Cap'!$B$9:$B$29,0),1)</f>
        <v>0</v>
      </c>
      <c r="E9" s="206">
        <f>SUM(C9:D9)</f>
        <v>98417.840000000011</v>
      </c>
      <c r="F9" s="206">
        <f>-PMT(DiscountRate,15,NPV(DiscountRate,E9:E23))/$I$8</f>
        <v>122616.93644707486</v>
      </c>
      <c r="H9" s="182"/>
      <c r="I9" s="191">
        <v>1</v>
      </c>
      <c r="J9"/>
      <c r="K9"/>
      <c r="L9"/>
      <c r="M9"/>
      <c r="N9"/>
      <c r="O9"/>
    </row>
    <row r="10" spans="2:16" s="144" customFormat="1">
      <c r="B10" s="59">
        <f t="shared" ref="B10:B28" si="0">B9+1</f>
        <v>2023</v>
      </c>
      <c r="C10" s="206">
        <f>IF(D10=0,INDEX('Exhibit 1 - Market Capacity'!$I$10:$I$34,MATCH($B10,'Exhibit 1 - Market Capacity'!$B$10:$B$34,0),1),0)</f>
        <v>100287.77999999998</v>
      </c>
      <c r="D10" s="206">
        <f>INDEX('CONF Exhibit 2 - Planned Cap'!$F$9:$F$29,MATCH($B10,'CONF Exhibit 2 - Planned Cap'!$B$9:$B$29,0),1)</f>
        <v>0</v>
      </c>
      <c r="E10" s="206">
        <f t="shared" ref="E10:E27" si="1">SUM(C10:D10)</f>
        <v>100287.77999999998</v>
      </c>
      <c r="F10" s="206">
        <f t="shared" ref="F10:F28" si="2">F9*(1+IFERROR(INDEX($D$38:$D$45,MATCH($B10,$C$38:$C$45,0),1),IFERROR(INDEX($F$38:$F$45,MATCH($B10,$E$38:$E$45,0),1),INDEX($H$38:$H$46,MATCH($B10,$G$38:$G$46,0),1))))</f>
        <v>124946.65823956927</v>
      </c>
      <c r="H10" s="182"/>
      <c r="I10" s="191">
        <f t="shared" ref="I10:I28" si="3">I9*(1+IFERROR(INDEX($D$38:$D$45,MATCH($B10,$C$38:$C$45,0),1),IFERROR(INDEX($F$38:$F$45,MATCH($B10,$E$38:$E$45,0),1),INDEX($H$38:$H$46,MATCH($B10,$G$38:$G$46,0),1))))</f>
        <v>1.0189999999999999</v>
      </c>
      <c r="J10"/>
      <c r="K10"/>
      <c r="L10"/>
      <c r="M10"/>
      <c r="N10"/>
      <c r="O10"/>
    </row>
    <row r="11" spans="2:16" s="144" customFormat="1">
      <c r="B11" s="59">
        <f t="shared" si="0"/>
        <v>2024</v>
      </c>
      <c r="C11" s="206">
        <f>IF(D11=0,INDEX('Exhibit 1 - Market Capacity'!$I$10:$I$34,MATCH($B11,'Exhibit 1 - Market Capacity'!$B$10:$B$34,0),1),0)</f>
        <v>102494.11</v>
      </c>
      <c r="D11" s="206">
        <f>INDEX('CONF Exhibit 2 - Planned Cap'!$F$9:$F$29,MATCH($B11,'CONF Exhibit 2 - Planned Cap'!$B$9:$B$29,0),1)</f>
        <v>0</v>
      </c>
      <c r="E11" s="206">
        <f t="shared" si="1"/>
        <v>102494.11</v>
      </c>
      <c r="F11" s="206">
        <f t="shared" si="2"/>
        <v>127695.4847208398</v>
      </c>
      <c r="H11" s="182"/>
      <c r="I11" s="191">
        <f t="shared" si="3"/>
        <v>1.041418</v>
      </c>
      <c r="J11"/>
      <c r="K11"/>
      <c r="L11"/>
      <c r="M11"/>
      <c r="N11"/>
      <c r="O11"/>
    </row>
    <row r="12" spans="2:16" s="144" customFormat="1">
      <c r="B12" s="59">
        <f t="shared" si="0"/>
        <v>2025</v>
      </c>
      <c r="C12" s="206">
        <f>IF(D12=0,INDEX('Exhibit 1 - Market Capacity'!$I$10:$I$34,MATCH($B12,'Exhibit 1 - Market Capacity'!$B$10:$B$34,0),1),0)</f>
        <v>104851.48</v>
      </c>
      <c r="D12" s="206">
        <f>INDEX('CONF Exhibit 2 - Planned Cap'!$F$9:$F$29,MATCH($B12,'CONF Exhibit 2 - Planned Cap'!$B$9:$B$29,0),1)</f>
        <v>0</v>
      </c>
      <c r="E12" s="206">
        <f t="shared" si="1"/>
        <v>104851.48</v>
      </c>
      <c r="F12" s="206">
        <f t="shared" si="2"/>
        <v>130632.4808694191</v>
      </c>
      <c r="H12" s="182"/>
      <c r="I12" s="191">
        <f t="shared" si="3"/>
        <v>1.0653706139999999</v>
      </c>
      <c r="J12"/>
      <c r="K12"/>
      <c r="L12"/>
      <c r="M12"/>
      <c r="N12"/>
      <c r="O12"/>
    </row>
    <row r="13" spans="2:16" s="144" customFormat="1">
      <c r="B13" s="59">
        <f t="shared" si="0"/>
        <v>2026</v>
      </c>
      <c r="C13" s="206">
        <f>IF(D13=0,INDEX('Exhibit 1 - Market Capacity'!$I$10:$I$34,MATCH($B13,'Exhibit 1 - Market Capacity'!$B$10:$B$34,0),1),0)</f>
        <v>107367.92</v>
      </c>
      <c r="D13" s="206">
        <f>INDEX('CONF Exhibit 2 - Planned Cap'!$F$9:$F$29,MATCH($B13,'CONF Exhibit 2 - Planned Cap'!$B$9:$B$29,0),1)</f>
        <v>0</v>
      </c>
      <c r="E13" s="206">
        <f t="shared" si="1"/>
        <v>107367.92</v>
      </c>
      <c r="F13" s="206">
        <f t="shared" si="2"/>
        <v>133767.66041028517</v>
      </c>
      <c r="H13" s="182"/>
      <c r="I13" s="191">
        <f t="shared" si="3"/>
        <v>1.0909395087359999</v>
      </c>
      <c r="J13"/>
      <c r="K13"/>
      <c r="L13"/>
      <c r="M13"/>
      <c r="N13"/>
      <c r="O13"/>
    </row>
    <row r="14" spans="2:16" s="144" customFormat="1">
      <c r="B14" s="59">
        <f t="shared" si="0"/>
        <v>2027</v>
      </c>
      <c r="C14" s="206">
        <f>IF(D14=0,INDEX('Exhibit 1 - Market Capacity'!$I$10:$I$34,MATCH($B14,'Exhibit 1 - Market Capacity'!$B$10:$B$34,0),1),0)</f>
        <v>110052.12</v>
      </c>
      <c r="D14" s="206">
        <f>INDEX('CONF Exhibit 2 - Planned Cap'!$F$9:$F$29,MATCH($B14,'CONF Exhibit 2 - Planned Cap'!$B$9:$B$29,0),1)</f>
        <v>0</v>
      </c>
      <c r="E14" s="206">
        <f t="shared" si="1"/>
        <v>110052.12</v>
      </c>
      <c r="F14" s="206">
        <f t="shared" si="2"/>
        <v>137111.85192054228</v>
      </c>
      <c r="H14" s="182"/>
      <c r="I14" s="191">
        <f t="shared" si="3"/>
        <v>1.1182129964543999</v>
      </c>
      <c r="J14"/>
      <c r="K14"/>
      <c r="L14"/>
      <c r="M14"/>
      <c r="N14"/>
      <c r="O14"/>
    </row>
    <row r="15" spans="2:16" s="144" customFormat="1">
      <c r="B15" s="59">
        <f t="shared" si="0"/>
        <v>2028</v>
      </c>
      <c r="C15" s="206">
        <f>IF(D15=0,INDEX('Exhibit 1 - Market Capacity'!$I$10:$I$34,MATCH($B15,'Exhibit 1 - Market Capacity'!$B$10:$B$34,0),1),0)</f>
        <v>0</v>
      </c>
      <c r="D15" s="206">
        <f>INDEX('CONF Exhibit 2 - Planned Cap'!$F$9:$F$29,MATCH($B15,'CONF Exhibit 2 - Planned Cap'!$B$9:$B$29,0),1)</f>
        <v>166077.49589396801</v>
      </c>
      <c r="E15" s="206">
        <f t="shared" si="1"/>
        <v>166077.49589396801</v>
      </c>
      <c r="F15" s="206">
        <f t="shared" si="2"/>
        <v>140539.64821855581</v>
      </c>
      <c r="H15" s="182"/>
      <c r="I15" s="191">
        <f t="shared" si="3"/>
        <v>1.1461683213657599</v>
      </c>
      <c r="J15"/>
      <c r="K15"/>
      <c r="L15"/>
      <c r="M15"/>
      <c r="N15"/>
      <c r="O15"/>
    </row>
    <row r="16" spans="2:16" s="144" customFormat="1">
      <c r="B16" s="59">
        <f t="shared" si="0"/>
        <v>2029</v>
      </c>
      <c r="C16" s="206">
        <f>IF(D16=0,INDEX('Exhibit 1 - Market Capacity'!$I$10:$I$34,MATCH($B16,'Exhibit 1 - Market Capacity'!$B$10:$B$34,0),1),0)</f>
        <v>0</v>
      </c>
      <c r="D16" s="206">
        <f>INDEX('CONF Exhibit 2 - Planned Cap'!$F$9:$F$29,MATCH($B16,'CONF Exhibit 2 - Planned Cap'!$B$9:$B$29,0),1)</f>
        <v>170063.34876543211</v>
      </c>
      <c r="E16" s="206">
        <f t="shared" si="1"/>
        <v>170063.34876543211</v>
      </c>
      <c r="F16" s="206">
        <f t="shared" si="2"/>
        <v>143912.59977580115</v>
      </c>
      <c r="H16" s="182"/>
      <c r="I16" s="191">
        <f t="shared" si="3"/>
        <v>1.1736763610785381</v>
      </c>
      <c r="J16"/>
      <c r="K16"/>
      <c r="L16"/>
      <c r="M16"/>
      <c r="N16"/>
      <c r="O16"/>
    </row>
    <row r="17" spans="2:15" s="144" customFormat="1">
      <c r="B17" s="59">
        <f t="shared" si="0"/>
        <v>2030</v>
      </c>
      <c r="C17" s="206">
        <f>IF(D17=0,INDEX('Exhibit 1 - Market Capacity'!$I$10:$I$34,MATCH($B17,'Exhibit 1 - Market Capacity'!$B$10:$B$34,0),1),0)</f>
        <v>0</v>
      </c>
      <c r="D17" s="206">
        <f>INDEX('CONF Exhibit 2 - Planned Cap'!$F$9:$F$29,MATCH($B17,'CONF Exhibit 2 - Planned Cap'!$B$9:$B$29,0),1)</f>
        <v>173974.79938271604</v>
      </c>
      <c r="E17" s="206">
        <f t="shared" si="1"/>
        <v>173974.79938271604</v>
      </c>
      <c r="F17" s="206">
        <f t="shared" si="2"/>
        <v>147222.58957064457</v>
      </c>
      <c r="H17" s="182"/>
      <c r="I17" s="191">
        <f t="shared" si="3"/>
        <v>1.2006709173833443</v>
      </c>
      <c r="J17"/>
      <c r="K17"/>
      <c r="L17"/>
      <c r="M17"/>
      <c r="N17"/>
      <c r="O17"/>
    </row>
    <row r="18" spans="2:15" s="144" customFormat="1">
      <c r="B18" s="59">
        <f t="shared" si="0"/>
        <v>2031</v>
      </c>
      <c r="C18" s="206">
        <f>IF(D18=0,INDEX('Exhibit 1 - Market Capacity'!$I$10:$I$34,MATCH($B18,'Exhibit 1 - Market Capacity'!$B$10:$B$34,0),1),0)</f>
        <v>0</v>
      </c>
      <c r="D18" s="206">
        <f>INDEX('CONF Exhibit 2 - Planned Cap'!$F$9:$F$29,MATCH($B18,'CONF Exhibit 2 - Planned Cap'!$B$9:$B$29,0),1)</f>
        <v>177976.21913580247</v>
      </c>
      <c r="E18" s="206">
        <f t="shared" si="1"/>
        <v>177976.21913580247</v>
      </c>
      <c r="F18" s="206">
        <f t="shared" si="2"/>
        <v>150608.70913076939</v>
      </c>
      <c r="H18" s="182"/>
      <c r="I18" s="191">
        <f t="shared" si="3"/>
        <v>1.2282863484831612</v>
      </c>
      <c r="J18"/>
      <c r="K18"/>
      <c r="L18"/>
      <c r="M18"/>
      <c r="N18"/>
      <c r="O18"/>
    </row>
    <row r="19" spans="2:15" s="144" customFormat="1">
      <c r="B19" s="59">
        <f t="shared" si="0"/>
        <v>2032</v>
      </c>
      <c r="C19" s="206">
        <f>IF(D19=0,INDEX('Exhibit 1 - Market Capacity'!$I$10:$I$34,MATCH($B19,'Exhibit 1 - Market Capacity'!$B$10:$B$34,0),1),0)</f>
        <v>0</v>
      </c>
      <c r="D19" s="206">
        <f>INDEX('CONF Exhibit 2 - Planned Cap'!$F$9:$F$29,MATCH($B19,'CONF Exhibit 2 - Planned Cap'!$B$9:$B$29,0),1)</f>
        <v>182069.6759259259</v>
      </c>
      <c r="E19" s="206">
        <f t="shared" si="1"/>
        <v>182069.6759259259</v>
      </c>
      <c r="F19" s="206">
        <f t="shared" si="2"/>
        <v>154072.70944077708</v>
      </c>
      <c r="H19" s="182"/>
      <c r="I19" s="191">
        <f t="shared" si="3"/>
        <v>1.2565369344982737</v>
      </c>
      <c r="J19"/>
      <c r="K19"/>
      <c r="L19"/>
      <c r="M19"/>
      <c r="N19"/>
      <c r="O19"/>
    </row>
    <row r="20" spans="2:15" s="144" customFormat="1">
      <c r="B20" s="59">
        <f t="shared" si="0"/>
        <v>2033</v>
      </c>
      <c r="C20" s="206">
        <f>IF(D20=0,INDEX('Exhibit 1 - Market Capacity'!$I$10:$I$34,MATCH($B20,'Exhibit 1 - Market Capacity'!$B$10:$B$34,0),1),0)</f>
        <v>0</v>
      </c>
      <c r="D20" s="206">
        <f>INDEX('CONF Exhibit 2 - Planned Cap'!$F$9:$F$29,MATCH($B20,'CONF Exhibit 2 - Planned Cap'!$B$9:$B$29,0),1)</f>
        <v>186257.28395061727</v>
      </c>
      <c r="E20" s="206">
        <f t="shared" si="1"/>
        <v>186257.28395061727</v>
      </c>
      <c r="F20" s="206">
        <f t="shared" si="2"/>
        <v>157616.38175791493</v>
      </c>
      <c r="H20" s="182"/>
      <c r="I20" s="191">
        <f t="shared" si="3"/>
        <v>1.2854372839917338</v>
      </c>
      <c r="J20"/>
      <c r="K20"/>
      <c r="L20"/>
      <c r="M20"/>
      <c r="N20"/>
      <c r="O20"/>
    </row>
    <row r="21" spans="2:15" s="144" customFormat="1">
      <c r="B21" s="59">
        <f t="shared" si="0"/>
        <v>2034</v>
      </c>
      <c r="C21" s="206">
        <f>IF(D21=0,INDEX('Exhibit 1 - Market Capacity'!$I$10:$I$34,MATCH($B21,'Exhibit 1 - Market Capacity'!$B$10:$B$34,0),1),0)</f>
        <v>0</v>
      </c>
      <c r="D21" s="206">
        <f>INDEX('CONF Exhibit 2 - Planned Cap'!$F$9:$F$29,MATCH($B21,'CONF Exhibit 2 - Planned Cap'!$B$9:$B$29,0),1)</f>
        <v>190541.20370370368</v>
      </c>
      <c r="E21" s="206">
        <f t="shared" si="1"/>
        <v>190541.20370370368</v>
      </c>
      <c r="F21" s="206">
        <f t="shared" si="2"/>
        <v>161241.55853834696</v>
      </c>
      <c r="H21" s="182"/>
      <c r="I21" s="191">
        <f t="shared" si="3"/>
        <v>1.3150023415235437</v>
      </c>
      <c r="J21"/>
      <c r="K21"/>
      <c r="L21"/>
      <c r="M21"/>
      <c r="N21"/>
      <c r="O21"/>
    </row>
    <row r="22" spans="2:15" s="144" customFormat="1">
      <c r="B22" s="59">
        <f t="shared" si="0"/>
        <v>2035</v>
      </c>
      <c r="C22" s="206">
        <f>IF(D22=0,INDEX('Exhibit 1 - Market Capacity'!$I$10:$I$34,MATCH($B22,'Exhibit 1 - Market Capacity'!$B$10:$B$34,0),1),0)</f>
        <v>0</v>
      </c>
      <c r="D22" s="206">
        <f>INDEX('CONF Exhibit 2 - Planned Cap'!$F$9:$F$29,MATCH($B22,'CONF Exhibit 2 - Planned Cap'!$B$9:$B$29,0),1)</f>
        <v>194923.65740740739</v>
      </c>
      <c r="E22" s="206">
        <f t="shared" si="1"/>
        <v>194923.65740740739</v>
      </c>
      <c r="F22" s="206">
        <f t="shared" si="2"/>
        <v>164950.11438472892</v>
      </c>
      <c r="H22" s="182"/>
      <c r="I22" s="191">
        <f t="shared" si="3"/>
        <v>1.3452473953785851</v>
      </c>
      <c r="J22"/>
      <c r="K22"/>
      <c r="L22"/>
      <c r="M22"/>
      <c r="N22"/>
      <c r="O22"/>
    </row>
    <row r="23" spans="2:15" s="144" customFormat="1">
      <c r="B23" s="59">
        <f t="shared" si="0"/>
        <v>2036</v>
      </c>
      <c r="C23" s="206">
        <f>IF(D23=0,INDEX('Exhibit 1 - Market Capacity'!$I$10:$I$34,MATCH($B23,'Exhibit 1 - Market Capacity'!$B$10:$B$34,0),1),0)</f>
        <v>0</v>
      </c>
      <c r="D23" s="206">
        <f>INDEX('CONF Exhibit 2 - Planned Cap'!$F$9:$F$29,MATCH($B23,'CONF Exhibit 2 - Planned Cap'!$B$9:$B$29,0),1)</f>
        <v>199406.89814814815</v>
      </c>
      <c r="E23" s="206">
        <f t="shared" si="1"/>
        <v>199406.89814814815</v>
      </c>
      <c r="F23" s="206">
        <f t="shared" si="2"/>
        <v>168743.96701557768</v>
      </c>
      <c r="H23" s="182"/>
      <c r="I23" s="191">
        <f t="shared" si="3"/>
        <v>1.3761880854722923</v>
      </c>
      <c r="J23"/>
      <c r="K23"/>
      <c r="L23"/>
      <c r="M23"/>
      <c r="N23"/>
      <c r="O23"/>
    </row>
    <row r="24" spans="2:15" s="144" customFormat="1">
      <c r="B24" s="59">
        <f t="shared" si="0"/>
        <v>2037</v>
      </c>
      <c r="C24" s="206">
        <f>IF(D24=0,INDEX('Exhibit 1 - Market Capacity'!$I$10:$I$34,MATCH($B24,'Exhibit 1 - Market Capacity'!$B$10:$B$34,0),1),0)</f>
        <v>0</v>
      </c>
      <c r="D24" s="206">
        <f>INDEX('CONF Exhibit 2 - Planned Cap'!$F$9:$F$29,MATCH($B24,'CONF Exhibit 2 - Planned Cap'!$B$9:$B$29,0),1)</f>
        <v>203993.25617283949</v>
      </c>
      <c r="E24" s="206">
        <f t="shared" si="1"/>
        <v>203993.25617283949</v>
      </c>
      <c r="F24" s="206">
        <f t="shared" si="2"/>
        <v>172625.07825693596</v>
      </c>
      <c r="H24" s="182"/>
      <c r="I24" s="191">
        <f t="shared" si="3"/>
        <v>1.4078404114381549</v>
      </c>
      <c r="J24"/>
      <c r="K24"/>
      <c r="L24"/>
      <c r="M24"/>
      <c r="N24"/>
      <c r="O24"/>
    </row>
    <row r="25" spans="2:15" s="144" customFormat="1">
      <c r="B25" s="59">
        <f t="shared" si="0"/>
        <v>2038</v>
      </c>
      <c r="C25" s="206">
        <f>IF(D25=0,INDEX('Exhibit 1 - Market Capacity'!$I$10:$I$34,MATCH($B25,'Exhibit 1 - Market Capacity'!$B$10:$B$34,0),1),0)</f>
        <v>0</v>
      </c>
      <c r="D25" s="206">
        <f>INDEX('CONF Exhibit 2 - Planned Cap'!$F$9:$F$29,MATCH($B25,'CONF Exhibit 2 - Planned Cap'!$B$9:$B$29,0),1)</f>
        <v>208685.10802469138</v>
      </c>
      <c r="E25" s="206">
        <f t="shared" si="1"/>
        <v>208685.10802469138</v>
      </c>
      <c r="F25" s="206">
        <f t="shared" si="2"/>
        <v>176595.45505684547</v>
      </c>
      <c r="H25" s="182"/>
      <c r="I25" s="191">
        <f t="shared" si="3"/>
        <v>1.4402207409012322</v>
      </c>
      <c r="J25"/>
      <c r="K25"/>
      <c r="L25"/>
      <c r="M25"/>
      <c r="N25"/>
      <c r="O25"/>
    </row>
    <row r="26" spans="2:15" s="144" customFormat="1">
      <c r="B26" s="59">
        <f t="shared" si="0"/>
        <v>2039</v>
      </c>
      <c r="C26" s="206">
        <f>IF(D26=0,INDEX('Exhibit 1 - Market Capacity'!$I$10:$I$34,MATCH($B26,'Exhibit 1 - Market Capacity'!$B$10:$B$34,0),1),0)</f>
        <v>0</v>
      </c>
      <c r="D26" s="206">
        <f>INDEX('CONF Exhibit 2 - Planned Cap'!$F$9:$F$29,MATCH($B26,'CONF Exhibit 2 - Planned Cap'!$B$9:$B$29,0),1)</f>
        <v>213484.86111111109</v>
      </c>
      <c r="E26" s="206">
        <f t="shared" si="1"/>
        <v>213484.86111111109</v>
      </c>
      <c r="F26" s="206">
        <f t="shared" si="2"/>
        <v>180657.1505231529</v>
      </c>
      <c r="H26" s="182"/>
      <c r="I26" s="191">
        <f t="shared" si="3"/>
        <v>1.4733458179419605</v>
      </c>
      <c r="J26"/>
      <c r="K26"/>
      <c r="L26"/>
      <c r="M26"/>
      <c r="N26"/>
      <c r="O26"/>
    </row>
    <row r="27" spans="2:15" s="144" customFormat="1">
      <c r="B27" s="59">
        <f t="shared" si="0"/>
        <v>2040</v>
      </c>
      <c r="C27" s="206">
        <f>IF(D27=0,INDEX('Exhibit 1 - Market Capacity'!$I$10:$I$34,MATCH($B27,'Exhibit 1 - Market Capacity'!$B$10:$B$34,0),1),0)</f>
        <v>0</v>
      </c>
      <c r="D27" s="206">
        <f>INDEX('CONF Exhibit 2 - Planned Cap'!$F$9:$F$29,MATCH($B27,'CONF Exhibit 2 - Planned Cap'!$B$9:$B$29,0),1)</f>
        <v>218395.01543209876</v>
      </c>
      <c r="E27" s="206">
        <f t="shared" si="1"/>
        <v>218395.01543209876</v>
      </c>
      <c r="F27" s="206">
        <f t="shared" si="2"/>
        <v>184812.26498518541</v>
      </c>
      <c r="H27" s="182"/>
      <c r="I27" s="191">
        <f t="shared" si="3"/>
        <v>1.5072327717546254</v>
      </c>
      <c r="J27"/>
      <c r="K27"/>
      <c r="L27"/>
      <c r="M27"/>
      <c r="N27"/>
      <c r="O27"/>
    </row>
    <row r="28" spans="2:15" s="144" customFormat="1">
      <c r="B28" s="59">
        <f t="shared" si="0"/>
        <v>2041</v>
      </c>
      <c r="C28" s="206">
        <f>IF(D28=0,INDEX('Exhibit 1 - Market Capacity'!$I$10:$I$35,MATCH($B28,'Exhibit 1 - Market Capacity'!$B$10:$B$35,0),1),0)</f>
        <v>0</v>
      </c>
      <c r="D28" s="206">
        <f>INDEX('CONF Exhibit 2 - Planned Cap'!$F$9:$F$30,MATCH($B28,'CONF Exhibit 2 - Planned Cap'!$B$9:$B$30,0),1)</f>
        <v>223199.70679012345</v>
      </c>
      <c r="E28" s="206">
        <f>SUM(C28:D28)</f>
        <v>223199.70679012345</v>
      </c>
      <c r="F28" s="206">
        <f t="shared" si="2"/>
        <v>188878.13481485948</v>
      </c>
      <c r="H28" s="182"/>
      <c r="I28" s="191">
        <f t="shared" si="3"/>
        <v>1.5403918927332272</v>
      </c>
      <c r="J28"/>
      <c r="K28"/>
      <c r="L28"/>
      <c r="M28"/>
      <c r="N28"/>
      <c r="O28"/>
    </row>
    <row r="29" spans="2:15" s="144" customFormat="1">
      <c r="B29" s="59"/>
      <c r="C29" s="93"/>
      <c r="D29" s="85"/>
      <c r="E29" s="85"/>
      <c r="F29" s="150"/>
      <c r="G29" s="182"/>
      <c r="H29" s="182"/>
      <c r="I29" s="191"/>
      <c r="J29"/>
      <c r="K29"/>
      <c r="L29"/>
      <c r="M29"/>
      <c r="N29"/>
      <c r="O29"/>
    </row>
    <row r="30" spans="2:15" s="144" customFormat="1" ht="12.75">
      <c r="B30" s="34"/>
      <c r="C30" s="34"/>
      <c r="D30" s="34"/>
      <c r="E30" s="34"/>
      <c r="F30" s="34"/>
      <c r="G30" s="34"/>
      <c r="H30" s="34"/>
      <c r="J30"/>
      <c r="K30"/>
      <c r="L30"/>
    </row>
    <row r="31" spans="2:15" s="144" customFormat="1" ht="14.25">
      <c r="B31" s="87" t="s">
        <v>13</v>
      </c>
      <c r="C31" s="88"/>
      <c r="D31" s="88"/>
      <c r="E31" s="88"/>
      <c r="F31" s="88"/>
      <c r="G31" s="88"/>
      <c r="H31" s="88"/>
      <c r="J31"/>
      <c r="K31"/>
      <c r="L31"/>
    </row>
    <row r="32" spans="2:15" s="144" customFormat="1" ht="12.75">
      <c r="B32" s="34"/>
      <c r="C32" s="34"/>
      <c r="D32" s="34"/>
      <c r="E32" s="34"/>
      <c r="F32" s="34"/>
      <c r="G32" s="34"/>
      <c r="H32" s="34"/>
      <c r="J32"/>
      <c r="K32"/>
      <c r="L32"/>
    </row>
    <row r="33" spans="2:13" s="144" customFormat="1" ht="13.5" thickBot="1">
      <c r="B33" s="34"/>
      <c r="C33" s="34"/>
      <c r="D33" s="34"/>
      <c r="E33" s="34"/>
      <c r="F33" s="34"/>
      <c r="G33" s="34"/>
      <c r="H33" s="34"/>
      <c r="J33"/>
      <c r="K33"/>
      <c r="L33"/>
    </row>
    <row r="34" spans="2:13" s="144" customFormat="1" ht="13.5" thickBot="1">
      <c r="B34" s="34"/>
      <c r="C34" s="91"/>
      <c r="D34" s="92" t="s">
        <v>60</v>
      </c>
      <c r="E34" s="92"/>
      <c r="F34" s="92"/>
      <c r="G34" s="92"/>
      <c r="H34" s="189"/>
      <c r="J34"/>
      <c r="K34"/>
      <c r="L34"/>
    </row>
    <row r="35" spans="2:13" s="144" customFormat="1" ht="12.75">
      <c r="B35" s="34"/>
      <c r="C35" s="188">
        <v>6.9099999999999995E-2</v>
      </c>
      <c r="D35" s="148" t="s">
        <v>130</v>
      </c>
      <c r="E35" s="34"/>
      <c r="F35" s="34"/>
      <c r="G35" s="34"/>
      <c r="H35" s="34"/>
      <c r="J35"/>
      <c r="K35"/>
      <c r="L35"/>
    </row>
    <row r="36" spans="2:13" s="144" customFormat="1" ht="15.75" thickBot="1">
      <c r="B36" s="35"/>
      <c r="C36" s="35"/>
      <c r="D36" s="35"/>
      <c r="E36" s="35"/>
      <c r="F36" s="35"/>
      <c r="G36" s="35"/>
      <c r="H36" s="35"/>
      <c r="I36" s="185"/>
      <c r="J36"/>
      <c r="K36"/>
      <c r="L36"/>
    </row>
    <row r="37" spans="2:13" s="144" customFormat="1" ht="15.75" thickBot="1">
      <c r="C37" s="20" t="str">
        <f>'Table D - Integration'!$B$40</f>
        <v>Company Official Inflation Forecast Sept 2021</v>
      </c>
      <c r="D37" s="187"/>
      <c r="E37" s="187"/>
      <c r="F37" s="187"/>
      <c r="G37" s="187"/>
      <c r="H37" s="186"/>
      <c r="I37" s="185"/>
      <c r="J37"/>
      <c r="K37"/>
      <c r="L37"/>
    </row>
    <row r="38" spans="2:13" s="144" customFormat="1">
      <c r="C38" s="146">
        <f>'Table D - Integration'!B41</f>
        <v>2021</v>
      </c>
      <c r="D38" s="183">
        <f>'Table D - Integration'!C41</f>
        <v>0.04</v>
      </c>
      <c r="E38" s="146">
        <f>'Table D - Integration'!E41</f>
        <v>2029</v>
      </c>
      <c r="F38" s="183">
        <f>'Table D - Integration'!F41</f>
        <v>2.4E-2</v>
      </c>
      <c r="G38" s="146">
        <f>'Table D - Integration'!H41</f>
        <v>2037</v>
      </c>
      <c r="H38" s="183">
        <f>'Table D - Integration'!I41</f>
        <v>2.3E-2</v>
      </c>
      <c r="I38" s="185"/>
      <c r="J38"/>
      <c r="K38"/>
      <c r="L38"/>
      <c r="M38" s="183"/>
    </row>
    <row r="39" spans="2:13" s="144" customFormat="1">
      <c r="C39" s="146">
        <f>'Table D - Integration'!B42</f>
        <v>2022</v>
      </c>
      <c r="D39" s="183">
        <f>'Table D - Integration'!C42</f>
        <v>2.5000000000000001E-2</v>
      </c>
      <c r="E39" s="146">
        <f>'Table D - Integration'!E42</f>
        <v>2030</v>
      </c>
      <c r="F39" s="183">
        <f>'Table D - Integration'!F42</f>
        <v>2.3E-2</v>
      </c>
      <c r="G39" s="146">
        <f>'Table D - Integration'!H42</f>
        <v>2038</v>
      </c>
      <c r="H39" s="183">
        <f>'Table D - Integration'!I42</f>
        <v>2.3E-2</v>
      </c>
      <c r="I39" s="184"/>
      <c r="J39"/>
      <c r="K39"/>
      <c r="L39"/>
      <c r="M39" s="183"/>
    </row>
    <row r="40" spans="2:13" s="144" customFormat="1">
      <c r="C40" s="146">
        <f>'Table D - Integration'!B43</f>
        <v>2023</v>
      </c>
      <c r="D40" s="183">
        <f>'Table D - Integration'!C43</f>
        <v>1.9E-2</v>
      </c>
      <c r="E40" s="146">
        <f>'Table D - Integration'!E43</f>
        <v>2031</v>
      </c>
      <c r="F40" s="183">
        <f>'Table D - Integration'!F43</f>
        <v>2.3E-2</v>
      </c>
      <c r="G40" s="146">
        <f>'Table D - Integration'!H43</f>
        <v>2039</v>
      </c>
      <c r="H40" s="183">
        <f>'Table D - Integration'!I43</f>
        <v>2.3E-2</v>
      </c>
      <c r="I40" s="184"/>
      <c r="J40"/>
      <c r="K40"/>
      <c r="L40"/>
      <c r="M40" s="183"/>
    </row>
    <row r="41" spans="2:13" s="144" customFormat="1">
      <c r="C41" s="146">
        <f>'Table D - Integration'!B44</f>
        <v>2024</v>
      </c>
      <c r="D41" s="183">
        <f>'Table D - Integration'!C44</f>
        <v>2.1999999999999999E-2</v>
      </c>
      <c r="E41" s="146">
        <f>'Table D - Integration'!E44</f>
        <v>2032</v>
      </c>
      <c r="F41" s="183">
        <f>'Table D - Integration'!F44</f>
        <v>2.3E-2</v>
      </c>
      <c r="G41" s="146">
        <f>'Table D - Integration'!H44</f>
        <v>2040</v>
      </c>
      <c r="H41" s="183">
        <f>'Table D - Integration'!I44</f>
        <v>2.3E-2</v>
      </c>
      <c r="I41" s="184"/>
      <c r="J41"/>
      <c r="K41"/>
      <c r="L41"/>
      <c r="M41" s="183"/>
    </row>
    <row r="42" spans="2:13" s="144" customFormat="1" ht="12.75">
      <c r="C42" s="146">
        <f>'Table D - Integration'!B45</f>
        <v>2025</v>
      </c>
      <c r="D42" s="183">
        <f>'Table D - Integration'!C45</f>
        <v>2.3E-2</v>
      </c>
      <c r="E42" s="146">
        <f>'Table D - Integration'!E45</f>
        <v>2033</v>
      </c>
      <c r="F42" s="183">
        <f>'Table D - Integration'!F45</f>
        <v>2.3E-2</v>
      </c>
      <c r="G42" s="146">
        <f>'Table D - Integration'!H45</f>
        <v>2041</v>
      </c>
      <c r="H42" s="183">
        <f>'Table D - Integration'!I45</f>
        <v>2.1999999999999999E-2</v>
      </c>
      <c r="J42"/>
      <c r="K42"/>
      <c r="L42"/>
      <c r="M42" s="183"/>
    </row>
    <row r="43" spans="2:13" s="144" customFormat="1">
      <c r="C43" s="146">
        <f>'Table D - Integration'!B46</f>
        <v>2026</v>
      </c>
      <c r="D43" s="183">
        <f>'Table D - Integration'!C46</f>
        <v>2.4E-2</v>
      </c>
      <c r="E43" s="146">
        <f>'Table D - Integration'!E46</f>
        <v>2034</v>
      </c>
      <c r="F43" s="183">
        <f>'Table D - Integration'!F46</f>
        <v>2.3E-2</v>
      </c>
      <c r="G43" s="146">
        <f>'Table D - Integration'!H46</f>
        <v>0</v>
      </c>
      <c r="H43" s="183">
        <f>'Table D - Integration'!I46</f>
        <v>0</v>
      </c>
      <c r="I43" s="182"/>
      <c r="J43"/>
      <c r="K43"/>
      <c r="L43"/>
      <c r="M43" s="183"/>
    </row>
    <row r="44" spans="2:13" s="145" customFormat="1">
      <c r="C44" s="146">
        <f>'Table D - Integration'!B47</f>
        <v>2027</v>
      </c>
      <c r="D44" s="183">
        <f>'Table D - Integration'!C47</f>
        <v>2.5000000000000001E-2</v>
      </c>
      <c r="E44" s="146">
        <f>'Table D - Integration'!E47</f>
        <v>2035</v>
      </c>
      <c r="F44" s="183">
        <f>'Table D - Integration'!F47</f>
        <v>2.3E-2</v>
      </c>
      <c r="G44" s="146">
        <f>'Table D - Integration'!H47</f>
        <v>0</v>
      </c>
      <c r="H44" s="183">
        <f>'Table D - Integration'!I47</f>
        <v>0</v>
      </c>
      <c r="I44" s="182"/>
      <c r="J44"/>
      <c r="K44"/>
      <c r="L44"/>
      <c r="M44" s="183"/>
    </row>
    <row r="45" spans="2:13" s="145" customFormat="1">
      <c r="C45" s="146">
        <f>'Table D - Integration'!B48</f>
        <v>2028</v>
      </c>
      <c r="D45" s="183">
        <f>'Table D - Integration'!C48</f>
        <v>2.5000000000000001E-2</v>
      </c>
      <c r="E45" s="146">
        <f>'Table D - Integration'!E48</f>
        <v>2036</v>
      </c>
      <c r="F45" s="183">
        <f>'Table D - Integration'!F48</f>
        <v>2.3E-2</v>
      </c>
      <c r="G45" s="146">
        <f>'Table D - Integration'!H48</f>
        <v>0</v>
      </c>
      <c r="H45" s="183">
        <f>'Table D - Integration'!I48</f>
        <v>0</v>
      </c>
      <c r="I45" s="182"/>
      <c r="J45"/>
      <c r="K45"/>
      <c r="L45"/>
      <c r="M45" s="183"/>
    </row>
    <row r="46" spans="2:13" s="145" customFormat="1">
      <c r="E46" s="146"/>
      <c r="F46" s="183"/>
      <c r="G46" s="146">
        <f>'Table D - Integration'!H49</f>
        <v>0</v>
      </c>
      <c r="H46" s="183">
        <f>'Table D - Integration'!I49</f>
        <v>0</v>
      </c>
      <c r="I46" s="182"/>
      <c r="J46"/>
      <c r="K46"/>
      <c r="L46"/>
      <c r="M46" s="183"/>
    </row>
    <row r="47" spans="2:13" s="144" customFormat="1" ht="12.75">
      <c r="J47"/>
      <c r="K47"/>
      <c r="L47"/>
    </row>
  </sheetData>
  <mergeCells count="2">
    <mergeCell ref="B1:H1"/>
    <mergeCell ref="B2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57"/>
  <sheetViews>
    <sheetView workbookViewId="0">
      <selection activeCell="B1" sqref="B1:N1"/>
    </sheetView>
  </sheetViews>
  <sheetFormatPr defaultColWidth="9.33203125" defaultRowHeight="12.75"/>
  <cols>
    <col min="1" max="1" width="1.83203125" style="1" customWidth="1"/>
    <col min="2" max="2" width="12.5" style="1" customWidth="1"/>
    <col min="3" max="14" width="10" style="1" customWidth="1"/>
    <col min="15" max="16" width="2.83203125" style="11" customWidth="1"/>
    <col min="17" max="17" width="18.6640625" style="11" customWidth="1"/>
    <col min="18" max="18" width="19.6640625" style="11" customWidth="1"/>
    <col min="19" max="16384" width="9.33203125" style="1"/>
  </cols>
  <sheetData>
    <row r="1" spans="1:26" s="55" customFormat="1" ht="15.75">
      <c r="B1" s="360" t="s">
        <v>214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49"/>
      <c r="P1" s="49"/>
      <c r="Q1" s="49"/>
      <c r="R1" s="49"/>
    </row>
    <row r="2" spans="1:26" s="55" customFormat="1" ht="15.75">
      <c r="B2" s="358" t="s">
        <v>58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49"/>
      <c r="P2" s="49"/>
      <c r="Q2" s="49"/>
      <c r="R2" s="49"/>
    </row>
    <row r="3" spans="1:26" s="56" customFormat="1" ht="15">
      <c r="B3" s="358" t="s">
        <v>215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53"/>
      <c r="P3" s="74"/>
      <c r="Q3" s="52"/>
      <c r="R3" s="52"/>
    </row>
    <row r="4" spans="1:26">
      <c r="B4" s="277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R4" s="1"/>
    </row>
    <row r="5" spans="1:26" s="57" customFormat="1" ht="12.75" customHeight="1">
      <c r="B5" s="279"/>
      <c r="C5" s="364" t="s">
        <v>15</v>
      </c>
      <c r="D5" s="365" t="s">
        <v>61</v>
      </c>
      <c r="E5" s="366" t="s">
        <v>61</v>
      </c>
      <c r="F5" s="364" t="s">
        <v>15</v>
      </c>
      <c r="G5" s="365" t="s">
        <v>61</v>
      </c>
      <c r="H5" s="366" t="s">
        <v>61</v>
      </c>
      <c r="I5" s="364" t="s">
        <v>15</v>
      </c>
      <c r="J5" s="365" t="s">
        <v>61</v>
      </c>
      <c r="K5" s="366" t="s">
        <v>61</v>
      </c>
      <c r="L5" s="364" t="s">
        <v>15</v>
      </c>
      <c r="M5" s="365" t="s">
        <v>61</v>
      </c>
      <c r="N5" s="366" t="s">
        <v>61</v>
      </c>
      <c r="O5" s="58"/>
      <c r="P5" s="58"/>
    </row>
    <row r="6" spans="1:26" s="57" customFormat="1" ht="12.75" customHeight="1">
      <c r="B6" s="280"/>
      <c r="C6" s="361" t="s">
        <v>126</v>
      </c>
      <c r="D6" s="362"/>
      <c r="E6" s="363"/>
      <c r="F6" s="361" t="s">
        <v>141</v>
      </c>
      <c r="G6" s="362"/>
      <c r="H6" s="363"/>
      <c r="I6" s="361" t="s">
        <v>142</v>
      </c>
      <c r="J6" s="362" t="s">
        <v>56</v>
      </c>
      <c r="K6" s="363" t="s">
        <v>56</v>
      </c>
      <c r="L6" s="361" t="s">
        <v>143</v>
      </c>
      <c r="M6" s="362" t="s">
        <v>57</v>
      </c>
      <c r="N6" s="363" t="s">
        <v>57</v>
      </c>
      <c r="O6" s="72"/>
      <c r="P6" s="72"/>
    </row>
    <row r="7" spans="1:26" s="57" customFormat="1" ht="12.75" customHeight="1">
      <c r="B7" s="280" t="s">
        <v>2</v>
      </c>
      <c r="C7" s="281" t="s">
        <v>165</v>
      </c>
      <c r="D7" s="282" t="s">
        <v>166</v>
      </c>
      <c r="E7" s="282" t="s">
        <v>167</v>
      </c>
      <c r="F7" s="281" t="s">
        <v>165</v>
      </c>
      <c r="G7" s="282" t="s">
        <v>166</v>
      </c>
      <c r="H7" s="282" t="s">
        <v>167</v>
      </c>
      <c r="I7" s="281" t="s">
        <v>165</v>
      </c>
      <c r="J7" s="282" t="s">
        <v>166</v>
      </c>
      <c r="K7" s="282" t="s">
        <v>167</v>
      </c>
      <c r="L7" s="281" t="s">
        <v>165</v>
      </c>
      <c r="M7" s="282" t="s">
        <v>166</v>
      </c>
      <c r="N7" s="282" t="s">
        <v>167</v>
      </c>
      <c r="O7" s="72"/>
      <c r="P7" s="72"/>
    </row>
    <row r="8" spans="1:26" ht="6.75" customHeight="1">
      <c r="B8" s="283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12"/>
      <c r="P8" s="12"/>
      <c r="Q8" s="1"/>
      <c r="R8" s="1"/>
    </row>
    <row r="9" spans="1:26">
      <c r="B9" s="285"/>
      <c r="C9" s="286"/>
      <c r="D9" s="287"/>
      <c r="E9" s="288"/>
      <c r="F9" s="286"/>
      <c r="G9" s="287"/>
      <c r="H9" s="288"/>
      <c r="I9" s="286"/>
      <c r="J9" s="289"/>
      <c r="K9" s="288"/>
      <c r="L9" s="286"/>
      <c r="M9" s="289"/>
      <c r="N9" s="288"/>
      <c r="O9" s="8"/>
      <c r="P9" s="8"/>
      <c r="Q9" s="30"/>
      <c r="R9" s="30"/>
    </row>
    <row r="10" spans="1:26">
      <c r="B10" s="295">
        <f>'Table A - Combined'!B11</f>
        <v>2022</v>
      </c>
      <c r="C10" s="287">
        <f>INDEX('Table A - Combined'!$C$10:$X$30,MATCH($B10,'Table A - Combined'!$B$10:$B$30,0),MATCH(C$6,'Table A - Combined'!$C$4:$X$4,0))</f>
        <v>73.212852338432512</v>
      </c>
      <c r="D10" s="287">
        <v>43.036355609488396</v>
      </c>
      <c r="E10" s="288">
        <f t="shared" ref="E10:E29" si="0">C10-D10</f>
        <v>30.176496728944116</v>
      </c>
      <c r="F10" s="286">
        <f>INDEX('Table A - Combined'!$C$10:$X$30,MATCH($B10,'Table A - Combined'!$B$10:$B$30,0),MATCH(F$6,'Table A - Combined'!$C$4:$X$4,0))</f>
        <v>60.853633030983694</v>
      </c>
      <c r="G10" s="287">
        <v>32.215487083465334</v>
      </c>
      <c r="H10" s="288">
        <f t="shared" ref="H10:H29" si="1">F10-G10</f>
        <v>28.63814594751836</v>
      </c>
      <c r="I10" s="286">
        <f>INDEX('Table A - Combined'!$C$10:$X$30,MATCH($B10,'Table A - Combined'!$B$10:$B$30,0),MATCH(I$6,'Table A - Combined'!$C$4:$X$4,0))</f>
        <v>48.626772627509489</v>
      </c>
      <c r="J10" s="287">
        <v>24.323886669234849</v>
      </c>
      <c r="K10" s="288">
        <f t="shared" ref="K10:K29" si="2">I10-J10</f>
        <v>24.30288595827464</v>
      </c>
      <c r="L10" s="286">
        <f>INDEX('Table A - Combined'!$C$10:$X$30,MATCH($B10,'Table A - Combined'!$B$10:$B$30,0),MATCH(L$6,'Table A - Combined'!$C$4:$X$4,0))</f>
        <v>49.909899576946572</v>
      </c>
      <c r="M10" s="287">
        <v>24.475094222937113</v>
      </c>
      <c r="N10" s="288">
        <f t="shared" ref="N10:N29" si="3">L10-M10</f>
        <v>25.434805354009459</v>
      </c>
      <c r="O10" s="30"/>
      <c r="P10" s="30"/>
      <c r="Q10"/>
      <c r="R10"/>
      <c r="S10"/>
      <c r="T10"/>
      <c r="U10"/>
      <c r="V10"/>
      <c r="W10"/>
      <c r="X10"/>
      <c r="Y10"/>
      <c r="Z10"/>
    </row>
    <row r="11" spans="1:26">
      <c r="B11" s="295">
        <f t="shared" ref="B11:B29" si="4">B10+1</f>
        <v>2023</v>
      </c>
      <c r="C11" s="287">
        <f>INDEX('Table A - Combined'!$C$10:$X$30,MATCH($B11,'Table A - Combined'!$B$10:$B$30,0),MATCH(C$6,'Table A - Combined'!$C$4:$X$4,0))</f>
        <v>63.832084758890147</v>
      </c>
      <c r="D11" s="287">
        <v>43.12029503273537</v>
      </c>
      <c r="E11" s="288">
        <f t="shared" si="0"/>
        <v>20.711789726154777</v>
      </c>
      <c r="F11" s="286">
        <f>INDEX('Table A - Combined'!$C$10:$X$30,MATCH($B11,'Table A - Combined'!$B$10:$B$30,0),MATCH(F$6,'Table A - Combined'!$C$4:$X$4,0))</f>
        <v>51.339512305924593</v>
      </c>
      <c r="G11" s="287">
        <v>32.180469833036426</v>
      </c>
      <c r="H11" s="288">
        <f t="shared" si="1"/>
        <v>19.159042472888167</v>
      </c>
      <c r="I11" s="286">
        <f>INDEX('Table A - Combined'!$C$10:$X$30,MATCH($B11,'Table A - Combined'!$B$10:$B$30,0),MATCH(I$6,'Table A - Combined'!$C$4:$X$4,0))</f>
        <v>40.875926667764091</v>
      </c>
      <c r="J11" s="287">
        <v>24.200896216845251</v>
      </c>
      <c r="K11" s="288">
        <f t="shared" si="2"/>
        <v>16.67503045091884</v>
      </c>
      <c r="L11" s="286">
        <f>INDEX('Table A - Combined'!$C$10:$X$30,MATCH($B11,'Table A - Combined'!$B$10:$B$30,0),MATCH(L$6,'Table A - Combined'!$C$4:$X$4,0))</f>
        <v>42.989664321023952</v>
      </c>
      <c r="M11" s="287">
        <v>24.263316111899684</v>
      </c>
      <c r="N11" s="288">
        <f t="shared" si="3"/>
        <v>18.726348209124268</v>
      </c>
      <c r="O11" s="30"/>
      <c r="P11" s="30"/>
      <c r="Q11" s="30"/>
      <c r="R11" s="30"/>
    </row>
    <row r="12" spans="1:26">
      <c r="B12" s="295">
        <f t="shared" si="4"/>
        <v>2024</v>
      </c>
      <c r="C12" s="287">
        <f>INDEX('Table A - Combined'!$C$10:$X$30,MATCH($B12,'Table A - Combined'!$B$10:$B$30,0),MATCH(C$6,'Table A - Combined'!$C$4:$X$4,0))</f>
        <v>58.394136408871638</v>
      </c>
      <c r="D12" s="287">
        <v>45.391784279020392</v>
      </c>
      <c r="E12" s="288">
        <f t="shared" si="0"/>
        <v>13.002352129851246</v>
      </c>
      <c r="F12" s="286">
        <f>INDEX('Table A - Combined'!$C$10:$X$30,MATCH($B12,'Table A - Combined'!$B$10:$B$30,0),MATCH(F$6,'Table A - Combined'!$C$4:$X$4,0))</f>
        <v>45.850307058566145</v>
      </c>
      <c r="G12" s="287">
        <v>34.068691745079214</v>
      </c>
      <c r="H12" s="288">
        <f t="shared" si="1"/>
        <v>11.781615313486931</v>
      </c>
      <c r="I12" s="286">
        <f>INDEX('Table A - Combined'!$C$10:$X$30,MATCH($B12,'Table A - Combined'!$B$10:$B$30,0),MATCH(I$6,'Table A - Combined'!$C$4:$X$4,0))</f>
        <v>35.772323697901712</v>
      </c>
      <c r="J12" s="287">
        <v>25.894229929255772</v>
      </c>
      <c r="K12" s="288">
        <f t="shared" si="2"/>
        <v>9.8780937686459396</v>
      </c>
      <c r="L12" s="286">
        <f>INDEX('Table A - Combined'!$C$10:$X$30,MATCH($B12,'Table A - Combined'!$B$10:$B$30,0),MATCH(L$6,'Table A - Combined'!$C$4:$X$4,0))</f>
        <v>38.096423916052309</v>
      </c>
      <c r="M12" s="287">
        <v>26.28814697912177</v>
      </c>
      <c r="N12" s="288">
        <f t="shared" si="3"/>
        <v>11.80827693693054</v>
      </c>
      <c r="O12" s="30"/>
      <c r="P12" s="30"/>
      <c r="Q12" s="30"/>
      <c r="R12" s="30"/>
    </row>
    <row r="13" spans="1:26">
      <c r="B13" s="295">
        <f t="shared" si="4"/>
        <v>2025</v>
      </c>
      <c r="C13" s="287">
        <f>INDEX('Table A - Combined'!$C$10:$X$30,MATCH($B13,'Table A - Combined'!$B$10:$B$30,0),MATCH(C$6,'Table A - Combined'!$C$4:$X$4,0))</f>
        <v>47.720604856361923</v>
      </c>
      <c r="D13" s="287">
        <v>47.404602859338148</v>
      </c>
      <c r="E13" s="288">
        <f t="shared" si="0"/>
        <v>0.31600199702377552</v>
      </c>
      <c r="F13" s="286">
        <f>INDEX('Table A - Combined'!$C$10:$X$30,MATCH($B13,'Table A - Combined'!$B$10:$B$30,0),MATCH(F$6,'Table A - Combined'!$C$4:$X$4,0))</f>
        <v>35.677641440592105</v>
      </c>
      <c r="G13" s="287">
        <v>35.665054878952752</v>
      </c>
      <c r="H13" s="288">
        <f t="shared" si="1"/>
        <v>1.2586561639352567E-2</v>
      </c>
      <c r="I13" s="286">
        <f>INDEX('Table A - Combined'!$C$10:$X$30,MATCH($B13,'Table A - Combined'!$B$10:$B$30,0),MATCH(I$6,'Table A - Combined'!$C$4:$X$4,0))</f>
        <v>26.246393416676852</v>
      </c>
      <c r="J13" s="287">
        <v>27.397391130797399</v>
      </c>
      <c r="K13" s="288">
        <f t="shared" si="2"/>
        <v>-1.1509977141205461</v>
      </c>
      <c r="L13" s="286">
        <f>INDEX('Table A - Combined'!$C$10:$X$30,MATCH($B13,'Table A - Combined'!$B$10:$B$30,0),MATCH(L$6,'Table A - Combined'!$C$4:$X$4,0))</f>
        <v>27.363005969161552</v>
      </c>
      <c r="M13" s="287">
        <v>28.140502382926559</v>
      </c>
      <c r="N13" s="288">
        <f t="shared" si="3"/>
        <v>-0.77749641376500733</v>
      </c>
      <c r="O13" s="30"/>
      <c r="P13" s="30"/>
      <c r="Q13" s="30"/>
      <c r="R13" s="30"/>
    </row>
    <row r="14" spans="1:26">
      <c r="B14" s="295">
        <f t="shared" si="4"/>
        <v>2026</v>
      </c>
      <c r="C14" s="287">
        <f>INDEX('Table A - Combined'!$C$10:$X$30,MATCH($B14,'Table A - Combined'!$B$10:$B$30,0),MATCH(C$6,'Table A - Combined'!$C$4:$X$4,0))</f>
        <v>38.963090605791322</v>
      </c>
      <c r="D14" s="287">
        <v>49.588961259349709</v>
      </c>
      <c r="E14" s="288">
        <f t="shared" si="0"/>
        <v>-10.625870653558387</v>
      </c>
      <c r="F14" s="286">
        <f>INDEX('Table A - Combined'!$C$10:$X$30,MATCH($B14,'Table A - Combined'!$B$10:$B$30,0),MATCH(F$6,'Table A - Combined'!$C$4:$X$4,0))</f>
        <v>27.61250592754805</v>
      </c>
      <c r="G14" s="287">
        <v>37.534677625953954</v>
      </c>
      <c r="H14" s="288">
        <f t="shared" si="1"/>
        <v>-9.9221716984059043</v>
      </c>
      <c r="I14" s="286">
        <f>INDEX('Table A - Combined'!$C$10:$X$30,MATCH($B14,'Table A - Combined'!$B$10:$B$30,0),MATCH(I$6,'Table A - Combined'!$C$4:$X$4,0))</f>
        <v>17.576540176108729</v>
      </c>
      <c r="J14" s="287">
        <v>29.364413867830859</v>
      </c>
      <c r="K14" s="288">
        <f t="shared" si="2"/>
        <v>-11.78787369172213</v>
      </c>
      <c r="L14" s="286">
        <f>INDEX('Table A - Combined'!$C$10:$X$30,MATCH($B14,'Table A - Combined'!$B$10:$B$30,0),MATCH(L$6,'Table A - Combined'!$C$4:$X$4,0))</f>
        <v>17.180167517207167</v>
      </c>
      <c r="M14" s="287">
        <v>30.396997858986261</v>
      </c>
      <c r="N14" s="288">
        <f t="shared" si="3"/>
        <v>-13.216830341779094</v>
      </c>
      <c r="O14" s="30"/>
      <c r="P14" s="30"/>
      <c r="Q14" s="30"/>
      <c r="R14" s="30"/>
    </row>
    <row r="15" spans="1:26">
      <c r="B15" s="295">
        <f t="shared" si="4"/>
        <v>2027</v>
      </c>
      <c r="C15" s="287">
        <f>INDEX('Table A - Combined'!$C$10:$X$30,MATCH($B15,'Table A - Combined'!$B$10:$B$30,0),MATCH(C$6,'Table A - Combined'!$C$4:$X$4,0))</f>
        <v>39.564521523904162</v>
      </c>
      <c r="D15" s="287">
        <v>53.378142347838931</v>
      </c>
      <c r="E15" s="288">
        <f t="shared" si="0"/>
        <v>-13.81362082393477</v>
      </c>
      <c r="F15" s="286">
        <f>INDEX('Table A - Combined'!$C$10:$X$30,MATCH($B15,'Table A - Combined'!$B$10:$B$30,0),MATCH(F$6,'Table A - Combined'!$C$4:$X$4,0))</f>
        <v>27.987950459893799</v>
      </c>
      <c r="G15" s="287">
        <v>40.604780467039994</v>
      </c>
      <c r="H15" s="288">
        <f t="shared" si="1"/>
        <v>-12.616830007146195</v>
      </c>
      <c r="I15" s="286">
        <f>INDEX('Table A - Combined'!$C$10:$X$30,MATCH($B15,'Table A - Combined'!$B$10:$B$30,0),MATCH(I$6,'Table A - Combined'!$C$4:$X$4,0))</f>
        <v>17.686412435326446</v>
      </c>
      <c r="J15" s="287">
        <v>33.300107055074626</v>
      </c>
      <c r="K15" s="288">
        <f t="shared" si="2"/>
        <v>-15.613694619748181</v>
      </c>
      <c r="L15" s="286">
        <f>INDEX('Table A - Combined'!$C$10:$X$30,MATCH($B15,'Table A - Combined'!$B$10:$B$30,0),MATCH(L$6,'Table A - Combined'!$C$4:$X$4,0))</f>
        <v>17.264838326056822</v>
      </c>
      <c r="M15" s="287">
        <v>34.882368312617352</v>
      </c>
      <c r="N15" s="288">
        <f t="shared" si="3"/>
        <v>-17.61752998656053</v>
      </c>
      <c r="O15" s="30"/>
      <c r="P15" s="30"/>
      <c r="Q15" s="30"/>
      <c r="R15" s="30"/>
    </row>
    <row r="16" spans="1:26">
      <c r="A16" s="2"/>
      <c r="B16" s="290">
        <f t="shared" si="4"/>
        <v>2028</v>
      </c>
      <c r="C16" s="291">
        <f>INDEX('Table A - Combined'!$C$10:$X$30,MATCH($B16,'Table A - Combined'!$B$10:$B$30,0),MATCH(C$6,'Table A - Combined'!$C$4:$X$4,0))</f>
        <v>40.92258937668695</v>
      </c>
      <c r="D16" s="292">
        <v>54.759279787244644</v>
      </c>
      <c r="E16" s="293">
        <f t="shared" si="0"/>
        <v>-13.836690410557694</v>
      </c>
      <c r="F16" s="291">
        <f>INDEX('Table A - Combined'!$C$10:$X$30,MATCH($B16,'Table A - Combined'!$B$10:$B$30,0),MATCH(F$6,'Table A - Combined'!$C$4:$X$4,0))</f>
        <v>29.08542240818662</v>
      </c>
      <c r="G16" s="292">
        <v>41.73684149464875</v>
      </c>
      <c r="H16" s="293">
        <f t="shared" si="1"/>
        <v>-12.651419086462131</v>
      </c>
      <c r="I16" s="291">
        <f>INDEX('Table A - Combined'!$C$10:$X$30,MATCH($B16,'Table A - Combined'!$B$10:$B$30,0),MATCH(I$6,'Table A - Combined'!$C$4:$X$4,0))</f>
        <v>18.217943747302332</v>
      </c>
      <c r="J16" s="292">
        <v>33.65071179604773</v>
      </c>
      <c r="K16" s="293">
        <f t="shared" si="2"/>
        <v>-15.432768048745398</v>
      </c>
      <c r="L16" s="291">
        <f>INDEX('Table A - Combined'!$C$10:$X$30,MATCH($B16,'Table A - Combined'!$B$10:$B$30,0),MATCH(L$6,'Table A - Combined'!$C$4:$X$4,0))</f>
        <v>17.780519913510599</v>
      </c>
      <c r="M16" s="292">
        <v>35.118003942030441</v>
      </c>
      <c r="N16" s="293">
        <f t="shared" si="3"/>
        <v>-17.337484028519842</v>
      </c>
      <c r="O16" s="30"/>
      <c r="P16" s="30"/>
      <c r="Q16" s="30"/>
      <c r="R16" s="30"/>
    </row>
    <row r="17" spans="2:18">
      <c r="B17" s="294">
        <f t="shared" si="4"/>
        <v>2029</v>
      </c>
      <c r="C17" s="287">
        <f>INDEX('Table A - Combined'!$C$10:$X$30,MATCH($B17,'Table A - Combined'!$B$10:$B$30,0),MATCH(C$6,'Table A - Combined'!$C$4:$X$4,0))</f>
        <v>41.526347512037766</v>
      </c>
      <c r="D17" s="287">
        <v>56.761707806465225</v>
      </c>
      <c r="E17" s="288">
        <f t="shared" si="0"/>
        <v>-15.235360294427458</v>
      </c>
      <c r="F17" s="286">
        <f>INDEX('Table A - Combined'!$C$10:$X$30,MATCH($B17,'Table A - Combined'!$B$10:$B$30,0),MATCH(F$6,'Table A - Combined'!$C$4:$X$4,0))</f>
        <v>29.310656642194033</v>
      </c>
      <c r="G17" s="287">
        <v>43.358292491169472</v>
      </c>
      <c r="H17" s="288">
        <f t="shared" si="1"/>
        <v>-14.047635848975439</v>
      </c>
      <c r="I17" s="286">
        <f>INDEX('Table A - Combined'!$C$10:$X$30,MATCH($B17,'Table A - Combined'!$B$10:$B$30,0),MATCH(I$6,'Table A - Combined'!$C$4:$X$4,0))</f>
        <v>18.274270237180424</v>
      </c>
      <c r="J17" s="287">
        <v>34.753977002831633</v>
      </c>
      <c r="K17" s="288">
        <f t="shared" si="2"/>
        <v>-16.479706765651208</v>
      </c>
      <c r="L17" s="286">
        <f>INDEX('Table A - Combined'!$C$10:$X$30,MATCH($B17,'Table A - Combined'!$B$10:$B$30,0),MATCH(L$6,'Table A - Combined'!$C$4:$X$4,0))</f>
        <v>17.677219810224905</v>
      </c>
      <c r="M17" s="287">
        <v>35.940638922538035</v>
      </c>
      <c r="N17" s="288">
        <f t="shared" si="3"/>
        <v>-18.26341911231313</v>
      </c>
      <c r="O17" s="30"/>
      <c r="P17" s="30"/>
      <c r="Q17" s="30"/>
      <c r="R17" s="30"/>
    </row>
    <row r="18" spans="2:18">
      <c r="B18" s="295">
        <f t="shared" si="4"/>
        <v>2030</v>
      </c>
      <c r="C18" s="287">
        <f>INDEX('Table A - Combined'!$C$10:$X$30,MATCH($B18,'Table A - Combined'!$B$10:$B$30,0),MATCH(C$6,'Table A - Combined'!$C$4:$X$4,0))</f>
        <v>42.177822963718711</v>
      </c>
      <c r="D18" s="287">
        <v>58.091193752724358</v>
      </c>
      <c r="E18" s="288">
        <f t="shared" si="0"/>
        <v>-15.913370789005647</v>
      </c>
      <c r="F18" s="286">
        <f>INDEX('Table A - Combined'!$C$10:$X$30,MATCH($B18,'Table A - Combined'!$B$10:$B$30,0),MATCH(F$6,'Table A - Combined'!$C$4:$X$4,0))</f>
        <v>29.634751674858141</v>
      </c>
      <c r="G18" s="287">
        <v>44.482253879983375</v>
      </c>
      <c r="H18" s="288">
        <f t="shared" si="1"/>
        <v>-14.847502205125235</v>
      </c>
      <c r="I18" s="286">
        <f>INDEX('Table A - Combined'!$C$10:$X$30,MATCH($B18,'Table A - Combined'!$B$10:$B$30,0),MATCH(I$6,'Table A - Combined'!$C$4:$X$4,0))</f>
        <v>18.458438841294512</v>
      </c>
      <c r="J18" s="287">
        <v>35.169148526272679</v>
      </c>
      <c r="K18" s="288">
        <f t="shared" si="2"/>
        <v>-16.710709684978166</v>
      </c>
      <c r="L18" s="286">
        <f>INDEX('Table A - Combined'!$C$10:$X$30,MATCH($B18,'Table A - Combined'!$B$10:$B$30,0),MATCH(L$6,'Table A - Combined'!$C$4:$X$4,0))</f>
        <v>17.894401024153158</v>
      </c>
      <c r="M18" s="287">
        <v>35.977965781593127</v>
      </c>
      <c r="N18" s="288">
        <f t="shared" si="3"/>
        <v>-18.083564757439969</v>
      </c>
      <c r="O18" s="30"/>
      <c r="P18" s="30"/>
      <c r="Q18" s="30"/>
      <c r="R18" s="30"/>
    </row>
    <row r="19" spans="2:18">
      <c r="B19" s="295">
        <f t="shared" si="4"/>
        <v>2031</v>
      </c>
      <c r="C19" s="287">
        <f>INDEX('Table A - Combined'!$C$10:$X$30,MATCH($B19,'Table A - Combined'!$B$10:$B$30,0),MATCH(C$6,'Table A - Combined'!$C$4:$X$4,0))</f>
        <v>43.59570520010346</v>
      </c>
      <c r="D19" s="287">
        <v>58.986668825786566</v>
      </c>
      <c r="E19" s="297">
        <f t="shared" si="0"/>
        <v>-15.390963625683106</v>
      </c>
      <c r="F19" s="286">
        <f>INDEX('Table A - Combined'!$C$10:$X$30,MATCH($B19,'Table A - Combined'!$B$10:$B$30,0),MATCH(F$6,'Table A - Combined'!$C$4:$X$4,0))</f>
        <v>30.827335175183528</v>
      </c>
      <c r="G19" s="287">
        <v>45.168207584312626</v>
      </c>
      <c r="H19" s="297">
        <f t="shared" si="1"/>
        <v>-14.340872409129098</v>
      </c>
      <c r="I19" s="286">
        <f>INDEX('Table A - Combined'!$C$10:$X$30,MATCH($B19,'Table A - Combined'!$B$10:$B$30,0),MATCH(I$6,'Table A - Combined'!$C$4:$X$4,0))</f>
        <v>19.061068215682816</v>
      </c>
      <c r="J19" s="287">
        <v>35.313697858360172</v>
      </c>
      <c r="K19" s="297">
        <f t="shared" si="2"/>
        <v>-16.252629642677356</v>
      </c>
      <c r="L19" s="286">
        <f>INDEX('Table A - Combined'!$C$10:$X$30,MATCH($B19,'Table A - Combined'!$B$10:$B$30,0),MATCH(L$6,'Table A - Combined'!$C$4:$X$4,0))</f>
        <v>18.39534951934041</v>
      </c>
      <c r="M19" s="287">
        <v>36.064957967581741</v>
      </c>
      <c r="N19" s="297">
        <f t="shared" si="3"/>
        <v>-17.66960844824133</v>
      </c>
      <c r="O19" s="31"/>
      <c r="P19" s="30"/>
      <c r="Q19" s="30"/>
      <c r="R19" s="30"/>
    </row>
    <row r="20" spans="2:18">
      <c r="B20" s="295">
        <f t="shared" si="4"/>
        <v>2032</v>
      </c>
      <c r="C20" s="287">
        <f>INDEX('Table A - Combined'!$C$10:$X$30,MATCH($B20,'Table A - Combined'!$B$10:$B$30,0),MATCH(C$6,'Table A - Combined'!$C$4:$X$4,0))</f>
        <v>43.337939263802319</v>
      </c>
      <c r="D20" s="287">
        <v>60.047585479878521</v>
      </c>
      <c r="E20" s="297">
        <f t="shared" si="0"/>
        <v>-16.709646216076202</v>
      </c>
      <c r="F20" s="286">
        <f>INDEX('Table A - Combined'!$C$10:$X$30,MATCH($B20,'Table A - Combined'!$B$10:$B$30,0),MATCH(F$6,'Table A - Combined'!$C$4:$X$4,0))</f>
        <v>30.177070259550266</v>
      </c>
      <c r="G20" s="287">
        <v>46.080879952912959</v>
      </c>
      <c r="H20" s="297">
        <f t="shared" si="1"/>
        <v>-15.903809693362692</v>
      </c>
      <c r="I20" s="286">
        <f>INDEX('Table A - Combined'!$C$10:$X$30,MATCH($B20,'Table A - Combined'!$B$10:$B$30,0),MATCH(I$6,'Table A - Combined'!$C$4:$X$4,0))</f>
        <v>18.628497500364663</v>
      </c>
      <c r="J20" s="287">
        <v>35.928601252190795</v>
      </c>
      <c r="K20" s="297">
        <f t="shared" si="2"/>
        <v>-17.300103751826132</v>
      </c>
      <c r="L20" s="286">
        <f>INDEX('Table A - Combined'!$C$10:$X$30,MATCH($B20,'Table A - Combined'!$B$10:$B$30,0),MATCH(L$6,'Table A - Combined'!$C$4:$X$4,0))</f>
        <v>17.971665803410403</v>
      </c>
      <c r="M20" s="287">
        <v>36.652899771451253</v>
      </c>
      <c r="N20" s="297">
        <f t="shared" si="3"/>
        <v>-18.68123396804085</v>
      </c>
      <c r="O20" s="31"/>
      <c r="P20" s="30"/>
      <c r="Q20" s="30"/>
      <c r="R20" s="30"/>
    </row>
    <row r="21" spans="2:18">
      <c r="B21" s="295">
        <f t="shared" si="4"/>
        <v>2033</v>
      </c>
      <c r="C21" s="287">
        <f>INDEX('Table A - Combined'!$C$10:$X$30,MATCH($B21,'Table A - Combined'!$B$10:$B$30,0),MATCH(C$6,'Table A - Combined'!$C$4:$X$4,0))</f>
        <v>43.253162832308689</v>
      </c>
      <c r="D21" s="287">
        <v>61.331652908767794</v>
      </c>
      <c r="E21" s="297">
        <f t="shared" si="0"/>
        <v>-18.078490076459104</v>
      </c>
      <c r="F21" s="286">
        <f>INDEX('Table A - Combined'!$C$10:$X$30,MATCH($B21,'Table A - Combined'!$B$10:$B$30,0),MATCH(F$6,'Table A - Combined'!$C$4:$X$4,0))</f>
        <v>29.780054615341061</v>
      </c>
      <c r="G21" s="287">
        <v>46.874407449525783</v>
      </c>
      <c r="H21" s="297">
        <f t="shared" si="1"/>
        <v>-17.094352834184722</v>
      </c>
      <c r="I21" s="286">
        <f>INDEX('Table A - Combined'!$C$10:$X$30,MATCH($B21,'Table A - Combined'!$B$10:$B$30,0),MATCH(I$6,'Table A - Combined'!$C$4:$X$4,0))</f>
        <v>17.97861111868017</v>
      </c>
      <c r="J21" s="287">
        <v>36.720483565550026</v>
      </c>
      <c r="K21" s="297">
        <f t="shared" si="2"/>
        <v>-18.741872446869856</v>
      </c>
      <c r="L21" s="286">
        <f>INDEX('Table A - Combined'!$C$10:$X$30,MATCH($B21,'Table A - Combined'!$B$10:$B$30,0),MATCH(L$6,'Table A - Combined'!$C$4:$X$4,0))</f>
        <v>17.286617187768023</v>
      </c>
      <c r="M21" s="287">
        <v>37.352969368176339</v>
      </c>
      <c r="N21" s="297">
        <f t="shared" si="3"/>
        <v>-20.066352180408316</v>
      </c>
      <c r="O21" s="31"/>
      <c r="P21" s="30"/>
      <c r="Q21" s="30"/>
      <c r="R21" s="30"/>
    </row>
    <row r="22" spans="2:18">
      <c r="B22" s="295">
        <f t="shared" si="4"/>
        <v>2034</v>
      </c>
      <c r="C22" s="287">
        <f>INDEX('Table A - Combined'!$C$10:$X$30,MATCH($B22,'Table A - Combined'!$B$10:$B$30,0),MATCH(C$6,'Table A - Combined'!$C$4:$X$4,0))</f>
        <v>44.135101522657258</v>
      </c>
      <c r="D22" s="287">
        <v>62.34527984702094</v>
      </c>
      <c r="E22" s="288">
        <f t="shared" si="0"/>
        <v>-18.210178324363682</v>
      </c>
      <c r="F22" s="286">
        <f>INDEX('Table A - Combined'!$C$10:$X$30,MATCH($B22,'Table A - Combined'!$B$10:$B$30,0),MATCH(F$6,'Table A - Combined'!$C$4:$X$4,0))</f>
        <v>30.544306475855322</v>
      </c>
      <c r="G22" s="287">
        <v>47.556269983264237</v>
      </c>
      <c r="H22" s="288">
        <f t="shared" si="1"/>
        <v>-17.011963507408915</v>
      </c>
      <c r="I22" s="286">
        <f>INDEX('Table A - Combined'!$C$10:$X$30,MATCH($B22,'Table A - Combined'!$B$10:$B$30,0),MATCH(I$6,'Table A - Combined'!$C$4:$X$4,0))</f>
        <v>18.356004627271933</v>
      </c>
      <c r="J22" s="287">
        <v>37.268218985050709</v>
      </c>
      <c r="K22" s="288">
        <f t="shared" si="2"/>
        <v>-18.912214357778776</v>
      </c>
      <c r="L22" s="286">
        <f>INDEX('Table A - Combined'!$C$10:$X$30,MATCH($B22,'Table A - Combined'!$B$10:$B$30,0),MATCH(L$6,'Table A - Combined'!$C$4:$X$4,0))</f>
        <v>17.640982751031856</v>
      </c>
      <c r="M22" s="287">
        <v>38.019188107524855</v>
      </c>
      <c r="N22" s="288">
        <f t="shared" si="3"/>
        <v>-20.378205356492998</v>
      </c>
      <c r="O22" s="30"/>
      <c r="P22" s="30"/>
      <c r="Q22" s="30"/>
      <c r="R22" s="30"/>
    </row>
    <row r="23" spans="2:18">
      <c r="B23" s="295">
        <f t="shared" si="4"/>
        <v>2035</v>
      </c>
      <c r="C23" s="287">
        <f>INDEX('Table A - Combined'!$C$10:$X$30,MATCH($B23,'Table A - Combined'!$B$10:$B$30,0),MATCH(C$6,'Table A - Combined'!$C$4:$X$4,0))</f>
        <v>44.933119006080105</v>
      </c>
      <c r="D23" s="287">
        <v>66.049957543443071</v>
      </c>
      <c r="E23" s="288">
        <f t="shared" si="0"/>
        <v>-21.116838537362966</v>
      </c>
      <c r="F23" s="286">
        <f>INDEX('Table A - Combined'!$C$10:$X$30,MATCH($B23,'Table A - Combined'!$B$10:$B$30,0),MATCH(F$6,'Table A - Combined'!$C$4:$X$4,0))</f>
        <v>30.727568883474646</v>
      </c>
      <c r="G23" s="287">
        <v>50.509914605933929</v>
      </c>
      <c r="H23" s="288">
        <f t="shared" si="1"/>
        <v>-19.782345722459283</v>
      </c>
      <c r="I23" s="286">
        <f>INDEX('Table A - Combined'!$C$10:$X$30,MATCH($B23,'Table A - Combined'!$B$10:$B$30,0),MATCH(I$6,'Table A - Combined'!$C$4:$X$4,0))</f>
        <v>18.641304996141837</v>
      </c>
      <c r="J23" s="287">
        <v>41.04440010841865</v>
      </c>
      <c r="K23" s="288">
        <f t="shared" si="2"/>
        <v>-22.403095112276812</v>
      </c>
      <c r="L23" s="286">
        <f>INDEX('Table A - Combined'!$C$10:$X$30,MATCH($B23,'Table A - Combined'!$B$10:$B$30,0),MATCH(L$6,'Table A - Combined'!$C$4:$X$4,0))</f>
        <v>17.944793578557253</v>
      </c>
      <c r="M23" s="287">
        <v>42.115059389454579</v>
      </c>
      <c r="N23" s="288">
        <f t="shared" si="3"/>
        <v>-24.170265810897327</v>
      </c>
      <c r="O23" s="30"/>
      <c r="P23" s="30"/>
      <c r="Q23" s="30"/>
      <c r="R23" s="30"/>
    </row>
    <row r="24" spans="2:18">
      <c r="B24" s="295">
        <f t="shared" si="4"/>
        <v>2036</v>
      </c>
      <c r="C24" s="287">
        <f>INDEX('Table A - Combined'!$C$10:$X$30,MATCH($B24,'Table A - Combined'!$B$10:$B$30,0),MATCH(C$6,'Table A - Combined'!$C$4:$X$4,0))</f>
        <v>44.644453468862146</v>
      </c>
      <c r="D24" s="287">
        <v>67.607829587955393</v>
      </c>
      <c r="E24" s="288">
        <f t="shared" si="0"/>
        <v>-22.963376119093247</v>
      </c>
      <c r="F24" s="286">
        <f>INDEX('Table A - Combined'!$C$10:$X$30,MATCH($B24,'Table A - Combined'!$B$10:$B$30,0),MATCH(F$6,'Table A - Combined'!$C$4:$X$4,0))</f>
        <v>30.210147411134837</v>
      </c>
      <c r="G24" s="287">
        <v>51.758356379019752</v>
      </c>
      <c r="H24" s="288">
        <f t="shared" si="1"/>
        <v>-21.548208967884914</v>
      </c>
      <c r="I24" s="286">
        <f>INDEX('Table A - Combined'!$C$10:$X$30,MATCH($B24,'Table A - Combined'!$B$10:$B$30,0),MATCH(I$6,'Table A - Combined'!$C$4:$X$4,0))</f>
        <v>18.064075604838081</v>
      </c>
      <c r="J24" s="287">
        <v>41.964283181985593</v>
      </c>
      <c r="K24" s="288">
        <f t="shared" si="2"/>
        <v>-23.900207577147512</v>
      </c>
      <c r="L24" s="286">
        <f>INDEX('Table A - Combined'!$C$10:$X$30,MATCH($B24,'Table A - Combined'!$B$10:$B$30,0),MATCH(L$6,'Table A - Combined'!$C$4:$X$4,0))</f>
        <v>17.368771209199068</v>
      </c>
      <c r="M24" s="287">
        <v>42.999258769139821</v>
      </c>
      <c r="N24" s="288">
        <f t="shared" si="3"/>
        <v>-25.630487559940754</v>
      </c>
      <c r="O24" s="30"/>
      <c r="P24" s="30"/>
      <c r="Q24" s="30"/>
      <c r="R24" s="30"/>
    </row>
    <row r="25" spans="2:18">
      <c r="B25" s="295">
        <f t="shared" si="4"/>
        <v>2037</v>
      </c>
      <c r="C25" s="287">
        <f>INDEX('Table A - Combined'!$C$10:$X$30,MATCH($B25,'Table A - Combined'!$B$10:$B$30,0),MATCH(C$6,'Table A - Combined'!$C$4:$X$4,0))</f>
        <v>45.48571710022955</v>
      </c>
      <c r="D25" s="287">
        <v>68.474728130595651</v>
      </c>
      <c r="E25" s="288">
        <f t="shared" si="0"/>
        <v>-22.9890110303661</v>
      </c>
      <c r="F25" s="286">
        <f>INDEX('Table A - Combined'!$C$10:$X$30,MATCH($B25,'Table A - Combined'!$B$10:$B$30,0),MATCH(F$6,'Table A - Combined'!$C$4:$X$4,0))</f>
        <v>30.795911308471688</v>
      </c>
      <c r="G25" s="287">
        <v>52.362996911751864</v>
      </c>
      <c r="H25" s="288">
        <f t="shared" si="1"/>
        <v>-21.567085603280177</v>
      </c>
      <c r="I25" s="286">
        <f>INDEX('Table A - Combined'!$C$10:$X$30,MATCH($B25,'Table A - Combined'!$B$10:$B$30,0),MATCH(I$6,'Table A - Combined'!$C$4:$X$4,0))</f>
        <v>18.243398236504678</v>
      </c>
      <c r="J25" s="287">
        <v>42.207119541281685</v>
      </c>
      <c r="K25" s="288">
        <f t="shared" si="2"/>
        <v>-23.963721304777007</v>
      </c>
      <c r="L25" s="286">
        <f>INDEX('Table A - Combined'!$C$10:$X$30,MATCH($B25,'Table A - Combined'!$B$10:$B$30,0),MATCH(L$6,'Table A - Combined'!$C$4:$X$4,0))</f>
        <v>17.494314373513813</v>
      </c>
      <c r="M25" s="287">
        <v>43.233737048312037</v>
      </c>
      <c r="N25" s="288">
        <f t="shared" si="3"/>
        <v>-25.739422674798224</v>
      </c>
      <c r="O25" s="30"/>
      <c r="P25" s="30"/>
      <c r="Q25" s="30"/>
      <c r="R25" s="30"/>
    </row>
    <row r="26" spans="2:18">
      <c r="B26" s="295">
        <f t="shared" si="4"/>
        <v>2038</v>
      </c>
      <c r="C26" s="287">
        <f>INDEX('Table A - Combined'!$C$10:$X$30,MATCH($B26,'Table A - Combined'!$B$10:$B$30,0),MATCH(C$6,'Table A - Combined'!$C$4:$X$4,0))</f>
        <v>46.12813074764459</v>
      </c>
      <c r="D26" s="287">
        <v>71.570428098278754</v>
      </c>
      <c r="E26" s="288">
        <f t="shared" si="0"/>
        <v>-25.442297350634163</v>
      </c>
      <c r="F26" s="286">
        <f>INDEX('Table A - Combined'!$C$10:$X$30,MATCH($B26,'Table A - Combined'!$B$10:$B$30,0),MATCH(F$6,'Table A - Combined'!$C$4:$X$4,0))</f>
        <v>31.003367764138726</v>
      </c>
      <c r="G26" s="287">
        <v>55.156597388836786</v>
      </c>
      <c r="H26" s="288">
        <f t="shared" si="1"/>
        <v>-24.15322962469806</v>
      </c>
      <c r="I26" s="286">
        <f>INDEX('Table A - Combined'!$C$10:$X$30,MATCH($B26,'Table A - Combined'!$B$10:$B$30,0),MATCH(I$6,'Table A - Combined'!$C$4:$X$4,0))</f>
        <v>18.394769937605528</v>
      </c>
      <c r="J26" s="287">
        <v>44.304753322057756</v>
      </c>
      <c r="K26" s="288">
        <f t="shared" si="2"/>
        <v>-25.909983384452229</v>
      </c>
      <c r="L26" s="286">
        <f>INDEX('Table A - Combined'!$C$10:$X$30,MATCH($B26,'Table A - Combined'!$B$10:$B$30,0),MATCH(L$6,'Table A - Combined'!$C$4:$X$4,0))</f>
        <v>17.641374708955393</v>
      </c>
      <c r="M26" s="287">
        <v>45.436923252116038</v>
      </c>
      <c r="N26" s="288">
        <f t="shared" si="3"/>
        <v>-27.795548543160645</v>
      </c>
      <c r="O26" s="30"/>
      <c r="P26" s="30"/>
      <c r="Q26" s="30"/>
      <c r="R26" s="30"/>
    </row>
    <row r="27" spans="2:18">
      <c r="B27" s="295">
        <f t="shared" si="4"/>
        <v>2039</v>
      </c>
      <c r="C27" s="287">
        <f>INDEX('Table A - Combined'!$C$10:$X$30,MATCH($B27,'Table A - Combined'!$B$10:$B$30,0),MATCH(C$6,'Table A - Combined'!$C$4:$X$4,0))</f>
        <v>46.614795203470543</v>
      </c>
      <c r="D27" s="287">
        <v>74.301949060945631</v>
      </c>
      <c r="E27" s="288">
        <f t="shared" si="0"/>
        <v>-27.687153857475089</v>
      </c>
      <c r="F27" s="286">
        <f>INDEX('Table A - Combined'!$C$10:$X$30,MATCH($B27,'Table A - Combined'!$B$10:$B$30,0),MATCH(F$6,'Table A - Combined'!$C$4:$X$4,0))</f>
        <v>31.161714536573111</v>
      </c>
      <c r="G27" s="287">
        <v>57.414610931590744</v>
      </c>
      <c r="H27" s="288">
        <f t="shared" si="1"/>
        <v>-26.252896395017633</v>
      </c>
      <c r="I27" s="286">
        <f>INDEX('Table A - Combined'!$C$10:$X$30,MATCH($B27,'Table A - Combined'!$B$10:$B$30,0),MATCH(I$6,'Table A - Combined'!$C$4:$X$4,0))</f>
        <v>18.298067145955116</v>
      </c>
      <c r="J27" s="287">
        <v>45.924320395850522</v>
      </c>
      <c r="K27" s="288">
        <f t="shared" si="2"/>
        <v>-27.626253249895406</v>
      </c>
      <c r="L27" s="286">
        <f>INDEX('Table A - Combined'!$C$10:$X$30,MATCH($B27,'Table A - Combined'!$B$10:$B$30,0),MATCH(L$6,'Table A - Combined'!$C$4:$X$4,0))</f>
        <v>17.513341468807457</v>
      </c>
      <c r="M27" s="287">
        <v>46.723002666077178</v>
      </c>
      <c r="N27" s="288">
        <f t="shared" si="3"/>
        <v>-29.209661197269721</v>
      </c>
      <c r="O27" s="30"/>
      <c r="P27" s="30"/>
      <c r="Q27" s="30"/>
      <c r="R27" s="30"/>
    </row>
    <row r="28" spans="2:18">
      <c r="B28" s="295">
        <f t="shared" si="4"/>
        <v>2040</v>
      </c>
      <c r="C28" s="287">
        <f>INDEX('Table A - Combined'!$C$10:$X$30,MATCH($B28,'Table A - Combined'!$B$10:$B$30,0),MATCH(C$6,'Table A - Combined'!$C$4:$X$4,0))</f>
        <v>47.373861571123527</v>
      </c>
      <c r="D28" s="287">
        <v>77.365264990237662</v>
      </c>
      <c r="E28" s="288">
        <f t="shared" si="0"/>
        <v>-29.991403419114135</v>
      </c>
      <c r="F28" s="286">
        <f>INDEX('Table A - Combined'!$C$10:$X$30,MATCH($B28,'Table A - Combined'!$B$10:$B$30,0),MATCH(F$6,'Table A - Combined'!$C$4:$X$4,0))</f>
        <v>31.72486626922095</v>
      </c>
      <c r="G28" s="287">
        <v>60.148801644460001</v>
      </c>
      <c r="H28" s="288">
        <f t="shared" si="1"/>
        <v>-28.423935375239051</v>
      </c>
      <c r="I28" s="286">
        <f>INDEX('Table A - Combined'!$C$10:$X$30,MATCH($B28,'Table A - Combined'!$B$10:$B$30,0),MATCH(I$6,'Table A - Combined'!$C$4:$X$4,0))</f>
        <v>18.347625047128098</v>
      </c>
      <c r="J28" s="287">
        <v>47.966877415030211</v>
      </c>
      <c r="K28" s="288">
        <f t="shared" si="2"/>
        <v>-29.619252367902114</v>
      </c>
      <c r="L28" s="286">
        <f>INDEX('Table A - Combined'!$C$10:$X$30,MATCH($B28,'Table A - Combined'!$B$10:$B$30,0),MATCH(L$6,'Table A - Combined'!$C$4:$X$4,0))</f>
        <v>17.419476987023234</v>
      </c>
      <c r="M28" s="287">
        <v>49.160633212925987</v>
      </c>
      <c r="N28" s="288">
        <f t="shared" si="3"/>
        <v>-31.741156225902753</v>
      </c>
      <c r="O28" s="30"/>
      <c r="P28" s="30"/>
      <c r="Q28" s="30"/>
      <c r="R28" s="30"/>
    </row>
    <row r="29" spans="2:18">
      <c r="B29" s="295">
        <f t="shared" si="4"/>
        <v>2041</v>
      </c>
      <c r="C29" s="287">
        <f>INDEX('Table A - Combined'!$C$10:$X$30,MATCH($B29,'Table A - Combined'!$B$10:$B$30,0),MATCH(C$6,'Table A - Combined'!$C$4:$X$4,0))</f>
        <v>48.197164024269036</v>
      </c>
      <c r="D29" s="296">
        <f>ROUND(D28*(1+(IFERROR(INDEX('Table D - Integration'!$C$41:$C$49,MATCH($B29,'Table D - Integration'!$B$41:$B$49,0),1),0)+IFERROR(INDEX('Table D - Integration'!$F$41:$F$49,MATCH($B29,'Table D - Integration'!$E$41:$E$49,0),1),0)+IFERROR(INDEX('Table D - Integration'!$I$41:$I$49,MATCH($B29,'Table D - Integration'!$H$41:$H$49,0),1),0))),2)</f>
        <v>79.069999999999993</v>
      </c>
      <c r="E29" s="288">
        <f t="shared" si="0"/>
        <v>-30.872835975730958</v>
      </c>
      <c r="F29" s="286">
        <f>INDEX('Table A - Combined'!$C$10:$X$30,MATCH($B29,'Table A - Combined'!$B$10:$B$30,0),MATCH(F$6,'Table A - Combined'!$C$4:$X$4,0))</f>
        <v>31.886548423652417</v>
      </c>
      <c r="G29" s="296">
        <f>ROUND(G28*(1+(IFERROR(INDEX('Table D - Integration'!$C$41:$C$49,MATCH($B29,'Table D - Integration'!$B$41:$B$49,0),1),0)+IFERROR(INDEX('Table D - Integration'!$F$41:$F$49,MATCH($B29,'Table D - Integration'!$E$41:$E$49,0),1),0)+IFERROR(INDEX('Table D - Integration'!$I$41:$I$49,MATCH($B29,'Table D - Integration'!$H$41:$H$49,0),1),0))),2)</f>
        <v>61.47</v>
      </c>
      <c r="H29" s="288">
        <f t="shared" si="1"/>
        <v>-29.583451576347581</v>
      </c>
      <c r="I29" s="286">
        <f>INDEX('Table A - Combined'!$C$10:$X$30,MATCH($B29,'Table A - Combined'!$B$10:$B$30,0),MATCH(I$6,'Table A - Combined'!$C$4:$X$4,0))</f>
        <v>18.742452992563855</v>
      </c>
      <c r="J29" s="296">
        <f>ROUND(J28*(1+(IFERROR(INDEX('Table D - Integration'!$C$41:$C$49,MATCH($B29,'Table D - Integration'!$B$41:$B$49,0),1),0)+IFERROR(INDEX('Table D - Integration'!$F$41:$F$49,MATCH($B29,'Table D - Integration'!$E$41:$E$49,0),1),0)+IFERROR(INDEX('Table D - Integration'!$I$41:$I$49,MATCH($B29,'Table D - Integration'!$H$41:$H$49,0),1),0))),2)</f>
        <v>49.02</v>
      </c>
      <c r="K29" s="288">
        <f t="shared" si="2"/>
        <v>-30.277547007436148</v>
      </c>
      <c r="L29" s="286">
        <f>INDEX('Table A - Combined'!$C$10:$X$30,MATCH($B29,'Table A - Combined'!$B$10:$B$30,0),MATCH(L$6,'Table A - Combined'!$C$4:$X$4,0))</f>
        <v>17.865715286504638</v>
      </c>
      <c r="M29" s="296">
        <f>ROUND(M28*(1+(IFERROR(INDEX('Table D - Integration'!$C$41:$C$49,MATCH($B29,'Table D - Integration'!$B$41:$B$49,0),1),0)+IFERROR(INDEX('Table D - Integration'!$F$41:$F$49,MATCH($B29,'Table D - Integration'!$E$41:$E$49,0),1),0)+IFERROR(INDEX('Table D - Integration'!$I$41:$I$49,MATCH($B29,'Table D - Integration'!$H$41:$H$49,0),1),0))),2)</f>
        <v>50.24</v>
      </c>
      <c r="N29" s="288">
        <f t="shared" si="3"/>
        <v>-32.374284713495364</v>
      </c>
      <c r="O29" s="30"/>
      <c r="P29" s="30"/>
      <c r="Q29" s="30"/>
      <c r="R29" s="30"/>
    </row>
    <row r="30" spans="2:18">
      <c r="B30" s="298"/>
      <c r="C30" s="292"/>
      <c r="D30" s="292"/>
      <c r="E30" s="293"/>
      <c r="F30" s="291"/>
      <c r="G30" s="292"/>
      <c r="H30" s="293"/>
      <c r="I30" s="291"/>
      <c r="J30" s="292"/>
      <c r="K30" s="293"/>
      <c r="L30" s="292"/>
      <c r="M30" s="292"/>
      <c r="N30" s="293"/>
      <c r="O30" s="30"/>
      <c r="P30" s="30"/>
      <c r="Q30" s="30"/>
      <c r="R30" s="1"/>
    </row>
    <row r="31" spans="2:18" ht="2.25" customHeight="1">
      <c r="B31" s="299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30"/>
      <c r="P31" s="30"/>
      <c r="Q31" s="1"/>
    </row>
    <row r="32" spans="2:18" ht="12" customHeight="1">
      <c r="B32" s="300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30"/>
      <c r="P32" s="30"/>
      <c r="Q32" s="1"/>
    </row>
    <row r="33" spans="2:18" s="3" customFormat="1" ht="12" customHeight="1">
      <c r="B33" s="300" t="s">
        <v>196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30"/>
      <c r="P33" s="30"/>
      <c r="Q33" s="13"/>
    </row>
    <row r="34" spans="2:18" ht="2.25" customHeight="1">
      <c r="B34" s="299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30"/>
      <c r="P34" s="30"/>
      <c r="Q34" s="1"/>
    </row>
    <row r="35" spans="2:18" s="3" customFormat="1">
      <c r="B35" s="302" t="str">
        <f>" 15 Year Nominal Levelized Price ($/MWh) at "&amp;TEXT(R36,"0.000%")&amp;" Discount Rate (2017 IRP Update)"</f>
        <v xml:space="preserve"> 15 Year Nominal Levelized Price ($/MWh) at 6.910% Discount Rate (2017 IRP Update)</v>
      </c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30"/>
      <c r="P35" s="30"/>
      <c r="Q35" s="13"/>
      <c r="R35" s="48" t="s">
        <v>155</v>
      </c>
    </row>
    <row r="36" spans="2:18" s="3" customFormat="1" ht="15" customHeight="1">
      <c r="B36" s="301" t="str">
        <f>"("&amp;B10&amp;"-"&amp;B24&amp;")"</f>
        <v>(2022-2036)</v>
      </c>
      <c r="C36" s="297">
        <f t="shared" ref="C36:D38" si="5">-PMT(DiscountRate,COUNT(C10:C24),NPV(DiscountRate,C10:C24))</f>
        <v>49.256657836348367</v>
      </c>
      <c r="D36" s="297">
        <f t="shared" si="5"/>
        <v>53.0025478967734</v>
      </c>
      <c r="E36" s="297">
        <f t="shared" ref="E36" si="6">C36-D36</f>
        <v>-3.7458900604250331</v>
      </c>
      <c r="F36" s="297">
        <f t="shared" ref="F36:G38" si="7">-PMT(DiscountRate,COUNT(F10:F24),NPV(DiscountRate,F10:F24))</f>
        <v>36.72652099602734</v>
      </c>
      <c r="G36" s="297">
        <f t="shared" si="7"/>
        <v>40.231013550940318</v>
      </c>
      <c r="H36" s="297">
        <f t="shared" ref="H36" si="8">F36-G36</f>
        <v>-3.5044925549129786</v>
      </c>
      <c r="I36" s="297">
        <f t="shared" ref="I36:J38" si="9">-PMT(DiscountRate,COUNT(I10:I24),NPV(DiscountRate,I10:I24))</f>
        <v>25.730823296856208</v>
      </c>
      <c r="J36" s="297">
        <f t="shared" si="9"/>
        <v>31.559099450085739</v>
      </c>
      <c r="K36" s="297">
        <f t="shared" ref="K36" si="10">I36-J36</f>
        <v>-5.8282761532295311</v>
      </c>
      <c r="L36" s="297">
        <f t="shared" ref="L36:M38" si="11">-PMT(DiscountRate,COUNT(L10:L24),NPV(DiscountRate,L10:L24))</f>
        <v>26.00505946737298</v>
      </c>
      <c r="M36" s="297">
        <f t="shared" si="11"/>
        <v>32.331506404846664</v>
      </c>
      <c r="N36" s="297">
        <f t="shared" ref="N36" si="12">L36-M36</f>
        <v>-6.3264469374736834</v>
      </c>
      <c r="O36" s="30"/>
      <c r="P36" s="30"/>
      <c r="Q36" s="13"/>
      <c r="R36" s="188">
        <v>6.9099999999999995E-2</v>
      </c>
    </row>
    <row r="37" spans="2:18" ht="15" customHeight="1">
      <c r="B37" s="301" t="str">
        <f>"("&amp;B11&amp;"-"&amp;B25&amp;")"</f>
        <v>(2023-2037)</v>
      </c>
      <c r="C37" s="297">
        <f t="shared" si="5"/>
        <v>46.490222011305647</v>
      </c>
      <c r="D37" s="297">
        <f t="shared" si="5"/>
        <v>54.710560835757214</v>
      </c>
      <c r="E37" s="297">
        <f t="shared" ref="E37" si="13">C37-D37</f>
        <v>-8.2203388244515665</v>
      </c>
      <c r="F37" s="297">
        <f t="shared" si="7"/>
        <v>33.854885103074082</v>
      </c>
      <c r="G37" s="297">
        <f t="shared" si="7"/>
        <v>41.59222365337088</v>
      </c>
      <c r="H37" s="297">
        <f t="shared" ref="H37" si="14">F37-G37</f>
        <v>-7.7373385502967977</v>
      </c>
      <c r="I37" s="297">
        <f t="shared" si="9"/>
        <v>22.931211415937057</v>
      </c>
      <c r="J37" s="297">
        <f t="shared" si="9"/>
        <v>32.775657320403617</v>
      </c>
      <c r="K37" s="297">
        <f t="shared" ref="K37" si="15">I37-J37</f>
        <v>-9.8444459044665606</v>
      </c>
      <c r="L37" s="297">
        <f t="shared" si="11"/>
        <v>23.054299872936603</v>
      </c>
      <c r="M37" s="297">
        <f t="shared" si="11"/>
        <v>33.626067982237998</v>
      </c>
      <c r="N37" s="297">
        <f t="shared" ref="N37" si="16">L37-M37</f>
        <v>-10.571768109301395</v>
      </c>
      <c r="R37" s="1"/>
    </row>
    <row r="38" spans="2:18" ht="15" customHeight="1">
      <c r="B38" s="301" t="str">
        <f>"("&amp;B12&amp;"-"&amp;B26&amp;")"</f>
        <v>(2024-2038)</v>
      </c>
      <c r="C38" s="297">
        <f t="shared" si="5"/>
        <v>44.582478568086003</v>
      </c>
      <c r="D38" s="297">
        <f t="shared" si="5"/>
        <v>56.651482461763564</v>
      </c>
      <c r="E38" s="297">
        <f t="shared" ref="E38" si="17">C38-D38</f>
        <v>-12.069003893677561</v>
      </c>
      <c r="F38" s="297">
        <f t="shared" si="7"/>
        <v>31.831801298704015</v>
      </c>
      <c r="G38" s="297">
        <f t="shared" si="7"/>
        <v>43.163259499364706</v>
      </c>
      <c r="H38" s="297">
        <f t="shared" ref="H38" si="18">F38-G38</f>
        <v>-11.331458200660691</v>
      </c>
      <c r="I38" s="297">
        <f t="shared" si="9"/>
        <v>20.790382067160873</v>
      </c>
      <c r="J38" s="297">
        <f t="shared" si="9"/>
        <v>34.173761314147377</v>
      </c>
      <c r="K38" s="297">
        <f t="shared" ref="K38" si="19">I38-J38</f>
        <v>-13.383379246986504</v>
      </c>
      <c r="L38" s="297">
        <f t="shared" si="11"/>
        <v>20.66102687831356</v>
      </c>
      <c r="M38" s="297">
        <f t="shared" si="11"/>
        <v>35.121488429160038</v>
      </c>
      <c r="N38" s="297">
        <f t="shared" ref="N38" si="20">L38-M38</f>
        <v>-14.460461550846478</v>
      </c>
    </row>
    <row r="39" spans="2:18" s="3" customFormat="1">
      <c r="B39" s="7"/>
      <c r="O39" s="6"/>
      <c r="P39" s="6"/>
      <c r="Q39" s="6"/>
      <c r="R39" s="6"/>
    </row>
    <row r="40" spans="2:18" s="3" customFormat="1">
      <c r="B40" s="7"/>
      <c r="C40" s="48"/>
      <c r="O40" s="6"/>
      <c r="P40" s="6"/>
      <c r="Q40" s="6"/>
      <c r="R40" s="6"/>
    </row>
    <row r="41" spans="2:18" s="3" customFormat="1">
      <c r="B41" s="7"/>
      <c r="C41" s="48"/>
      <c r="O41" s="6"/>
      <c r="P41" s="6"/>
      <c r="Q41" s="6"/>
      <c r="R41" s="6"/>
    </row>
    <row r="42" spans="2:18" s="3" customFormat="1">
      <c r="B42" s="7"/>
      <c r="C42" s="1"/>
      <c r="O42" s="6"/>
      <c r="P42" s="6"/>
      <c r="Q42" s="6"/>
      <c r="R42" s="6"/>
    </row>
    <row r="44" spans="2:18" s="3" customFormat="1">
      <c r="B44" s="7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2:18" s="3" customFormat="1">
      <c r="B45" s="28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>
      <c r="B46" s="7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 s="48" customFormat="1">
      <c r="B47" s="141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 s="48" customFormat="1">
      <c r="B48" s="142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2:18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2:18">
      <c r="B50" s="124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2:18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2:18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2:18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2:18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2:18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2:18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2:18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</sheetData>
  <mergeCells count="11">
    <mergeCell ref="B3:N3"/>
    <mergeCell ref="B2:N2"/>
    <mergeCell ref="B1:N1"/>
    <mergeCell ref="C6:E6"/>
    <mergeCell ref="F6:H6"/>
    <mergeCell ref="I6:K6"/>
    <mergeCell ref="L6:N6"/>
    <mergeCell ref="C5:E5"/>
    <mergeCell ref="F5:H5"/>
    <mergeCell ref="I5:K5"/>
    <mergeCell ref="L5:N5"/>
  </mergeCells>
  <printOptions horizontalCentered="1"/>
  <pageMargins left="0.25" right="0.25" top="0.75" bottom="0.75" header="0.3" footer="0.3"/>
  <pageSetup scale="60" orientation="landscape" r:id="rId1"/>
  <headerFooter alignWithMargins="0">
    <oddFooter>&amp;RPage &amp;P</oddFooter>
  </headerFooter>
  <colBreaks count="2" manualBreakCount="2">
    <brk id="14" max="1048575" man="1"/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tabColor theme="0" tint="-0.499984740745262"/>
    <pageSetUpPr fitToPage="1"/>
  </sheetPr>
  <dimension ref="A1"/>
  <sheetViews>
    <sheetView zoomScale="130" zoomScaleNormal="130" workbookViewId="0"/>
  </sheetViews>
  <sheetFormatPr defaultRowHeight="12.75"/>
  <sheetData/>
  <printOptions horizontalCentered="1"/>
  <pageMargins left="0.8" right="0.3" top="0.4" bottom="0.4" header="0.5" footer="0.2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7F7B6C8BEC22848B7531B0783E35D38" ma:contentTypeVersion="36" ma:contentTypeDescription="" ma:contentTypeScope="" ma:versionID="6b3c8e0a7d9400839d2643b707ab9c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2021-11-01T07:00:00+00:00</OpenedDate>
    <SignificantOrder xmlns="dc463f71-b30c-4ab2-9473-d307f9d35888">false</SignificantOrder>
    <Date1 xmlns="dc463f71-b30c-4ab2-9473-d307f9d35888">2021-11-01T07:00:00+00:00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210848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1C6B4B-3BC5-4C5F-982A-8051A3EE6336}"/>
</file>

<file path=customXml/itemProps2.xml><?xml version="1.0" encoding="utf-8"?>
<ds:datastoreItem xmlns:ds="http://schemas.openxmlformats.org/officeDocument/2006/customXml" ds:itemID="{2025EC7E-527D-41D1-AFF4-4D4ED58E2DBD}"/>
</file>

<file path=customXml/itemProps3.xml><?xml version="1.0" encoding="utf-8"?>
<ds:datastoreItem xmlns:ds="http://schemas.openxmlformats.org/officeDocument/2006/customXml" ds:itemID="{BC7394EE-700B-4FCE-8239-A7E0D2ADD3CB}"/>
</file>

<file path=customXml/itemProps4.xml><?xml version="1.0" encoding="utf-8"?>
<ds:datastoreItem xmlns:ds="http://schemas.openxmlformats.org/officeDocument/2006/customXml" ds:itemID="{DD6B3CF9-AD7D-408B-9529-D97D843B89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Table A - Combined</vt:lpstr>
      <vt:lpstr>Table B - Energy</vt:lpstr>
      <vt:lpstr>Table C - Capacity</vt:lpstr>
      <vt:lpstr>Table D - Integration</vt:lpstr>
      <vt:lpstr>Exhibit 1 - Market Capacity</vt:lpstr>
      <vt:lpstr>CONF Exhibit 2 - Planned Cap</vt:lpstr>
      <vt:lpstr>Exhibit 3 - Levelized Capacity</vt:lpstr>
      <vt:lpstr>Exhibit 4 - Comparison</vt:lpstr>
      <vt:lpstr>XX Support Pages - Do Not Print</vt:lpstr>
      <vt:lpstr>Profiles</vt:lpstr>
      <vt:lpstr>Portfolio</vt:lpstr>
      <vt:lpstr>Chart2</vt:lpstr>
      <vt:lpstr>DiscountRate</vt:lpstr>
      <vt:lpstr>'CONF Exhibit 2 - Planned Cap'!Print_Area</vt:lpstr>
      <vt:lpstr>'Exhibit 1 - Market Capacity'!Print_Area</vt:lpstr>
      <vt:lpstr>'Exhibit 3 - Levelized Capacity'!Print_Area</vt:lpstr>
      <vt:lpstr>'Exhibit 4 - Comparison'!Print_Area</vt:lpstr>
      <vt:lpstr>Portfolio!Print_Area</vt:lpstr>
      <vt:lpstr>'Table A - Combined'!Print_Area</vt:lpstr>
      <vt:lpstr>'Table B - Energy'!Print_Area</vt:lpstr>
      <vt:lpstr>'Table C - Capacity'!Print_Area</vt:lpstr>
      <vt:lpstr>'Table D - Integration'!Print_Area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2017-04-26T17:13:09Z</dcterms:created>
  <dcterms:modified xsi:type="dcterms:W3CDTF">2021-10-28T23:05:37Z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0x0101006E56B4D1795A2E4DB2F0B01679ED314A00B7F7B6C8BEC22848B7531B0783E35D38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