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WUTC filings\Filed in 2021\"/>
    </mc:Choice>
  </mc:AlternateContent>
  <bookViews>
    <workbookView xWindow="795" yWindow="2715" windowWidth="16335" windowHeight="4320" tabRatio="883" firstSheet="1" activeTab="1"/>
  </bookViews>
  <sheets>
    <sheet name="Comparison" sheetId="73" state="hidden" r:id="rId1"/>
    <sheet name="New Format"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 r:id="rId22"/>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'New Format'!$A$1:$G$49</definedName>
    <definedName name="_xlnm.Print_Area" localSheetId="2">'Pg 2 CapStructure'!$A$1:$Q$44</definedName>
    <definedName name="_xlnm.Print_Area" localSheetId="3">'Pg 3 STD Cost Rate'!$A$1:$G$35</definedName>
    <definedName name="_xlnm.Print_Area" localSheetId="4">'Pg 4 STD OS &amp; Comm Fees'!$A$1:$K$36</definedName>
    <definedName name="_xlnm.Print_Area" localSheetId="5">'Pg 5 STD Amort'!$A$1:$G$35</definedName>
    <definedName name="_xlnm.Print_Area" localSheetId="6">'Pg 6 LTD Cost '!$A$1:$V$35</definedName>
    <definedName name="_xlnm.Print_Area" localSheetId="7">'Pg 7 Reacquired Debt'!$A$1:$J$41</definedName>
    <definedName name="_xlnm.Print_Titles" localSheetId="11">'Appendix --&gt;'!$B:$E,'Appendix --&gt;'!$1:$2</definedName>
    <definedName name="_xlnm.Print_Titles" localSheetId="7">'Pg 7 Reacquired Debt'!$1:$7</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62913"/>
</workbook>
</file>

<file path=xl/calcChain.xml><?xml version="1.0" encoding="utf-8"?>
<calcChain xmlns="http://schemas.openxmlformats.org/spreadsheetml/2006/main">
  <c r="H42" i="7" l="1"/>
  <c r="O42" i="1" l="1"/>
  <c r="E16" i="2" l="1"/>
  <c r="C16" i="2"/>
  <c r="E13" i="2"/>
  <c r="C13" i="2"/>
  <c r="O40" i="1"/>
  <c r="N40" i="1"/>
  <c r="E16" i="71" l="1"/>
  <c r="E15" i="71"/>
  <c r="M42" i="1" l="1"/>
  <c r="M41" i="1"/>
  <c r="M40" i="1" l="1"/>
  <c r="E42" i="1"/>
  <c r="K41" i="1"/>
  <c r="I41" i="1"/>
  <c r="H41" i="1"/>
  <c r="F41" i="1"/>
  <c r="L40" i="1"/>
  <c r="K40" i="1"/>
  <c r="J40" i="1"/>
  <c r="I40" i="1"/>
  <c r="H40" i="1"/>
  <c r="G40" i="1"/>
  <c r="F40" i="1"/>
  <c r="E40" i="1"/>
  <c r="D40" i="1"/>
  <c r="C40" i="1"/>
  <c r="F23" i="7" l="1"/>
  <c r="E23" i="71" l="1"/>
  <c r="E22" i="71"/>
  <c r="E21" i="71"/>
  <c r="E20" i="71"/>
  <c r="E19" i="71"/>
  <c r="E18" i="71"/>
  <c r="E17" i="71"/>
  <c r="N43" i="1" l="1"/>
  <c r="Q9" i="1"/>
  <c r="O43" i="1"/>
  <c r="M43" i="1"/>
  <c r="E26" i="71"/>
  <c r="E25" i="71"/>
  <c r="E24" i="71"/>
  <c r="I24" i="29"/>
  <c r="D27" i="71"/>
  <c r="D31" i="71" s="1"/>
  <c r="E27" i="71"/>
  <c r="E31" i="71" s="1"/>
  <c r="F27" i="71"/>
  <c r="F31" i="71" s="1"/>
  <c r="C27" i="71"/>
  <c r="A15" i="71"/>
  <c r="A16" i="71"/>
  <c r="A17" i="71"/>
  <c r="A18" i="71"/>
  <c r="A19" i="71"/>
  <c r="A20" i="71"/>
  <c r="A21" i="71"/>
  <c r="A22" i="71"/>
  <c r="A23" i="71"/>
  <c r="A24" i="71"/>
  <c r="A25" i="71"/>
  <c r="A26" i="71"/>
  <c r="A27" i="71"/>
  <c r="A28" i="71"/>
  <c r="A29" i="71"/>
  <c r="A30" i="71"/>
  <c r="A31" i="71"/>
  <c r="A32" i="71"/>
  <c r="A33" i="71"/>
  <c r="A34" i="71"/>
  <c r="A35" i="71"/>
  <c r="J31" i="21"/>
  <c r="J32" i="21" s="1"/>
  <c r="F15" i="21" s="1"/>
  <c r="C14" i="2"/>
  <c r="Q12" i="1"/>
  <c r="Q16" i="1" s="1"/>
  <c r="H23" i="7"/>
  <c r="X23" i="7" s="1"/>
  <c r="X24" i="7" s="1"/>
  <c r="X26" i="7" s="1"/>
  <c r="Q36" i="1"/>
  <c r="Q34" i="1"/>
  <c r="E38" i="1"/>
  <c r="D38" i="1"/>
  <c r="C38" i="1"/>
  <c r="F22" i="7"/>
  <c r="F6" i="7"/>
  <c r="Q7" i="1"/>
  <c r="B3" i="29"/>
  <c r="A2" i="7"/>
  <c r="B3" i="71"/>
  <c r="B3" i="21"/>
  <c r="B4" i="2"/>
  <c r="E26" i="21"/>
  <c r="G26" i="21"/>
  <c r="H26" i="21"/>
  <c r="A27" i="21"/>
  <c r="A28" i="21"/>
  <c r="A29" i="21"/>
  <c r="A30" i="21"/>
  <c r="A31" i="21"/>
  <c r="A32" i="21"/>
  <c r="A33" i="21"/>
  <c r="A34" i="21"/>
  <c r="A35" i="21"/>
  <c r="A36" i="21"/>
  <c r="E13" i="21"/>
  <c r="A14" i="21"/>
  <c r="A15" i="21"/>
  <c r="A16" i="21"/>
  <c r="J26" i="21"/>
  <c r="F13" i="21"/>
  <c r="H22" i="7"/>
  <c r="X22" i="7"/>
  <c r="I22" i="7"/>
  <c r="V26" i="7"/>
  <c r="U26" i="7"/>
  <c r="T26" i="7"/>
  <c r="Q40" i="1"/>
  <c r="G27" i="21"/>
  <c r="Q41" i="1"/>
  <c r="Q14" i="1"/>
  <c r="M38" i="1"/>
  <c r="N38" i="1"/>
  <c r="O38" i="1"/>
  <c r="O16" i="1"/>
  <c r="N16" i="1"/>
  <c r="M16" i="1"/>
  <c r="M10" i="1"/>
  <c r="N10" i="1"/>
  <c r="O10" i="1"/>
  <c r="Q8" i="1"/>
  <c r="D16" i="2"/>
  <c r="A16" i="2"/>
  <c r="A17" i="2"/>
  <c r="A18" i="2"/>
  <c r="A19" i="2"/>
  <c r="A20" i="2"/>
  <c r="A21" i="2"/>
  <c r="A22" i="2"/>
  <c r="A23" i="2"/>
  <c r="A24" i="2"/>
  <c r="A25" i="2"/>
  <c r="A26" i="2"/>
  <c r="A27" i="2"/>
  <c r="A28" i="2"/>
  <c r="E15" i="21"/>
  <c r="E14" i="21"/>
  <c r="E27" i="21"/>
  <c r="J27" i="21" s="1"/>
  <c r="H27" i="21"/>
  <c r="E12" i="21"/>
  <c r="E12" i="77"/>
  <c r="E11" i="21"/>
  <c r="E11" i="77" s="1"/>
  <c r="G11" i="77" s="1"/>
  <c r="F7" i="7"/>
  <c r="F8" i="7"/>
  <c r="F9" i="7"/>
  <c r="F10" i="7"/>
  <c r="F11" i="7"/>
  <c r="F12" i="7"/>
  <c r="F13" i="7"/>
  <c r="F14" i="7"/>
  <c r="F15" i="7"/>
  <c r="F16" i="7"/>
  <c r="F17" i="7"/>
  <c r="F18" i="7"/>
  <c r="F19" i="7"/>
  <c r="F20" i="7"/>
  <c r="F21" i="7"/>
  <c r="T5" i="7"/>
  <c r="U5" i="7"/>
  <c r="V5" i="7"/>
  <c r="C31" i="71"/>
  <c r="C16" i="1"/>
  <c r="D16" i="1"/>
  <c r="E16" i="1"/>
  <c r="F16" i="1"/>
  <c r="H16" i="1"/>
  <c r="I16" i="1"/>
  <c r="J16" i="1"/>
  <c r="L43" i="1"/>
  <c r="K43" i="1"/>
  <c r="J43" i="1"/>
  <c r="L16" i="1"/>
  <c r="K16" i="1"/>
  <c r="Q42" i="1"/>
  <c r="I43" i="1"/>
  <c r="I44" i="1" s="1"/>
  <c r="I46" i="1" s="1"/>
  <c r="I38" i="1"/>
  <c r="H43" i="1"/>
  <c r="G43" i="1"/>
  <c r="F43" i="1"/>
  <c r="G16" i="1"/>
  <c r="E43" i="1"/>
  <c r="E44" i="1"/>
  <c r="E46" i="1" s="1"/>
  <c r="A9" i="83"/>
  <c r="A10" i="83"/>
  <c r="A11" i="83"/>
  <c r="A12" i="83"/>
  <c r="A13" i="83"/>
  <c r="A14" i="83"/>
  <c r="A15" i="83"/>
  <c r="A16" i="83"/>
  <c r="A17" i="83"/>
  <c r="S5" i="7"/>
  <c r="R5" i="7"/>
  <c r="Q5" i="7"/>
  <c r="P5" i="7"/>
  <c r="O5" i="7"/>
  <c r="N5" i="7"/>
  <c r="M5" i="7"/>
  <c r="L5" i="7"/>
  <c r="K5" i="7"/>
  <c r="J5" i="7"/>
  <c r="K38" i="1"/>
  <c r="K44" i="1" s="1"/>
  <c r="K46" i="1" s="1"/>
  <c r="J38" i="1"/>
  <c r="H38" i="1"/>
  <c r="G38" i="1"/>
  <c r="F38" i="1"/>
  <c r="K10" i="1"/>
  <c r="J10" i="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c r="F27" i="82"/>
  <c r="H26" i="82"/>
  <c r="F26" i="82"/>
  <c r="H25" i="82"/>
  <c r="Y25" i="82"/>
  <c r="F25" i="82"/>
  <c r="H24" i="82"/>
  <c r="Y24" i="82"/>
  <c r="F24" i="82"/>
  <c r="H23" i="82"/>
  <c r="Y23" i="82"/>
  <c r="F23" i="82"/>
  <c r="H22" i="82"/>
  <c r="I22" i="82"/>
  <c r="F22" i="82"/>
  <c r="H21" i="82"/>
  <c r="Y21" i="82"/>
  <c r="F21" i="82"/>
  <c r="H20" i="82"/>
  <c r="Y20" i="82"/>
  <c r="F20" i="82"/>
  <c r="H19" i="82"/>
  <c r="F19" i="82"/>
  <c r="H18" i="82"/>
  <c r="Y18" i="82"/>
  <c r="F18" i="82"/>
  <c r="H17" i="82"/>
  <c r="Y17" i="82"/>
  <c r="F17" i="82"/>
  <c r="H16" i="82"/>
  <c r="F16" i="82"/>
  <c r="H15" i="82"/>
  <c r="F15" i="82"/>
  <c r="H14" i="82"/>
  <c r="F14" i="82"/>
  <c r="H13" i="82"/>
  <c r="Y13" i="82"/>
  <c r="F13" i="82"/>
  <c r="H12" i="82"/>
  <c r="F12" i="82"/>
  <c r="H11" i="82"/>
  <c r="Y11" i="82"/>
  <c r="F11" i="82"/>
  <c r="H10" i="82"/>
  <c r="Y10" i="82"/>
  <c r="F10" i="82"/>
  <c r="H9" i="82"/>
  <c r="Y9" i="82"/>
  <c r="F9" i="82"/>
  <c r="I9" i="82"/>
  <c r="H8" i="82"/>
  <c r="Y8" i="82"/>
  <c r="F8" i="82"/>
  <c r="H7" i="82"/>
  <c r="Y7" i="82"/>
  <c r="F7" i="82"/>
  <c r="A7" i="82"/>
  <c r="A8" i="82"/>
  <c r="A9" i="82"/>
  <c r="A10" i="82"/>
  <c r="A11" i="82"/>
  <c r="A12" i="82"/>
  <c r="A13" i="82"/>
  <c r="A14" i="82"/>
  <c r="A15" i="82"/>
  <c r="A16" i="82"/>
  <c r="A17" i="82"/>
  <c r="A18" i="82"/>
  <c r="A19" i="82"/>
  <c r="A20" i="82"/>
  <c r="A21" i="82"/>
  <c r="A22" i="82"/>
  <c r="H6" i="82"/>
  <c r="Y6" i="82"/>
  <c r="F6" i="82"/>
  <c r="V5" i="82"/>
  <c r="U5" i="82"/>
  <c r="T5" i="82"/>
  <c r="S5" i="82"/>
  <c r="R5" i="82"/>
  <c r="Q5" i="82"/>
  <c r="P5" i="82"/>
  <c r="O5" i="82"/>
  <c r="N5" i="82"/>
  <c r="M5" i="82"/>
  <c r="L5" i="82"/>
  <c r="K5" i="82"/>
  <c r="J5" i="82"/>
  <c r="A2" i="82"/>
  <c r="H21" i="7"/>
  <c r="X21" i="7"/>
  <c r="F25" i="81"/>
  <c r="L38" i="1"/>
  <c r="C25" i="81" s="1"/>
  <c r="L10" i="1"/>
  <c r="F27" i="80"/>
  <c r="F26" i="80"/>
  <c r="F25" i="80"/>
  <c r="I25" i="80"/>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c r="A30" i="80"/>
  <c r="A31" i="80"/>
  <c r="A32" i="80"/>
  <c r="A33" i="80"/>
  <c r="A34" i="80"/>
  <c r="H27" i="80"/>
  <c r="X27" i="80"/>
  <c r="H26" i="80"/>
  <c r="X26" i="80"/>
  <c r="H25" i="80"/>
  <c r="X25" i="80"/>
  <c r="H24" i="80"/>
  <c r="X24" i="80"/>
  <c r="H23" i="80"/>
  <c r="X23" i="80"/>
  <c r="H22" i="80"/>
  <c r="H21" i="80"/>
  <c r="X21" i="80"/>
  <c r="H20" i="80"/>
  <c r="X20" i="80"/>
  <c r="H19" i="80"/>
  <c r="I19" i="80"/>
  <c r="H18" i="80"/>
  <c r="X18" i="80"/>
  <c r="H17" i="80"/>
  <c r="H16" i="80"/>
  <c r="H15" i="80"/>
  <c r="X15" i="80"/>
  <c r="H14" i="80"/>
  <c r="X14" i="80"/>
  <c r="H13" i="80"/>
  <c r="H12" i="80"/>
  <c r="X12" i="80"/>
  <c r="H11" i="80"/>
  <c r="X11" i="80"/>
  <c r="H10" i="80"/>
  <c r="I10" i="80"/>
  <c r="H9" i="80"/>
  <c r="H8" i="80"/>
  <c r="I8" i="80"/>
  <c r="H7" i="80"/>
  <c r="X7" i="80"/>
  <c r="H6" i="80"/>
  <c r="X6" i="80"/>
  <c r="A6" i="80"/>
  <c r="A7" i="80"/>
  <c r="A8" i="80"/>
  <c r="A9" i="80"/>
  <c r="A10" i="80"/>
  <c r="A11" i="80"/>
  <c r="A12" i="80"/>
  <c r="A13" i="80"/>
  <c r="A14" i="80"/>
  <c r="A15" i="80"/>
  <c r="A16" i="80"/>
  <c r="A17" i="80"/>
  <c r="A18" i="80"/>
  <c r="A19" i="80"/>
  <c r="A20" i="80"/>
  <c r="A21" i="80"/>
  <c r="A22" i="80"/>
  <c r="A23" i="80"/>
  <c r="U5" i="80"/>
  <c r="T5" i="80"/>
  <c r="S5" i="80"/>
  <c r="R5" i="80"/>
  <c r="Q5" i="80"/>
  <c r="P5" i="80"/>
  <c r="O5" i="80"/>
  <c r="N5" i="80"/>
  <c r="M5" i="80"/>
  <c r="A2" i="80"/>
  <c r="E15" i="2"/>
  <c r="D15" i="2"/>
  <c r="A21" i="21"/>
  <c r="A22" i="21"/>
  <c r="A23" i="21"/>
  <c r="A24" i="21"/>
  <c r="A25" i="21"/>
  <c r="E13" i="77"/>
  <c r="G13" i="77"/>
  <c r="S42" i="79"/>
  <c r="S43" i="79"/>
  <c r="S41" i="79"/>
  <c r="C8" i="73"/>
  <c r="D7" i="73"/>
  <c r="G13" i="73"/>
  <c r="H11" i="7"/>
  <c r="X11" i="7"/>
  <c r="H10" i="7"/>
  <c r="X10" i="7"/>
  <c r="D21" i="29"/>
  <c r="C15" i="2"/>
  <c r="C24" i="73"/>
  <c r="D23" i="73"/>
  <c r="G29" i="73"/>
  <c r="G57" i="73"/>
  <c r="F54" i="73"/>
  <c r="F53" i="73"/>
  <c r="D55" i="73"/>
  <c r="G61" i="73"/>
  <c r="D56" i="73"/>
  <c r="G62" i="73"/>
  <c r="D54" i="73"/>
  <c r="D53" i="73"/>
  <c r="B57" i="73"/>
  <c r="H20" i="7"/>
  <c r="X20" i="7"/>
  <c r="H19" i="7"/>
  <c r="X19" i="7"/>
  <c r="H18" i="7"/>
  <c r="X18" i="7"/>
  <c r="B3" i="78"/>
  <c r="C11" i="77"/>
  <c r="C13" i="76" s="1"/>
  <c r="C17" i="76" s="1"/>
  <c r="C23" i="76" s="1"/>
  <c r="C13" i="77"/>
  <c r="E14" i="77"/>
  <c r="G14" i="77"/>
  <c r="C14" i="77"/>
  <c r="C16" i="76"/>
  <c r="H29" i="77"/>
  <c r="J29" i="77"/>
  <c r="H28" i="77"/>
  <c r="J28" i="77" s="1"/>
  <c r="J30" i="77" s="1"/>
  <c r="H15" i="77" s="1"/>
  <c r="B3" i="77"/>
  <c r="E23" i="77"/>
  <c r="E24" i="77"/>
  <c r="J24" i="77"/>
  <c r="H14" i="77"/>
  <c r="B5" i="76"/>
  <c r="B5" i="75"/>
  <c r="E19" i="75"/>
  <c r="I25" i="29"/>
  <c r="I31" i="29"/>
  <c r="I25" i="7"/>
  <c r="X25" i="7"/>
  <c r="H17" i="7"/>
  <c r="X17" i="7"/>
  <c r="H16" i="7"/>
  <c r="H6" i="7"/>
  <c r="X6" i="7"/>
  <c r="H7" i="7"/>
  <c r="X7" i="7"/>
  <c r="H8" i="7"/>
  <c r="X8" i="7"/>
  <c r="H9" i="7"/>
  <c r="X9" i="7"/>
  <c r="H12" i="7"/>
  <c r="H13" i="7"/>
  <c r="X13" i="7"/>
  <c r="H14" i="7"/>
  <c r="H15" i="7"/>
  <c r="X15" i="7"/>
  <c r="A9" i="78"/>
  <c r="A10" i="78"/>
  <c r="A11" i="78"/>
  <c r="A12" i="78"/>
  <c r="A13" i="78"/>
  <c r="A14" i="78"/>
  <c r="A15" i="78"/>
  <c r="A16" i="78"/>
  <c r="A17" i="78"/>
  <c r="A18" i="78"/>
  <c r="A19" i="78"/>
  <c r="A20" i="78"/>
  <c r="A21" i="78"/>
  <c r="A22" i="78"/>
  <c r="A23" i="78"/>
  <c r="A24" i="78"/>
  <c r="A25" i="78"/>
  <c r="C25" i="78"/>
  <c r="D25" i="78"/>
  <c r="A6" i="77"/>
  <c r="A7" i="77"/>
  <c r="A8" i="77"/>
  <c r="A9" i="77"/>
  <c r="A10" i="77"/>
  <c r="A11" i="77"/>
  <c r="A12" i="77"/>
  <c r="A13" i="77"/>
  <c r="A14" i="77"/>
  <c r="A15" i="77"/>
  <c r="A16" i="77"/>
  <c r="A17" i="77"/>
  <c r="A18" i="77"/>
  <c r="A19" i="77"/>
  <c r="A20" i="77"/>
  <c r="A21" i="77"/>
  <c r="A22" i="77"/>
  <c r="A23" i="77"/>
  <c r="A24" i="77"/>
  <c r="A25" i="77"/>
  <c r="A26" i="77"/>
  <c r="A27" i="77"/>
  <c r="A28" i="77"/>
  <c r="A29" i="77"/>
  <c r="A30" i="77"/>
  <c r="A31" i="77"/>
  <c r="A32" i="77"/>
  <c r="A33" i="77"/>
  <c r="A34" i="77"/>
  <c r="A35" i="77"/>
  <c r="A36" i="77"/>
  <c r="A37" i="77"/>
  <c r="A38" i="77"/>
  <c r="A39" i="77"/>
  <c r="A40" i="77"/>
  <c r="E16" i="77"/>
  <c r="C38" i="77"/>
  <c r="F14" i="77"/>
  <c r="A9" i="76"/>
  <c r="A10" i="76"/>
  <c r="A11" i="76"/>
  <c r="A12" i="76"/>
  <c r="A13" i="76"/>
  <c r="A14" i="76"/>
  <c r="A15" i="76"/>
  <c r="A16" i="76"/>
  <c r="A17" i="76"/>
  <c r="A18" i="76"/>
  <c r="A19" i="76"/>
  <c r="A20" i="76"/>
  <c r="A21" i="76"/>
  <c r="A22" i="76"/>
  <c r="A23" i="76"/>
  <c r="A24" i="76"/>
  <c r="A25" i="76"/>
  <c r="A26" i="76"/>
  <c r="A27" i="76"/>
  <c r="A28" i="76"/>
  <c r="A10" i="75"/>
  <c r="A11" i="75"/>
  <c r="A12" i="75"/>
  <c r="A13" i="75"/>
  <c r="A14" i="75"/>
  <c r="A15" i="75"/>
  <c r="A16" i="75"/>
  <c r="A17" i="75"/>
  <c r="A18" i="75"/>
  <c r="A19" i="75"/>
  <c r="A20" i="75"/>
  <c r="A21" i="75"/>
  <c r="A22" i="75"/>
  <c r="A23" i="75"/>
  <c r="A24" i="75"/>
  <c r="D20" i="29"/>
  <c r="D19" i="29"/>
  <c r="D18" i="29"/>
  <c r="H13" i="29"/>
  <c r="H12" i="29"/>
  <c r="D40" i="73"/>
  <c r="D39" i="73"/>
  <c r="G45" i="73"/>
  <c r="D38" i="73"/>
  <c r="D37" i="73"/>
  <c r="B108" i="73"/>
  <c r="B109" i="73"/>
  <c r="B124" i="73"/>
  <c r="D124" i="73"/>
  <c r="D125" i="73"/>
  <c r="G131" i="73"/>
  <c r="B126" i="73"/>
  <c r="D126" i="73"/>
  <c r="D123" i="73"/>
  <c r="G109" i="73"/>
  <c r="F106" i="73"/>
  <c r="D107" i="73"/>
  <c r="G113" i="73"/>
  <c r="D106" i="73"/>
  <c r="D105" i="73"/>
  <c r="G41" i="73"/>
  <c r="F38" i="73"/>
  <c r="B41" i="73"/>
  <c r="G46" i="73"/>
  <c r="D69" i="73"/>
  <c r="G73" i="73"/>
  <c r="F69" i="73"/>
  <c r="D70" i="73"/>
  <c r="D71" i="73"/>
  <c r="G77" i="73"/>
  <c r="D72" i="73"/>
  <c r="G78" i="73"/>
  <c r="B73" i="73"/>
  <c r="D87" i="73"/>
  <c r="G91" i="73"/>
  <c r="F87" i="73"/>
  <c r="D88" i="73"/>
  <c r="D89" i="73"/>
  <c r="G95" i="73"/>
  <c r="D90" i="73"/>
  <c r="G96" i="73"/>
  <c r="B91" i="73"/>
  <c r="F25" i="72"/>
  <c r="S26" i="7"/>
  <c r="C14" i="81" s="1"/>
  <c r="X27" i="7"/>
  <c r="A6" i="21"/>
  <c r="A7" i="21"/>
  <c r="A8" i="21"/>
  <c r="A9" i="21"/>
  <c r="A10" i="21"/>
  <c r="A11" i="21"/>
  <c r="A12" i="21"/>
  <c r="A9" i="71"/>
  <c r="A10" i="71"/>
  <c r="A11" i="71"/>
  <c r="A12" i="71"/>
  <c r="A13" i="71"/>
  <c r="A14" i="71"/>
  <c r="A6" i="1"/>
  <c r="A7" i="1"/>
  <c r="A8" i="1"/>
  <c r="A9" i="1"/>
  <c r="A10" i="1"/>
  <c r="A12" i="1"/>
  <c r="A14" i="1"/>
  <c r="A16" i="1"/>
  <c r="A18" i="1"/>
  <c r="A20" i="1"/>
  <c r="A22" i="1"/>
  <c r="A24" i="1"/>
  <c r="A25" i="1"/>
  <c r="A26" i="1"/>
  <c r="A27" i="1"/>
  <c r="A28" i="1"/>
  <c r="A30" i="1"/>
  <c r="A34" i="1"/>
  <c r="A35" i="1"/>
  <c r="A36" i="1"/>
  <c r="A37" i="1"/>
  <c r="A38" i="1"/>
  <c r="A39" i="1"/>
  <c r="A40" i="1"/>
  <c r="A41" i="1"/>
  <c r="A42" i="1"/>
  <c r="A43" i="1"/>
  <c r="A44" i="1"/>
  <c r="A6" i="29"/>
  <c r="A7" i="29"/>
  <c r="A8" i="29"/>
  <c r="A9" i="29"/>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9" i="2"/>
  <c r="A10" i="2"/>
  <c r="A11" i="2"/>
  <c r="A12" i="2"/>
  <c r="A13" i="2"/>
  <c r="A14" i="2"/>
  <c r="Q26" i="7"/>
  <c r="R26" i="7"/>
  <c r="P26" i="7"/>
  <c r="O26" i="7"/>
  <c r="N26" i="7"/>
  <c r="M26" i="7"/>
  <c r="L26" i="7"/>
  <c r="K26" i="7"/>
  <c r="J26" i="7"/>
  <c r="M41" i="7"/>
  <c r="N41" i="7"/>
  <c r="O41" i="7"/>
  <c r="P41" i="7"/>
  <c r="Q41" i="7"/>
  <c r="R41" i="7"/>
  <c r="S41" i="7"/>
  <c r="J41" i="7"/>
  <c r="K41" i="7"/>
  <c r="L41" i="7"/>
  <c r="D13" i="29"/>
  <c r="D12" i="29"/>
  <c r="F70" i="73"/>
  <c r="D24" i="73"/>
  <c r="G30" i="73"/>
  <c r="D21" i="73"/>
  <c r="G25" i="73"/>
  <c r="F21" i="73"/>
  <c r="B25" i="73"/>
  <c r="D22" i="73"/>
  <c r="E14" i="2"/>
  <c r="D14" i="2"/>
  <c r="D16" i="21"/>
  <c r="C12" i="77"/>
  <c r="C14" i="76"/>
  <c r="C16" i="21"/>
  <c r="I7" i="80"/>
  <c r="I12" i="80"/>
  <c r="I14" i="80"/>
  <c r="I6" i="80"/>
  <c r="X9" i="80"/>
  <c r="I15" i="80"/>
  <c r="I23" i="80"/>
  <c r="I27" i="80"/>
  <c r="I11" i="82"/>
  <c r="I17" i="82"/>
  <c r="I18" i="82"/>
  <c r="I24" i="82"/>
  <c r="Y19" i="82"/>
  <c r="Y12" i="82"/>
  <c r="E17" i="75"/>
  <c r="C6" i="73"/>
  <c r="D43" i="1"/>
  <c r="D44" i="1" s="1"/>
  <c r="D46" i="1" s="1"/>
  <c r="I14" i="7"/>
  <c r="X14" i="7"/>
  <c r="I12" i="7"/>
  <c r="X12" i="7"/>
  <c r="X16" i="7"/>
  <c r="I16" i="7"/>
  <c r="J44" i="1"/>
  <c r="J46" i="1" s="1"/>
  <c r="F44" i="1"/>
  <c r="F46" i="1" s="1"/>
  <c r="K22" i="1"/>
  <c r="K25" i="1" s="1"/>
  <c r="H44" i="1"/>
  <c r="H46" i="1" s="1"/>
  <c r="I9" i="7"/>
  <c r="I13" i="7"/>
  <c r="J22" i="1"/>
  <c r="J27" i="1" s="1"/>
  <c r="F30" i="82"/>
  <c r="I6" i="82"/>
  <c r="I21" i="82"/>
  <c r="I24" i="80"/>
  <c r="E17" i="2"/>
  <c r="I30" i="7" s="1"/>
  <c r="G23" i="77"/>
  <c r="H23" i="77"/>
  <c r="J23" i="77"/>
  <c r="H13" i="77"/>
  <c r="H16" i="77"/>
  <c r="E19" i="76" s="1"/>
  <c r="G24" i="77"/>
  <c r="C14" i="72"/>
  <c r="C19" i="72"/>
  <c r="C40" i="72" s="1"/>
  <c r="I26" i="80"/>
  <c r="X19" i="80"/>
  <c r="F105" i="73"/>
  <c r="G107" i="73"/>
  <c r="G108" i="73"/>
  <c r="G112" i="73"/>
  <c r="G115" i="73"/>
  <c r="X8" i="80"/>
  <c r="I11" i="80"/>
  <c r="D75" i="73"/>
  <c r="D78" i="73"/>
  <c r="D108" i="73"/>
  <c r="G114" i="73"/>
  <c r="D41" i="73"/>
  <c r="E25" i="78"/>
  <c r="E21" i="76"/>
  <c r="I15" i="7"/>
  <c r="D13" i="2"/>
  <c r="C17" i="2"/>
  <c r="F30" i="7" s="1"/>
  <c r="I9" i="80"/>
  <c r="I17" i="80"/>
  <c r="I13" i="82"/>
  <c r="I20" i="82"/>
  <c r="C15" i="76"/>
  <c r="G71" i="73"/>
  <c r="G72" i="73"/>
  <c r="D43" i="73"/>
  <c r="D46" i="73"/>
  <c r="D13" i="77"/>
  <c r="E15" i="76"/>
  <c r="D15" i="76"/>
  <c r="I23" i="82"/>
  <c r="I17" i="7"/>
  <c r="I21" i="7"/>
  <c r="I18" i="7"/>
  <c r="I8" i="7"/>
  <c r="I6" i="7"/>
  <c r="I10" i="7"/>
  <c r="F26" i="7"/>
  <c r="F28" i="7" s="1"/>
  <c r="G132" i="73"/>
  <c r="D129" i="73"/>
  <c r="D132" i="73"/>
  <c r="D111" i="73"/>
  <c r="D114" i="73"/>
  <c r="I11" i="7"/>
  <c r="I20" i="7"/>
  <c r="I19" i="7"/>
  <c r="I21" i="80"/>
  <c r="X17" i="80"/>
  <c r="D91" i="73"/>
  <c r="D14" i="77"/>
  <c r="E16" i="76"/>
  <c r="D16" i="76"/>
  <c r="D59" i="73"/>
  <c r="D62" i="73"/>
  <c r="X10" i="80"/>
  <c r="I18" i="80"/>
  <c r="I20" i="80"/>
  <c r="I7" i="82"/>
  <c r="I8" i="82"/>
  <c r="I27" i="82"/>
  <c r="F22" i="73"/>
  <c r="G23" i="73"/>
  <c r="G24" i="73"/>
  <c r="G28" i="73"/>
  <c r="G31" i="73"/>
  <c r="F88" i="73"/>
  <c r="G89" i="73"/>
  <c r="G90" i="73"/>
  <c r="G94" i="73"/>
  <c r="G97" i="73"/>
  <c r="D93" i="73"/>
  <c r="D96" i="73"/>
  <c r="I12" i="82"/>
  <c r="I19" i="82"/>
  <c r="Y22" i="82"/>
  <c r="L22" i="1"/>
  <c r="L28" i="1" s="1"/>
  <c r="I29" i="80"/>
  <c r="X29" i="80"/>
  <c r="F13" i="77"/>
  <c r="D73" i="73"/>
  <c r="Y14" i="82"/>
  <c r="I14" i="82"/>
  <c r="I16" i="82"/>
  <c r="Y16" i="82"/>
  <c r="I7" i="7"/>
  <c r="D57" i="73"/>
  <c r="G76" i="73"/>
  <c r="G79" i="73"/>
  <c r="F37" i="73"/>
  <c r="G39" i="73"/>
  <c r="G40" i="73"/>
  <c r="G44" i="73"/>
  <c r="G47" i="73"/>
  <c r="D127" i="73"/>
  <c r="G55" i="73"/>
  <c r="G56" i="73"/>
  <c r="G60" i="73"/>
  <c r="G63" i="73"/>
  <c r="I16" i="80"/>
  <c r="Y26" i="82"/>
  <c r="I26" i="82"/>
  <c r="I25" i="82"/>
  <c r="J25" i="77"/>
  <c r="D27" i="73"/>
  <c r="D30" i="73"/>
  <c r="D25" i="73"/>
  <c r="B127" i="73"/>
  <c r="D109" i="73"/>
  <c r="G127" i="73"/>
  <c r="F124" i="73"/>
  <c r="X13" i="80"/>
  <c r="I13" i="80"/>
  <c r="F30" i="80"/>
  <c r="I10" i="82"/>
  <c r="I30" i="82"/>
  <c r="H30" i="82"/>
  <c r="C15" i="75"/>
  <c r="X22" i="80"/>
  <c r="I22" i="80"/>
  <c r="I15" i="82"/>
  <c r="Y15" i="82"/>
  <c r="C43" i="1"/>
  <c r="C44" i="1" s="1"/>
  <c r="C46" i="1" s="1"/>
  <c r="X16" i="80"/>
  <c r="Y28" i="82"/>
  <c r="Y30" i="82"/>
  <c r="Z30" i="82"/>
  <c r="X28" i="80"/>
  <c r="X30" i="80"/>
  <c r="Y30" i="80"/>
  <c r="C17" i="75"/>
  <c r="I30" i="80"/>
  <c r="H30" i="80"/>
  <c r="F123" i="73"/>
  <c r="G125" i="73"/>
  <c r="G126" i="73"/>
  <c r="G130" i="73"/>
  <c r="G133" i="73"/>
  <c r="M22" i="1"/>
  <c r="M28" i="1" s="1"/>
  <c r="C19" i="75"/>
  <c r="C21" i="75"/>
  <c r="D17" i="75"/>
  <c r="F17" i="75"/>
  <c r="B6" i="73"/>
  <c r="D6" i="73"/>
  <c r="D15" i="75"/>
  <c r="B5" i="73"/>
  <c r="B8" i="73"/>
  <c r="D8" i="73"/>
  <c r="G14" i="73"/>
  <c r="D19" i="75"/>
  <c r="F19" i="75"/>
  <c r="D21" i="75"/>
  <c r="B9" i="73"/>
  <c r="G9" i="73"/>
  <c r="F6" i="73"/>
  <c r="C5" i="73"/>
  <c r="F5" i="73"/>
  <c r="G7" i="73"/>
  <c r="G8" i="73"/>
  <c r="G12" i="73"/>
  <c r="G15" i="73"/>
  <c r="D5" i="73"/>
  <c r="D11" i="73"/>
  <c r="D14" i="73"/>
  <c r="D9" i="73"/>
  <c r="D11" i="77" l="1"/>
  <c r="N22" i="1"/>
  <c r="N25" i="1" s="1"/>
  <c r="I23" i="7"/>
  <c r="Y26" i="7"/>
  <c r="E14" i="81"/>
  <c r="E19" i="81" s="1"/>
  <c r="E14" i="72"/>
  <c r="E19" i="72" s="1"/>
  <c r="F19" i="72" s="1"/>
  <c r="C19" i="81"/>
  <c r="G27" i="71"/>
  <c r="E21" i="2" s="1"/>
  <c r="J28" i="21"/>
  <c r="F14" i="21"/>
  <c r="F16" i="21" s="1"/>
  <c r="E19" i="2" s="1"/>
  <c r="E16" i="21"/>
  <c r="E13" i="76"/>
  <c r="G12" i="77"/>
  <c r="D12" i="77" s="1"/>
  <c r="E14" i="76" s="1"/>
  <c r="D14" i="76" s="1"/>
  <c r="C16" i="77"/>
  <c r="H30" i="7"/>
  <c r="E14" i="83" s="1"/>
  <c r="F32" i="7"/>
  <c r="D17" i="2"/>
  <c r="C23" i="2"/>
  <c r="N44" i="1"/>
  <c r="N46" i="1" s="1"/>
  <c r="O44" i="1"/>
  <c r="O46" i="1" s="1"/>
  <c r="E37" i="82"/>
  <c r="E36" i="80"/>
  <c r="C16" i="83"/>
  <c r="O22" i="1"/>
  <c r="O28" i="1" s="1"/>
  <c r="Q10" i="1"/>
  <c r="C14" i="83" s="1"/>
  <c r="M25" i="1"/>
  <c r="M44" i="1"/>
  <c r="M46" i="1" s="1"/>
  <c r="Q38" i="1"/>
  <c r="G44" i="1"/>
  <c r="G46" i="1" s="1"/>
  <c r="Q43" i="1"/>
  <c r="D22" i="1"/>
  <c r="D25" i="1" s="1"/>
  <c r="H22" i="1"/>
  <c r="H27" i="1" s="1"/>
  <c r="G22" i="1"/>
  <c r="G24" i="1" s="1"/>
  <c r="L44" i="1"/>
  <c r="L46" i="1" s="1"/>
  <c r="C25" i="72"/>
  <c r="C22" i="1"/>
  <c r="C28" i="1" s="1"/>
  <c r="F22" i="1"/>
  <c r="E22" i="1"/>
  <c r="E24" i="1" s="1"/>
  <c r="Q20" i="1"/>
  <c r="C28" i="83" s="1"/>
  <c r="K24" i="1"/>
  <c r="K28" i="1"/>
  <c r="L24" i="1"/>
  <c r="I22" i="1"/>
  <c r="I28" i="1" s="1"/>
  <c r="M24" i="1"/>
  <c r="M27" i="1"/>
  <c r="K26" i="1"/>
  <c r="J24" i="1"/>
  <c r="K27" i="1"/>
  <c r="H25" i="1"/>
  <c r="L27" i="1"/>
  <c r="L25" i="1"/>
  <c r="J28" i="1"/>
  <c r="J25" i="1"/>
  <c r="N27" i="1" l="1"/>
  <c r="N28" i="1"/>
  <c r="N24" i="1"/>
  <c r="N26" i="1" s="1"/>
  <c r="G25" i="1"/>
  <c r="C26" i="83"/>
  <c r="C30" i="83" s="1"/>
  <c r="D16" i="83" s="1"/>
  <c r="D24" i="1"/>
  <c r="D26" i="1" s="1"/>
  <c r="O25" i="1"/>
  <c r="D28" i="1"/>
  <c r="D27" i="1"/>
  <c r="F14" i="72"/>
  <c r="F14" i="81"/>
  <c r="F19" i="81"/>
  <c r="I26" i="7"/>
  <c r="H26" i="7" s="1"/>
  <c r="I28" i="7"/>
  <c r="E23" i="2"/>
  <c r="E12" i="72" s="1"/>
  <c r="E21" i="72" s="1"/>
  <c r="E17" i="76"/>
  <c r="D13" i="76"/>
  <c r="D16" i="77"/>
  <c r="G16" i="77" s="1"/>
  <c r="F17" i="2"/>
  <c r="C12" i="72"/>
  <c r="F21" i="2"/>
  <c r="C12" i="81"/>
  <c r="F19" i="2"/>
  <c r="O27" i="1"/>
  <c r="O24" i="1"/>
  <c r="M26" i="1"/>
  <c r="M30" i="1" s="1"/>
  <c r="H24" i="1"/>
  <c r="H26" i="1" s="1"/>
  <c r="H28" i="1"/>
  <c r="Q22" i="1"/>
  <c r="Q25" i="1" s="1"/>
  <c r="Q44" i="1"/>
  <c r="I27" i="1"/>
  <c r="C27" i="1"/>
  <c r="C41" i="72"/>
  <c r="C42" i="72" s="1"/>
  <c r="G28" i="1"/>
  <c r="G27" i="1"/>
  <c r="C25" i="1"/>
  <c r="E25" i="1"/>
  <c r="E26" i="1" s="1"/>
  <c r="C24" i="1"/>
  <c r="I25" i="1"/>
  <c r="E27" i="1"/>
  <c r="F25" i="1"/>
  <c r="F27" i="1"/>
  <c r="E28" i="1"/>
  <c r="I24" i="1"/>
  <c r="F28" i="1"/>
  <c r="F24" i="1"/>
  <c r="G26" i="1"/>
  <c r="L26" i="1"/>
  <c r="L30" i="1" s="1"/>
  <c r="K30" i="1"/>
  <c r="J26" i="1"/>
  <c r="J30" i="1" s="1"/>
  <c r="F23" i="2" l="1"/>
  <c r="E12" i="81"/>
  <c r="E21" i="81" s="1"/>
  <c r="O26" i="1"/>
  <c r="O30" i="1" s="1"/>
  <c r="N30" i="1"/>
  <c r="H30" i="1"/>
  <c r="D30" i="1"/>
  <c r="I32" i="7"/>
  <c r="H32" i="7" s="1"/>
  <c r="E18" i="83" s="1"/>
  <c r="H28" i="7"/>
  <c r="E16" i="83" s="1"/>
  <c r="F16" i="83" s="1"/>
  <c r="E23" i="76"/>
  <c r="F23" i="76" s="1"/>
  <c r="E15" i="75" s="1"/>
  <c r="F15" i="75" s="1"/>
  <c r="F21" i="75" s="1"/>
  <c r="D17" i="76"/>
  <c r="C21" i="72"/>
  <c r="F12" i="72"/>
  <c r="C21" i="81"/>
  <c r="Q24" i="1"/>
  <c r="Q26" i="1" s="1"/>
  <c r="D28" i="83"/>
  <c r="F28" i="83" s="1"/>
  <c r="I33" i="29"/>
  <c r="I35" i="29" s="1"/>
  <c r="F24" i="83" s="1"/>
  <c r="Q28" i="1"/>
  <c r="Q27" i="1"/>
  <c r="I26" i="1"/>
  <c r="I30" i="1" s="1"/>
  <c r="G33" i="71"/>
  <c r="G35" i="71" s="1"/>
  <c r="F22" i="83" s="1"/>
  <c r="D14" i="83"/>
  <c r="F14" i="83" s="1"/>
  <c r="D18" i="83"/>
  <c r="D26" i="83" s="1"/>
  <c r="F18" i="21"/>
  <c r="F20" i="21" s="1"/>
  <c r="F20" i="83" s="1"/>
  <c r="G30" i="1"/>
  <c r="E30" i="1"/>
  <c r="F26" i="1"/>
  <c r="F30" i="1" s="1"/>
  <c r="C26" i="1"/>
  <c r="C30" i="1" s="1"/>
  <c r="F12" i="81" l="1"/>
  <c r="F18" i="83"/>
  <c r="F26" i="83" s="1"/>
  <c r="F30" i="83" s="1"/>
  <c r="F21" i="81"/>
  <c r="C27" i="81"/>
  <c r="D21" i="81" s="1"/>
  <c r="F21" i="72"/>
  <c r="C27" i="72"/>
  <c r="Q30" i="1"/>
  <c r="D30" i="83"/>
  <c r="G21" i="81" l="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G21" i="72" l="1"/>
  <c r="G27" i="72" s="1"/>
  <c r="D27" i="72"/>
  <c r="D27" i="81"/>
  <c r="G27" i="81"/>
</calcChain>
</file>

<file path=xl/comments1.xml><?xml version="1.0" encoding="utf-8"?>
<comments xmlns="http://schemas.openxmlformats.org/spreadsheetml/2006/main">
  <authors>
    <author>Puget Sound Energy</author>
    <author>jsant</author>
  </authors>
  <commentList>
    <comment ref="B7" authorId="0" shapeId="0">
      <text>
        <r>
          <rPr>
            <b/>
            <sz val="9"/>
            <color indexed="81"/>
            <rFont val="Tahoma"/>
            <family val="2"/>
          </rPr>
          <t>Puget Sound Energy:</t>
        </r>
        <r>
          <rPr>
            <sz val="9"/>
            <color indexed="81"/>
            <rFont val="Tahoma"/>
            <family val="2"/>
          </rPr>
          <t xml:space="preserve">
Source: financial Package</t>
        </r>
      </text>
    </comment>
    <comment ref="B12" authorId="0" shapeId="0">
      <text>
        <r>
          <rPr>
            <b/>
            <sz val="9"/>
            <color indexed="81"/>
            <rFont val="Tahoma"/>
            <family val="2"/>
          </rPr>
          <t>Puget Sound Energy:</t>
        </r>
        <r>
          <rPr>
            <sz val="9"/>
            <color indexed="81"/>
            <rFont val="Tahoma"/>
            <family val="2"/>
          </rPr>
          <t xml:space="preserve">
Source Financial Package</t>
        </r>
      </text>
    </comment>
    <comment ref="B34" authorId="1" shapeId="0">
      <text>
        <r>
          <rPr>
            <sz val="8"/>
            <color indexed="81"/>
            <rFont val="Tahoma"/>
            <family val="2"/>
          </rPr>
          <t>Positive numbers are credits to equity, negative numbers are debits.</t>
        </r>
        <r>
          <rPr>
            <sz val="8"/>
            <color indexed="81"/>
            <rFont val="Tahoma"/>
            <family val="2"/>
          </rPr>
          <t xml:space="preserve">
</t>
        </r>
      </text>
    </comment>
    <comment ref="B40" authorId="0" shapeId="0">
      <text>
        <r>
          <rPr>
            <b/>
            <sz val="9"/>
            <color indexed="81"/>
            <rFont val="Tahoma"/>
            <family val="2"/>
          </rPr>
          <t>Puget Sound Energy:</t>
        </r>
        <r>
          <rPr>
            <sz val="9"/>
            <color indexed="81"/>
            <rFont val="Tahoma"/>
            <family val="2"/>
          </rPr>
          <t xml:space="preserve">
Source: Financial Package: retained earnings adjustment - derivative gain (loss) in retained earnings.</t>
        </r>
      </text>
    </comment>
    <comment ref="B41" authorId="0" shapeId="0">
      <text>
        <r>
          <rPr>
            <b/>
            <sz val="9"/>
            <color indexed="81"/>
            <rFont val="Tahoma"/>
            <family val="2"/>
          </rPr>
          <t>Puget Sound Energy:</t>
        </r>
        <r>
          <rPr>
            <sz val="9"/>
            <color indexed="81"/>
            <rFont val="Tahoma"/>
            <family val="2"/>
          </rPr>
          <t xml:space="preserve">
Source: GL: OCI-Derivatives</t>
        </r>
      </text>
    </comment>
    <comment ref="K41" authorId="0" shapeId="0">
      <text>
        <r>
          <rPr>
            <b/>
            <sz val="9"/>
            <color indexed="81"/>
            <rFont val="Tahoma"/>
            <family val="2"/>
          </rPr>
          <t>Puget Sound Energy:</t>
        </r>
        <r>
          <rPr>
            <sz val="9"/>
            <color indexed="81"/>
            <rFont val="Tahoma"/>
            <family val="2"/>
          </rPr>
          <t xml:space="preserve">
-1000 true up</t>
        </r>
      </text>
    </comment>
    <comment ref="B42" authorId="0" shapeId="0">
      <text>
        <r>
          <rPr>
            <b/>
            <sz val="9"/>
            <color indexed="81"/>
            <rFont val="Tahoma"/>
            <family val="2"/>
          </rPr>
          <t>Puget Sound Energy:
Source: GL: OCI Other + OCI Pension</t>
        </r>
      </text>
    </comment>
    <comment ref="B44" authorId="1" shapeId="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authors>
    <author>jsant</author>
    <author>Puget Sound Energy</author>
  </authors>
  <commentList>
    <comment ref="C9" authorId="0" shapeId="0">
      <text>
        <r>
          <rPr>
            <sz val="8"/>
            <color indexed="81"/>
            <rFont val="Tahoma"/>
            <family val="2"/>
          </rPr>
          <t xml:space="preserve">Based on daily balances outstanding
</t>
        </r>
      </text>
    </comment>
    <comment ref="F9" authorId="0" shapeId="0">
      <text>
        <r>
          <rPr>
            <sz val="8"/>
            <color indexed="81"/>
            <rFont val="Tahoma"/>
            <family val="2"/>
          </rPr>
          <t>Includes Credit Facility and Letter of Credit Fees.</t>
        </r>
        <r>
          <rPr>
            <sz val="8"/>
            <color indexed="81"/>
            <rFont val="Tahoma"/>
            <family val="2"/>
          </rPr>
          <t xml:space="preserve">
</t>
        </r>
      </text>
    </comment>
    <comment ref="C11" authorId="1" shapeId="0">
      <text>
        <r>
          <rPr>
            <b/>
            <sz val="9"/>
            <color indexed="81"/>
            <rFont val="Tahoma"/>
            <family val="2"/>
          </rPr>
          <t>Puget Sound Energy:</t>
        </r>
        <r>
          <rPr>
            <sz val="9"/>
            <color indexed="81"/>
            <rFont val="Tahoma"/>
            <family val="2"/>
          </rPr>
          <t xml:space="preserve">
Cost of Borrowing report</t>
        </r>
      </text>
    </comment>
    <comment ref="J31" authorId="1" shapeId="0">
      <text>
        <r>
          <rPr>
            <b/>
            <sz val="8"/>
            <color indexed="81"/>
            <rFont val="Tahoma"/>
            <family val="2"/>
          </rPr>
          <t>Puget Sound Energy:</t>
        </r>
        <r>
          <rPr>
            <sz val="8"/>
            <color indexed="81"/>
            <rFont val="Tahoma"/>
            <family val="2"/>
          </rPr>
          <t xml:space="preserve">
Added $15 monthly to cover cost of annual amendment fees</t>
        </r>
      </text>
    </comment>
  </commentList>
</comments>
</file>

<file path=xl/comments3.xml><?xml version="1.0" encoding="utf-8"?>
<comments xmlns="http://schemas.openxmlformats.org/spreadsheetml/2006/main">
  <authors>
    <author>jsant</author>
  </authors>
  <commentList>
    <comment ref="I31" authorId="0" shapeId="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<sst xmlns="http://schemas.openxmlformats.org/spreadsheetml/2006/main" count="877" uniqueCount="322">
  <si>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</si>
  <si>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</si>
  <si>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</si>
  <si>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</si>
  <si>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</si>
  <si>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</si>
  <si>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</si>
  <si>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</si>
  <si>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</si>
  <si>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</si>
  <si>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</si>
  <si>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</si>
  <si>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</si>
  <si>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</si>
  <si>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</si>
  <si>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</si>
  <si>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</si>
  <si>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</si>
  <si>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</si>
  <si>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</si>
  <si>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</si>
  <si>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</si>
  <si>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</si>
  <si>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</si>
  <si>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</si>
  <si>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</si>
  <si>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</si>
  <si>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</si>
  <si>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</si>
  <si>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</si>
  <si>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</si>
  <si>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</si>
  <si>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</si>
  <si>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</si>
  <si>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</si>
  <si>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</si>
  <si>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</si>
  <si>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</si>
  <si>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</si>
  <si>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</si>
  <si>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</si>
  <si>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</si>
  <si>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</si>
  <si>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</si>
  <si>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</si>
  <si>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</si>
  <si>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</si>
  <si>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</si>
  <si>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</si>
  <si>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</si>
  <si>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</si>
  <si>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</si>
  <si>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</si>
  <si>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</si>
  <si>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</si>
  <si>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</si>
  <si>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</si>
  <si>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</si>
  <si>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</si>
  <si>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</si>
  <si>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</si>
  <si>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</si>
  <si>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</si>
  <si>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</si>
  <si>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</si>
  <si>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</si>
  <si>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</si>
  <si>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</si>
  <si>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</si>
  <si>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</si>
  <si>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</si>
  <si>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</si>
  <si>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</si>
  <si>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</si>
  <si>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</si>
  <si>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</si>
  <si>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</si>
  <si>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</si>
  <si>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</si>
  <si>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</si>
  <si>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</si>
  <si>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</si>
  <si>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</si>
  <si>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</si>
  <si>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</si>
  <si>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</si>
  <si>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</si>
  <si>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</si>
  <si>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</si>
  <si>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</si>
  <si>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</si>
  <si>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</si>
  <si>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</si>
  <si>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</si>
  <si>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</si>
  <si>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</si>
  <si>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</si>
  <si>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</si>
  <si>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</si>
  <si>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</si>
  <si>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</si>
  <si>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</si>
  <si>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</si>
  <si>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</si>
  <si>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</si>
  <si>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</si>
  <si>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</si>
  <si>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</si>
  <si>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</si>
  <si>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</si>
  <si>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</si>
  <si>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</si>
  <si>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</si>
  <si>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</si>
  <si>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</si>
  <si>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</si>
  <si>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</si>
  <si>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</si>
  <si>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</si>
  <si>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</si>
  <si>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</si>
  <si>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</si>
  <si>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</si>
  <si>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</si>
  <si>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</si>
  <si>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</si>
  <si>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</si>
  <si>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</si>
  <si>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</si>
  <si>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</si>
  <si>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</si>
  <si>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</si>
  <si>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</si>
  <si>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</si>
  <si>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</si>
  <si>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</si>
  <si>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</si>
  <si>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</si>
  <si>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</si>
  <si>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</si>
  <si>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</si>
  <si>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</si>
  <si>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</si>
  <si>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</si>
  <si>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</si>
  <si>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</si>
  <si>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</si>
  <si>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</si>
  <si>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</si>
  <si>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</si>
  <si>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</si>
  <si>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</si>
  <si>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</si>
  <si>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</si>
  <si>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</si>
  <si>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</si>
  <si>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</si>
  <si>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</si>
  <si>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</si>
  <si>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</si>
  <si>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</si>
  <si>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</si>
  <si>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</si>
  <si>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</si>
  <si>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</si>
  <si>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</si>
  <si>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</si>
  <si>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</si>
  <si>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</si>
  <si>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</si>
  <si>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</si>
  <si>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</si>
  <si>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</si>
  <si>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</si>
  <si>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</si>
  <si>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</si>
  <si>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</si>
  <si>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</si>
  <si>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</si>
  <si>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</si>
  <si>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</si>
  <si>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</si>
  <si>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</si>
  <si>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</si>
  <si>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</si>
  <si>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</si>
  <si>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</si>
  <si>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</si>
  <si>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</si>
  <si>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</si>
  <si>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</si>
  <si>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</si>
  <si>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</si>
  <si>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</si>
  <si>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</si>
  <si>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</si>
  <si>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</si>
  <si>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</si>
  <si>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</si>
  <si>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</si>
  <si>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</si>
  <si>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</si>
  <si>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</si>
  <si>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</si>
  <si>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</si>
  <si>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</si>
  <si>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</si>
  <si>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</si>
  <si>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</si>
  <si>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</si>
  <si>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</si>
  <si>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</si>
  <si>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</si>
  <si>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</si>
  <si>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</si>
  <si>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</si>
  <si>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</si>
  <si>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</si>
  <si>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</si>
  <si>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</si>
  <si>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</si>
  <si>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</si>
  <si>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</si>
  <si>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</si>
  <si>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</si>
  <si>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</si>
  <si>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</si>
  <si>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</si>
  <si>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</si>
  <si>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</si>
  <si>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</si>
  <si>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</si>
  <si>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</si>
  <si>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</si>
  <si>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</si>
  <si>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</si>
  <si>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</si>
  <si>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</si>
  <si>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</si>
  <si>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</si>
  <si>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</si>
  <si>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</si>
  <si>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</si>
  <si>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</si>
  <si>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</si>
  <si>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</si>
  <si>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</si>
  <si>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</si>
  <si>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</si>
  <si>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</si>
  <si>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</si>
  <si>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</si>
  <si>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</si>
  <si>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</si>
  <si>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</si>
  <si>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</si>
  <si>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</si>
  <si>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</si>
  <si>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</si>
  <si>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</si>
  <si>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</si>
  <si>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</si>
  <si>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</si>
  <si>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</si>
  <si>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</si>
  <si>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</si>
  <si>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</si>
  <si>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</si>
  <si>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</si>
  <si>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</si>
  <si>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</si>
  <si>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</si>
  <si>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</si>
  <si>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</si>
  <si>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</si>
  <si>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</si>
  <si>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</si>
  <si>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</si>
  <si>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</si>
  <si>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</si>
  <si>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</si>
  <si>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</si>
  <si>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</si>
  <si>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</si>
  <si>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</si>
  <si>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</si>
  <si>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</si>
  <si>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</si>
  <si>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</si>
  <si>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</si>
  <si>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</si>
  <si>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</si>
  <si>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</si>
  <si>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</si>
  <si>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</si>
  <si>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</si>
  <si>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</si>
  <si>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</si>
  <si>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</si>
  <si>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</si>
  <si>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</si>
  <si>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</si>
  <si>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</si>
  <si>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</si>
  <si>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</si>
  <si>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</si>
  <si>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</si>
  <si>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</si>
  <si>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</si>
  <si>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</si>
  <si>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</si>
  <si>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</si>
  <si>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</si>
  <si>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</si>
  <si>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</si>
  <si>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</si>
  <si>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Variance</t>
  </si>
  <si>
    <t>As of:12/31/19</t>
  </si>
  <si>
    <t>Total Amortization for 12 months ended 12/31/20</t>
  </si>
  <si>
    <t>For The 12 Months Ending December 31, 2020</t>
  </si>
  <si>
    <t>December 31, 2019 Through December 31, 2020</t>
  </si>
  <si>
    <t>Wgtd Avg cost of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</si>
</sst>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 numFmtId="190" formatCode="[$-409]mmm\-yy;@"/>
  </numFmts>
  <fonts count="88">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5"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38">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3" fillId="0" borderId="0" xfId="91" applyFont="1"/>
    <xf numFmtId="37" fontId="15" fillId="0" borderId="0" xfId="91" applyFont="1"/>
    <xf numFmtId="37" fontId="15" fillId="0" borderId="0" xfId="91" applyFont="1" applyAlignment="1" applyProtection="1">
      <alignment horizontal="center"/>
    </xf>
    <xf numFmtId="37" fontId="27" fillId="0" borderId="0" xfId="91" applyFont="1" applyAlignment="1" applyProtection="1">
      <alignment horizontal="center"/>
    </xf>
    <xf numFmtId="37" fontId="13" fillId="0" borderId="0" xfId="91" applyFont="1" applyAlignment="1" applyProtection="1">
      <alignment horizontal="left"/>
    </xf>
    <xf numFmtId="37" fontId="13" fillId="0" borderId="0" xfId="91" applyFont="1" applyAlignment="1" applyProtection="1">
      <alignment horizontal="fill"/>
    </xf>
    <xf numFmtId="37" fontId="13" fillId="0" borderId="0" xfId="91" applyFont="1" applyAlignment="1" applyProtection="1">
      <alignment horizontal="center"/>
    </xf>
    <xf numFmtId="10" fontId="13" fillId="0" borderId="0" xfId="91" applyNumberFormat="1" applyFont="1" applyProtection="1"/>
    <xf numFmtId="37" fontId="13" fillId="0" borderId="0" xfId="91" applyNumberFormat="1" applyFont="1" applyProtection="1"/>
    <xf numFmtId="5" fontId="13" fillId="0" borderId="0" xfId="91" applyNumberFormat="1" applyFont="1" applyProtection="1"/>
    <xf numFmtId="5" fontId="13" fillId="0" borderId="0" xfId="91" applyNumberFormat="1" applyFont="1"/>
    <xf numFmtId="5" fontId="29" fillId="0" borderId="0" xfId="91" applyNumberFormat="1" applyFont="1"/>
    <xf numFmtId="5" fontId="29"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30" fillId="0" borderId="0" xfId="91" applyNumberFormat="1" applyFont="1" applyFill="1" applyProtection="1"/>
    <xf numFmtId="5" fontId="30" fillId="0" borderId="0" xfId="91" applyNumberFormat="1" applyFont="1" applyProtection="1"/>
    <xf numFmtId="5" fontId="30" fillId="0" borderId="0" xfId="91" applyNumberFormat="1" applyFont="1"/>
    <xf numFmtId="170" fontId="30" fillId="0" borderId="0" xfId="55" applyNumberFormat="1" applyFont="1"/>
    <xf numFmtId="5" fontId="31" fillId="0" borderId="0" xfId="91" applyNumberFormat="1" applyFont="1"/>
    <xf numFmtId="5" fontId="31"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5" applyFont="1" applyAlignment="1">
      <alignment horizontal="centerContinuous"/>
    </xf>
    <xf numFmtId="10" fontId="13" fillId="0" borderId="0" xfId="95" applyFont="1"/>
    <xf numFmtId="10" fontId="13" fillId="0" borderId="0" xfId="95" applyFont="1" applyAlignment="1">
      <alignment horizontal="center"/>
    </xf>
    <xf numFmtId="10" fontId="15" fillId="0" borderId="0" xfId="95" applyFont="1" applyAlignment="1">
      <alignment horizontal="center"/>
    </xf>
    <xf numFmtId="10" fontId="15" fillId="0" borderId="0" xfId="95" applyFont="1" applyAlignment="1" applyProtection="1">
      <alignment horizontal="center"/>
    </xf>
    <xf numFmtId="10" fontId="27" fillId="0" borderId="0" xfId="95" applyFont="1" applyAlignment="1" applyProtection="1">
      <alignment horizontal="center"/>
    </xf>
    <xf numFmtId="10" fontId="13" fillId="0" borderId="0" xfId="95" applyFont="1" applyAlignment="1" applyProtection="1">
      <alignment horizontal="left"/>
    </xf>
    <xf numFmtId="10" fontId="15" fillId="0" borderId="0" xfId="95" applyFont="1" applyAlignment="1" applyProtection="1">
      <alignment horizontal="left"/>
    </xf>
    <xf numFmtId="10" fontId="15" fillId="0" borderId="0" xfId="95" applyFont="1"/>
    <xf numFmtId="10" fontId="13" fillId="0" borderId="0" xfId="95" applyFont="1" applyBorder="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3" fillId="0" borderId="0" xfId="96" applyNumberFormat="1" applyFont="1" applyBorder="1" applyAlignment="1">
      <alignment horizontal="left"/>
    </xf>
    <xf numFmtId="0" fontId="22" fillId="0" borderId="0" xfId="96" applyFont="1"/>
    <xf numFmtId="0" fontId="33" fillId="0" borderId="0" xfId="96"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6" fillId="0" borderId="0" xfId="91" applyFont="1" applyAlignment="1" applyProtection="1">
      <alignment horizontal="left"/>
    </xf>
    <xf numFmtId="37" fontId="25" fillId="0" borderId="0" xfId="92" applyNumberFormat="1" applyFont="1" applyAlignment="1">
      <alignment horizontal="center"/>
    </xf>
    <xf numFmtId="37" fontId="37"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38" fontId="13" fillId="0" borderId="0" xfId="95"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5" applyFont="1" applyAlignment="1" applyProtection="1"/>
    <xf numFmtId="5" fontId="13" fillId="0" borderId="0" xfId="95" applyNumberFormat="1" applyFont="1" applyAlignment="1" applyProtection="1"/>
    <xf numFmtId="10" fontId="13" fillId="0" borderId="0" xfId="95" applyFont="1" applyBorder="1" applyAlignment="1" applyProtection="1"/>
    <xf numFmtId="5" fontId="13" fillId="0" borderId="0" xfId="95" applyNumberFormat="1" applyFont="1" applyAlignment="1"/>
    <xf numFmtId="10" fontId="13" fillId="0" borderId="0" xfId="95" applyFont="1" applyAlignment="1"/>
    <xf numFmtId="5" fontId="29" fillId="0" borderId="0" xfId="95" applyNumberFormat="1" applyFont="1" applyBorder="1" applyAlignment="1" applyProtection="1"/>
    <xf numFmtId="165" fontId="13" fillId="0" borderId="0" xfId="95" applyNumberFormat="1" applyFont="1" applyBorder="1" applyAlignment="1" applyProtection="1"/>
    <xf numFmtId="10" fontId="13" fillId="0" borderId="0" xfId="95" applyFont="1" applyBorder="1" applyAlignment="1"/>
    <xf numFmtId="5" fontId="36" fillId="0" borderId="0" xfId="95" applyNumberFormat="1" applyFont="1" applyBorder="1" applyAlignment="1" applyProtection="1"/>
    <xf numFmtId="10" fontId="36" fillId="0" borderId="0" xfId="95" applyFont="1" applyBorder="1" applyAlignment="1"/>
    <xf numFmtId="5" fontId="34" fillId="0" borderId="0" xfId="88" applyNumberFormat="1" applyFont="1" applyFill="1" applyProtection="1"/>
    <xf numFmtId="37" fontId="25" fillId="0" borderId="0" xfId="92" applyNumberFormat="1" applyFont="1" applyAlignment="1">
      <alignment horizontal="right"/>
    </xf>
    <xf numFmtId="37" fontId="39" fillId="0" borderId="0" xfId="91" applyFont="1" applyAlignment="1" applyProtection="1">
      <alignment horizontal="center"/>
    </xf>
    <xf numFmtId="37" fontId="34" fillId="0" borderId="0" xfId="88" applyNumberFormat="1" applyFont="1" applyFill="1" applyProtection="1"/>
    <xf numFmtId="10" fontId="13" fillId="0" borderId="0" xfId="95"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5" fontId="13" fillId="0" borderId="0" xfId="95" applyNumberFormat="1" applyFont="1"/>
    <xf numFmtId="10" fontId="5" fillId="0" borderId="0" xfId="95" applyFont="1" applyBorder="1"/>
    <xf numFmtId="1" fontId="16" fillId="0" borderId="0" xfId="95"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4"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1" applyNumberFormat="1" applyFont="1" applyProtection="1"/>
    <xf numFmtId="168" fontId="30"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8"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8" fillId="0" borderId="0" xfId="96" applyFont="1"/>
    <xf numFmtId="0" fontId="9" fillId="0" borderId="0" xfId="88" applyFont="1" applyFill="1" applyBorder="1"/>
    <xf numFmtId="37" fontId="9" fillId="0" borderId="0" xfId="88" applyNumberFormat="1" applyFont="1" applyFill="1" applyBorder="1"/>
    <xf numFmtId="10" fontId="36"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6" fillId="0" borderId="0" xfId="95" applyNumberFormat="1" applyFont="1" applyFill="1" applyBorder="1" applyAlignment="1" applyProtection="1"/>
    <xf numFmtId="10" fontId="24" fillId="0" borderId="0" xfId="92"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5" fillId="0" borderId="0" xfId="95" applyFont="1" applyBorder="1"/>
    <xf numFmtId="37" fontId="5" fillId="0" borderId="0" xfId="95" applyNumberFormat="1" applyFont="1" applyBorder="1"/>
    <xf numFmtId="182" fontId="28" fillId="0" borderId="0" xfId="95" applyNumberFormat="1" applyFont="1" applyBorder="1" applyAlignment="1">
      <alignment horizontal="center"/>
    </xf>
    <xf numFmtId="37" fontId="13" fillId="0" borderId="0" xfId="95" applyNumberFormat="1" applyFont="1" applyBorder="1" applyAlignment="1">
      <alignment horizontal="center"/>
    </xf>
    <xf numFmtId="10" fontId="28" fillId="0" borderId="0" xfId="95" applyFont="1" applyBorder="1" applyAlignment="1" applyProtection="1"/>
    <xf numFmtId="10" fontId="13" fillId="0" borderId="0" xfId="95" applyNumberFormat="1" applyFont="1" applyBorder="1" applyAlignment="1" applyProtection="1"/>
    <xf numFmtId="181" fontId="41"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183" fontId="34" fillId="0" borderId="0" xfId="88" applyNumberFormat="1" applyFont="1" applyFill="1" applyProtection="1"/>
    <xf numFmtId="5" fontId="37"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2" applyNumberFormat="1" applyFont="1"/>
    <xf numFmtId="37" fontId="47" fillId="0" borderId="0" xfId="92" applyNumberFormat="1" applyFont="1" applyAlignment="1">
      <alignment horizontal="right"/>
    </xf>
    <xf numFmtId="175" fontId="47" fillId="0" borderId="0" xfId="88" applyNumberFormat="1" applyFont="1" applyFill="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174" fontId="26" fillId="0" borderId="0" xfId="96" applyNumberFormat="1" applyFont="1" applyFill="1"/>
    <xf numFmtId="5" fontId="18" fillId="0" borderId="25" xfId="96"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1"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1" applyFont="1" applyAlignment="1">
      <alignment horizontal="left" indent="1"/>
    </xf>
    <xf numFmtId="5" fontId="13" fillId="0" borderId="26" xfId="91" applyNumberFormat="1" applyFont="1" applyBorder="1" applyProtection="1"/>
    <xf numFmtId="5" fontId="30" fillId="0" borderId="26" xfId="91" applyNumberFormat="1" applyFont="1" applyBorder="1"/>
    <xf numFmtId="168" fontId="30"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5" applyNumberFormat="1" applyFont="1" applyFill="1" applyAlignment="1" applyProtection="1"/>
    <xf numFmtId="10" fontId="34" fillId="0" borderId="0" xfId="102" applyNumberFormat="1" applyFont="1" applyFill="1" applyBorder="1" applyProtection="1"/>
    <xf numFmtId="10" fontId="34" fillId="0" borderId="10" xfId="88" applyNumberFormat="1" applyFont="1" applyFill="1" applyBorder="1" applyProtection="1"/>
    <xf numFmtId="184"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5" applyFont="1" applyBorder="1" applyAlignment="1" applyProtection="1">
      <alignment horizontal="centerContinuous" vertical="center" wrapText="1"/>
    </xf>
    <xf numFmtId="172" fontId="32" fillId="0" borderId="0" xfId="95"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1" applyNumberFormat="1" applyFont="1" applyFill="1" applyProtection="1"/>
    <xf numFmtId="10" fontId="13" fillId="0" borderId="0" xfId="95" applyFont="1" applyFill="1" applyAlignment="1" applyProtection="1"/>
    <xf numFmtId="37" fontId="15" fillId="0" borderId="0" xfId="91"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5" applyNumberFormat="1" applyFont="1" applyAlignment="1"/>
    <xf numFmtId="10" fontId="29"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2" applyNumberFormat="1" applyFont="1" applyFill="1" applyBorder="1"/>
    <xf numFmtId="168" fontId="16" fillId="0" borderId="0" xfId="102"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51" fillId="0" borderId="0" xfId="95" applyFont="1" applyAlignment="1">
      <alignment horizontal="centerContinuous"/>
    </xf>
    <xf numFmtId="0" fontId="50" fillId="0" borderId="0" xfId="90" applyAlignment="1">
      <alignment horizontal="centerContinuous"/>
    </xf>
    <xf numFmtId="10" fontId="4" fillId="0" borderId="0" xfId="95" applyAlignment="1" applyProtection="1">
      <alignment horizontal="left"/>
    </xf>
    <xf numFmtId="172" fontId="41" fillId="0" borderId="0" xfId="95" applyNumberFormat="1" applyFont="1" applyBorder="1" applyAlignment="1" applyProtection="1">
      <alignment horizontal="centerContinuous" vertical="center" wrapText="1"/>
    </xf>
    <xf numFmtId="10" fontId="51" fillId="0" borderId="0" xfId="95" applyFont="1" applyBorder="1" applyAlignment="1">
      <alignment horizontal="centerContinuous" vertical="center" wrapText="1"/>
    </xf>
    <xf numFmtId="1" fontId="51" fillId="0" borderId="0" xfId="95" applyNumberFormat="1" applyFont="1" applyProtection="1"/>
    <xf numFmtId="10" fontId="51" fillId="0" borderId="0" xfId="95" applyFont="1"/>
    <xf numFmtId="0" fontId="50" fillId="0" borderId="0" xfId="90"/>
    <xf numFmtId="10" fontId="51"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3" fillId="0" borderId="0" xfId="95" applyFont="1" applyAlignment="1" applyProtection="1">
      <alignment horizontal="right"/>
    </xf>
    <xf numFmtId="10" fontId="15" fillId="0" borderId="0" xfId="95" applyFont="1" applyFill="1" applyAlignment="1" applyProtection="1">
      <alignment horizontal="left" indent="1"/>
    </xf>
    <xf numFmtId="5" fontId="30" fillId="0" borderId="0" xfId="95" applyNumberFormat="1" applyFont="1" applyProtection="1"/>
    <xf numFmtId="165" fontId="30" fillId="0" borderId="0" xfId="95" applyNumberFormat="1" applyFont="1" applyProtection="1"/>
    <xf numFmtId="5" fontId="30" fillId="0" borderId="0" xfId="95" applyNumberFormat="1" applyFont="1" applyAlignment="1" applyProtection="1">
      <alignment horizontal="right"/>
    </xf>
    <xf numFmtId="10" fontId="30" fillId="0" borderId="0" xfId="95" applyFont="1" applyBorder="1" applyProtection="1"/>
    <xf numFmtId="10" fontId="30" fillId="0" borderId="0" xfId="95" applyFont="1" applyProtection="1"/>
    <xf numFmtId="10" fontId="25" fillId="0" borderId="0" xfId="95" applyFont="1" applyFill="1" applyAlignment="1" applyProtection="1">
      <alignment horizontal="left" indent="2"/>
    </xf>
    <xf numFmtId="5" fontId="34" fillId="0" borderId="0" xfId="95" applyNumberFormat="1" applyFont="1" applyProtection="1"/>
    <xf numFmtId="165" fontId="34" fillId="0" borderId="0" xfId="95" applyNumberFormat="1" applyFont="1" applyProtection="1"/>
    <xf numFmtId="5" fontId="34" fillId="0" borderId="0" xfId="95" applyNumberFormat="1" applyFont="1" applyAlignment="1" applyProtection="1">
      <alignment horizontal="right"/>
    </xf>
    <xf numFmtId="10" fontId="34" fillId="0" borderId="0" xfId="95" applyFont="1" applyBorder="1" applyProtection="1"/>
    <xf numFmtId="10" fontId="34" fillId="0" borderId="0" xfId="95" applyFont="1" applyProtection="1"/>
    <xf numFmtId="43" fontId="43" fillId="0" borderId="0" xfId="95" applyNumberFormat="1" applyFont="1" applyProtection="1"/>
    <xf numFmtId="5" fontId="43" fillId="0" borderId="0" xfId="95" applyNumberFormat="1" applyFont="1" applyAlignment="1" applyProtection="1">
      <alignment horizontal="right"/>
    </xf>
    <xf numFmtId="10" fontId="13" fillId="0" borderId="0" xfId="95" applyFont="1" applyAlignment="1" applyProtection="1">
      <alignment horizontal="left" indent="1"/>
    </xf>
    <xf numFmtId="10" fontId="15" fillId="0" borderId="0" xfId="95" applyFont="1" applyAlignment="1" applyProtection="1">
      <alignment horizontal="left" indent="1"/>
    </xf>
    <xf numFmtId="10" fontId="30" fillId="0" borderId="0" xfId="95" applyNumberFormat="1" applyFont="1" applyFill="1" applyBorder="1" applyProtection="1"/>
    <xf numFmtId="10" fontId="30" fillId="0" borderId="0" xfId="95" applyFont="1" applyAlignment="1" applyProtection="1">
      <alignment horizontal="left"/>
    </xf>
    <xf numFmtId="5" fontId="30" fillId="19" borderId="12" xfId="95" applyNumberFormat="1" applyFont="1" applyFill="1" applyBorder="1" applyProtection="1"/>
    <xf numFmtId="165" fontId="30" fillId="0" borderId="12" xfId="95" applyNumberFormat="1" applyFont="1" applyBorder="1" applyProtection="1"/>
    <xf numFmtId="5" fontId="30" fillId="0" borderId="12" xfId="95" applyNumberFormat="1" applyFont="1" applyBorder="1" applyProtection="1"/>
    <xf numFmtId="10" fontId="30" fillId="19" borderId="12" xfId="95" applyFont="1" applyFill="1" applyBorder="1" applyProtection="1"/>
    <xf numFmtId="10" fontId="30" fillId="0" borderId="12" xfId="95" applyFont="1" applyBorder="1" applyProtection="1"/>
    <xf numFmtId="10" fontId="30" fillId="0" borderId="0" xfId="95" applyFont="1"/>
    <xf numFmtId="5" fontId="28" fillId="19" borderId="0" xfId="95" applyNumberFormat="1" applyFont="1" applyFill="1" applyProtection="1"/>
    <xf numFmtId="5" fontId="28" fillId="0" borderId="0" xfId="95" applyNumberFormat="1" applyFont="1" applyAlignment="1" applyProtection="1">
      <alignment horizontal="right"/>
    </xf>
    <xf numFmtId="5" fontId="30" fillId="0" borderId="12" xfId="95" applyNumberFormat="1" applyFont="1" applyBorder="1" applyAlignment="1" applyProtection="1">
      <alignment horizontal="right"/>
    </xf>
    <xf numFmtId="10" fontId="13" fillId="19" borderId="12" xfId="95" applyFont="1" applyFill="1" applyBorder="1" applyProtection="1"/>
    <xf numFmtId="10" fontId="30" fillId="0" borderId="0" xfId="95" applyFont="1" applyAlignment="1" applyProtection="1">
      <alignment horizontal="fill"/>
    </xf>
    <xf numFmtId="165" fontId="30" fillId="0" borderId="0" xfId="95" applyNumberFormat="1" applyFont="1" applyAlignment="1" applyProtection="1">
      <alignment horizontal="fill"/>
    </xf>
    <xf numFmtId="5" fontId="52" fillId="0" borderId="0" xfId="95" applyNumberFormat="1" applyFont="1" applyBorder="1" applyProtection="1"/>
    <xf numFmtId="165" fontId="52" fillId="0" borderId="0" xfId="95" applyNumberFormat="1" applyFont="1" applyBorder="1" applyProtection="1"/>
    <xf numFmtId="5" fontId="53" fillId="0" borderId="0" xfId="95" applyNumberFormat="1" applyFont="1" applyBorder="1" applyProtection="1"/>
    <xf numFmtId="10" fontId="52" fillId="0" borderId="0" xfId="95" applyFont="1" applyBorder="1"/>
    <xf numFmtId="10" fontId="52" fillId="0" borderId="0" xfId="95" applyFont="1" applyBorder="1" applyProtection="1"/>
    <xf numFmtId="10" fontId="30" fillId="0" borderId="0" xfId="95" applyFont="1" applyAlignment="1">
      <alignment horizontal="right"/>
    </xf>
    <xf numFmtId="37" fontId="13" fillId="0" borderId="0" xfId="95" applyNumberFormat="1" applyFont="1"/>
    <xf numFmtId="10" fontId="13" fillId="0" borderId="0" xfId="95" applyFont="1" applyAlignment="1">
      <alignment horizontal="right"/>
    </xf>
    <xf numFmtId="10" fontId="24" fillId="0" borderId="0" xfId="95" quotePrefix="1" applyFont="1" applyAlignment="1" applyProtection="1">
      <alignment horizontal="left"/>
    </xf>
    <xf numFmtId="10" fontId="35" fillId="0" borderId="0" xfId="95" quotePrefix="1" applyFont="1" applyAlignment="1">
      <alignment horizontal="left"/>
    </xf>
    <xf numFmtId="10" fontId="24" fillId="0" borderId="0" xfId="95" applyFont="1"/>
    <xf numFmtId="1" fontId="51"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2" applyNumberFormat="1" applyFont="1" applyFill="1" applyBorder="1" applyProtection="1"/>
    <xf numFmtId="10" fontId="28" fillId="19" borderId="0" xfId="95" applyFont="1" applyFill="1" applyBorder="1" applyProtection="1"/>
    <xf numFmtId="0" fontId="15" fillId="18" borderId="0" xfId="97" applyFont="1" applyFill="1"/>
    <xf numFmtId="0" fontId="13" fillId="18" borderId="0" xfId="97" applyFont="1" applyFill="1"/>
    <xf numFmtId="0" fontId="2" fillId="0" borderId="0" xfId="97"/>
    <xf numFmtId="0" fontId="13" fillId="0" borderId="0" xfId="97" applyFont="1"/>
    <xf numFmtId="10" fontId="13" fillId="0" borderId="0" xfId="102" applyNumberFormat="1" applyFont="1"/>
    <xf numFmtId="0" fontId="29" fillId="0" borderId="0" xfId="97" applyFont="1" applyAlignment="1">
      <alignment horizontal="center"/>
    </xf>
    <xf numFmtId="10" fontId="13" fillId="0" borderId="0" xfId="102" applyNumberFormat="1" applyFont="1" applyFill="1"/>
    <xf numFmtId="10" fontId="15" fillId="21" borderId="0" xfId="97" applyNumberFormat="1" applyFont="1" applyFill="1"/>
    <xf numFmtId="10" fontId="15" fillId="21" borderId="0" xfId="102" applyNumberFormat="1" applyFont="1" applyFill="1"/>
    <xf numFmtId="0" fontId="15" fillId="0" borderId="0" xfId="97" applyFont="1"/>
    <xf numFmtId="10" fontId="13" fillId="0" borderId="26" xfId="102" applyNumberFormat="1" applyFont="1" applyBorder="1"/>
    <xf numFmtId="9" fontId="13" fillId="0" borderId="26" xfId="102" applyFont="1" applyBorder="1"/>
    <xf numFmtId="10" fontId="15" fillId="21" borderId="23" xfId="102" applyNumberFormat="1" applyFont="1" applyFill="1" applyBorder="1"/>
    <xf numFmtId="10" fontId="13" fillId="0" borderId="0" xfId="97" applyNumberFormat="1" applyFont="1"/>
    <xf numFmtId="10" fontId="2" fillId="0" borderId="0" xfId="102" applyNumberFormat="1"/>
    <xf numFmtId="10" fontId="13" fillId="0" borderId="0" xfId="97" applyNumberFormat="1" applyFont="1" applyFill="1"/>
    <xf numFmtId="10" fontId="13" fillId="0" borderId="26" xfId="97" applyNumberFormat="1" applyFont="1" applyBorder="1"/>
    <xf numFmtId="0" fontId="2" fillId="18" borderId="0" xfId="97" applyFill="1"/>
    <xf numFmtId="0" fontId="15" fillId="22" borderId="0" xfId="97" applyFont="1" applyFill="1"/>
    <xf numFmtId="0" fontId="13" fillId="22" borderId="0" xfId="97" applyFont="1" applyFill="1"/>
    <xf numFmtId="186" fontId="43" fillId="0" borderId="0" xfId="88" applyNumberFormat="1" applyFont="1" applyFill="1" applyBorder="1" applyProtection="1"/>
    <xf numFmtId="188" fontId="46" fillId="0" borderId="0" xfId="96" applyNumberFormat="1" applyFont="1" applyFill="1"/>
    <xf numFmtId="0" fontId="73" fillId="0" borderId="0" xfId="96" applyFont="1" applyAlignment="1">
      <alignment horizontal="center"/>
    </xf>
    <xf numFmtId="15" fontId="46" fillId="0" borderId="0" xfId="96" applyNumberFormat="1" applyFont="1" applyFill="1" applyAlignment="1">
      <alignment horizontal="center"/>
    </xf>
    <xf numFmtId="15" fontId="73" fillId="23" borderId="0" xfId="96" applyNumberFormat="1" applyFont="1" applyFill="1" applyAlignment="1">
      <alignment horizontal="right"/>
    </xf>
    <xf numFmtId="5" fontId="46" fillId="23" borderId="0" xfId="89" applyNumberFormat="1" applyFont="1" applyFill="1" applyBorder="1" applyProtection="1"/>
    <xf numFmtId="5" fontId="16" fillId="0" borderId="0" xfId="89" applyNumberFormat="1" applyFont="1" applyBorder="1" applyProtection="1"/>
    <xf numFmtId="0" fontId="46" fillId="0" borderId="0" xfId="96" applyFont="1" applyAlignment="1">
      <alignment horizontal="left"/>
    </xf>
    <xf numFmtId="0" fontId="41" fillId="0" borderId="0" xfId="96" applyFont="1"/>
    <xf numFmtId="37" fontId="74" fillId="0" borderId="0" xfId="94" applyFont="1" applyBorder="1" applyAlignment="1">
      <alignment horizontal="centerContinuous" vertical="center" wrapText="1"/>
    </xf>
    <xf numFmtId="37" fontId="74" fillId="0" borderId="0" xfId="94" applyFont="1"/>
    <xf numFmtId="37" fontId="16" fillId="0" borderId="0" xfId="94"/>
    <xf numFmtId="37" fontId="16" fillId="0" borderId="0" xfId="94" applyFill="1"/>
    <xf numFmtId="10" fontId="75" fillId="0" borderId="30" xfId="95" applyFont="1" applyBorder="1" applyAlignment="1">
      <alignment horizontal="centerContinuous" vertical="center" wrapText="1"/>
    </xf>
    <xf numFmtId="10" fontId="32" fillId="0" borderId="26" xfId="95" applyFont="1" applyBorder="1" applyAlignment="1" applyProtection="1">
      <alignment horizontal="centerContinuous" vertical="center" wrapText="1"/>
    </xf>
    <xf numFmtId="10" fontId="32" fillId="0" borderId="31" xfId="95" applyFont="1" applyBorder="1" applyAlignment="1" applyProtection="1">
      <alignment horizontal="centerContinuous" vertical="center" wrapText="1"/>
    </xf>
    <xf numFmtId="10" fontId="32" fillId="0" borderId="32" xfId="95" applyFont="1" applyBorder="1" applyAlignment="1" applyProtection="1">
      <alignment horizontal="centerContinuous" vertical="center" wrapText="1"/>
    </xf>
    <xf numFmtId="10" fontId="13" fillId="0" borderId="10" xfId="95" applyFont="1" applyBorder="1" applyAlignment="1">
      <alignment horizontal="centerContinuous" vertical="center" wrapText="1"/>
    </xf>
    <xf numFmtId="10" fontId="13" fillId="0" borderId="33" xfId="95" applyFont="1" applyBorder="1" applyAlignment="1">
      <alignment horizontal="centerContinuous" vertical="center" wrapText="1"/>
    </xf>
    <xf numFmtId="10" fontId="13" fillId="0" borderId="0" xfId="95" applyNumberFormat="1" applyFont="1" applyFill="1" applyAlignment="1" applyProtection="1"/>
    <xf numFmtId="10" fontId="13" fillId="0" borderId="0" xfId="95" applyFont="1" applyBorder="1" applyAlignment="1" applyProtection="1">
      <alignment horizontal="center"/>
    </xf>
    <xf numFmtId="10" fontId="13" fillId="0" borderId="0" xfId="95" applyNumberFormat="1" applyFont="1" applyFill="1" applyBorder="1" applyAlignment="1" applyProtection="1"/>
    <xf numFmtId="0" fontId="76" fillId="0" borderId="0" xfId="96" quotePrefix="1" applyFont="1" applyFill="1" applyBorder="1" applyAlignment="1" applyProtection="1">
      <alignment horizontal="centerContinuous" vertical="center" wrapText="1"/>
    </xf>
    <xf numFmtId="37" fontId="77" fillId="0" borderId="0" xfId="91" applyFont="1" applyBorder="1" applyAlignment="1">
      <alignment horizontal="centerContinuous" vertical="center" wrapText="1"/>
    </xf>
    <xf numFmtId="37" fontId="16" fillId="0" borderId="0" xfId="91" applyFont="1" applyAlignment="1" applyProtection="1">
      <alignment horizontal="left"/>
    </xf>
    <xf numFmtId="37" fontId="78"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2"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81" fillId="0" borderId="0" xfId="88" applyFont="1"/>
    <xf numFmtId="0" fontId="0" fillId="0" borderId="0" xfId="0" applyNumberFormat="1"/>
    <xf numFmtId="37" fontId="0" fillId="24" borderId="0" xfId="0" applyFill="1"/>
    <xf numFmtId="0" fontId="0" fillId="24" borderId="0" xfId="0" applyNumberFormat="1" applyFill="1"/>
    <xf numFmtId="10" fontId="28" fillId="0" borderId="0" xfId="95"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6" applyNumberFormat="1" applyFont="1"/>
    <xf numFmtId="7" fontId="4" fillId="0" borderId="0" xfId="95" applyNumberFormat="1"/>
    <xf numFmtId="7" fontId="4" fillId="0" borderId="10" xfId="95" applyNumberFormat="1" applyBorder="1" applyProtection="1"/>
    <xf numFmtId="10" fontId="83" fillId="0" borderId="0" xfId="95" applyNumberFormat="1" applyFont="1" applyFill="1" applyAlignment="1" applyProtection="1"/>
    <xf numFmtId="10" fontId="9" fillId="0" borderId="0" xfId="102" applyNumberFormat="1" applyFont="1"/>
    <xf numFmtId="10" fontId="13" fillId="0" borderId="0" xfId="91" applyNumberFormat="1" applyFont="1"/>
    <xf numFmtId="5" fontId="46" fillId="0" borderId="0" xfId="59" applyNumberFormat="1" applyFont="1" applyFill="1"/>
    <xf numFmtId="189" fontId="13" fillId="0" borderId="0" xfId="55" applyNumberFormat="1" applyFont="1" applyBorder="1" applyAlignment="1"/>
    <xf numFmtId="175" fontId="35" fillId="0" borderId="10" xfId="88" applyNumberFormat="1" applyFont="1" applyFill="1" applyBorder="1" applyProtection="1"/>
    <xf numFmtId="37" fontId="84"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7" fontId="45"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5"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5" applyFont="1" applyFill="1" applyBorder="1" applyAlignment="1" applyProtection="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168" fontId="13" fillId="0" borderId="0" xfId="95"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81" fillId="0" borderId="0" xfId="88" applyFont="1" applyFill="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6" fillId="0" borderId="0" xfId="89" applyNumberFormat="1" applyFont="1" applyFill="1" applyBorder="1" applyProtection="1"/>
    <xf numFmtId="188" fontId="72"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90"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3" fillId="0" borderId="0" xfId="88" applyNumberFormat="1" applyFont="1" applyFill="1" applyBorder="1" applyProtection="1"/>
    <xf numFmtId="0" fontId="7" fillId="0" borderId="0" xfId="88" applyFont="1" applyBorder="1"/>
    <xf numFmtId="37" fontId="87" fillId="0" borderId="0" xfId="92" applyFont="1" applyFill="1" applyAlignment="1">
      <alignment horizontal="right"/>
    </xf>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6" applyNumberFormat="1" applyFont="1" applyFill="1" applyAlignment="1">
      <alignment horizontal="left"/>
    </xf>
  </cellXfs>
  <cellStyles count="11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 4" xfId="112"/>
    <cellStyle name="Comma0" xfId="58"/>
    <cellStyle name="Currency" xfId="59" builtinId="4"/>
    <cellStyle name="Currency 2" xfId="60"/>
    <cellStyle name="Currency 3" xfId="61"/>
    <cellStyle name="Currency 4" xfId="113"/>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 4" xfId="111"/>
    <cellStyle name="Normal_AMACAPST" xfId="88"/>
    <cellStyle name="Normal_AMORTONR" xfId="89"/>
    <cellStyle name="Normal_COC DEC 00 Company" xfId="90"/>
    <cellStyle name="Normal_COSTOF" xfId="91"/>
    <cellStyle name="Normal_COSTOFD" xfId="92"/>
    <cellStyle name="Normal_COSTOFPR" xfId="93"/>
    <cellStyle name="Normal_DEG-5C WACC Rate Yr beginning Jun-11 DRAFT2" xfId="94"/>
    <cellStyle name="Normal_RATEOFRE" xfId="95"/>
    <cellStyle name="Normal_SCHEDULE" xfId="96"/>
    <cellStyle name="Normal_WACC" xfId="97"/>
    <cellStyle name="Note" xfId="98" builtinId="10" customBuiltin="1"/>
    <cellStyle name="Note 2" xfId="99"/>
    <cellStyle name="Output" xfId="100" builtinId="21" customBuiltin="1"/>
    <cellStyle name="Output 2" xfId="101"/>
    <cellStyle name="Percent" xfId="102" builtinId="5"/>
    <cellStyle name="Percent 2" xfId="103"/>
    <cellStyle name="Percent 3" xfId="104"/>
    <cellStyle name="Percent 4" xfId="11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6640625" defaultRowHeight="12.75"/>
  <cols>
    <col min="1" max="1" width="27.5" style="479" customWidth="1"/>
    <col min="2" max="2" width="12.83203125" style="479" customWidth="1"/>
    <col min="3" max="3" width="12.1640625" style="479" customWidth="1"/>
    <col min="4" max="4" width="14.33203125" style="479" bestFit="1" customWidth="1"/>
    <col min="5" max="16384" width="10.6640625" style="479"/>
  </cols>
  <sheetData>
    <row r="1" spans="1:10">
      <c r="A1" s="477" t="s">
        <v>267</v>
      </c>
      <c r="B1" s="478"/>
      <c r="C1" s="478"/>
      <c r="D1" s="478"/>
      <c r="E1" s="478"/>
      <c r="F1" s="478"/>
      <c r="G1" s="478"/>
      <c r="H1" s="478"/>
      <c r="I1" s="478"/>
      <c r="J1" s="478"/>
    </row>
    <row r="2" spans="1:10">
      <c r="A2" s="480" t="s">
        <v>204</v>
      </c>
      <c r="B2" s="480"/>
      <c r="C2" s="480"/>
      <c r="D2" s="480"/>
      <c r="E2" s="480"/>
      <c r="F2" s="480"/>
      <c r="G2" s="480"/>
      <c r="H2" s="480"/>
      <c r="I2" s="480"/>
      <c r="J2" s="480"/>
    </row>
    <row r="3" spans="1:10">
      <c r="A3" s="480"/>
      <c r="B3" s="481"/>
      <c r="C3" s="481"/>
      <c r="D3" s="480"/>
      <c r="E3" s="480"/>
      <c r="F3" s="480"/>
      <c r="G3" s="480"/>
      <c r="H3" s="480"/>
      <c r="I3" s="480"/>
      <c r="J3" s="480"/>
    </row>
    <row r="4" spans="1:10">
      <c r="A4" s="480"/>
      <c r="B4" s="482" t="s">
        <v>205</v>
      </c>
      <c r="C4" s="482" t="s">
        <v>11</v>
      </c>
      <c r="D4" s="482" t="s">
        <v>206</v>
      </c>
      <c r="E4" s="480"/>
      <c r="F4" s="480"/>
      <c r="G4" s="480"/>
      <c r="H4" s="480"/>
      <c r="I4" s="480"/>
      <c r="J4" s="480"/>
    </row>
    <row r="5" spans="1:10">
      <c r="A5" s="480" t="s">
        <v>13</v>
      </c>
      <c r="B5" s="481" t="e">
        <f>#REF!</f>
        <v>#REF!</v>
      </c>
      <c r="C5" s="481" t="e">
        <f>#REF!</f>
        <v>#REF!</v>
      </c>
      <c r="D5" s="481" t="e">
        <f>ROUND(B5*C5,5)</f>
        <v>#REF!</v>
      </c>
      <c r="E5" s="480"/>
      <c r="F5" s="481" t="e">
        <f>B5/G9*C5</f>
        <v>#REF!</v>
      </c>
      <c r="G5" s="480"/>
      <c r="H5" s="480"/>
      <c r="I5" s="480"/>
      <c r="J5" s="480"/>
    </row>
    <row r="6" spans="1:10">
      <c r="A6" s="480" t="s">
        <v>14</v>
      </c>
      <c r="B6" s="483" t="e">
        <f>#REF!</f>
        <v>#REF!</v>
      </c>
      <c r="C6" s="483" t="e">
        <f>#REF!</f>
        <v>#REF!</v>
      </c>
      <c r="D6" s="481" t="e">
        <f>ROUND(B6*C6,5)</f>
        <v>#REF!</v>
      </c>
      <c r="E6" s="480"/>
      <c r="F6" s="481" t="e">
        <f>B6/G9*C6</f>
        <v>#REF!</v>
      </c>
      <c r="G6" s="480"/>
      <c r="H6" s="480"/>
      <c r="I6" s="480"/>
      <c r="J6" s="480"/>
    </row>
    <row r="7" spans="1:10">
      <c r="A7" s="480" t="s">
        <v>110</v>
      </c>
      <c r="B7" s="481">
        <v>0</v>
      </c>
      <c r="C7" s="481">
        <v>0</v>
      </c>
      <c r="D7" s="481">
        <f>ROUND(B7*C7,5)</f>
        <v>0</v>
      </c>
      <c r="E7" s="480"/>
      <c r="F7" s="480"/>
      <c r="G7" s="484" t="e">
        <f>SUM(F5:F6)</f>
        <v>#REF!</v>
      </c>
      <c r="H7" s="480" t="s">
        <v>207</v>
      </c>
      <c r="I7" s="480"/>
      <c r="J7" s="480"/>
    </row>
    <row r="8" spans="1:10" ht="13.5" thickBot="1">
      <c r="A8" s="480" t="s">
        <v>111</v>
      </c>
      <c r="B8" s="481" t="e">
        <f>#REF!</f>
        <v>#REF!</v>
      </c>
      <c r="C8" s="481" t="e">
        <f>#REF!</f>
        <v>#REF!</v>
      </c>
      <c r="D8" s="481" t="e">
        <f>ROUND(B8*C8,5)</f>
        <v>#REF!</v>
      </c>
      <c r="E8" s="480"/>
      <c r="F8" s="480"/>
      <c r="G8" s="485" t="e">
        <f>G7*0.65</f>
        <v>#REF!</v>
      </c>
      <c r="H8" s="480" t="s">
        <v>208</v>
      </c>
      <c r="I8" s="480"/>
      <c r="J8" s="480"/>
    </row>
    <row r="9" spans="1:10" ht="13.5" thickBot="1">
      <c r="A9" s="486" t="s">
        <v>217</v>
      </c>
      <c r="B9" s="487" t="e">
        <f>SUM(B5:B8)</f>
        <v>#REF!</v>
      </c>
      <c r="C9" s="488"/>
      <c r="D9" s="489" t="e">
        <f>SUM(D5:D8)</f>
        <v>#REF!</v>
      </c>
      <c r="E9" s="480"/>
      <c r="F9" s="480"/>
      <c r="G9" s="490" t="e">
        <f>SUM(B5:B6)</f>
        <v>#REF!</v>
      </c>
      <c r="H9" s="480" t="s">
        <v>210</v>
      </c>
      <c r="I9" s="480"/>
      <c r="J9" s="480"/>
    </row>
    <row r="10" spans="1:10" ht="13.5" thickBot="1">
      <c r="A10" s="480"/>
      <c r="B10" s="480"/>
      <c r="C10" s="480"/>
      <c r="D10" s="480"/>
      <c r="E10" s="480"/>
      <c r="F10" s="480"/>
      <c r="I10" s="480"/>
      <c r="J10" s="480"/>
    </row>
    <row r="11" spans="1:10" ht="13.5" thickBot="1">
      <c r="A11" s="486" t="s">
        <v>211</v>
      </c>
      <c r="B11" s="480"/>
      <c r="C11" s="480"/>
      <c r="D11" s="489" t="e">
        <f>(D6+D5)*0.65+D7+D8</f>
        <v>#REF!</v>
      </c>
      <c r="E11" s="480"/>
      <c r="F11" s="480"/>
      <c r="G11" s="480"/>
      <c r="H11" s="486" t="s">
        <v>212</v>
      </c>
      <c r="I11" s="480"/>
      <c r="J11" s="480"/>
    </row>
    <row r="12" spans="1:10">
      <c r="A12" s="480"/>
      <c r="B12" s="480"/>
      <c r="C12" s="480"/>
      <c r="D12" s="480"/>
      <c r="E12" s="480"/>
      <c r="G12" s="491" t="e">
        <f>G9*G8</f>
        <v>#REF!</v>
      </c>
      <c r="H12" s="479" t="s">
        <v>213</v>
      </c>
      <c r="I12" s="480"/>
      <c r="J12" s="480"/>
    </row>
    <row r="13" spans="1:10">
      <c r="A13" s="480"/>
      <c r="B13" s="480"/>
      <c r="C13" s="480"/>
      <c r="D13" s="480"/>
      <c r="E13" s="480"/>
      <c r="F13" s="480"/>
      <c r="G13" s="490">
        <f>D7</f>
        <v>0</v>
      </c>
      <c r="H13" s="479" t="s">
        <v>214</v>
      </c>
      <c r="I13" s="480"/>
      <c r="J13" s="480"/>
    </row>
    <row r="14" spans="1:10">
      <c r="A14" s="480" t="s">
        <v>215</v>
      </c>
      <c r="B14" s="480"/>
      <c r="C14" s="480"/>
      <c r="D14" s="492" t="e">
        <f>D11/0.65</f>
        <v>#REF!</v>
      </c>
      <c r="E14" s="480"/>
      <c r="F14" s="480"/>
      <c r="G14" s="490" t="e">
        <f>D8</f>
        <v>#REF!</v>
      </c>
      <c r="H14" s="479" t="s">
        <v>216</v>
      </c>
      <c r="I14" s="480"/>
      <c r="J14" s="480"/>
    </row>
    <row r="15" spans="1:10">
      <c r="A15" s="480"/>
      <c r="B15" s="480"/>
      <c r="C15" s="480"/>
      <c r="D15" s="480"/>
      <c r="E15" s="480"/>
      <c r="F15" s="481"/>
      <c r="G15" s="493" t="e">
        <f>SUM(G12:G14)</f>
        <v>#REF!</v>
      </c>
      <c r="H15" s="480"/>
      <c r="I15" s="480"/>
      <c r="J15" s="480"/>
    </row>
    <row r="17" spans="1:10">
      <c r="A17" s="477" t="s">
        <v>260</v>
      </c>
      <c r="B17" s="478"/>
      <c r="C17" s="478"/>
      <c r="D17" s="478"/>
      <c r="E17" s="478"/>
      <c r="F17" s="478"/>
      <c r="G17" s="478"/>
      <c r="H17" s="478"/>
      <c r="I17" s="478"/>
      <c r="J17" s="478"/>
    </row>
    <row r="18" spans="1:10">
      <c r="A18" s="480" t="s">
        <v>204</v>
      </c>
      <c r="B18" s="480"/>
      <c r="C18" s="480"/>
      <c r="D18" s="480"/>
      <c r="E18" s="480"/>
      <c r="F18" s="480"/>
      <c r="G18" s="480"/>
      <c r="H18" s="480"/>
      <c r="I18" s="480"/>
      <c r="J18" s="480"/>
    </row>
    <row r="19" spans="1:10">
      <c r="A19" s="480"/>
      <c r="B19" s="481"/>
      <c r="C19" s="481"/>
      <c r="D19" s="480"/>
      <c r="E19" s="480"/>
      <c r="F19" s="480"/>
      <c r="G19" s="480"/>
      <c r="H19" s="480"/>
      <c r="I19" s="480"/>
      <c r="J19" s="480"/>
    </row>
    <row r="20" spans="1:10">
      <c r="A20" s="480"/>
      <c r="B20" s="482" t="s">
        <v>205</v>
      </c>
      <c r="C20" s="482" t="s">
        <v>11</v>
      </c>
      <c r="D20" s="482" t="s">
        <v>206</v>
      </c>
      <c r="E20" s="480"/>
      <c r="F20" s="480"/>
      <c r="G20" s="480"/>
      <c r="H20" s="480"/>
      <c r="I20" s="480"/>
      <c r="J20" s="480"/>
    </row>
    <row r="21" spans="1:10">
      <c r="A21" s="480" t="s">
        <v>13</v>
      </c>
      <c r="B21" s="481">
        <v>1.26E-2</v>
      </c>
      <c r="C21" s="481">
        <v>6.4899999999999999E-2</v>
      </c>
      <c r="D21" s="481">
        <f>ROUND(B21*C21,5)</f>
        <v>8.1999999999999998E-4</v>
      </c>
      <c r="E21" s="480"/>
      <c r="F21" s="481">
        <f>B21/G25*C21</f>
        <v>1.5817021276595747E-3</v>
      </c>
      <c r="G21" s="480"/>
      <c r="H21" s="480"/>
      <c r="I21" s="480"/>
      <c r="J21" s="480"/>
    </row>
    <row r="22" spans="1:10">
      <c r="A22" s="480" t="s">
        <v>14</v>
      </c>
      <c r="B22" s="483">
        <v>0.50439999999999996</v>
      </c>
      <c r="C22" s="483">
        <v>6.2199999999999998E-2</v>
      </c>
      <c r="D22" s="481">
        <f>ROUND(B22*C22,5)</f>
        <v>3.1370000000000002E-2</v>
      </c>
      <c r="E22" s="480"/>
      <c r="F22" s="481">
        <f>B22/G25*C22</f>
        <v>6.0684100580270794E-2</v>
      </c>
      <c r="G22" s="480"/>
      <c r="H22" s="480"/>
      <c r="I22" s="480"/>
      <c r="J22" s="480"/>
    </row>
    <row r="23" spans="1:10">
      <c r="A23" s="480" t="s">
        <v>110</v>
      </c>
      <c r="B23" s="481">
        <v>0</v>
      </c>
      <c r="C23" s="481">
        <v>0</v>
      </c>
      <c r="D23" s="481">
        <f>ROUND(B23*C23,5)</f>
        <v>0</v>
      </c>
      <c r="E23" s="480"/>
      <c r="F23" s="480"/>
      <c r="G23" s="484">
        <f>SUM(F21:F22)</f>
        <v>6.2265802707930369E-2</v>
      </c>
      <c r="H23" s="480" t="s">
        <v>207</v>
      </c>
      <c r="I23" s="480"/>
      <c r="J23" s="480"/>
    </row>
    <row r="24" spans="1:10" ht="13.5" thickBot="1">
      <c r="A24" s="480" t="s">
        <v>111</v>
      </c>
      <c r="B24" s="481">
        <v>0.48299999999999998</v>
      </c>
      <c r="C24" s="481" t="e">
        <f>#REF!</f>
        <v>#REF!</v>
      </c>
      <c r="D24" s="481" t="e">
        <f>ROUND(B24*C24,5)</f>
        <v>#REF!</v>
      </c>
      <c r="E24" s="480"/>
      <c r="F24" s="480"/>
      <c r="G24" s="485">
        <f>G23*0.65</f>
        <v>4.0472771760154742E-2</v>
      </c>
      <c r="H24" s="480" t="s">
        <v>208</v>
      </c>
      <c r="I24" s="480"/>
      <c r="J24" s="480"/>
    </row>
    <row r="25" spans="1:10" ht="13.5" thickBot="1">
      <c r="A25" s="486" t="s">
        <v>217</v>
      </c>
      <c r="B25" s="487">
        <f>SUM(B21:B24)</f>
        <v>0.99999999999999989</v>
      </c>
      <c r="C25" s="488"/>
      <c r="D25" s="489" t="e">
        <f>SUM(D21:D24)</f>
        <v>#REF!</v>
      </c>
      <c r="E25" s="480"/>
      <c r="F25" s="480"/>
      <c r="G25" s="490">
        <f>SUM(B21:B22)</f>
        <v>0.5169999999999999</v>
      </c>
      <c r="H25" s="480" t="s">
        <v>210</v>
      </c>
      <c r="I25" s="480"/>
      <c r="J25" s="480"/>
    </row>
    <row r="26" spans="1:10" ht="13.5" thickBot="1">
      <c r="A26" s="480"/>
      <c r="B26" s="480"/>
      <c r="C26" s="480"/>
      <c r="D26" s="480"/>
      <c r="E26" s="480"/>
      <c r="F26" s="480"/>
      <c r="I26" s="480"/>
      <c r="J26" s="480"/>
    </row>
    <row r="27" spans="1:10" ht="13.5" thickBot="1">
      <c r="A27" s="486" t="s">
        <v>211</v>
      </c>
      <c r="B27" s="480"/>
      <c r="C27" s="480"/>
      <c r="D27" s="489" t="e">
        <f>(D22+D21)*0.65+D23+D24</f>
        <v>#REF!</v>
      </c>
      <c r="E27" s="480"/>
      <c r="F27" s="480"/>
      <c r="G27" s="480"/>
      <c r="H27" s="486" t="s">
        <v>212</v>
      </c>
      <c r="I27" s="480"/>
      <c r="J27" s="480"/>
    </row>
    <row r="28" spans="1:10">
      <c r="A28" s="480"/>
      <c r="B28" s="480"/>
      <c r="C28" s="480"/>
      <c r="D28" s="480"/>
      <c r="E28" s="480"/>
      <c r="G28" s="491">
        <f>G25*G24</f>
        <v>2.0924422999999998E-2</v>
      </c>
      <c r="H28" s="479" t="s">
        <v>213</v>
      </c>
      <c r="I28" s="480"/>
      <c r="J28" s="480"/>
    </row>
    <row r="29" spans="1:10">
      <c r="A29" s="480"/>
      <c r="B29" s="480"/>
      <c r="C29" s="480"/>
      <c r="D29" s="480"/>
      <c r="E29" s="480"/>
      <c r="F29" s="480"/>
      <c r="G29" s="490">
        <f>D23</f>
        <v>0</v>
      </c>
      <c r="H29" s="479" t="s">
        <v>214</v>
      </c>
      <c r="I29" s="480"/>
      <c r="J29" s="480"/>
    </row>
    <row r="30" spans="1:10">
      <c r="A30" s="480" t="s">
        <v>215</v>
      </c>
      <c r="B30" s="480"/>
      <c r="C30" s="480"/>
      <c r="D30" s="492" t="e">
        <f>D27/0.65</f>
        <v>#REF!</v>
      </c>
      <c r="E30" s="480"/>
      <c r="F30" s="480"/>
      <c r="G30" s="490" t="e">
        <f>D24</f>
        <v>#REF!</v>
      </c>
      <c r="H30" s="479" t="s">
        <v>216</v>
      </c>
      <c r="I30" s="480"/>
      <c r="J30" s="480"/>
    </row>
    <row r="31" spans="1:10">
      <c r="A31" s="480"/>
      <c r="B31" s="480"/>
      <c r="C31" s="480"/>
      <c r="D31" s="480"/>
      <c r="E31" s="480"/>
      <c r="F31" s="481"/>
      <c r="G31" s="493" t="e">
        <f>SUM(G28:G30)</f>
        <v>#REF!</v>
      </c>
      <c r="H31" s="480"/>
      <c r="I31" s="480"/>
      <c r="J31" s="480"/>
    </row>
    <row r="32" spans="1:10">
      <c r="A32" s="480"/>
      <c r="B32" s="480"/>
      <c r="C32" s="480"/>
      <c r="D32" s="480"/>
      <c r="E32" s="480"/>
      <c r="F32" s="480"/>
      <c r="G32" s="480"/>
      <c r="H32" s="480"/>
      <c r="I32" s="480"/>
      <c r="J32" s="480"/>
    </row>
    <row r="33" spans="1:10">
      <c r="A33" s="477" t="s">
        <v>259</v>
      </c>
      <c r="B33" s="478"/>
      <c r="C33" s="478"/>
      <c r="D33" s="478"/>
      <c r="E33" s="478"/>
      <c r="F33" s="478"/>
      <c r="G33" s="478"/>
      <c r="H33" s="478"/>
      <c r="I33" s="478"/>
      <c r="J33" s="478"/>
    </row>
    <row r="34" spans="1:10">
      <c r="A34" s="480" t="s">
        <v>204</v>
      </c>
      <c r="B34" s="480"/>
      <c r="C34" s="480"/>
      <c r="D34" s="480"/>
      <c r="E34" s="480"/>
      <c r="F34" s="480"/>
      <c r="G34" s="480"/>
      <c r="H34" s="480"/>
      <c r="I34" s="480"/>
      <c r="J34" s="480"/>
    </row>
    <row r="35" spans="1:10">
      <c r="A35" s="480"/>
      <c r="B35" s="481"/>
      <c r="C35" s="481"/>
      <c r="D35" s="480"/>
      <c r="E35" s="480"/>
      <c r="F35" s="480"/>
      <c r="G35" s="480"/>
      <c r="H35" s="480"/>
      <c r="I35" s="480"/>
      <c r="J35" s="480"/>
    </row>
    <row r="36" spans="1:10">
      <c r="A36" s="480"/>
      <c r="B36" s="482" t="s">
        <v>205</v>
      </c>
      <c r="C36" s="482" t="s">
        <v>11</v>
      </c>
      <c r="D36" s="482" t="s">
        <v>206</v>
      </c>
      <c r="E36" s="480"/>
      <c r="F36" s="480"/>
      <c r="G36" s="480"/>
      <c r="H36" s="480"/>
      <c r="I36" s="480"/>
      <c r="J36" s="480"/>
    </row>
    <row r="37" spans="1:10">
      <c r="A37" s="480" t="s">
        <v>13</v>
      </c>
      <c r="B37" s="481">
        <v>2.23E-2</v>
      </c>
      <c r="C37" s="481">
        <v>4.3900000000000002E-2</v>
      </c>
      <c r="D37" s="481">
        <f>ROUND(B37*C37,5)</f>
        <v>9.7999999999999997E-4</v>
      </c>
      <c r="E37" s="480"/>
      <c r="F37" s="481">
        <f>B37/G41*C37</f>
        <v>1.9064654333008761E-3</v>
      </c>
      <c r="G37" s="480"/>
      <c r="H37" s="480"/>
      <c r="I37" s="480"/>
      <c r="J37" s="480"/>
    </row>
    <row r="38" spans="1:10">
      <c r="A38" s="480" t="s">
        <v>14</v>
      </c>
      <c r="B38" s="483">
        <v>0.49120000000000003</v>
      </c>
      <c r="C38" s="483">
        <v>6.3799999999999996E-2</v>
      </c>
      <c r="D38" s="481">
        <f>ROUND(B38*C38,5)</f>
        <v>3.134E-2</v>
      </c>
      <c r="E38" s="480"/>
      <c r="F38" s="481">
        <f>B38/G41*C38</f>
        <v>6.1029328140214209E-2</v>
      </c>
      <c r="G38" s="480"/>
      <c r="H38" s="480"/>
      <c r="I38" s="480"/>
      <c r="J38" s="480"/>
    </row>
    <row r="39" spans="1:10">
      <c r="A39" s="480" t="s">
        <v>110</v>
      </c>
      <c r="B39" s="481">
        <v>0</v>
      </c>
      <c r="C39" s="481">
        <v>0</v>
      </c>
      <c r="D39" s="481">
        <f>ROUND(B39*C39,5)</f>
        <v>0</v>
      </c>
      <c r="E39" s="480"/>
      <c r="F39" s="480"/>
      <c r="G39" s="484">
        <f>SUM(F37:F38)</f>
        <v>6.2935793573515086E-2</v>
      </c>
      <c r="H39" s="480" t="s">
        <v>207</v>
      </c>
      <c r="I39" s="480"/>
      <c r="J39" s="480"/>
    </row>
    <row r="40" spans="1:10" ht="13.5" thickBot="1">
      <c r="A40" s="480" t="s">
        <v>111</v>
      </c>
      <c r="B40" s="481">
        <v>0.48649999999999999</v>
      </c>
      <c r="C40" s="481">
        <v>0.10100000000000001</v>
      </c>
      <c r="D40" s="481">
        <f>ROUND(B40*C40,5)</f>
        <v>4.9140000000000003E-2</v>
      </c>
      <c r="E40" s="480"/>
      <c r="F40" s="480"/>
      <c r="G40" s="485">
        <f>G39*0.65</f>
        <v>4.0908265822784805E-2</v>
      </c>
      <c r="H40" s="480" t="s">
        <v>208</v>
      </c>
      <c r="I40" s="480"/>
      <c r="J40" s="480"/>
    </row>
    <row r="41" spans="1:10" ht="13.5" thickBot="1">
      <c r="A41" s="486" t="s">
        <v>217</v>
      </c>
      <c r="B41" s="487">
        <f>SUM(B37:B40)</f>
        <v>1</v>
      </c>
      <c r="C41" s="488"/>
      <c r="D41" s="489">
        <f>SUM(D37:D40)</f>
        <v>8.1460000000000005E-2</v>
      </c>
      <c r="E41" s="480"/>
      <c r="F41" s="480"/>
      <c r="G41" s="490">
        <f>SUM(B37:B38)</f>
        <v>0.51350000000000007</v>
      </c>
      <c r="H41" s="480" t="s">
        <v>210</v>
      </c>
      <c r="I41" s="480"/>
      <c r="J41" s="480"/>
    </row>
    <row r="42" spans="1:10" ht="13.5" thickBot="1">
      <c r="A42" s="480"/>
      <c r="B42" s="480"/>
      <c r="C42" s="480"/>
      <c r="D42" s="480"/>
      <c r="E42" s="480"/>
      <c r="F42" s="480"/>
      <c r="I42" s="480"/>
      <c r="J42" s="480"/>
    </row>
    <row r="43" spans="1:10" ht="13.5" thickBot="1">
      <c r="A43" s="486" t="s">
        <v>211</v>
      </c>
      <c r="B43" s="480"/>
      <c r="C43" s="480"/>
      <c r="D43" s="489">
        <f>(D38+D37)*0.65+D39+D40</f>
        <v>7.0148000000000002E-2</v>
      </c>
      <c r="E43" s="480"/>
      <c r="F43" s="480"/>
      <c r="G43" s="480"/>
      <c r="H43" s="486" t="s">
        <v>212</v>
      </c>
      <c r="I43" s="480"/>
      <c r="J43" s="480"/>
    </row>
    <row r="44" spans="1:10">
      <c r="A44" s="480"/>
      <c r="B44" s="480"/>
      <c r="C44" s="480"/>
      <c r="D44" s="480"/>
      <c r="E44" s="480"/>
      <c r="G44" s="491">
        <f>G41*G40</f>
        <v>2.1006394500000001E-2</v>
      </c>
      <c r="H44" s="479" t="s">
        <v>213</v>
      </c>
      <c r="I44" s="480"/>
      <c r="J44" s="480"/>
    </row>
    <row r="45" spans="1:10">
      <c r="A45" s="480"/>
      <c r="B45" s="480"/>
      <c r="C45" s="480"/>
      <c r="D45" s="480"/>
      <c r="E45" s="480"/>
      <c r="F45" s="480"/>
      <c r="G45" s="490">
        <f>D39</f>
        <v>0</v>
      </c>
      <c r="H45" s="479" t="s">
        <v>214</v>
      </c>
      <c r="I45" s="480"/>
      <c r="J45" s="480"/>
    </row>
    <row r="46" spans="1:10">
      <c r="A46" s="480" t="s">
        <v>215</v>
      </c>
      <c r="B46" s="480"/>
      <c r="C46" s="480"/>
      <c r="D46" s="492">
        <f>D43/0.65</f>
        <v>0.10792</v>
      </c>
      <c r="E46" s="480"/>
      <c r="F46" s="480"/>
      <c r="G46" s="490">
        <f>D40</f>
        <v>4.9140000000000003E-2</v>
      </c>
      <c r="H46" s="479" t="s">
        <v>216</v>
      </c>
      <c r="I46" s="480"/>
      <c r="J46" s="480"/>
    </row>
    <row r="47" spans="1:10">
      <c r="A47" s="480"/>
      <c r="B47" s="480"/>
      <c r="C47" s="480"/>
      <c r="D47" s="480"/>
      <c r="E47" s="480"/>
      <c r="F47" s="481"/>
      <c r="G47" s="493">
        <f>SUM(G44:G46)</f>
        <v>7.0146394500000001E-2</v>
      </c>
      <c r="H47" s="480"/>
      <c r="I47" s="480"/>
      <c r="J47" s="480"/>
    </row>
    <row r="48" spans="1:10">
      <c r="A48" s="480"/>
      <c r="B48" s="480"/>
      <c r="C48" s="480"/>
      <c r="D48" s="480"/>
      <c r="E48" s="480"/>
      <c r="F48" s="480"/>
      <c r="G48" s="480"/>
      <c r="H48" s="480"/>
      <c r="I48" s="480"/>
      <c r="J48" s="480"/>
    </row>
    <row r="49" spans="1:10">
      <c r="A49" s="477" t="s">
        <v>220</v>
      </c>
      <c r="B49" s="478"/>
      <c r="C49" s="478"/>
      <c r="D49" s="478"/>
      <c r="E49" s="478"/>
      <c r="F49" s="478"/>
      <c r="G49" s="478"/>
      <c r="H49" s="494"/>
      <c r="I49" s="494"/>
      <c r="J49" s="494"/>
    </row>
    <row r="50" spans="1:10">
      <c r="A50" s="480" t="s">
        <v>204</v>
      </c>
      <c r="B50" s="480"/>
      <c r="C50" s="480"/>
      <c r="D50" s="480"/>
      <c r="E50" s="480"/>
      <c r="F50" s="480"/>
      <c r="G50" s="480"/>
    </row>
    <row r="51" spans="1:10">
      <c r="A51" s="480"/>
      <c r="B51" s="480"/>
      <c r="C51" s="480"/>
      <c r="D51" s="480"/>
      <c r="E51" s="480"/>
      <c r="F51" s="480"/>
      <c r="G51" s="480"/>
    </row>
    <row r="52" spans="1:10">
      <c r="A52" s="480"/>
      <c r="B52" s="482" t="s">
        <v>205</v>
      </c>
      <c r="C52" s="482" t="s">
        <v>11</v>
      </c>
      <c r="D52" s="482" t="s">
        <v>206</v>
      </c>
      <c r="E52" s="480"/>
      <c r="F52" s="480"/>
      <c r="G52" s="480"/>
    </row>
    <row r="53" spans="1:10">
      <c r="A53" s="480" t="s">
        <v>13</v>
      </c>
      <c r="B53" s="481">
        <v>2.0500000000000001E-2</v>
      </c>
      <c r="C53" s="481">
        <v>5.11E-2</v>
      </c>
      <c r="D53" s="481">
        <f>B53*C53</f>
        <v>1.04755E-3</v>
      </c>
      <c r="E53" s="480"/>
      <c r="F53" s="481">
        <f>B53/G57*C53</f>
        <v>2.0324990298797052E-3</v>
      </c>
      <c r="G53" s="480"/>
    </row>
    <row r="54" spans="1:10">
      <c r="A54" s="480" t="s">
        <v>14</v>
      </c>
      <c r="B54" s="481">
        <v>0.49490000000000001</v>
      </c>
      <c r="C54" s="481">
        <v>6.59E-2</v>
      </c>
      <c r="D54" s="481">
        <f>B54*C54</f>
        <v>3.2613910000000003E-2</v>
      </c>
      <c r="E54" s="480"/>
      <c r="F54" s="481">
        <f>B54/G57*C54</f>
        <v>6.3278831975164929E-2</v>
      </c>
      <c r="G54" s="480"/>
    </row>
    <row r="55" spans="1:10">
      <c r="A55" s="480" t="s">
        <v>110</v>
      </c>
      <c r="B55" s="481">
        <v>0</v>
      </c>
      <c r="C55" s="481">
        <v>0</v>
      </c>
      <c r="D55" s="483">
        <f>B55*C55</f>
        <v>0</v>
      </c>
      <c r="E55" s="480"/>
      <c r="F55" s="480"/>
      <c r="G55" s="484">
        <f>SUM(F53:F54)</f>
        <v>6.5311331005044632E-2</v>
      </c>
      <c r="H55" s="480" t="s">
        <v>207</v>
      </c>
    </row>
    <row r="56" spans="1:10" ht="13.5" thickBot="1">
      <c r="A56" s="480" t="s">
        <v>111</v>
      </c>
      <c r="B56" s="481">
        <v>0.48459999999999998</v>
      </c>
      <c r="C56" s="481">
        <v>0.10100000000000001</v>
      </c>
      <c r="D56" s="483">
        <f>B56*C56</f>
        <v>4.8944599999999998E-2</v>
      </c>
      <c r="E56" s="480"/>
      <c r="F56" s="480"/>
      <c r="G56" s="485">
        <f>G55*0.65</f>
        <v>4.2452365153279013E-2</v>
      </c>
      <c r="H56" s="480" t="s">
        <v>208</v>
      </c>
    </row>
    <row r="57" spans="1:10" ht="13.5" thickBot="1">
      <c r="A57" s="486" t="s">
        <v>217</v>
      </c>
      <c r="B57" s="487">
        <f>SUM(B53:B56)</f>
        <v>1</v>
      </c>
      <c r="C57" s="488"/>
      <c r="D57" s="489">
        <f>SUM(D53:D56)</f>
        <v>8.2606060000000009E-2</v>
      </c>
      <c r="E57" s="480"/>
      <c r="F57" s="480"/>
      <c r="G57" s="490">
        <f>SUM(B53:B54)</f>
        <v>0.51539999999999997</v>
      </c>
      <c r="H57" s="480" t="s">
        <v>210</v>
      </c>
    </row>
    <row r="58" spans="1:10" ht="13.5" thickBot="1">
      <c r="A58" s="480"/>
      <c r="B58" s="480"/>
      <c r="C58" s="480"/>
      <c r="D58" s="480"/>
      <c r="E58" s="480"/>
      <c r="F58" s="480"/>
    </row>
    <row r="59" spans="1:10" ht="13.5" thickBot="1">
      <c r="A59" s="486" t="s">
        <v>211</v>
      </c>
      <c r="B59" s="480"/>
      <c r="C59" s="480"/>
      <c r="D59" s="489">
        <f>(D54+D53)*0.65+D55+D56</f>
        <v>7.0824549000000001E-2</v>
      </c>
      <c r="E59" s="480"/>
      <c r="F59" s="480"/>
      <c r="G59" s="480"/>
      <c r="H59" s="486" t="s">
        <v>212</v>
      </c>
    </row>
    <row r="60" spans="1:10">
      <c r="A60" s="480"/>
      <c r="B60" s="480"/>
      <c r="C60" s="480"/>
      <c r="D60" s="480"/>
      <c r="E60" s="480"/>
      <c r="G60" s="491">
        <f>G57*G56</f>
        <v>2.1879949000000003E-2</v>
      </c>
      <c r="H60" s="479" t="s">
        <v>213</v>
      </c>
    </row>
    <row r="61" spans="1:10">
      <c r="A61" s="480"/>
      <c r="B61" s="480"/>
      <c r="C61" s="480"/>
      <c r="D61" s="480"/>
      <c r="E61" s="480"/>
      <c r="F61" s="480"/>
      <c r="G61" s="490">
        <f>D55</f>
        <v>0</v>
      </c>
      <c r="H61" s="479" t="s">
        <v>214</v>
      </c>
    </row>
    <row r="62" spans="1:10">
      <c r="A62" s="480" t="s">
        <v>215</v>
      </c>
      <c r="B62" s="480"/>
      <c r="C62" s="480"/>
      <c r="D62" s="492">
        <f>D59/0.65</f>
        <v>0.10896084461538462</v>
      </c>
      <c r="E62" s="480"/>
      <c r="F62" s="480"/>
      <c r="G62" s="490">
        <f>D56</f>
        <v>4.8944599999999998E-2</v>
      </c>
      <c r="H62" s="479" t="s">
        <v>216</v>
      </c>
    </row>
    <row r="63" spans="1:10">
      <c r="A63" s="480"/>
      <c r="B63" s="480"/>
      <c r="C63" s="480"/>
      <c r="D63" s="480"/>
      <c r="E63" s="480"/>
      <c r="F63" s="481"/>
      <c r="G63" s="493">
        <f>SUM(G60:G62)</f>
        <v>7.0824549000000001E-2</v>
      </c>
    </row>
    <row r="65" spans="1:10">
      <c r="A65" s="477" t="s">
        <v>218</v>
      </c>
      <c r="B65" s="478"/>
      <c r="C65" s="478"/>
      <c r="D65" s="478"/>
      <c r="E65" s="478"/>
      <c r="F65" s="478"/>
      <c r="G65" s="478"/>
      <c r="H65" s="494"/>
      <c r="I65" s="494"/>
      <c r="J65" s="494"/>
    </row>
    <row r="66" spans="1:10">
      <c r="A66" s="480" t="s">
        <v>204</v>
      </c>
      <c r="B66" s="480"/>
      <c r="C66" s="480"/>
      <c r="D66" s="480"/>
      <c r="E66" s="480"/>
      <c r="F66" s="480"/>
      <c r="G66" s="480"/>
    </row>
    <row r="67" spans="1:10">
      <c r="A67" s="480"/>
      <c r="B67" s="480"/>
      <c r="C67" s="480"/>
      <c r="D67" s="480"/>
      <c r="E67" s="480"/>
      <c r="F67" s="480"/>
      <c r="G67" s="480"/>
    </row>
    <row r="68" spans="1:10">
      <c r="A68" s="480"/>
      <c r="B68" s="482" t="s">
        <v>205</v>
      </c>
      <c r="C68" s="482" t="s">
        <v>11</v>
      </c>
      <c r="D68" s="482" t="s">
        <v>206</v>
      </c>
      <c r="E68" s="480"/>
      <c r="F68" s="480"/>
      <c r="G68" s="480"/>
    </row>
    <row r="69" spans="1:10">
      <c r="A69" s="480" t="s">
        <v>13</v>
      </c>
      <c r="B69" s="481">
        <v>3.78E-2</v>
      </c>
      <c r="C69" s="481">
        <v>3.7179407155696363E-2</v>
      </c>
      <c r="D69" s="481">
        <f>B69*C69</f>
        <v>1.4053815904853226E-3</v>
      </c>
      <c r="E69" s="480"/>
      <c r="F69" s="481">
        <f>B69/G73*C69</f>
        <v>2.8547259607664484E-3</v>
      </c>
      <c r="G69" s="480"/>
    </row>
    <row r="70" spans="1:10">
      <c r="A70" s="480" t="s">
        <v>14</v>
      </c>
      <c r="B70" s="481">
        <v>0.45450000000000002</v>
      </c>
      <c r="C70" s="481">
        <v>6.8500000000000005E-2</v>
      </c>
      <c r="D70" s="481">
        <f>B70*C70</f>
        <v>3.1133250000000005E-2</v>
      </c>
      <c r="E70" s="480"/>
      <c r="F70" s="481">
        <f>B70/G73*C70</f>
        <v>6.3240402193784281E-2</v>
      </c>
      <c r="G70" s="480"/>
    </row>
    <row r="71" spans="1:10">
      <c r="A71" s="480" t="s">
        <v>110</v>
      </c>
      <c r="B71" s="481">
        <v>0</v>
      </c>
      <c r="C71" s="481">
        <v>0.48659999999999998</v>
      </c>
      <c r="D71" s="483">
        <f>B71*C71</f>
        <v>0</v>
      </c>
      <c r="E71" s="480"/>
      <c r="F71" s="480"/>
      <c r="G71" s="484">
        <f>SUM(F69:F70)</f>
        <v>6.6095128154550736E-2</v>
      </c>
      <c r="H71" s="480" t="s">
        <v>207</v>
      </c>
    </row>
    <row r="72" spans="1:10" ht="13.5" thickBot="1">
      <c r="A72" s="480" t="s">
        <v>111</v>
      </c>
      <c r="B72" s="481">
        <v>0.50770000000000004</v>
      </c>
      <c r="C72" s="481">
        <v>0.10150000000000001</v>
      </c>
      <c r="D72" s="483">
        <f>B72*C72</f>
        <v>5.1531550000000009E-2</v>
      </c>
      <c r="E72" s="480"/>
      <c r="F72" s="480"/>
      <c r="G72" s="485">
        <f>G71*0.65</f>
        <v>4.2961833300457983E-2</v>
      </c>
      <c r="H72" s="480" t="s">
        <v>208</v>
      </c>
    </row>
    <row r="73" spans="1:10" ht="13.5" thickBot="1">
      <c r="A73" s="486" t="s">
        <v>217</v>
      </c>
      <c r="B73" s="487">
        <f>SUM(B69:B72)</f>
        <v>1</v>
      </c>
      <c r="C73" s="488"/>
      <c r="D73" s="489">
        <f>SUM(D69:D72)</f>
        <v>8.4070181590485335E-2</v>
      </c>
      <c r="E73" s="480"/>
      <c r="F73" s="480"/>
      <c r="G73" s="490">
        <f>SUM(B69:B70)</f>
        <v>0.49230000000000002</v>
      </c>
      <c r="H73" s="480" t="s">
        <v>210</v>
      </c>
    </row>
    <row r="74" spans="1:10" ht="13.5" thickBot="1">
      <c r="A74" s="480"/>
      <c r="B74" s="480"/>
      <c r="C74" s="480"/>
      <c r="D74" s="480"/>
      <c r="E74" s="480"/>
      <c r="F74" s="480"/>
    </row>
    <row r="75" spans="1:10" ht="13.5" thickBot="1">
      <c r="A75" s="486" t="s">
        <v>211</v>
      </c>
      <c r="B75" s="480"/>
      <c r="C75" s="480"/>
      <c r="D75" s="489">
        <f>(D70+D69)*0.65+D71+D72</f>
        <v>7.2681660533815473E-2</v>
      </c>
      <c r="E75" s="480"/>
      <c r="F75" s="480"/>
      <c r="G75" s="480"/>
      <c r="H75" s="486" t="s">
        <v>212</v>
      </c>
    </row>
    <row r="76" spans="1:10">
      <c r="A76" s="480"/>
      <c r="B76" s="480"/>
      <c r="C76" s="480"/>
      <c r="D76" s="480"/>
      <c r="E76" s="480"/>
      <c r="G76" s="491">
        <f>G73*G72</f>
        <v>2.1150110533815467E-2</v>
      </c>
      <c r="H76" s="479" t="s">
        <v>213</v>
      </c>
    </row>
    <row r="77" spans="1:10">
      <c r="A77" s="480"/>
      <c r="B77" s="480"/>
      <c r="C77" s="480"/>
      <c r="D77" s="480"/>
      <c r="E77" s="480"/>
      <c r="F77" s="480"/>
      <c r="G77" s="490">
        <f>D71</f>
        <v>0</v>
      </c>
      <c r="H77" s="479" t="s">
        <v>214</v>
      </c>
    </row>
    <row r="78" spans="1:10">
      <c r="A78" s="480" t="s">
        <v>215</v>
      </c>
      <c r="B78" s="480"/>
      <c r="C78" s="480"/>
      <c r="D78" s="492">
        <f>D75/0.65</f>
        <v>0.11181793928279303</v>
      </c>
      <c r="E78" s="480"/>
      <c r="F78" s="480"/>
      <c r="G78" s="490">
        <f>D72</f>
        <v>5.1531550000000009E-2</v>
      </c>
      <c r="H78" s="479" t="s">
        <v>216</v>
      </c>
    </row>
    <row r="79" spans="1:10">
      <c r="A79" s="480"/>
      <c r="B79" s="480"/>
      <c r="C79" s="480"/>
      <c r="D79" s="480"/>
      <c r="E79" s="480"/>
      <c r="F79" s="481"/>
      <c r="G79" s="493">
        <f>SUM(G76:G78)</f>
        <v>7.2681660533815473E-2</v>
      </c>
    </row>
    <row r="83" spans="1:10">
      <c r="A83" s="477" t="s">
        <v>219</v>
      </c>
      <c r="B83" s="478"/>
      <c r="C83" s="478"/>
      <c r="D83" s="478"/>
      <c r="E83" s="478"/>
      <c r="F83" s="478"/>
      <c r="G83" s="478"/>
      <c r="H83" s="494"/>
      <c r="I83" s="494"/>
      <c r="J83" s="494"/>
    </row>
    <row r="84" spans="1:10">
      <c r="A84" s="480" t="s">
        <v>204</v>
      </c>
      <c r="B84" s="480"/>
      <c r="C84" s="480"/>
      <c r="D84" s="480"/>
      <c r="E84" s="480"/>
      <c r="F84" s="480"/>
      <c r="G84" s="480"/>
    </row>
    <row r="85" spans="1:10">
      <c r="A85" s="480"/>
      <c r="B85" s="480"/>
      <c r="C85" s="480"/>
      <c r="D85" s="480"/>
      <c r="E85" s="480"/>
      <c r="F85" s="480"/>
      <c r="G85" s="480"/>
    </row>
    <row r="86" spans="1:10">
      <c r="A86" s="480"/>
      <c r="B86" s="482" t="s">
        <v>205</v>
      </c>
      <c r="C86" s="482" t="s">
        <v>11</v>
      </c>
      <c r="D86" s="482" t="s">
        <v>206</v>
      </c>
      <c r="E86" s="480"/>
      <c r="F86" s="480"/>
      <c r="G86" s="480"/>
    </row>
    <row r="87" spans="1:10">
      <c r="A87" s="480" t="s">
        <v>13</v>
      </c>
      <c r="B87" s="481">
        <v>6.6000000000000003E-2</v>
      </c>
      <c r="C87" s="481">
        <v>3.8374995005847172E-2</v>
      </c>
      <c r="D87" s="481">
        <f>B87*C87</f>
        <v>2.5327496703859134E-3</v>
      </c>
      <c r="E87" s="480"/>
      <c r="F87" s="481">
        <f>B87/G91*C87</f>
        <v>4.5800174871354678E-3</v>
      </c>
      <c r="G87" s="480"/>
    </row>
    <row r="88" spans="1:10">
      <c r="A88" s="480" t="s">
        <v>14</v>
      </c>
      <c r="B88" s="481">
        <v>0.48699999999999999</v>
      </c>
      <c r="C88" s="481">
        <v>6.7900000000000002E-2</v>
      </c>
      <c r="D88" s="481">
        <f>B88*C88</f>
        <v>3.3067300000000001E-2</v>
      </c>
      <c r="E88" s="480"/>
      <c r="F88" s="481">
        <f>B88/G91*C88</f>
        <v>5.9796202531645574E-2</v>
      </c>
      <c r="G88" s="480"/>
    </row>
    <row r="89" spans="1:10">
      <c r="A89" s="480" t="s">
        <v>110</v>
      </c>
      <c r="B89" s="481">
        <v>2.9999999999999997E-4</v>
      </c>
      <c r="C89" s="481">
        <v>8.6099999999999996E-2</v>
      </c>
      <c r="D89" s="483">
        <f>B89*C89</f>
        <v>2.5829999999999995E-5</v>
      </c>
      <c r="E89" s="480"/>
      <c r="F89" s="480"/>
      <c r="G89" s="484">
        <f>SUM(F87:F88)</f>
        <v>6.4376220018781044E-2</v>
      </c>
      <c r="H89" s="480" t="s">
        <v>207</v>
      </c>
    </row>
    <row r="90" spans="1:10" ht="13.5" thickBot="1">
      <c r="A90" s="480" t="s">
        <v>111</v>
      </c>
      <c r="B90" s="481">
        <v>0.44669999999999999</v>
      </c>
      <c r="C90" s="481">
        <v>0.10150000000000001</v>
      </c>
      <c r="D90" s="483">
        <f>B90*C90</f>
        <v>4.534005E-2</v>
      </c>
      <c r="E90" s="480"/>
      <c r="F90" s="480"/>
      <c r="G90" s="485">
        <f>G89*0.65</f>
        <v>4.1844543012207677E-2</v>
      </c>
      <c r="H90" s="480" t="s">
        <v>208</v>
      </c>
    </row>
    <row r="91" spans="1:10" ht="13.5" thickBot="1">
      <c r="A91" s="486" t="s">
        <v>217</v>
      </c>
      <c r="B91" s="487">
        <f>SUM(B87:B90)</f>
        <v>0.99999999999999989</v>
      </c>
      <c r="C91" s="488"/>
      <c r="D91" s="489">
        <f>SUM(D87:D90)</f>
        <v>8.0965929670385905E-2</v>
      </c>
      <c r="E91" s="480"/>
      <c r="F91" s="480"/>
      <c r="G91" s="490">
        <f>SUM(B87:B88)</f>
        <v>0.55299999999999994</v>
      </c>
      <c r="H91" s="480" t="s">
        <v>210</v>
      </c>
    </row>
    <row r="92" spans="1:10" ht="13.5" thickBot="1">
      <c r="A92" s="480"/>
      <c r="B92" s="480"/>
      <c r="C92" s="480"/>
      <c r="D92" s="480"/>
      <c r="E92" s="480"/>
      <c r="F92" s="480"/>
    </row>
    <row r="93" spans="1:10" ht="13.5" thickBot="1">
      <c r="A93" s="486" t="s">
        <v>211</v>
      </c>
      <c r="B93" s="480"/>
      <c r="C93" s="480"/>
      <c r="D93" s="489">
        <f>(D88+D87)*0.65+D89+D90</f>
        <v>6.8505912285750842E-2</v>
      </c>
      <c r="E93" s="480"/>
      <c r="F93" s="480"/>
      <c r="G93" s="480"/>
      <c r="H93" s="486" t="s">
        <v>212</v>
      </c>
    </row>
    <row r="94" spans="1:10">
      <c r="A94" s="480"/>
      <c r="B94" s="480"/>
      <c r="C94" s="480"/>
      <c r="D94" s="480"/>
      <c r="E94" s="480"/>
      <c r="G94" s="491">
        <f>G91*G90</f>
        <v>2.3140032285750844E-2</v>
      </c>
      <c r="H94" s="479" t="s">
        <v>213</v>
      </c>
    </row>
    <row r="95" spans="1:10">
      <c r="A95" s="480"/>
      <c r="B95" s="480"/>
      <c r="C95" s="480"/>
      <c r="D95" s="480"/>
      <c r="E95" s="480"/>
      <c r="F95" s="480"/>
      <c r="G95" s="490">
        <f>D89</f>
        <v>2.5829999999999995E-5</v>
      </c>
      <c r="H95" s="479" t="s">
        <v>214</v>
      </c>
    </row>
    <row r="96" spans="1:10">
      <c r="A96" s="480" t="s">
        <v>215</v>
      </c>
      <c r="B96" s="480"/>
      <c r="C96" s="480"/>
      <c r="D96" s="492">
        <f>D93/0.65</f>
        <v>0.10539371120884744</v>
      </c>
      <c r="E96" s="480"/>
      <c r="F96" s="480"/>
      <c r="G96" s="490">
        <f>D90</f>
        <v>4.534005E-2</v>
      </c>
      <c r="H96" s="479" t="s">
        <v>216</v>
      </c>
    </row>
    <row r="97" spans="1:10">
      <c r="A97" s="480"/>
      <c r="B97" s="480"/>
      <c r="C97" s="480"/>
      <c r="D97" s="480"/>
      <c r="E97" s="480"/>
      <c r="F97" s="481"/>
      <c r="G97" s="493">
        <f>SUM(G94:G96)</f>
        <v>6.8505912285750842E-2</v>
      </c>
    </row>
    <row r="101" spans="1:10">
      <c r="A101" s="495" t="s">
        <v>221</v>
      </c>
      <c r="B101" s="496"/>
      <c r="C101" s="496"/>
      <c r="D101" s="496"/>
      <c r="E101" s="496"/>
      <c r="F101" s="496"/>
      <c r="G101" s="496"/>
      <c r="H101" s="496"/>
      <c r="I101" s="496"/>
      <c r="J101" s="496"/>
    </row>
    <row r="102" spans="1:10">
      <c r="A102" s="480" t="s">
        <v>204</v>
      </c>
      <c r="B102" s="480"/>
      <c r="C102" s="480"/>
      <c r="D102" s="480"/>
      <c r="E102" s="480"/>
      <c r="F102" s="480"/>
      <c r="G102" s="480"/>
      <c r="H102" s="480"/>
      <c r="I102" s="480"/>
      <c r="J102" s="480"/>
    </row>
    <row r="103" spans="1:10">
      <c r="A103" s="480"/>
      <c r="B103" s="481"/>
      <c r="C103" s="481"/>
      <c r="D103" s="480"/>
      <c r="E103" s="480"/>
      <c r="F103" s="480"/>
      <c r="G103" s="480"/>
      <c r="H103" s="480"/>
      <c r="I103" s="480"/>
      <c r="J103" s="480"/>
    </row>
    <row r="104" spans="1:10">
      <c r="A104" s="480"/>
      <c r="B104" s="482" t="s">
        <v>205</v>
      </c>
      <c r="C104" s="482" t="s">
        <v>11</v>
      </c>
      <c r="D104" s="482" t="s">
        <v>206</v>
      </c>
      <c r="E104" s="480"/>
      <c r="F104" s="480"/>
      <c r="G104" s="480"/>
      <c r="H104" s="480"/>
      <c r="I104" s="480"/>
      <c r="J104" s="480"/>
    </row>
    <row r="105" spans="1:10">
      <c r="A105" s="480" t="s">
        <v>13</v>
      </c>
      <c r="B105" s="483">
        <v>3.95E-2</v>
      </c>
      <c r="C105" s="483">
        <v>2.47E-2</v>
      </c>
      <c r="D105" s="481">
        <f>ROUND(B105*C105,4)</f>
        <v>1E-3</v>
      </c>
      <c r="E105" s="480"/>
      <c r="F105" s="481">
        <f>B105/G109*C105</f>
        <v>1.8067592592592595E-3</v>
      </c>
      <c r="G105" s="480"/>
      <c r="H105" s="480"/>
      <c r="I105" s="480"/>
      <c r="J105" s="480"/>
    </row>
    <row r="106" spans="1:10">
      <c r="A106" s="480" t="s">
        <v>14</v>
      </c>
      <c r="B106" s="483">
        <v>0.50049999999999994</v>
      </c>
      <c r="C106" s="483">
        <v>6.7000000000000004E-2</v>
      </c>
      <c r="D106" s="481">
        <f>ROUND(B106*C106,4)</f>
        <v>3.3500000000000002E-2</v>
      </c>
      <c r="E106" s="480"/>
      <c r="F106" s="481">
        <f>B106/G109*C106</f>
        <v>6.2099074074074084E-2</v>
      </c>
      <c r="G106" s="480"/>
      <c r="H106" s="480"/>
      <c r="I106" s="480"/>
      <c r="J106" s="480"/>
    </row>
    <row r="107" spans="1:10">
      <c r="A107" s="480" t="s">
        <v>110</v>
      </c>
      <c r="B107" s="483">
        <v>0</v>
      </c>
      <c r="C107" s="483">
        <v>0</v>
      </c>
      <c r="D107" s="481">
        <f>ROUND(B107*C107,4)</f>
        <v>0</v>
      </c>
      <c r="E107" s="480"/>
      <c r="F107" s="480"/>
      <c r="G107" s="484">
        <f>SUM(F105:F106)</f>
        <v>6.3905833333333342E-2</v>
      </c>
      <c r="H107" s="480" t="s">
        <v>207</v>
      </c>
      <c r="I107" s="480"/>
      <c r="J107" s="480"/>
    </row>
    <row r="108" spans="1:10" ht="13.5" thickBot="1">
      <c r="A108" s="480" t="s">
        <v>111</v>
      </c>
      <c r="B108" s="481">
        <f>45%+1%</f>
        <v>0.46</v>
      </c>
      <c r="C108" s="481">
        <v>0.10100000000000001</v>
      </c>
      <c r="D108" s="481">
        <f>ROUND(B108*C108,4)</f>
        <v>4.65E-2</v>
      </c>
      <c r="E108" s="480"/>
      <c r="F108" s="480"/>
      <c r="G108" s="485">
        <f>G107*0.65</f>
        <v>4.1538791666666672E-2</v>
      </c>
      <c r="H108" s="480" t="s">
        <v>208</v>
      </c>
      <c r="I108" s="480"/>
      <c r="J108" s="480"/>
    </row>
    <row r="109" spans="1:10" ht="13.5" thickBot="1">
      <c r="A109" s="486" t="s">
        <v>209</v>
      </c>
      <c r="B109" s="487">
        <f>SUM(B105:B108)</f>
        <v>1</v>
      </c>
      <c r="C109" s="488"/>
      <c r="D109" s="489">
        <f>SUM(D105:D108)</f>
        <v>8.1000000000000003E-2</v>
      </c>
      <c r="E109" s="480"/>
      <c r="F109" s="480"/>
      <c r="G109" s="490">
        <f>SUM(B105:B106)</f>
        <v>0.53999999999999992</v>
      </c>
      <c r="H109" s="480" t="s">
        <v>210</v>
      </c>
      <c r="I109" s="480"/>
      <c r="J109" s="480"/>
    </row>
    <row r="110" spans="1:10" ht="13.5" thickBot="1">
      <c r="A110" s="480"/>
      <c r="B110" s="480"/>
      <c r="C110" s="480"/>
      <c r="D110" s="480"/>
      <c r="E110" s="480"/>
      <c r="F110" s="480"/>
      <c r="I110" s="480"/>
      <c r="J110" s="480"/>
    </row>
    <row r="111" spans="1:10" ht="13.5" thickBot="1">
      <c r="A111" s="486" t="s">
        <v>211</v>
      </c>
      <c r="B111" s="480"/>
      <c r="C111" s="480"/>
      <c r="D111" s="489">
        <f>(D106+D105)*0.65+D107+D108</f>
        <v>6.8925E-2</v>
      </c>
      <c r="E111" s="480"/>
      <c r="F111" s="480"/>
      <c r="G111" s="480"/>
      <c r="H111" s="486" t="s">
        <v>212</v>
      </c>
      <c r="I111" s="480"/>
      <c r="J111" s="480"/>
    </row>
    <row r="112" spans="1:10">
      <c r="A112" s="480"/>
      <c r="B112" s="480"/>
      <c r="C112" s="480"/>
      <c r="D112" s="480"/>
      <c r="E112" s="480"/>
      <c r="G112" s="491">
        <f>G109*G108</f>
        <v>2.2430947499999999E-2</v>
      </c>
      <c r="H112" s="479" t="s">
        <v>213</v>
      </c>
      <c r="I112" s="480"/>
      <c r="J112" s="480"/>
    </row>
    <row r="113" spans="1:10">
      <c r="A113" s="480"/>
      <c r="B113" s="480"/>
      <c r="C113" s="480"/>
      <c r="D113" s="480"/>
      <c r="E113" s="480"/>
      <c r="F113" s="480"/>
      <c r="G113" s="490">
        <f>D107</f>
        <v>0</v>
      </c>
      <c r="H113" s="479" t="s">
        <v>214</v>
      </c>
      <c r="I113" s="480"/>
      <c r="J113" s="480"/>
    </row>
    <row r="114" spans="1:10">
      <c r="A114" s="480" t="s">
        <v>215</v>
      </c>
      <c r="B114" s="480"/>
      <c r="C114" s="480"/>
      <c r="D114" s="492">
        <f>D111/0.65</f>
        <v>0.10603846153846154</v>
      </c>
      <c r="E114" s="480"/>
      <c r="F114" s="480"/>
      <c r="G114" s="490">
        <f>D108</f>
        <v>4.65E-2</v>
      </c>
      <c r="H114" s="479" t="s">
        <v>216</v>
      </c>
      <c r="I114" s="480"/>
      <c r="J114" s="480"/>
    </row>
    <row r="115" spans="1:10">
      <c r="A115" s="480"/>
      <c r="B115" s="480"/>
      <c r="C115" s="480"/>
      <c r="D115" s="480"/>
      <c r="E115" s="480"/>
      <c r="F115" s="481"/>
      <c r="G115" s="493">
        <f>SUM(G112:G114)</f>
        <v>6.8930947500000006E-2</v>
      </c>
      <c r="H115" s="480"/>
      <c r="I115" s="480"/>
      <c r="J115" s="480"/>
    </row>
    <row r="116" spans="1:10">
      <c r="B116" s="483"/>
      <c r="C116" s="483"/>
    </row>
    <row r="119" spans="1:10">
      <c r="A119" s="495" t="s">
        <v>222</v>
      </c>
      <c r="B119" s="496"/>
      <c r="C119" s="496"/>
      <c r="D119" s="496"/>
      <c r="E119" s="496"/>
      <c r="F119" s="496"/>
      <c r="G119" s="496"/>
      <c r="H119" s="496"/>
      <c r="I119" s="496"/>
      <c r="J119" s="496"/>
    </row>
    <row r="120" spans="1:10">
      <c r="A120" s="480" t="s">
        <v>204</v>
      </c>
      <c r="B120" s="480"/>
      <c r="C120" s="480"/>
      <c r="D120" s="480"/>
      <c r="E120" s="480"/>
      <c r="F120" s="480"/>
      <c r="G120" s="480"/>
      <c r="H120" s="480"/>
      <c r="I120" s="480"/>
      <c r="J120" s="480"/>
    </row>
    <row r="121" spans="1:10">
      <c r="A121" s="480"/>
      <c r="B121" s="481"/>
      <c r="C121" s="481"/>
      <c r="D121" s="480"/>
      <c r="E121" s="480"/>
      <c r="F121" s="480"/>
      <c r="G121" s="480"/>
      <c r="H121" s="480"/>
      <c r="I121" s="480"/>
      <c r="J121" s="480"/>
    </row>
    <row r="122" spans="1:10">
      <c r="A122" s="480"/>
      <c r="B122" s="482" t="s">
        <v>205</v>
      </c>
      <c r="C122" s="482" t="s">
        <v>11</v>
      </c>
      <c r="D122" s="482" t="s">
        <v>206</v>
      </c>
      <c r="E122" s="480"/>
      <c r="F122" s="480"/>
      <c r="G122" s="480"/>
      <c r="H122" s="480"/>
      <c r="I122" s="480"/>
      <c r="J122" s="480"/>
    </row>
    <row r="123" spans="1:10">
      <c r="A123" s="480" t="s">
        <v>13</v>
      </c>
      <c r="B123" s="481">
        <v>4.9299999999999997E-2</v>
      </c>
      <c r="C123" s="481">
        <v>4.0899999999999999E-2</v>
      </c>
      <c r="D123" s="481">
        <f>ROUND(B123*C123,4)</f>
        <v>2E-3</v>
      </c>
      <c r="E123" s="480"/>
      <c r="F123" s="481">
        <f>B123/G127*C123</f>
        <v>3.7360941263664994E-3</v>
      </c>
      <c r="G123" s="480"/>
      <c r="H123" s="480"/>
      <c r="I123" s="480"/>
      <c r="J123" s="480"/>
    </row>
    <row r="124" spans="1:10">
      <c r="A124" s="480" t="s">
        <v>14</v>
      </c>
      <c r="B124" s="483">
        <f>50.04%-1%</f>
        <v>0.49039999999999995</v>
      </c>
      <c r="C124" s="481">
        <v>6.9000000000000006E-2</v>
      </c>
      <c r="D124" s="481">
        <f>ROUND(B124*C124,4)</f>
        <v>3.3799999999999997E-2</v>
      </c>
      <c r="E124" s="480"/>
      <c r="F124" s="481">
        <f>B124/G127*C124</f>
        <v>6.2697053918843809E-2</v>
      </c>
      <c r="G124" s="480"/>
      <c r="H124" s="480"/>
      <c r="I124" s="480"/>
      <c r="J124" s="480"/>
    </row>
    <row r="125" spans="1:10">
      <c r="A125" s="480" t="s">
        <v>110</v>
      </c>
      <c r="B125" s="481">
        <v>2.9999999999999997E-4</v>
      </c>
      <c r="C125" s="481">
        <v>8.6099999999999996E-2</v>
      </c>
      <c r="D125" s="481">
        <f>ROUND(B125*C125,4)</f>
        <v>0</v>
      </c>
      <c r="E125" s="480"/>
      <c r="F125" s="480"/>
      <c r="G125" s="484">
        <f>SUM(F123:F124)</f>
        <v>6.6433148045210305E-2</v>
      </c>
      <c r="H125" s="480" t="s">
        <v>207</v>
      </c>
      <c r="I125" s="480"/>
      <c r="J125" s="480"/>
    </row>
    <row r="126" spans="1:10" ht="13.5" thickBot="1">
      <c r="A126" s="480" t="s">
        <v>111</v>
      </c>
      <c r="B126" s="481">
        <f>45%+1%</f>
        <v>0.46</v>
      </c>
      <c r="C126" s="481">
        <v>0.10150000000000001</v>
      </c>
      <c r="D126" s="481">
        <f>ROUND(B126*C126,4)</f>
        <v>4.6699999999999998E-2</v>
      </c>
      <c r="E126" s="480"/>
      <c r="F126" s="480"/>
      <c r="G126" s="485">
        <f>G125*0.65</f>
        <v>4.3181546229386698E-2</v>
      </c>
      <c r="H126" s="480" t="s">
        <v>208</v>
      </c>
      <c r="I126" s="480"/>
      <c r="J126" s="480"/>
    </row>
    <row r="127" spans="1:10" ht="13.5" thickBot="1">
      <c r="A127" s="486" t="s">
        <v>209</v>
      </c>
      <c r="B127" s="487">
        <f>SUM(B123:B126)</f>
        <v>1</v>
      </c>
      <c r="C127" s="488"/>
      <c r="D127" s="489">
        <f>SUM(D123:D126)</f>
        <v>8.249999999999999E-2</v>
      </c>
      <c r="E127" s="480"/>
      <c r="F127" s="480"/>
      <c r="G127" s="490">
        <f>SUM(B123:B124)</f>
        <v>0.53969999999999996</v>
      </c>
      <c r="H127" s="480" t="s">
        <v>210</v>
      </c>
      <c r="I127" s="480"/>
      <c r="J127" s="480"/>
    </row>
    <row r="128" spans="1:10" ht="13.5" thickBot="1">
      <c r="A128" s="480"/>
      <c r="B128" s="480"/>
      <c r="C128" s="480"/>
      <c r="D128" s="480"/>
      <c r="E128" s="480"/>
      <c r="F128" s="480"/>
      <c r="I128" s="480"/>
      <c r="J128" s="480"/>
    </row>
    <row r="129" spans="1:10" ht="13.5" thickBot="1">
      <c r="A129" s="486" t="s">
        <v>211</v>
      </c>
      <c r="B129" s="480"/>
      <c r="C129" s="480"/>
      <c r="D129" s="489">
        <f>(D124+D123)*0.65+D125+D126</f>
        <v>6.9970000000000004E-2</v>
      </c>
      <c r="E129" s="480"/>
      <c r="F129" s="480"/>
      <c r="G129" s="480"/>
      <c r="H129" s="486" t="s">
        <v>212</v>
      </c>
      <c r="I129" s="480"/>
      <c r="J129" s="480"/>
    </row>
    <row r="130" spans="1:10">
      <c r="A130" s="480"/>
      <c r="B130" s="480"/>
      <c r="C130" s="480"/>
      <c r="D130" s="480"/>
      <c r="E130" s="480"/>
      <c r="G130" s="491">
        <f>G127*G126</f>
        <v>2.3305080499999999E-2</v>
      </c>
      <c r="H130" s="479" t="s">
        <v>213</v>
      </c>
      <c r="I130" s="480"/>
      <c r="J130" s="480"/>
    </row>
    <row r="131" spans="1:10">
      <c r="A131" s="480"/>
      <c r="B131" s="480"/>
      <c r="C131" s="480"/>
      <c r="D131" s="480"/>
      <c r="E131" s="480"/>
      <c r="F131" s="480"/>
      <c r="G131" s="490">
        <f>D125</f>
        <v>0</v>
      </c>
      <c r="H131" s="479" t="s">
        <v>214</v>
      </c>
      <c r="I131" s="480"/>
      <c r="J131" s="480"/>
    </row>
    <row r="132" spans="1:10">
      <c r="A132" s="480" t="s">
        <v>215</v>
      </c>
      <c r="B132" s="480"/>
      <c r="C132" s="480"/>
      <c r="D132" s="492">
        <f>D129/0.65</f>
        <v>0.10764615384615385</v>
      </c>
      <c r="E132" s="480"/>
      <c r="F132" s="480"/>
      <c r="G132" s="490">
        <f>D126</f>
        <v>4.6699999999999998E-2</v>
      </c>
      <c r="H132" s="479" t="s">
        <v>216</v>
      </c>
      <c r="I132" s="480"/>
      <c r="J132" s="480"/>
    </row>
    <row r="133" spans="1:10">
      <c r="A133" s="480"/>
      <c r="B133" s="480"/>
      <c r="C133" s="480"/>
      <c r="D133" s="480"/>
      <c r="E133" s="480"/>
      <c r="F133" s="481"/>
      <c r="G133" s="493">
        <f>SUM(G130:G132)</f>
        <v>7.0005080499999997E-2</v>
      </c>
      <c r="H133" s="480"/>
      <c r="I133" s="480"/>
      <c r="J133" s="480"/>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2.75"/>
  <cols>
    <col min="2" max="2" width="9.33203125" style="568" customWidth="1"/>
    <col min="5" max="5" width="10.83203125" style="564"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8" t="s">
        <v>293</v>
      </c>
    </row>
    <row r="2" spans="2:15">
      <c r="C2">
        <v>1000</v>
      </c>
      <c r="E2" s="564">
        <v>18900013</v>
      </c>
      <c r="H2" t="s">
        <v>268</v>
      </c>
      <c r="K2">
        <v>52742</v>
      </c>
      <c r="M2">
        <v>52742</v>
      </c>
      <c r="O2">
        <v>0</v>
      </c>
    </row>
    <row r="3" spans="2:15">
      <c r="C3">
        <v>1000</v>
      </c>
      <c r="E3" s="564">
        <v>18900173</v>
      </c>
      <c r="H3" t="s">
        <v>269</v>
      </c>
      <c r="K3">
        <v>1702874.8</v>
      </c>
      <c r="M3">
        <v>1702874.8</v>
      </c>
      <c r="O3">
        <v>0</v>
      </c>
    </row>
    <row r="4" spans="2:15">
      <c r="C4">
        <v>1000</v>
      </c>
      <c r="E4" s="564">
        <v>18900183</v>
      </c>
      <c r="H4" t="s">
        <v>270</v>
      </c>
      <c r="K4">
        <v>365936.61</v>
      </c>
      <c r="M4">
        <v>365936.61</v>
      </c>
      <c r="O4">
        <v>0</v>
      </c>
    </row>
    <row r="5" spans="2:15">
      <c r="C5">
        <v>1000</v>
      </c>
      <c r="E5" s="564">
        <v>18900193</v>
      </c>
      <c r="H5" t="s">
        <v>271</v>
      </c>
      <c r="K5">
        <v>3083205.61</v>
      </c>
      <c r="M5">
        <v>3083205.61</v>
      </c>
      <c r="O5">
        <v>0</v>
      </c>
    </row>
    <row r="6" spans="2:15">
      <c r="C6">
        <v>1000</v>
      </c>
      <c r="E6" s="564">
        <v>18900243</v>
      </c>
      <c r="H6" t="s">
        <v>272</v>
      </c>
      <c r="K6">
        <v>15744.35</v>
      </c>
      <c r="M6">
        <v>15744.35</v>
      </c>
      <c r="O6">
        <v>0</v>
      </c>
    </row>
    <row r="7" spans="2:15">
      <c r="C7">
        <v>1000</v>
      </c>
      <c r="E7" s="564">
        <v>18900253</v>
      </c>
      <c r="H7" t="s">
        <v>273</v>
      </c>
      <c r="K7">
        <v>780747.67</v>
      </c>
      <c r="M7">
        <v>780747.67</v>
      </c>
      <c r="O7">
        <v>0</v>
      </c>
    </row>
    <row r="8" spans="2:15">
      <c r="C8">
        <v>1000</v>
      </c>
      <c r="E8" s="564">
        <v>18900263</v>
      </c>
      <c r="H8" t="s">
        <v>274</v>
      </c>
      <c r="K8">
        <v>593303.81999999995</v>
      </c>
      <c r="M8">
        <v>593303.81999999995</v>
      </c>
      <c r="O8">
        <v>0</v>
      </c>
    </row>
    <row r="9" spans="2:15">
      <c r="C9">
        <v>1000</v>
      </c>
      <c r="E9" s="564">
        <v>18900273</v>
      </c>
      <c r="H9" t="s">
        <v>275</v>
      </c>
      <c r="K9">
        <v>1816669.69</v>
      </c>
      <c r="M9">
        <v>1816669.69</v>
      </c>
      <c r="O9">
        <v>0</v>
      </c>
    </row>
    <row r="10" spans="2:15">
      <c r="C10">
        <v>1000</v>
      </c>
      <c r="E10" s="564">
        <v>18900283</v>
      </c>
      <c r="H10" t="s">
        <v>276</v>
      </c>
      <c r="K10">
        <v>554446.11</v>
      </c>
      <c r="M10">
        <v>554446.11</v>
      </c>
      <c r="O10">
        <v>0</v>
      </c>
    </row>
    <row r="11" spans="2:15">
      <c r="C11">
        <v>1000</v>
      </c>
      <c r="E11" s="564">
        <v>18900293</v>
      </c>
      <c r="H11" t="s">
        <v>277</v>
      </c>
      <c r="K11">
        <v>9128.82</v>
      </c>
      <c r="M11">
        <v>9128.82</v>
      </c>
      <c r="O11">
        <v>0</v>
      </c>
    </row>
    <row r="12" spans="2:15">
      <c r="C12">
        <v>1000</v>
      </c>
      <c r="E12" s="564">
        <v>18900303</v>
      </c>
      <c r="H12" t="s">
        <v>278</v>
      </c>
      <c r="K12">
        <v>21299.61</v>
      </c>
      <c r="M12">
        <v>21299.61</v>
      </c>
      <c r="O12">
        <v>0</v>
      </c>
    </row>
    <row r="13" spans="2:15">
      <c r="C13">
        <v>1000</v>
      </c>
      <c r="E13" s="564">
        <v>18900323</v>
      </c>
      <c r="H13" t="s">
        <v>279</v>
      </c>
      <c r="K13">
        <v>541542.92000000004</v>
      </c>
      <c r="M13">
        <v>541542.92000000004</v>
      </c>
      <c r="O13">
        <v>0</v>
      </c>
    </row>
    <row r="14" spans="2:15">
      <c r="C14">
        <v>1000</v>
      </c>
      <c r="E14" s="564">
        <v>18900353</v>
      </c>
      <c r="H14" t="s">
        <v>280</v>
      </c>
      <c r="K14">
        <v>102120.9</v>
      </c>
      <c r="M14">
        <v>102120.9</v>
      </c>
      <c r="O14">
        <v>0</v>
      </c>
    </row>
    <row r="15" spans="2:15">
      <c r="C15">
        <v>1000</v>
      </c>
      <c r="E15" s="564">
        <v>18900373</v>
      </c>
      <c r="H15" t="s">
        <v>281</v>
      </c>
      <c r="K15">
        <v>4432980.76</v>
      </c>
      <c r="M15">
        <v>4432980.76</v>
      </c>
      <c r="O15">
        <v>0</v>
      </c>
    </row>
    <row r="16" spans="2:15">
      <c r="C16">
        <v>1000</v>
      </c>
      <c r="E16" s="564">
        <v>18900383</v>
      </c>
      <c r="H16" t="s">
        <v>282</v>
      </c>
      <c r="K16">
        <v>652428.99</v>
      </c>
      <c r="M16">
        <v>652428.99</v>
      </c>
      <c r="O16">
        <v>0</v>
      </c>
    </row>
    <row r="17" spans="2:17">
      <c r="C17">
        <v>1000</v>
      </c>
      <c r="E17" s="564">
        <v>18900393</v>
      </c>
      <c r="H17" t="s">
        <v>283</v>
      </c>
      <c r="K17">
        <v>15152963.5</v>
      </c>
      <c r="M17">
        <v>15152963.5</v>
      </c>
      <c r="O17">
        <v>0</v>
      </c>
    </row>
    <row r="18" spans="2:17">
      <c r="C18" s="565">
        <v>1000</v>
      </c>
      <c r="D18" s="565"/>
      <c r="E18" s="566">
        <v>18900403</v>
      </c>
      <c r="F18" s="565"/>
      <c r="G18" s="565"/>
      <c r="H18" s="565" t="s">
        <v>284</v>
      </c>
      <c r="I18" s="565"/>
      <c r="J18" s="565"/>
      <c r="K18" s="565">
        <v>258483.07</v>
      </c>
      <c r="L18" s="565"/>
      <c r="M18" s="565">
        <v>258483.07</v>
      </c>
      <c r="N18" s="565"/>
      <c r="O18" s="565">
        <v>0</v>
      </c>
      <c r="P18" s="565"/>
      <c r="Q18" s="565"/>
    </row>
    <row r="19" spans="2:17">
      <c r="C19" s="565">
        <v>1000</v>
      </c>
      <c r="D19" s="565"/>
      <c r="E19" s="566">
        <v>18900413</v>
      </c>
      <c r="F19" s="565"/>
      <c r="G19" s="565"/>
      <c r="H19" s="565" t="s">
        <v>285</v>
      </c>
      <c r="I19" s="565"/>
      <c r="J19" s="565"/>
      <c r="K19" s="565">
        <v>339527.78</v>
      </c>
      <c r="L19" s="565"/>
      <c r="M19" s="565">
        <v>339527.78</v>
      </c>
      <c r="N19" s="565"/>
      <c r="O19" s="565">
        <v>0</v>
      </c>
      <c r="P19" s="565"/>
      <c r="Q19" s="565"/>
    </row>
    <row r="20" spans="2:17">
      <c r="C20" s="565">
        <v>1000</v>
      </c>
      <c r="D20" s="565"/>
      <c r="E20" s="566">
        <v>18900423</v>
      </c>
      <c r="F20" s="565"/>
      <c r="G20" s="565"/>
      <c r="H20" s="565" t="s">
        <v>286</v>
      </c>
      <c r="I20" s="565"/>
      <c r="J20" s="565"/>
      <c r="K20" s="565">
        <v>1353341.67</v>
      </c>
      <c r="L20" s="565"/>
      <c r="M20" s="565">
        <v>1353341.67</v>
      </c>
      <c r="N20" s="565"/>
      <c r="O20" s="565">
        <v>0</v>
      </c>
      <c r="P20" s="565"/>
      <c r="Q20" s="565"/>
    </row>
    <row r="21" spans="2:17">
      <c r="C21">
        <v>1000</v>
      </c>
      <c r="E21" s="564">
        <v>18900433</v>
      </c>
      <c r="H21" t="s">
        <v>287</v>
      </c>
      <c r="K21">
        <v>5135043.88</v>
      </c>
      <c r="M21">
        <v>5135043.88</v>
      </c>
      <c r="O21">
        <v>0</v>
      </c>
    </row>
    <row r="22" spans="2:17">
      <c r="C22">
        <v>1000</v>
      </c>
      <c r="E22" s="564">
        <v>18900533</v>
      </c>
      <c r="H22" t="s">
        <v>288</v>
      </c>
      <c r="K22">
        <v>867832.16</v>
      </c>
      <c r="M22">
        <v>867832.16</v>
      </c>
      <c r="O22">
        <v>0</v>
      </c>
    </row>
    <row r="24" spans="2:17">
      <c r="B24" s="568" t="s">
        <v>291</v>
      </c>
    </row>
    <row r="25" spans="2:17">
      <c r="C25">
        <v>1000</v>
      </c>
      <c r="E25" s="564">
        <v>18900013</v>
      </c>
      <c r="H25" t="s">
        <v>268</v>
      </c>
      <c r="K25">
        <v>43574</v>
      </c>
      <c r="M25">
        <v>52742</v>
      </c>
      <c r="O25">
        <v>-9168</v>
      </c>
      <c r="Q25">
        <v>-17.399999999999999</v>
      </c>
    </row>
    <row r="26" spans="2:17">
      <c r="C26">
        <v>1000</v>
      </c>
      <c r="E26" s="564">
        <v>18900173</v>
      </c>
      <c r="H26" t="s">
        <v>269</v>
      </c>
      <c r="K26">
        <v>1618434.76</v>
      </c>
      <c r="M26">
        <v>1702874.8</v>
      </c>
      <c r="O26">
        <v>-84440.04</v>
      </c>
      <c r="Q26">
        <v>-5</v>
      </c>
    </row>
    <row r="27" spans="2:17">
      <c r="C27">
        <v>1000</v>
      </c>
      <c r="E27" s="564">
        <v>18900183</v>
      </c>
      <c r="H27" t="s">
        <v>270</v>
      </c>
      <c r="K27">
        <v>357393.33</v>
      </c>
      <c r="M27">
        <v>365936.61</v>
      </c>
      <c r="O27">
        <v>-8543.2800000000007</v>
      </c>
      <c r="Q27">
        <v>-2.2999999999999998</v>
      </c>
    </row>
    <row r="28" spans="2:17">
      <c r="C28">
        <v>1000</v>
      </c>
      <c r="E28" s="564">
        <v>18900193</v>
      </c>
      <c r="H28" t="s">
        <v>271</v>
      </c>
      <c r="K28">
        <v>2968303.51</v>
      </c>
      <c r="M28">
        <v>3083205.61</v>
      </c>
      <c r="O28">
        <v>-114902.1</v>
      </c>
      <c r="Q28">
        <v>-3.7</v>
      </c>
    </row>
    <row r="29" spans="2:17">
      <c r="C29">
        <v>1000</v>
      </c>
      <c r="E29" s="564">
        <v>18900243</v>
      </c>
      <c r="H29" t="s">
        <v>272</v>
      </c>
      <c r="K29">
        <v>13994.93</v>
      </c>
      <c r="M29">
        <v>15744.35</v>
      </c>
      <c r="O29">
        <v>-1749.42</v>
      </c>
      <c r="Q29">
        <v>-11.1</v>
      </c>
    </row>
    <row r="30" spans="2:17">
      <c r="C30">
        <v>1000</v>
      </c>
      <c r="E30" s="564">
        <v>18900253</v>
      </c>
      <c r="H30" t="s">
        <v>273</v>
      </c>
      <c r="K30">
        <v>758007.43</v>
      </c>
      <c r="M30">
        <v>780747.67</v>
      </c>
      <c r="O30">
        <v>-22740.240000000002</v>
      </c>
      <c r="Q30">
        <v>-2.9</v>
      </c>
    </row>
    <row r="31" spans="2:17">
      <c r="C31">
        <v>1000</v>
      </c>
      <c r="E31" s="564">
        <v>18900263</v>
      </c>
      <c r="H31" t="s">
        <v>274</v>
      </c>
      <c r="K31">
        <v>576023.1</v>
      </c>
      <c r="M31">
        <v>593303.81999999995</v>
      </c>
      <c r="O31">
        <v>-17280.72</v>
      </c>
      <c r="Q31">
        <v>-2.9</v>
      </c>
    </row>
    <row r="32" spans="2:17">
      <c r="C32">
        <v>1000</v>
      </c>
      <c r="E32" s="564">
        <v>18900273</v>
      </c>
      <c r="H32" t="s">
        <v>275</v>
      </c>
      <c r="K32">
        <v>1763756.95</v>
      </c>
      <c r="M32">
        <v>1816669.69</v>
      </c>
      <c r="O32">
        <v>-52912.74</v>
      </c>
      <c r="Q32">
        <v>-2.9</v>
      </c>
    </row>
    <row r="33" spans="3:19">
      <c r="C33">
        <v>1000</v>
      </c>
      <c r="E33" s="564">
        <v>18900283</v>
      </c>
      <c r="H33" t="s">
        <v>276</v>
      </c>
      <c r="K33">
        <v>538297.23</v>
      </c>
      <c r="M33">
        <v>554446.11</v>
      </c>
      <c r="O33">
        <v>-16148.88</v>
      </c>
      <c r="Q33">
        <v>-2.9</v>
      </c>
    </row>
    <row r="34" spans="3:19">
      <c r="C34">
        <v>1000</v>
      </c>
      <c r="E34" s="564">
        <v>18900293</v>
      </c>
      <c r="H34" t="s">
        <v>277</v>
      </c>
      <c r="K34">
        <v>8558.2800000000007</v>
      </c>
      <c r="M34">
        <v>9128.82</v>
      </c>
      <c r="O34">
        <v>-570.54</v>
      </c>
      <c r="Q34">
        <v>-6.2</v>
      </c>
    </row>
    <row r="35" spans="3:19">
      <c r="C35">
        <v>1000</v>
      </c>
      <c r="E35" s="564">
        <v>18900303</v>
      </c>
      <c r="H35" t="s">
        <v>278</v>
      </c>
      <c r="K35">
        <v>19968.330000000002</v>
      </c>
      <c r="M35">
        <v>21299.61</v>
      </c>
      <c r="O35">
        <v>-1331.28</v>
      </c>
      <c r="Q35">
        <v>-6.3</v>
      </c>
    </row>
    <row r="36" spans="3:19">
      <c r="C36">
        <v>1000</v>
      </c>
      <c r="E36" s="564">
        <v>18900323</v>
      </c>
      <c r="H36" t="s">
        <v>279</v>
      </c>
      <c r="K36">
        <v>510300.08</v>
      </c>
      <c r="M36">
        <v>541542.92000000004</v>
      </c>
      <c r="O36">
        <v>-31242.84</v>
      </c>
      <c r="Q36">
        <v>-5.8</v>
      </c>
    </row>
    <row r="37" spans="3:19">
      <c r="C37">
        <v>1000</v>
      </c>
      <c r="E37" s="564">
        <v>18900353</v>
      </c>
      <c r="H37" t="s">
        <v>280</v>
      </c>
      <c r="K37">
        <v>96792.960000000006</v>
      </c>
      <c r="M37">
        <v>102120.9</v>
      </c>
      <c r="O37">
        <v>-5327.94</v>
      </c>
      <c r="Q37">
        <v>-5.2</v>
      </c>
    </row>
    <row r="38" spans="3:19">
      <c r="C38">
        <v>1000</v>
      </c>
      <c r="E38" s="564">
        <v>18900373</v>
      </c>
      <c r="H38" t="s">
        <v>281</v>
      </c>
      <c r="K38">
        <v>4334470.0599999996</v>
      </c>
      <c r="M38">
        <v>4432980.76</v>
      </c>
      <c r="O38">
        <v>-98510.7</v>
      </c>
      <c r="Q38">
        <v>-2.2000000000000002</v>
      </c>
    </row>
    <row r="39" spans="3:19">
      <c r="C39">
        <v>1000</v>
      </c>
      <c r="E39" s="564">
        <v>18900383</v>
      </c>
      <c r="H39" t="s">
        <v>282</v>
      </c>
      <c r="K39">
        <v>556951.59</v>
      </c>
      <c r="M39">
        <v>652428.99</v>
      </c>
      <c r="O39">
        <v>-95477.4</v>
      </c>
      <c r="Q39">
        <v>-14.6</v>
      </c>
    </row>
    <row r="40" spans="3:19">
      <c r="C40">
        <v>1000</v>
      </c>
      <c r="E40" s="564">
        <v>18900393</v>
      </c>
      <c r="H40" t="s">
        <v>283</v>
      </c>
      <c r="K40">
        <v>14952704.08</v>
      </c>
      <c r="M40">
        <v>15152963.5</v>
      </c>
      <c r="O40">
        <v>-200259.42</v>
      </c>
      <c r="Q40">
        <v>-1.3</v>
      </c>
    </row>
    <row r="41" spans="3:19">
      <c r="C41" s="565">
        <v>1000</v>
      </c>
      <c r="D41" s="565"/>
      <c r="E41" s="566">
        <v>18900403</v>
      </c>
      <c r="F41" s="565"/>
      <c r="G41" s="565"/>
      <c r="H41" s="565" t="s">
        <v>284</v>
      </c>
      <c r="I41" s="565"/>
      <c r="J41" s="565"/>
      <c r="K41" s="565">
        <v>226832.11</v>
      </c>
      <c r="L41" s="565"/>
      <c r="M41" s="565">
        <v>258483.07</v>
      </c>
      <c r="N41" s="565"/>
      <c r="O41" s="565">
        <v>-31650.959999999999</v>
      </c>
      <c r="P41" s="565"/>
      <c r="Q41" s="565">
        <v>-12.2</v>
      </c>
      <c r="S41">
        <f>K41-K68</f>
        <v>-35683.260000000009</v>
      </c>
    </row>
    <row r="42" spans="3:19">
      <c r="C42" s="565">
        <v>1000</v>
      </c>
      <c r="D42" s="565"/>
      <c r="E42" s="566">
        <v>18900413</v>
      </c>
      <c r="F42" s="565"/>
      <c r="G42" s="565"/>
      <c r="H42" s="565" t="s">
        <v>285</v>
      </c>
      <c r="I42" s="565"/>
      <c r="J42" s="565"/>
      <c r="K42" s="565">
        <v>297952.94</v>
      </c>
      <c r="L42" s="565"/>
      <c r="M42" s="565">
        <v>339527.78</v>
      </c>
      <c r="N42" s="565"/>
      <c r="O42" s="565">
        <v>-41574.839999999997</v>
      </c>
      <c r="P42" s="565"/>
      <c r="Q42" s="565">
        <v>-12.2</v>
      </c>
      <c r="S42">
        <f>K42-K69</f>
        <v>-59006.340000000026</v>
      </c>
    </row>
    <row r="43" spans="3:19">
      <c r="C43" s="565">
        <v>1000</v>
      </c>
      <c r="D43" s="565"/>
      <c r="E43" s="566">
        <v>18900423</v>
      </c>
      <c r="F43" s="565"/>
      <c r="G43" s="565"/>
      <c r="H43" s="565" t="s">
        <v>286</v>
      </c>
      <c r="I43" s="565"/>
      <c r="J43" s="565"/>
      <c r="K43" s="565">
        <v>1187626.3500000001</v>
      </c>
      <c r="L43" s="565"/>
      <c r="M43" s="565">
        <v>1353341.67</v>
      </c>
      <c r="N43" s="565"/>
      <c r="O43" s="565">
        <v>-165715.32</v>
      </c>
      <c r="P43" s="565"/>
      <c r="Q43" s="565">
        <v>-12.2</v>
      </c>
      <c r="S43">
        <f>K43-K70</f>
        <v>-331430.6399999999</v>
      </c>
    </row>
    <row r="44" spans="3:19">
      <c r="C44">
        <v>1000</v>
      </c>
      <c r="E44" s="564">
        <v>18900433</v>
      </c>
      <c r="H44" t="s">
        <v>287</v>
      </c>
      <c r="K44">
        <v>4985479.54</v>
      </c>
      <c r="M44">
        <v>5135043.88</v>
      </c>
      <c r="O44">
        <v>-149564.34</v>
      </c>
      <c r="Q44">
        <v>-2.9</v>
      </c>
    </row>
    <row r="45" spans="3:19">
      <c r="C45" s="565">
        <v>1000</v>
      </c>
      <c r="D45" s="565"/>
      <c r="E45" s="566">
        <v>18900443</v>
      </c>
      <c r="F45" s="565"/>
      <c r="G45" s="565"/>
      <c r="H45" s="565" t="s">
        <v>289</v>
      </c>
      <c r="I45" s="565"/>
      <c r="J45" s="565"/>
      <c r="K45" s="565">
        <v>137185.22</v>
      </c>
      <c r="L45" s="565"/>
      <c r="M45" s="565">
        <v>0</v>
      </c>
      <c r="N45" s="565"/>
      <c r="O45" s="565">
        <v>137185.22</v>
      </c>
      <c r="P45" s="565"/>
      <c r="Q45" s="565"/>
    </row>
    <row r="46" spans="3:19">
      <c r="C46" s="565">
        <v>1000</v>
      </c>
      <c r="D46" s="565"/>
      <c r="E46" s="566">
        <v>18900453</v>
      </c>
      <c r="F46" s="565"/>
      <c r="G46" s="565"/>
      <c r="H46" s="565" t="s">
        <v>290</v>
      </c>
      <c r="I46" s="565"/>
      <c r="J46" s="565"/>
      <c r="K46" s="565">
        <v>75041.440000000002</v>
      </c>
      <c r="L46" s="565"/>
      <c r="M46" s="565">
        <v>0</v>
      </c>
      <c r="N46" s="565"/>
      <c r="O46" s="565">
        <v>75041.440000000002</v>
      </c>
      <c r="P46" s="565"/>
      <c r="Q46" s="565"/>
    </row>
    <row r="47" spans="3:19">
      <c r="C47">
        <v>1000</v>
      </c>
      <c r="E47" s="564">
        <v>18900533</v>
      </c>
      <c r="H47" t="s">
        <v>288</v>
      </c>
      <c r="K47">
        <v>842555.54</v>
      </c>
      <c r="M47">
        <v>867832.16</v>
      </c>
      <c r="O47">
        <v>-25276.62</v>
      </c>
      <c r="Q47">
        <v>-2.9</v>
      </c>
    </row>
    <row r="51" spans="2:17">
      <c r="B51" s="568" t="s">
        <v>292</v>
      </c>
    </row>
    <row r="52" spans="2:17">
      <c r="C52" s="564">
        <v>1000</v>
      </c>
      <c r="E52" s="564">
        <v>18900013</v>
      </c>
      <c r="H52" t="s">
        <v>268</v>
      </c>
      <c r="K52">
        <v>61910</v>
      </c>
      <c r="M52">
        <v>52742</v>
      </c>
      <c r="O52">
        <v>9168</v>
      </c>
      <c r="Q52">
        <v>17.399999999999999</v>
      </c>
    </row>
    <row r="53" spans="2:17">
      <c r="C53" s="564">
        <v>1000</v>
      </c>
      <c r="E53" s="564">
        <v>18900173</v>
      </c>
      <c r="H53" t="s">
        <v>269</v>
      </c>
      <c r="K53">
        <v>1787314.84</v>
      </c>
      <c r="M53">
        <v>1702874.8</v>
      </c>
      <c r="O53">
        <v>84440.04</v>
      </c>
      <c r="Q53">
        <v>5</v>
      </c>
    </row>
    <row r="54" spans="2:17">
      <c r="C54" s="564">
        <v>1000</v>
      </c>
      <c r="E54" s="564">
        <v>18900183</v>
      </c>
      <c r="H54" t="s">
        <v>270</v>
      </c>
      <c r="K54">
        <v>374479.89</v>
      </c>
      <c r="M54">
        <v>365936.61</v>
      </c>
      <c r="O54">
        <v>8543.2800000000007</v>
      </c>
      <c r="Q54">
        <v>2.2999999999999998</v>
      </c>
    </row>
    <row r="55" spans="2:17">
      <c r="C55" s="564">
        <v>1000</v>
      </c>
      <c r="E55" s="564">
        <v>18900193</v>
      </c>
      <c r="H55" t="s">
        <v>271</v>
      </c>
      <c r="K55">
        <v>3198107.71</v>
      </c>
      <c r="M55">
        <v>3083205.61</v>
      </c>
      <c r="O55">
        <v>114902.1</v>
      </c>
      <c r="Q55">
        <v>3.7</v>
      </c>
    </row>
    <row r="56" spans="2:17">
      <c r="C56" s="564">
        <v>1000</v>
      </c>
      <c r="E56" s="564">
        <v>18900243</v>
      </c>
      <c r="H56" t="s">
        <v>272</v>
      </c>
      <c r="K56">
        <v>17493.77</v>
      </c>
      <c r="M56">
        <v>15744.35</v>
      </c>
      <c r="O56">
        <v>1749.42</v>
      </c>
      <c r="Q56">
        <v>11.1</v>
      </c>
    </row>
    <row r="57" spans="2:17">
      <c r="C57" s="564">
        <v>1000</v>
      </c>
      <c r="E57" s="564">
        <v>18900253</v>
      </c>
      <c r="H57" t="s">
        <v>273</v>
      </c>
      <c r="K57">
        <v>803487.91</v>
      </c>
      <c r="M57">
        <v>780747.67</v>
      </c>
      <c r="O57">
        <v>22740.240000000002</v>
      </c>
      <c r="Q57">
        <v>2.9</v>
      </c>
    </row>
    <row r="58" spans="2:17">
      <c r="C58" s="564">
        <v>1000</v>
      </c>
      <c r="E58" s="564">
        <v>18900263</v>
      </c>
      <c r="H58" t="s">
        <v>274</v>
      </c>
      <c r="K58">
        <v>610584.54</v>
      </c>
      <c r="M58">
        <v>593303.81999999995</v>
      </c>
      <c r="O58">
        <v>17280.72</v>
      </c>
      <c r="Q58">
        <v>2.9</v>
      </c>
    </row>
    <row r="59" spans="2:17">
      <c r="C59" s="564">
        <v>1000</v>
      </c>
      <c r="E59" s="564">
        <v>18900273</v>
      </c>
      <c r="H59" t="s">
        <v>275</v>
      </c>
      <c r="K59">
        <v>1869582.43</v>
      </c>
      <c r="M59">
        <v>1816669.69</v>
      </c>
      <c r="O59">
        <v>52912.74</v>
      </c>
      <c r="Q59">
        <v>2.9</v>
      </c>
    </row>
    <row r="60" spans="2:17">
      <c r="C60" s="564">
        <v>1000</v>
      </c>
      <c r="E60" s="564">
        <v>18900283</v>
      </c>
      <c r="H60" t="s">
        <v>276</v>
      </c>
      <c r="K60">
        <v>570594.99</v>
      </c>
      <c r="M60">
        <v>554446.11</v>
      </c>
      <c r="O60">
        <v>16148.88</v>
      </c>
      <c r="Q60">
        <v>2.9</v>
      </c>
    </row>
    <row r="61" spans="2:17">
      <c r="C61" s="564">
        <v>1000</v>
      </c>
      <c r="E61" s="564">
        <v>18900293</v>
      </c>
      <c r="H61" t="s">
        <v>277</v>
      </c>
      <c r="K61">
        <v>9699.36</v>
      </c>
      <c r="M61">
        <v>9128.82</v>
      </c>
      <c r="O61">
        <v>570.54</v>
      </c>
      <c r="Q61">
        <v>6.2</v>
      </c>
    </row>
    <row r="62" spans="2:17">
      <c r="C62" s="564">
        <v>1000</v>
      </c>
      <c r="E62" s="564">
        <v>18900303</v>
      </c>
      <c r="H62" t="s">
        <v>278</v>
      </c>
      <c r="K62">
        <v>22630.89</v>
      </c>
      <c r="M62">
        <v>21299.61</v>
      </c>
      <c r="O62">
        <v>1331.28</v>
      </c>
      <c r="Q62">
        <v>6.3</v>
      </c>
    </row>
    <row r="63" spans="2:17">
      <c r="C63" s="564">
        <v>1000</v>
      </c>
      <c r="E63" s="564">
        <v>18900323</v>
      </c>
      <c r="H63" t="s">
        <v>279</v>
      </c>
      <c r="K63">
        <v>572785.76</v>
      </c>
      <c r="M63">
        <v>541542.92000000004</v>
      </c>
      <c r="O63">
        <v>31242.84</v>
      </c>
      <c r="Q63">
        <v>5.8</v>
      </c>
    </row>
    <row r="64" spans="2:17">
      <c r="C64" s="564">
        <v>1000</v>
      </c>
      <c r="E64" s="564">
        <v>18900353</v>
      </c>
      <c r="H64" t="s">
        <v>280</v>
      </c>
      <c r="K64">
        <v>107448.84</v>
      </c>
      <c r="M64">
        <v>102120.9</v>
      </c>
      <c r="O64">
        <v>5327.94</v>
      </c>
      <c r="Q64">
        <v>5.2</v>
      </c>
    </row>
    <row r="65" spans="3:17">
      <c r="C65" s="564">
        <v>1000</v>
      </c>
      <c r="E65" s="564">
        <v>18900373</v>
      </c>
      <c r="H65" t="s">
        <v>281</v>
      </c>
      <c r="K65">
        <v>4531491.46</v>
      </c>
      <c r="M65">
        <v>4432980.76</v>
      </c>
      <c r="O65">
        <v>98510.7</v>
      </c>
      <c r="Q65">
        <v>2.2000000000000002</v>
      </c>
    </row>
    <row r="66" spans="3:17">
      <c r="C66" s="564">
        <v>1000</v>
      </c>
      <c r="E66" s="564">
        <v>18900383</v>
      </c>
      <c r="H66" t="s">
        <v>282</v>
      </c>
      <c r="K66">
        <v>747906.39</v>
      </c>
      <c r="M66">
        <v>652428.99</v>
      </c>
      <c r="O66">
        <v>95477.4</v>
      </c>
      <c r="Q66">
        <v>14.6</v>
      </c>
    </row>
    <row r="67" spans="3:17">
      <c r="C67" s="564">
        <v>1000</v>
      </c>
      <c r="E67" s="564">
        <v>18900393</v>
      </c>
      <c r="H67" t="s">
        <v>283</v>
      </c>
      <c r="K67">
        <v>15353222.92</v>
      </c>
      <c r="M67">
        <v>15152963.5</v>
      </c>
      <c r="O67">
        <v>200259.42</v>
      </c>
      <c r="Q67">
        <v>1.3</v>
      </c>
    </row>
    <row r="68" spans="3:17">
      <c r="C68" s="566">
        <v>1000</v>
      </c>
      <c r="D68" s="565"/>
      <c r="E68" s="566">
        <v>18900403</v>
      </c>
      <c r="F68" s="565"/>
      <c r="G68" s="565"/>
      <c r="H68" s="565" t="s">
        <v>284</v>
      </c>
      <c r="I68" s="565"/>
      <c r="J68" s="565"/>
      <c r="K68" s="565">
        <v>262515.37</v>
      </c>
      <c r="L68" s="565"/>
      <c r="M68" s="565">
        <v>258483.07</v>
      </c>
      <c r="N68" s="565"/>
      <c r="O68" s="565">
        <v>4032.3</v>
      </c>
      <c r="P68" s="565"/>
      <c r="Q68" s="565">
        <v>1.6</v>
      </c>
    </row>
    <row r="69" spans="3:17">
      <c r="C69" s="566">
        <v>1000</v>
      </c>
      <c r="D69" s="565"/>
      <c r="E69" s="566">
        <v>18900413</v>
      </c>
      <c r="F69" s="565"/>
      <c r="G69" s="565"/>
      <c r="H69" s="565" t="s">
        <v>285</v>
      </c>
      <c r="I69" s="565"/>
      <c r="J69" s="565"/>
      <c r="K69" s="565">
        <v>356959.28</v>
      </c>
      <c r="L69" s="565"/>
      <c r="M69" s="565">
        <v>339527.78</v>
      </c>
      <c r="N69" s="565"/>
      <c r="O69" s="565">
        <v>17431.5</v>
      </c>
      <c r="P69" s="565"/>
      <c r="Q69" s="565">
        <v>5.0999999999999996</v>
      </c>
    </row>
    <row r="70" spans="3:17">
      <c r="C70" s="566">
        <v>1000</v>
      </c>
      <c r="D70" s="565"/>
      <c r="E70" s="566">
        <v>18900423</v>
      </c>
      <c r="F70" s="565"/>
      <c r="G70" s="565"/>
      <c r="H70" s="565" t="s">
        <v>286</v>
      </c>
      <c r="I70" s="565"/>
      <c r="J70" s="565"/>
      <c r="K70" s="565">
        <v>1519056.99</v>
      </c>
      <c r="L70" s="565"/>
      <c r="M70" s="565">
        <v>1353341.67</v>
      </c>
      <c r="N70" s="565"/>
      <c r="O70" s="565">
        <v>165715.32</v>
      </c>
      <c r="P70" s="565"/>
      <c r="Q70" s="565">
        <v>12.2</v>
      </c>
    </row>
    <row r="71" spans="3:17">
      <c r="C71" s="564">
        <v>1000</v>
      </c>
      <c r="E71" s="564">
        <v>18900433</v>
      </c>
      <c r="H71" t="s">
        <v>287</v>
      </c>
      <c r="K71">
        <v>5284608.22</v>
      </c>
      <c r="M71">
        <v>5135043.88</v>
      </c>
      <c r="O71">
        <v>149564.34</v>
      </c>
      <c r="Q71">
        <v>2.9</v>
      </c>
    </row>
    <row r="72" spans="3:17">
      <c r="C72" s="564">
        <v>1000</v>
      </c>
      <c r="E72" s="564">
        <v>18900533</v>
      </c>
      <c r="H72" t="s">
        <v>288</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10" customWidth="1"/>
    <col min="2" max="2" width="40.6640625" style="410" customWidth="1"/>
    <col min="3" max="3" width="20" style="410" bestFit="1"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180</v>
      </c>
      <c r="B2" s="412"/>
      <c r="C2" s="413"/>
      <c r="D2" s="412"/>
      <c r="E2" s="412"/>
      <c r="F2" s="412"/>
      <c r="G2" s="412"/>
      <c r="AB2" s="414" t="s">
        <v>181</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182</v>
      </c>
      <c r="H8" s="104"/>
      <c r="I8" s="104"/>
    </row>
    <row r="9" spans="1:28">
      <c r="A9" s="130"/>
      <c r="B9" s="107" t="s">
        <v>183</v>
      </c>
      <c r="C9" s="107" t="s">
        <v>184</v>
      </c>
      <c r="D9" s="422" t="s">
        <v>185</v>
      </c>
      <c r="E9" s="422" t="s">
        <v>186</v>
      </c>
      <c r="F9" s="422" t="s">
        <v>187</v>
      </c>
      <c r="G9" s="422" t="s">
        <v>188</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189</v>
      </c>
      <c r="C12" s="425">
        <f>'Pg 3 STD Cost Rate'!C23</f>
        <v>153671199.44</v>
      </c>
      <c r="D12" s="426">
        <f>ROUND(C12/C$27,4)</f>
        <v>1.78E-2</v>
      </c>
      <c r="E12" s="427">
        <f>'Pg 3 STD Cost Rate'!E23</f>
        <v>3108318.7431666665</v>
      </c>
      <c r="F12" s="428">
        <f>ROUND(E12/C12,4)</f>
        <v>2.0199999999999999E-2</v>
      </c>
      <c r="G12" s="429">
        <f>ROUND(+D12*F12,4)</f>
        <v>4.0000000000000002E-4</v>
      </c>
      <c r="H12" s="104"/>
      <c r="I12" s="104"/>
    </row>
    <row r="13" spans="1:28">
      <c r="A13" s="130"/>
      <c r="B13" s="424"/>
      <c r="C13" s="425"/>
      <c r="D13" s="426"/>
      <c r="E13" s="427"/>
      <c r="F13" s="428"/>
      <c r="G13" s="429"/>
      <c r="H13" s="104"/>
      <c r="I13" s="104"/>
    </row>
    <row r="14" spans="1:28" hidden="1" outlineLevel="1">
      <c r="A14" s="130"/>
      <c r="B14" s="430" t="s">
        <v>190</v>
      </c>
      <c r="C14" s="431">
        <f>'Pg 6 LTD Cost '!S26</f>
        <v>4373860000</v>
      </c>
      <c r="D14" s="432">
        <f>ROUND(C14/C$27,4)</f>
        <v>0.50649999999999995</v>
      </c>
      <c r="E14" s="433">
        <f>'Pg 6 LTD Cost '!X26</f>
        <v>233211836.24000001</v>
      </c>
      <c r="F14" s="434">
        <f>ROUND(E14/C14,4)</f>
        <v>5.33E-2</v>
      </c>
      <c r="G14" s="435">
        <f>ROUND(+D14*F14,4)</f>
        <v>2.7E-2</v>
      </c>
      <c r="H14" s="104"/>
      <c r="I14" s="104"/>
    </row>
    <row r="15" spans="1:28" hidden="1" outlineLevel="1">
      <c r="A15" s="130"/>
      <c r="B15" s="430" t="s">
        <v>191</v>
      </c>
      <c r="C15" s="431"/>
      <c r="D15" s="432"/>
      <c r="E15" s="433"/>
      <c r="F15" s="434"/>
      <c r="G15" s="435"/>
      <c r="H15" s="104"/>
      <c r="I15" s="104"/>
    </row>
    <row r="16" spans="1:28" hidden="1" outlineLevel="1">
      <c r="A16" s="130"/>
      <c r="B16" s="430" t="s">
        <v>192</v>
      </c>
      <c r="C16" s="431"/>
      <c r="D16" s="432"/>
      <c r="E16" s="433"/>
      <c r="F16" s="434"/>
      <c r="G16" s="435"/>
      <c r="H16" s="104"/>
      <c r="I16" s="104"/>
    </row>
    <row r="17" spans="1:9" hidden="1" outlineLevel="1">
      <c r="A17" s="130"/>
      <c r="B17" s="430" t="s">
        <v>193</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194</v>
      </c>
      <c r="C19" s="425">
        <f>SUM(C14:C18)</f>
        <v>4373860000</v>
      </c>
      <c r="D19" s="426">
        <f>ROUND(C19/C27,4)</f>
        <v>0.50649999999999995</v>
      </c>
      <c r="E19" s="425">
        <f>SUM(E14:E18)</f>
        <v>233211836.24000001</v>
      </c>
      <c r="F19" s="440">
        <f>ROUND(E19/C19,4)</f>
        <v>5.33E-2</v>
      </c>
      <c r="G19" s="429">
        <f>ROUND(+D19*F19,4)</f>
        <v>2.7E-2</v>
      </c>
      <c r="H19" s="104"/>
      <c r="I19" s="104"/>
    </row>
    <row r="20" spans="1:9">
      <c r="A20" s="130"/>
      <c r="B20" s="109"/>
      <c r="C20" s="441"/>
      <c r="D20" s="441"/>
      <c r="E20" s="427"/>
      <c r="F20" s="441"/>
      <c r="G20" s="441"/>
      <c r="H20" s="104"/>
      <c r="I20" s="104"/>
    </row>
    <row r="21" spans="1:9">
      <c r="A21" s="130"/>
      <c r="B21" s="110" t="s">
        <v>195</v>
      </c>
      <c r="C21" s="442">
        <f>C19+C12</f>
        <v>4527531199.4399996</v>
      </c>
      <c r="D21" s="443">
        <f>ROUND(C21/$C$27,4)</f>
        <v>0.52429999999999999</v>
      </c>
      <c r="E21" s="444">
        <f>E19+E12</f>
        <v>236320154.98316666</v>
      </c>
      <c r="F21" s="445">
        <f>ROUND(E21/C21,4)</f>
        <v>5.2200000000000003E-2</v>
      </c>
      <c r="G21" s="446">
        <f>ROUND(+D21*F21,4)</f>
        <v>2.7400000000000001E-2</v>
      </c>
      <c r="H21" s="104"/>
      <c r="I21" s="104"/>
    </row>
    <row r="22" spans="1:9">
      <c r="A22" s="130"/>
      <c r="B22" s="111"/>
      <c r="C22" s="447"/>
      <c r="D22" s="426"/>
      <c r="E22" s="427"/>
      <c r="F22" s="447"/>
      <c r="G22" s="447"/>
      <c r="H22" s="104"/>
      <c r="I22" s="104"/>
    </row>
    <row r="23" spans="1:9">
      <c r="A23" s="130"/>
      <c r="B23" s="110" t="s">
        <v>196</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202</v>
      </c>
      <c r="C25" s="442">
        <f>'Pg 2 CapStructure'!I34-'Pg 2 CapStructure'!L38</f>
        <v>4107647071</v>
      </c>
      <c r="D25" s="443">
        <f>ROUND(C25/$C$27,4)</f>
        <v>0.47570000000000001</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8635178270.4399986</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197</v>
      </c>
      <c r="C31" s="418"/>
      <c r="D31" s="418"/>
      <c r="E31" s="420"/>
      <c r="F31" s="418"/>
      <c r="G31" s="418"/>
    </row>
    <row r="32" spans="1:9">
      <c r="A32" s="130"/>
      <c r="B32" s="463" t="s">
        <v>198</v>
      </c>
      <c r="C32" s="418"/>
      <c r="D32" s="418"/>
      <c r="E32" s="420"/>
      <c r="F32" s="418"/>
      <c r="G32" s="418"/>
    </row>
    <row r="33" spans="1:7">
      <c r="A33" s="130"/>
      <c r="B33" s="464" t="s">
        <v>201</v>
      </c>
      <c r="C33" s="418"/>
      <c r="D33" s="418"/>
      <c r="E33" s="420"/>
      <c r="F33" s="418"/>
      <c r="G33" s="418"/>
    </row>
    <row r="34" spans="1:7">
      <c r="A34" s="465"/>
      <c r="B34" s="462" t="s">
        <v>203</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0" spans="1:7">
      <c r="B40" s="410" t="s">
        <v>295</v>
      </c>
      <c r="C40" s="571">
        <f>C19</f>
        <v>4373860000</v>
      </c>
    </row>
    <row r="41" spans="1:7">
      <c r="B41" s="410" t="s">
        <v>296</v>
      </c>
      <c r="C41" s="572">
        <f>C25</f>
        <v>4107647071</v>
      </c>
      <c r="D41" s="467"/>
      <c r="E41" s="468"/>
    </row>
    <row r="42" spans="1:7">
      <c r="B42" s="410" t="s">
        <v>16</v>
      </c>
      <c r="C42" s="571">
        <f>SUM(C40:C41)</f>
        <v>8481507071</v>
      </c>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6640625" defaultRowHeight="12"/>
  <cols>
    <col min="1" max="16384" width="10.6640625" style="508"/>
  </cols>
  <sheetData>
    <row r="1" spans="1:7" s="507" customFormat="1" ht="59.25">
      <c r="A1" s="506" t="s">
        <v>230</v>
      </c>
      <c r="B1" s="506"/>
      <c r="C1" s="506"/>
      <c r="D1" s="506"/>
      <c r="E1" s="506"/>
      <c r="F1" s="506"/>
      <c r="G1" s="506"/>
    </row>
    <row r="10" spans="1:7">
      <c r="B10" s="509"/>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2" t="s">
        <v>199</v>
      </c>
    </row>
    <row r="5" spans="1:25" ht="33.75">
      <c r="A5" s="361">
        <v>1</v>
      </c>
      <c r="B5" s="362" t="s">
        <v>127</v>
      </c>
      <c r="C5" s="362" t="s">
        <v>100</v>
      </c>
      <c r="D5" s="362" t="s">
        <v>57</v>
      </c>
      <c r="E5" s="362" t="s">
        <v>104</v>
      </c>
      <c r="F5" s="362" t="s">
        <v>117</v>
      </c>
      <c r="G5" s="362" t="s">
        <v>84</v>
      </c>
      <c r="H5" s="362" t="s">
        <v>94</v>
      </c>
      <c r="I5" s="362" t="s">
        <v>80</v>
      </c>
      <c r="J5" s="363">
        <v>41560</v>
      </c>
      <c r="K5" s="363">
        <v>41591</v>
      </c>
      <c r="L5" s="363">
        <v>41621</v>
      </c>
      <c r="M5" s="363" t="e">
        <f>'Pg 2 CapStructure'!#REF!</f>
        <v>#REF!</v>
      </c>
      <c r="N5" s="363">
        <f>'Pg 2 CapStructure'!C6</f>
        <v>43830</v>
      </c>
      <c r="O5" s="363">
        <f>'Pg 2 CapStructure'!D6</f>
        <v>43861</v>
      </c>
      <c r="P5" s="363">
        <f>'Pg 2 CapStructure'!E6</f>
        <v>43890</v>
      </c>
      <c r="Q5" s="363">
        <f>'Pg 2 CapStructure'!F6</f>
        <v>43921</v>
      </c>
      <c r="R5" s="363">
        <f>'Pg 2 CapStructure'!G6</f>
        <v>43951</v>
      </c>
      <c r="S5" s="363">
        <f>'Pg 2 CapStructure'!H6</f>
        <v>43982</v>
      </c>
      <c r="T5" s="363">
        <f>'Pg 2 CapStructure'!I6</f>
        <v>44012</v>
      </c>
      <c r="U5" s="363">
        <f>'Pg 2 CapStructure'!J6</f>
        <v>44043</v>
      </c>
      <c r="X5" s="473" t="s">
        <v>38</v>
      </c>
      <c r="Y5" s="473" t="s">
        <v>200</v>
      </c>
    </row>
    <row r="6" spans="1:25">
      <c r="A6" s="133">
        <f>A5+1</f>
        <v>2</v>
      </c>
      <c r="B6" s="137" t="s">
        <v>22</v>
      </c>
      <c r="C6" s="282">
        <v>6.9000000000000006E-2</v>
      </c>
      <c r="D6" s="283">
        <v>34242</v>
      </c>
      <c r="E6" s="283">
        <v>41548</v>
      </c>
      <c r="F6" s="272">
        <f>ROUND(((+J6+U6)+(SUM(K6:T6)*2))/22,0)</f>
        <v>0</v>
      </c>
      <c r="G6" s="284">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2">
        <v>7.3499999999999996E-2</v>
      </c>
      <c r="D7" s="283">
        <v>34953</v>
      </c>
      <c r="E7" s="283">
        <v>42258</v>
      </c>
      <c r="F7" s="272">
        <f t="shared" ref="F7:F27" si="3">ROUND(((+J7+U7)+(SUM(K7:T7)*2))/22,0)</f>
        <v>10000000</v>
      </c>
      <c r="G7" s="284">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2">
        <v>7.3599999999999999E-2</v>
      </c>
      <c r="D8" s="283">
        <v>34953</v>
      </c>
      <c r="E8" s="283">
        <v>42262</v>
      </c>
      <c r="F8" s="272">
        <f t="shared" si="3"/>
        <v>2000000</v>
      </c>
      <c r="G8" s="284">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2">
        <v>5.1970000000000002E-2</v>
      </c>
      <c r="D9" s="283">
        <v>38637</v>
      </c>
      <c r="E9" s="283">
        <v>42278</v>
      </c>
      <c r="F9" s="272">
        <f t="shared" si="3"/>
        <v>150000000</v>
      </c>
      <c r="G9" s="284">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2">
        <v>6.7500000000000004E-2</v>
      </c>
      <c r="D10" s="283">
        <v>39836</v>
      </c>
      <c r="E10" s="283">
        <v>42384</v>
      </c>
      <c r="F10" s="272">
        <f t="shared" si="3"/>
        <v>250000000</v>
      </c>
      <c r="G10" s="284">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2">
        <v>6.7400000000000002E-2</v>
      </c>
      <c r="D11" s="283">
        <v>35961</v>
      </c>
      <c r="E11" s="283">
        <v>43266</v>
      </c>
      <c r="F11" s="272">
        <f t="shared" si="3"/>
        <v>200000000</v>
      </c>
      <c r="G11" s="284">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2">
        <v>7.1499999999999994E-2</v>
      </c>
      <c r="D12" s="283">
        <v>35053</v>
      </c>
      <c r="E12" s="283">
        <v>46010</v>
      </c>
      <c r="F12" s="272">
        <f t="shared" si="3"/>
        <v>15000000</v>
      </c>
      <c r="G12" s="284">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2">
        <v>7.1999999999999995E-2</v>
      </c>
      <c r="D13" s="283">
        <v>35054</v>
      </c>
      <c r="E13" s="283">
        <v>46013</v>
      </c>
      <c r="F13" s="272">
        <f t="shared" si="3"/>
        <v>2000000</v>
      </c>
      <c r="G13" s="284">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2">
        <v>7.0199999999999999E-2</v>
      </c>
      <c r="D14" s="283">
        <v>35786</v>
      </c>
      <c r="E14" s="283">
        <v>46722</v>
      </c>
      <c r="F14" s="272">
        <f t="shared" si="3"/>
        <v>300000000</v>
      </c>
      <c r="G14" s="284">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2">
        <v>7.0000000000000007E-2</v>
      </c>
      <c r="D15" s="283">
        <v>36228</v>
      </c>
      <c r="E15" s="283">
        <v>47186</v>
      </c>
      <c r="F15" s="272">
        <f t="shared" si="3"/>
        <v>100000000</v>
      </c>
      <c r="G15" s="284">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5" t="s">
        <v>24</v>
      </c>
      <c r="C16" s="282">
        <v>3.9E-2</v>
      </c>
      <c r="D16" s="286">
        <v>41417</v>
      </c>
      <c r="E16" s="287">
        <v>47908</v>
      </c>
      <c r="F16" s="272">
        <f t="shared" si="3"/>
        <v>138460000</v>
      </c>
      <c r="G16" s="284">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5" t="s">
        <v>24</v>
      </c>
      <c r="C17" s="282">
        <v>0.04</v>
      </c>
      <c r="D17" s="286">
        <v>41417</v>
      </c>
      <c r="E17" s="287">
        <v>47908</v>
      </c>
      <c r="F17" s="272">
        <f t="shared" si="3"/>
        <v>23400000</v>
      </c>
      <c r="G17" s="284">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2">
        <v>5.4829999999999997E-2</v>
      </c>
      <c r="D18" s="283">
        <v>38499</v>
      </c>
      <c r="E18" s="283">
        <v>49461</v>
      </c>
      <c r="F18" s="272">
        <f t="shared" si="3"/>
        <v>250000000</v>
      </c>
      <c r="G18" s="284">
        <v>84.886606835999999</v>
      </c>
      <c r="H18" s="182">
        <f t="shared" si="0"/>
        <v>6.6500000000000004E-2</v>
      </c>
      <c r="I18" s="275">
        <f t="shared" si="1"/>
        <v>16625000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X18" s="272">
        <f t="shared" si="2"/>
        <v>16625000</v>
      </c>
    </row>
    <row r="19" spans="1:25">
      <c r="A19" s="133">
        <f t="shared" si="4"/>
        <v>15</v>
      </c>
      <c r="B19" s="137" t="s">
        <v>95</v>
      </c>
      <c r="C19" s="282">
        <v>6.7239999999999994E-2</v>
      </c>
      <c r="D19" s="283">
        <v>38898</v>
      </c>
      <c r="E19" s="283">
        <v>49841</v>
      </c>
      <c r="F19" s="272">
        <f t="shared" si="3"/>
        <v>250000000</v>
      </c>
      <c r="G19" s="284">
        <v>107.515271756</v>
      </c>
      <c r="H19" s="182">
        <f t="shared" si="0"/>
        <v>6.1699999999999998E-2</v>
      </c>
      <c r="I19" s="275">
        <f t="shared" si="1"/>
        <v>15425000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X19" s="272">
        <f t="shared" si="2"/>
        <v>15425000</v>
      </c>
    </row>
    <row r="20" spans="1:25">
      <c r="A20" s="133">
        <f t="shared" si="4"/>
        <v>16</v>
      </c>
      <c r="B20" s="137" t="s">
        <v>95</v>
      </c>
      <c r="C20" s="282">
        <v>6.2740000000000004E-2</v>
      </c>
      <c r="D20" s="283">
        <v>38978</v>
      </c>
      <c r="E20" s="283">
        <v>50114</v>
      </c>
      <c r="F20" s="272">
        <f t="shared" si="3"/>
        <v>300000000</v>
      </c>
      <c r="G20" s="284">
        <v>98.812700000000007</v>
      </c>
      <c r="H20" s="182">
        <f t="shared" si="0"/>
        <v>6.3600000000000004E-2</v>
      </c>
      <c r="I20" s="275">
        <f t="shared" si="1"/>
        <v>19080000</v>
      </c>
      <c r="J20" s="275">
        <v>300000000</v>
      </c>
      <c r="K20" s="275">
        <v>300000000</v>
      </c>
      <c r="L20" s="275">
        <v>300000000</v>
      </c>
      <c r="M20" s="275">
        <v>300000000</v>
      </c>
      <c r="N20" s="275">
        <v>300000000</v>
      </c>
      <c r="O20" s="275">
        <v>300000000</v>
      </c>
      <c r="P20" s="275">
        <v>300000000</v>
      </c>
      <c r="Q20" s="275">
        <v>300000000</v>
      </c>
      <c r="R20" s="275">
        <v>300000000</v>
      </c>
      <c r="S20" s="275">
        <v>300000000</v>
      </c>
      <c r="T20" s="275">
        <v>300000000</v>
      </c>
      <c r="U20" s="275">
        <v>300000000</v>
      </c>
      <c r="X20" s="272">
        <f t="shared" si="2"/>
        <v>19080000</v>
      </c>
    </row>
    <row r="21" spans="1:25">
      <c r="A21" s="133">
        <f t="shared" si="4"/>
        <v>17</v>
      </c>
      <c r="B21" s="137" t="s">
        <v>95</v>
      </c>
      <c r="C21" s="282">
        <v>5.7570000000000003E-2</v>
      </c>
      <c r="D21" s="283">
        <v>40067</v>
      </c>
      <c r="E21" s="283">
        <v>51058</v>
      </c>
      <c r="F21" s="272">
        <f t="shared" si="3"/>
        <v>350000000</v>
      </c>
      <c r="G21" s="284">
        <v>98.983599999999996</v>
      </c>
      <c r="H21" s="182">
        <f t="shared" si="0"/>
        <v>5.8299999999999998E-2</v>
      </c>
      <c r="I21" s="275">
        <f t="shared" si="1"/>
        <v>20405000</v>
      </c>
      <c r="J21" s="275">
        <v>350000000</v>
      </c>
      <c r="K21" s="275">
        <v>350000000</v>
      </c>
      <c r="L21" s="275">
        <v>350000000</v>
      </c>
      <c r="M21" s="275">
        <v>350000000</v>
      </c>
      <c r="N21" s="275">
        <v>350000000</v>
      </c>
      <c r="O21" s="275">
        <v>350000000</v>
      </c>
      <c r="P21" s="275">
        <v>350000000</v>
      </c>
      <c r="Q21" s="275">
        <v>350000000</v>
      </c>
      <c r="R21" s="275">
        <v>350000000</v>
      </c>
      <c r="S21" s="275">
        <v>350000000</v>
      </c>
      <c r="T21" s="275">
        <v>350000000</v>
      </c>
      <c r="U21" s="275">
        <v>350000000</v>
      </c>
      <c r="X21" s="272">
        <f t="shared" si="2"/>
        <v>20405000</v>
      </c>
    </row>
    <row r="22" spans="1:25">
      <c r="A22" s="133">
        <f t="shared" si="4"/>
        <v>18</v>
      </c>
      <c r="B22" s="137" t="s">
        <v>95</v>
      </c>
      <c r="C22" s="282">
        <v>5.7950000000000002E-2</v>
      </c>
      <c r="D22" s="283">
        <v>40245</v>
      </c>
      <c r="E22" s="283">
        <v>51210</v>
      </c>
      <c r="F22" s="272">
        <f t="shared" si="3"/>
        <v>325000000</v>
      </c>
      <c r="G22" s="284">
        <v>98.958799999999997</v>
      </c>
      <c r="H22" s="182">
        <f t="shared" si="0"/>
        <v>5.8700000000000002E-2</v>
      </c>
      <c r="I22" s="275">
        <f t="shared" si="1"/>
        <v>19077500</v>
      </c>
      <c r="J22" s="275">
        <v>325000000</v>
      </c>
      <c r="K22" s="275">
        <v>325000000</v>
      </c>
      <c r="L22" s="275">
        <v>325000000</v>
      </c>
      <c r="M22" s="275">
        <v>325000000</v>
      </c>
      <c r="N22" s="275">
        <v>325000000</v>
      </c>
      <c r="O22" s="275">
        <v>325000000</v>
      </c>
      <c r="P22" s="275">
        <v>325000000</v>
      </c>
      <c r="Q22" s="275">
        <v>325000000</v>
      </c>
      <c r="R22" s="275">
        <v>325000000</v>
      </c>
      <c r="S22" s="275">
        <v>325000000</v>
      </c>
      <c r="T22" s="275">
        <v>325000000</v>
      </c>
      <c r="U22" s="275">
        <v>325000000</v>
      </c>
      <c r="X22" s="272">
        <f t="shared" si="2"/>
        <v>19077500</v>
      </c>
    </row>
    <row r="23" spans="1:25">
      <c r="A23" s="133">
        <f t="shared" si="4"/>
        <v>19</v>
      </c>
      <c r="B23" s="137" t="s">
        <v>95</v>
      </c>
      <c r="C23" s="282">
        <v>5.7639999999999997E-2</v>
      </c>
      <c r="D23" s="283">
        <v>40358</v>
      </c>
      <c r="E23" s="283">
        <v>51332</v>
      </c>
      <c r="F23" s="272">
        <f t="shared" si="3"/>
        <v>250000000</v>
      </c>
      <c r="G23" s="284">
        <v>98.965199999999996</v>
      </c>
      <c r="H23" s="182">
        <f t="shared" si="0"/>
        <v>5.8400000000000001E-2</v>
      </c>
      <c r="I23" s="275">
        <f t="shared" si="1"/>
        <v>14600000</v>
      </c>
      <c r="J23" s="275">
        <v>250000000</v>
      </c>
      <c r="K23" s="275">
        <v>250000000</v>
      </c>
      <c r="L23" s="275">
        <v>250000000</v>
      </c>
      <c r="M23" s="275">
        <v>250000000</v>
      </c>
      <c r="N23" s="275">
        <v>250000000</v>
      </c>
      <c r="O23" s="275">
        <v>250000000</v>
      </c>
      <c r="P23" s="275">
        <v>250000000</v>
      </c>
      <c r="Q23" s="275">
        <v>250000000</v>
      </c>
      <c r="R23" s="275">
        <v>250000000</v>
      </c>
      <c r="S23" s="275">
        <v>250000000</v>
      </c>
      <c r="T23" s="275">
        <v>250000000</v>
      </c>
      <c r="U23" s="275">
        <v>250000000</v>
      </c>
      <c r="X23" s="272">
        <f t="shared" si="2"/>
        <v>14600000</v>
      </c>
    </row>
    <row r="24" spans="1:25">
      <c r="A24" s="133">
        <v>25</v>
      </c>
      <c r="B24" s="137" t="s">
        <v>95</v>
      </c>
      <c r="C24" s="282">
        <v>5.638E-2</v>
      </c>
      <c r="D24" s="283">
        <v>40627</v>
      </c>
      <c r="E24" s="283">
        <v>51606</v>
      </c>
      <c r="F24" s="272">
        <f t="shared" si="3"/>
        <v>300000000</v>
      </c>
      <c r="G24" s="284">
        <v>98.971000000000004</v>
      </c>
      <c r="H24" s="182">
        <f t="shared" si="0"/>
        <v>5.7099999999999998E-2</v>
      </c>
      <c r="I24" s="275">
        <f t="shared" si="1"/>
        <v>17130000</v>
      </c>
      <c r="J24" s="275">
        <v>300000000</v>
      </c>
      <c r="K24" s="275">
        <v>300000000</v>
      </c>
      <c r="L24" s="275">
        <v>300000000</v>
      </c>
      <c r="M24" s="275">
        <v>300000000</v>
      </c>
      <c r="N24" s="275">
        <v>300000000</v>
      </c>
      <c r="O24" s="275">
        <v>300000000</v>
      </c>
      <c r="P24" s="275">
        <v>300000000</v>
      </c>
      <c r="Q24" s="275">
        <v>300000000</v>
      </c>
      <c r="R24" s="275">
        <v>300000000</v>
      </c>
      <c r="S24" s="275">
        <v>300000000</v>
      </c>
      <c r="T24" s="275">
        <v>300000000</v>
      </c>
      <c r="U24" s="275">
        <v>300000000</v>
      </c>
      <c r="X24" s="272">
        <f t="shared" si="2"/>
        <v>17130000</v>
      </c>
    </row>
    <row r="25" spans="1:25">
      <c r="A25" s="133">
        <v>26</v>
      </c>
      <c r="B25" s="137" t="s">
        <v>95</v>
      </c>
      <c r="C25" s="282">
        <v>4.4339999999999997E-2</v>
      </c>
      <c r="D25" s="283">
        <v>40863</v>
      </c>
      <c r="E25" s="283">
        <v>51820</v>
      </c>
      <c r="F25" s="272">
        <f t="shared" si="3"/>
        <v>250000000</v>
      </c>
      <c r="G25" s="284">
        <v>98.962999999999994</v>
      </c>
      <c r="H25" s="182">
        <f t="shared" si="0"/>
        <v>4.4999999999999998E-2</v>
      </c>
      <c r="I25" s="275">
        <f t="shared" si="1"/>
        <v>11250000</v>
      </c>
      <c r="J25" s="275">
        <v>250000000</v>
      </c>
      <c r="K25" s="275">
        <v>250000000</v>
      </c>
      <c r="L25" s="275">
        <v>250000000</v>
      </c>
      <c r="M25" s="275">
        <v>250000000</v>
      </c>
      <c r="N25" s="275">
        <v>250000000</v>
      </c>
      <c r="O25" s="275">
        <v>250000000</v>
      </c>
      <c r="P25" s="275">
        <v>250000000</v>
      </c>
      <c r="Q25" s="275">
        <v>250000000</v>
      </c>
      <c r="R25" s="275">
        <v>250000000</v>
      </c>
      <c r="S25" s="275">
        <v>250000000</v>
      </c>
      <c r="T25" s="275">
        <v>250000000</v>
      </c>
      <c r="U25" s="275">
        <v>250000000</v>
      </c>
      <c r="X25" s="272">
        <f t="shared" si="2"/>
        <v>11250000</v>
      </c>
    </row>
    <row r="26" spans="1:25">
      <c r="A26" s="133">
        <v>27</v>
      </c>
      <c r="B26" s="137" t="s">
        <v>95</v>
      </c>
      <c r="C26" s="282">
        <v>4.7E-2</v>
      </c>
      <c r="D26" s="283">
        <v>40869</v>
      </c>
      <c r="E26" s="283">
        <v>55472</v>
      </c>
      <c r="F26" s="272">
        <f t="shared" si="3"/>
        <v>45000000</v>
      </c>
      <c r="G26" s="284">
        <v>98.863900000000001</v>
      </c>
      <c r="H26" s="182">
        <f t="shared" si="0"/>
        <v>4.7600000000000003E-2</v>
      </c>
      <c r="I26" s="275">
        <f t="shared" si="1"/>
        <v>2142000</v>
      </c>
      <c r="J26" s="275">
        <v>45000000</v>
      </c>
      <c r="K26" s="275">
        <v>45000000</v>
      </c>
      <c r="L26" s="275">
        <v>45000000</v>
      </c>
      <c r="M26" s="275">
        <v>45000000</v>
      </c>
      <c r="N26" s="275">
        <v>45000000</v>
      </c>
      <c r="O26" s="275">
        <v>45000000</v>
      </c>
      <c r="P26" s="275">
        <v>45000000</v>
      </c>
      <c r="Q26" s="275">
        <v>45000000</v>
      </c>
      <c r="R26" s="275">
        <v>45000000</v>
      </c>
      <c r="S26" s="275">
        <v>45000000</v>
      </c>
      <c r="T26" s="275">
        <v>45000000</v>
      </c>
      <c r="U26" s="275">
        <v>45000000</v>
      </c>
      <c r="X26" s="272">
        <f t="shared" si="2"/>
        <v>2142000</v>
      </c>
    </row>
    <row r="27" spans="1:25">
      <c r="A27" s="133">
        <v>28</v>
      </c>
      <c r="B27" s="137" t="s">
        <v>126</v>
      </c>
      <c r="C27" s="282">
        <v>6.9739999999999996E-2</v>
      </c>
      <c r="D27" s="283">
        <v>39237</v>
      </c>
      <c r="E27" s="283">
        <v>42887</v>
      </c>
      <c r="F27" s="272">
        <f t="shared" si="3"/>
        <v>250000000</v>
      </c>
      <c r="G27" s="284">
        <v>98.226200000000006</v>
      </c>
      <c r="H27" s="182">
        <f t="shared" si="0"/>
        <v>7.2300000000000003E-2</v>
      </c>
      <c r="I27" s="275">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2"/>
      <c r="D28" s="283"/>
      <c r="E28" s="283"/>
      <c r="F28" s="272"/>
      <c r="G28" s="292"/>
      <c r="H28" s="182"/>
      <c r="I28" s="275"/>
      <c r="J28" s="272"/>
      <c r="K28" s="272"/>
      <c r="L28" s="272"/>
      <c r="M28" s="272"/>
      <c r="N28" s="272"/>
      <c r="O28" s="272"/>
      <c r="P28" s="272"/>
      <c r="Q28" s="272"/>
      <c r="R28" s="272"/>
      <c r="S28" s="272"/>
      <c r="T28" s="272"/>
      <c r="U28" s="272"/>
      <c r="X28" s="474">
        <f>SUM(X6:X27)</f>
        <v>229612028</v>
      </c>
    </row>
    <row r="29" spans="1:25" ht="13.5" thickBot="1">
      <c r="A29" s="133">
        <f t="shared" si="4"/>
        <v>30</v>
      </c>
      <c r="B29" s="137"/>
      <c r="C29" s="139" t="s">
        <v>116</v>
      </c>
      <c r="D29" s="283"/>
      <c r="E29" s="283"/>
      <c r="F29" s="272"/>
      <c r="G29" s="288"/>
      <c r="H29" s="182"/>
      <c r="I29" s="289">
        <f>'Pg 7 Reacquired Debt'!I31</f>
        <v>2157708.2400000002</v>
      </c>
      <c r="J29" s="230"/>
      <c r="K29" s="230"/>
      <c r="L29" s="230"/>
      <c r="M29" s="230"/>
      <c r="N29" s="230"/>
      <c r="O29" s="230"/>
      <c r="P29" s="230"/>
      <c r="Q29" s="230"/>
      <c r="R29" s="230"/>
      <c r="S29" s="230"/>
      <c r="T29" s="230"/>
      <c r="U29" s="230"/>
      <c r="X29" s="474">
        <f>I29</f>
        <v>2157708.2400000002</v>
      </c>
    </row>
    <row r="30" spans="1:25" ht="13.5" thickBot="1">
      <c r="A30" s="133">
        <f t="shared" si="4"/>
        <v>31</v>
      </c>
      <c r="B30" s="139" t="s">
        <v>129</v>
      </c>
      <c r="C30" s="282"/>
      <c r="D30" s="283"/>
      <c r="E30" s="283"/>
      <c r="F30" s="289">
        <f>SUM(F6:F29)</f>
        <v>3760860000</v>
      </c>
      <c r="G30" s="290"/>
      <c r="H30" s="215">
        <f>ROUND(+I30/F30,4)</f>
        <v>6.1600000000000002E-2</v>
      </c>
      <c r="I30" s="293">
        <f t="shared" ref="I30:U30" si="5">SUM(I6:I29)</f>
        <v>231769736.24000001</v>
      </c>
      <c r="J30" s="293">
        <f t="shared" si="5"/>
        <v>3760860000</v>
      </c>
      <c r="K30" s="293">
        <f t="shared" si="5"/>
        <v>3760860000</v>
      </c>
      <c r="L30" s="293">
        <f t="shared" si="5"/>
        <v>3760860000</v>
      </c>
      <c r="M30" s="293">
        <f t="shared" si="5"/>
        <v>3760860000</v>
      </c>
      <c r="N30" s="293">
        <f t="shared" si="5"/>
        <v>3760860000</v>
      </c>
      <c r="O30" s="293">
        <f t="shared" si="5"/>
        <v>3760860000</v>
      </c>
      <c r="P30" s="293">
        <f t="shared" si="5"/>
        <v>3760860000</v>
      </c>
      <c r="Q30" s="293">
        <f t="shared" si="5"/>
        <v>3760860000</v>
      </c>
      <c r="R30" s="293">
        <f t="shared" si="5"/>
        <v>3760860000</v>
      </c>
      <c r="S30" s="293">
        <f t="shared" si="5"/>
        <v>3760860000</v>
      </c>
      <c r="T30" s="293">
        <f t="shared" si="5"/>
        <v>3760860000</v>
      </c>
      <c r="U30" s="293">
        <f t="shared" si="5"/>
        <v>3760860000</v>
      </c>
      <c r="X30" s="293">
        <f>SUM(X28:X29)</f>
        <v>231769736.24000001</v>
      </c>
      <c r="Y30" s="475">
        <f>X30/U30</f>
        <v>6.1626791808256622E-2</v>
      </c>
    </row>
    <row r="31" spans="1:25">
      <c r="A31" s="133">
        <f t="shared" si="4"/>
        <v>32</v>
      </c>
      <c r="B31" s="137"/>
      <c r="C31" s="282"/>
      <c r="D31" s="283"/>
      <c r="E31" s="283"/>
      <c r="F31" s="291"/>
      <c r="G31" s="288"/>
      <c r="H31" s="245"/>
      <c r="I31" s="291"/>
      <c r="J31" s="497"/>
      <c r="K31" s="497"/>
      <c r="L31" s="497"/>
      <c r="M31" s="497"/>
      <c r="N31" s="497"/>
      <c r="O31" s="497"/>
      <c r="P31" s="497"/>
      <c r="Q31" s="497"/>
      <c r="R31" s="497"/>
      <c r="S31" s="497"/>
      <c r="T31" s="497"/>
      <c r="U31" s="497"/>
      <c r="X31" s="273">
        <f>H31*U31</f>
        <v>0</v>
      </c>
    </row>
    <row r="32" spans="1:25">
      <c r="A32" s="133">
        <f t="shared" si="4"/>
        <v>33</v>
      </c>
      <c r="B32" s="139"/>
      <c r="C32" s="136"/>
      <c r="D32" s="136"/>
      <c r="E32" s="136"/>
      <c r="F32" s="291"/>
      <c r="G32" s="25"/>
      <c r="H32" s="245"/>
      <c r="I32" s="291"/>
      <c r="J32" s="343"/>
      <c r="K32" s="343"/>
      <c r="L32" s="343"/>
      <c r="M32" s="343"/>
      <c r="N32" s="343"/>
      <c r="O32" s="343"/>
      <c r="P32" s="343"/>
      <c r="Q32" s="343"/>
      <c r="R32" s="343"/>
      <c r="S32" s="343"/>
      <c r="T32" s="343"/>
      <c r="U32" s="343"/>
      <c r="X32" s="272">
        <f>I32</f>
        <v>0</v>
      </c>
    </row>
    <row r="33" spans="1:55">
      <c r="A33" s="133">
        <f t="shared" si="4"/>
        <v>34</v>
      </c>
      <c r="B33" s="135" t="s">
        <v>85</v>
      </c>
      <c r="C33" s="136"/>
      <c r="D33" s="136"/>
      <c r="E33" s="136"/>
      <c r="F33" s="136"/>
      <c r="G33" s="136"/>
      <c r="H33" s="136"/>
      <c r="I33" s="136"/>
      <c r="X33" s="291"/>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1" t="str">
        <f>IF((F30-'Pg 2 CapStructure'!Q16)&gt;1,"Total LTD ERROR",IF((F30-'Pg 2 CapStructure'!Q16)&lt;-1,"Total LTD ERROR",""))</f>
        <v>Total LTD ERROR</v>
      </c>
      <c r="G36" s="134"/>
      <c r="H36" s="294"/>
      <c r="I36" s="295"/>
      <c r="J36" s="296"/>
      <c r="K36" s="296"/>
      <c r="L36" s="296"/>
      <c r="M36" s="296"/>
      <c r="N36" s="296"/>
      <c r="O36" s="296"/>
      <c r="P36" s="296"/>
      <c r="Q36" s="296"/>
      <c r="R36" s="296"/>
      <c r="S36" s="296"/>
      <c r="T36" s="296"/>
      <c r="U36" s="29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7"/>
      <c r="C37" s="297"/>
      <c r="D37" s="297"/>
      <c r="E37" s="297"/>
      <c r="F37" s="271"/>
      <c r="G37" s="297"/>
      <c r="H37" s="136"/>
      <c r="I37" s="178"/>
      <c r="J37" s="298"/>
      <c r="K37" s="298"/>
      <c r="L37" s="298"/>
      <c r="M37" s="137"/>
      <c r="N37" s="137"/>
      <c r="O37" s="137"/>
      <c r="P37" s="137"/>
      <c r="Q37" s="137"/>
      <c r="R37" s="137"/>
      <c r="S37" s="137"/>
      <c r="T37" s="137"/>
      <c r="U37" s="137"/>
    </row>
    <row r="38" spans="1:55">
      <c r="A38" s="44"/>
      <c r="B38" s="297"/>
      <c r="C38" s="297"/>
      <c r="D38" s="297"/>
      <c r="E38" s="297"/>
      <c r="F38" s="270"/>
      <c r="G38" s="297"/>
      <c r="H38" s="134"/>
      <c r="I38" s="295"/>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66" t="e">
        <f>#REF!</f>
        <v>#REF!</v>
      </c>
      <c r="C5" s="266"/>
      <c r="D5" s="266"/>
      <c r="E5" s="266"/>
      <c r="F5" s="266"/>
      <c r="H5" s="238"/>
      <c r="L5" s="241"/>
    </row>
    <row r="6" spans="1:12">
      <c r="A6" s="18"/>
      <c r="C6" s="19"/>
      <c r="H6" s="238"/>
      <c r="L6" s="241"/>
    </row>
    <row r="7" spans="1:12" ht="18">
      <c r="A7" s="18"/>
      <c r="B7" s="510" t="s">
        <v>231</v>
      </c>
      <c r="C7" s="511"/>
      <c r="D7" s="511"/>
      <c r="E7" s="511"/>
      <c r="F7" s="512"/>
      <c r="H7" s="238"/>
      <c r="L7" s="241"/>
    </row>
    <row r="8" spans="1:12" ht="15.75">
      <c r="A8" s="18"/>
      <c r="B8" s="513" t="s">
        <v>232</v>
      </c>
      <c r="C8" s="514"/>
      <c r="D8" s="514"/>
      <c r="E8" s="514"/>
      <c r="F8" s="515"/>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60" t="e">
        <f>#REF!</f>
        <v>#REF!</v>
      </c>
      <c r="E15" s="351"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6" t="e">
        <f>#REF!</f>
        <v>#REF!</v>
      </c>
      <c r="E17" s="169" t="e">
        <f>#REF!</f>
        <v>#REF!</v>
      </c>
      <c r="F17" s="181" t="e">
        <f>ROUND(D17*E17,5)</f>
        <v>#REF!</v>
      </c>
      <c r="L17" s="238"/>
    </row>
    <row r="18" spans="1:12">
      <c r="A18" s="193">
        <f t="shared" si="0"/>
        <v>10</v>
      </c>
      <c r="B18" s="111"/>
      <c r="C18" s="168"/>
      <c r="D18" s="181"/>
      <c r="E18" s="171"/>
      <c r="F18" s="359"/>
      <c r="H18" s="517"/>
      <c r="I18" s="517"/>
      <c r="J18" s="517"/>
      <c r="K18" s="517"/>
      <c r="L18" s="517"/>
    </row>
    <row r="19" spans="1:12">
      <c r="A19" s="193">
        <f t="shared" si="0"/>
        <v>11</v>
      </c>
      <c r="B19" s="110" t="s">
        <v>15</v>
      </c>
      <c r="C19" s="172" t="e">
        <f>#REF!</f>
        <v>#REF!</v>
      </c>
      <c r="D19" s="339" t="e">
        <f>#REF!</f>
        <v>#REF!</v>
      </c>
      <c r="E19" s="518" t="e">
        <f>#REF!</f>
        <v>#REF!</v>
      </c>
      <c r="F19" s="360"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233</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9" t="s">
        <v>234</v>
      </c>
      <c r="C1" s="519"/>
      <c r="D1" s="519"/>
      <c r="E1" s="519"/>
      <c r="F1" s="519"/>
      <c r="G1" s="520"/>
    </row>
    <row r="2" spans="1:8">
      <c r="A2" s="3" t="s">
        <v>2</v>
      </c>
      <c r="B2" s="4"/>
      <c r="C2" s="4"/>
      <c r="D2" s="4"/>
      <c r="E2" s="4"/>
      <c r="F2" s="4"/>
      <c r="G2" s="4"/>
      <c r="H2" s="4"/>
    </row>
    <row r="3" spans="1:8" ht="15.75">
      <c r="A3" s="34"/>
      <c r="B3" s="336" t="s">
        <v>25</v>
      </c>
      <c r="C3" s="201"/>
      <c r="D3" s="201"/>
      <c r="E3" s="201"/>
      <c r="F3" s="201"/>
    </row>
    <row r="4" spans="1:8" ht="15.75">
      <c r="A4" s="34"/>
      <c r="B4" s="336" t="s">
        <v>37</v>
      </c>
      <c r="C4" s="201"/>
      <c r="D4" s="201"/>
      <c r="E4" s="201"/>
      <c r="F4" s="201"/>
    </row>
    <row r="5" spans="1:8" ht="15.75" customHeight="1">
      <c r="B5" s="337"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134816008.18000001</v>
      </c>
      <c r="D13" s="211">
        <f>IF(E13=0,"NA",(E13/C13))</f>
        <v>4.783148149135474E-3</v>
      </c>
      <c r="E13" s="76">
        <f>'A3  STD Int &amp; Fees-Prior Fac'!D11</f>
        <v>644844.93999999994</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9" t="s">
        <v>157</v>
      </c>
      <c r="C17" s="331" t="e">
        <f>SUM(C13:C16)</f>
        <v>#REF!</v>
      </c>
      <c r="D17" s="332" t="e">
        <f>IF(E17=0,"NA",(E17/C17))</f>
        <v>#REF!</v>
      </c>
      <c r="E17" s="330" t="e">
        <f>SUM(E13:E16)</f>
        <v>#REF!</v>
      </c>
      <c r="F17" s="74"/>
      <c r="G17" s="75"/>
    </row>
    <row r="18" spans="1:7">
      <c r="A18" s="3">
        <f t="shared" si="0"/>
        <v>11</v>
      </c>
      <c r="B18" s="67"/>
      <c r="C18" s="86"/>
      <c r="D18" s="212"/>
      <c r="E18" s="77"/>
      <c r="F18" s="67"/>
      <c r="G18" s="75"/>
    </row>
    <row r="19" spans="1:7">
      <c r="A19" s="3">
        <f t="shared" si="0"/>
        <v>12</v>
      </c>
      <c r="B19" s="71" t="s">
        <v>54</v>
      </c>
      <c r="C19" s="87"/>
      <c r="D19" s="88"/>
      <c r="E19" s="350"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0">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1"/>
      <c r="D26" s="521"/>
      <c r="E26" s="521"/>
      <c r="F26" s="71"/>
      <c r="G26" s="10"/>
    </row>
    <row r="27" spans="1:7">
      <c r="A27" s="3">
        <f t="shared" si="0"/>
        <v>20</v>
      </c>
      <c r="B27" s="131" t="s">
        <v>235</v>
      </c>
      <c r="C27" s="521"/>
      <c r="D27" s="521"/>
      <c r="E27" s="521"/>
      <c r="F27" s="71"/>
      <c r="G27" s="10"/>
    </row>
    <row r="28" spans="1:7">
      <c r="A28" s="3">
        <f t="shared" si="0"/>
        <v>21</v>
      </c>
      <c r="B28" s="131" t="s">
        <v>236</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22" t="s">
        <v>234</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 t="shared" ref="A6:A40" si="0">+A5+1</f>
        <v>2</v>
      </c>
      <c r="B6" s="353" t="s">
        <v>121</v>
      </c>
      <c r="C6" s="354"/>
      <c r="D6" s="354"/>
      <c r="E6" s="354"/>
      <c r="F6" s="354"/>
      <c r="G6" s="354"/>
      <c r="H6" s="150"/>
      <c r="I6" s="150"/>
      <c r="J6" s="150"/>
      <c r="K6" s="355"/>
      <c r="M6" s="35"/>
      <c r="N6" s="35"/>
      <c r="O6" s="35"/>
    </row>
    <row r="7" spans="1:15" ht="12">
      <c r="A7" s="192">
        <f t="shared" si="0"/>
        <v>3</v>
      </c>
      <c r="B7" s="523"/>
      <c r="C7" s="206"/>
      <c r="D7" s="206"/>
      <c r="E7" s="206"/>
      <c r="F7" s="206"/>
      <c r="G7" s="206"/>
      <c r="H7" s="89"/>
      <c r="I7" s="89"/>
      <c r="J7" s="89"/>
      <c r="K7" s="152"/>
      <c r="M7" s="35"/>
      <c r="N7" s="35"/>
      <c r="O7" s="35"/>
    </row>
    <row r="8" spans="1:15" ht="12">
      <c r="A8" s="192">
        <f t="shared" si="0"/>
        <v>4</v>
      </c>
      <c r="B8" s="205"/>
      <c r="C8" s="206"/>
      <c r="D8" s="386" t="s">
        <v>237</v>
      </c>
      <c r="E8" s="213" t="s">
        <v>238</v>
      </c>
      <c r="F8" s="213" t="s">
        <v>239</v>
      </c>
      <c r="G8" s="387" t="s">
        <v>237</v>
      </c>
      <c r="H8" s="38"/>
      <c r="I8" s="38"/>
      <c r="J8" s="38"/>
      <c r="K8" s="356" t="s">
        <v>2</v>
      </c>
      <c r="L8" s="35"/>
      <c r="M8" s="274"/>
      <c r="N8" s="35"/>
      <c r="O8" s="35"/>
    </row>
    <row r="9" spans="1:15" ht="12">
      <c r="A9" s="192">
        <f t="shared" si="0"/>
        <v>5</v>
      </c>
      <c r="B9" s="205"/>
      <c r="C9" s="213" t="s">
        <v>50</v>
      </c>
      <c r="D9" s="213" t="s">
        <v>114</v>
      </c>
      <c r="E9" s="213" t="s">
        <v>50</v>
      </c>
      <c r="F9" s="213" t="s">
        <v>240</v>
      </c>
      <c r="G9" s="213" t="s">
        <v>50</v>
      </c>
      <c r="H9" s="213" t="s">
        <v>131</v>
      </c>
      <c r="I9" s="38"/>
      <c r="J9" s="38"/>
      <c r="K9" s="356"/>
      <c r="L9" s="204"/>
      <c r="M9" s="35"/>
      <c r="N9" s="35"/>
      <c r="O9" s="35"/>
    </row>
    <row r="10" spans="1:15" ht="12">
      <c r="A10" s="192">
        <f t="shared" si="0"/>
        <v>6</v>
      </c>
      <c r="B10" s="205"/>
      <c r="C10" s="214" t="s">
        <v>151</v>
      </c>
      <c r="D10" s="214" t="s">
        <v>38</v>
      </c>
      <c r="E10" s="214" t="s">
        <v>99</v>
      </c>
      <c r="F10" s="214" t="s">
        <v>249</v>
      </c>
      <c r="G10" s="214" t="s">
        <v>99</v>
      </c>
      <c r="H10" s="214" t="s">
        <v>152</v>
      </c>
      <c r="I10" s="40"/>
      <c r="J10" s="38"/>
      <c r="K10" s="356"/>
      <c r="L10" s="204"/>
      <c r="M10" s="239"/>
      <c r="N10" s="35"/>
      <c r="O10" s="35"/>
    </row>
    <row r="11" spans="1:15" ht="12">
      <c r="A11" s="192">
        <f t="shared" si="0"/>
        <v>7</v>
      </c>
      <c r="B11" s="205" t="s">
        <v>36</v>
      </c>
      <c r="C11" s="260">
        <f>'Pg 4 STD OS &amp; Comm Fees'!C11</f>
        <v>134816008.18000001</v>
      </c>
      <c r="D11" s="260">
        <f>G11*C11</f>
        <v>644844.93999999994</v>
      </c>
      <c r="E11" s="268">
        <f>'Pg 4 STD OS &amp; Comm Fees'!E11</f>
        <v>4.783148149135474E-3</v>
      </c>
      <c r="F11" s="268">
        <v>0</v>
      </c>
      <c r="G11" s="268">
        <f>SUM(E11:F11)</f>
        <v>4.783148149135474E-3</v>
      </c>
      <c r="H11" s="524">
        <v>0</v>
      </c>
      <c r="I11" s="347"/>
      <c r="J11" s="38"/>
      <c r="K11" s="356"/>
      <c r="L11" s="35"/>
      <c r="M11" s="203"/>
      <c r="N11" s="35"/>
      <c r="O11" s="35"/>
    </row>
    <row r="12" spans="1:15" ht="12">
      <c r="A12" s="192">
        <f t="shared" si="0"/>
        <v>8</v>
      </c>
      <c r="B12" s="205" t="s">
        <v>115</v>
      </c>
      <c r="C12" s="260">
        <f>'Pg 4 STD OS &amp; Comm Fees'!C12</f>
        <v>0</v>
      </c>
      <c r="D12" s="260" t="e">
        <f>G12*C12</f>
        <v>#REF!</v>
      </c>
      <c r="E12" s="268" t="str">
        <f>'Pg 4 STD OS &amp; Comm Fees'!E12</f>
        <v>NA</v>
      </c>
      <c r="F12" s="268">
        <v>0</v>
      </c>
      <c r="G12" s="268" t="e">
        <f>(D11+D13+D14)/(C11+C13+C14)</f>
        <v>#REF!</v>
      </c>
      <c r="H12" s="524">
        <v>0</v>
      </c>
      <c r="I12" s="347"/>
      <c r="J12" s="38"/>
      <c r="K12" s="356"/>
      <c r="L12" s="35"/>
      <c r="M12" s="203"/>
      <c r="N12" s="35"/>
      <c r="O12" s="35"/>
    </row>
    <row r="13" spans="1:15" ht="12">
      <c r="A13" s="192">
        <f t="shared" si="0"/>
        <v>9</v>
      </c>
      <c r="B13" s="205" t="s">
        <v>241</v>
      </c>
      <c r="C13" s="260" t="e">
        <f>'Pg 4 STD OS &amp; Comm Fees'!#REF!</f>
        <v>#REF!</v>
      </c>
      <c r="D13" s="260" t="e">
        <f>G13*C13</f>
        <v>#REF!</v>
      </c>
      <c r="E13" s="268" t="e">
        <f>'Pg 4 STD OS &amp; Comm Fees'!#REF!</f>
        <v>#REF!</v>
      </c>
      <c r="F13" s="268">
        <f>$C$38</f>
        <v>-3.2500000000000003E-3</v>
      </c>
      <c r="G13" s="268" t="e">
        <f>SUM(E13:F13)</f>
        <v>#REF!</v>
      </c>
      <c r="H13" s="210" t="e">
        <f>J23</f>
        <v>#REF!</v>
      </c>
      <c r="I13" s="347"/>
      <c r="J13" s="38"/>
      <c r="K13" s="356"/>
      <c r="L13" s="35"/>
      <c r="M13" s="203"/>
      <c r="N13" s="35"/>
      <c r="O13" s="35"/>
    </row>
    <row r="14" spans="1:15" ht="12">
      <c r="A14" s="192">
        <f t="shared" si="0"/>
        <v>10</v>
      </c>
      <c r="B14" s="205" t="s">
        <v>241</v>
      </c>
      <c r="C14" s="260" t="e">
        <f>'Pg 4 STD OS &amp; Comm Fees'!#REF!</f>
        <v>#REF!</v>
      </c>
      <c r="D14" s="260" t="e">
        <f>G14*C14</f>
        <v>#REF!</v>
      </c>
      <c r="E14" s="268" t="e">
        <f>'Pg 4 STD OS &amp; Comm Fees'!#REF!</f>
        <v>#REF!</v>
      </c>
      <c r="F14" s="268">
        <f>$C$38</f>
        <v>-3.2500000000000003E-3</v>
      </c>
      <c r="G14" s="268" t="e">
        <f>SUM(E14:F14)</f>
        <v>#REF!</v>
      </c>
      <c r="H14" s="210">
        <f>J24</f>
        <v>253472.22222200001</v>
      </c>
      <c r="I14" s="347"/>
      <c r="J14" s="38"/>
      <c r="K14" s="356"/>
      <c r="L14" s="35"/>
      <c r="M14" s="203"/>
      <c r="N14" s="35"/>
      <c r="O14" s="35"/>
    </row>
    <row r="15" spans="1:15" ht="12">
      <c r="A15" s="192">
        <f t="shared" si="0"/>
        <v>11</v>
      </c>
      <c r="B15" s="205" t="s">
        <v>159</v>
      </c>
      <c r="C15" s="260"/>
      <c r="D15" s="260"/>
      <c r="E15" s="268"/>
      <c r="F15" s="268"/>
      <c r="G15" s="268"/>
      <c r="H15" s="210">
        <f>J30</f>
        <v>18017.463569444441</v>
      </c>
      <c r="I15" s="347"/>
      <c r="J15" s="38"/>
      <c r="K15" s="356"/>
      <c r="L15" s="35"/>
      <c r="M15" s="203"/>
      <c r="N15" s="35"/>
      <c r="O15" s="35"/>
    </row>
    <row r="16" spans="1:15" ht="12">
      <c r="A16" s="192">
        <f t="shared" si="0"/>
        <v>12</v>
      </c>
      <c r="B16" s="334" t="s">
        <v>163</v>
      </c>
      <c r="C16" s="525" t="e">
        <f>SUM(C11:C15)</f>
        <v>#REF!</v>
      </c>
      <c r="D16" s="527" t="e">
        <f>SUM(D11:D15)</f>
        <v>#REF!</v>
      </c>
      <c r="E16" s="526">
        <f>'[4]Pg 4 STD OS &amp; Comm Fees'!E16</f>
        <v>1.1564749125603244E-2</v>
      </c>
      <c r="F16" s="268"/>
      <c r="G16" s="526" t="e">
        <f>D16/C16</f>
        <v>#REF!</v>
      </c>
      <c r="H16" s="527" t="e">
        <f>SUM(H11:H15)</f>
        <v>#REF!</v>
      </c>
      <c r="I16" s="38"/>
      <c r="J16" s="38"/>
      <c r="K16" s="356"/>
      <c r="L16" s="35"/>
      <c r="M16" s="35"/>
      <c r="N16" s="35"/>
      <c r="O16" s="35"/>
    </row>
    <row r="17" spans="1:15" ht="12">
      <c r="A17" s="192">
        <f t="shared" si="0"/>
        <v>13</v>
      </c>
      <c r="B17" s="205"/>
      <c r="C17" s="207"/>
      <c r="D17" s="208"/>
      <c r="E17" s="206"/>
      <c r="F17" s="207"/>
      <c r="G17" s="38"/>
      <c r="H17" s="38"/>
      <c r="I17" s="38"/>
      <c r="J17" s="38"/>
      <c r="K17" s="356"/>
      <c r="L17" s="35"/>
      <c r="M17" s="35"/>
      <c r="N17" s="35"/>
      <c r="O17" s="35"/>
    </row>
    <row r="18" spans="1:15" ht="12.75" thickBot="1">
      <c r="A18" s="192">
        <f t="shared" si="0"/>
        <v>14</v>
      </c>
      <c r="B18" s="349"/>
      <c r="C18" s="209"/>
      <c r="D18" s="209"/>
      <c r="E18" s="209"/>
      <c r="F18" s="209"/>
      <c r="G18" s="357"/>
      <c r="H18" s="357"/>
      <c r="I18" s="357"/>
      <c r="J18" s="357"/>
      <c r="K18" s="358"/>
      <c r="L18" s="38"/>
      <c r="M18" s="35"/>
      <c r="N18" s="35"/>
      <c r="O18" s="35"/>
    </row>
    <row r="19" spans="1:15" ht="12">
      <c r="A19" s="192">
        <f t="shared" si="0"/>
        <v>15</v>
      </c>
      <c r="B19" s="635" t="s">
        <v>97</v>
      </c>
      <c r="C19" s="636"/>
      <c r="D19" s="150"/>
      <c r="E19" s="150"/>
      <c r="F19" s="150"/>
      <c r="G19" s="150"/>
      <c r="H19" s="184"/>
      <c r="I19" s="184"/>
      <c r="J19" s="184"/>
      <c r="K19" s="147"/>
      <c r="L19" s="38" t="s">
        <v>2</v>
      </c>
      <c r="M19" s="35"/>
      <c r="N19" s="35"/>
      <c r="O19" s="35"/>
    </row>
    <row r="20" spans="1:15" ht="12">
      <c r="A20" s="192">
        <f t="shared" si="0"/>
        <v>16</v>
      </c>
      <c r="B20" s="633" t="s">
        <v>106</v>
      </c>
      <c r="C20" s="634"/>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8" t="s">
        <v>242</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243</v>
      </c>
      <c r="C23" s="529">
        <v>40178</v>
      </c>
      <c r="D23" s="529">
        <v>40543</v>
      </c>
      <c r="E23" s="348">
        <f>D23-C23</f>
        <v>365</v>
      </c>
      <c r="F23" s="530">
        <v>500000000</v>
      </c>
      <c r="G23" s="260" t="e">
        <f>(C13+C14)/2</f>
        <v>#REF!</v>
      </c>
      <c r="H23" s="260" t="e">
        <f>F23-G23</f>
        <v>#REF!</v>
      </c>
      <c r="I23" s="268">
        <v>1.25E-3</v>
      </c>
      <c r="J23" s="210" t="e">
        <f>ROUND(H23*I23*E23/360,6)</f>
        <v>#REF!</v>
      </c>
      <c r="K23" s="152"/>
      <c r="L23" s="38"/>
      <c r="M23" s="35"/>
      <c r="N23" s="35"/>
      <c r="O23" s="35"/>
    </row>
    <row r="24" spans="1:15" ht="12">
      <c r="A24" s="192">
        <f t="shared" si="0"/>
        <v>20</v>
      </c>
      <c r="B24" s="205" t="s">
        <v>244</v>
      </c>
      <c r="C24" s="529">
        <v>40178</v>
      </c>
      <c r="D24" s="529">
        <v>40543</v>
      </c>
      <c r="E24" s="348">
        <f>D24-C24</f>
        <v>365</v>
      </c>
      <c r="F24" s="530">
        <v>200000000</v>
      </c>
      <c r="G24" s="260" t="e">
        <f>(C13+C14)/2</f>
        <v>#REF!</v>
      </c>
      <c r="H24" s="561" t="s">
        <v>256</v>
      </c>
      <c r="I24" s="268">
        <v>1.25E-3</v>
      </c>
      <c r="J24" s="210">
        <f>ROUND(F24*I24*E24/360,6)</f>
        <v>253472.22222200001</v>
      </c>
      <c r="K24" s="152"/>
      <c r="L24" s="38"/>
      <c r="M24" s="35"/>
      <c r="N24" s="35"/>
      <c r="O24" s="35"/>
    </row>
    <row r="25" spans="1:15" ht="12">
      <c r="A25" s="192">
        <f t="shared" si="0"/>
        <v>21</v>
      </c>
      <c r="B25" s="264" t="s">
        <v>130</v>
      </c>
      <c r="C25" s="41"/>
      <c r="D25" s="276"/>
      <c r="E25" s="348"/>
      <c r="F25" s="531"/>
      <c r="I25" s="276"/>
      <c r="J25" s="532" t="e">
        <f>SUM(J23:J24)</f>
        <v>#REF!</v>
      </c>
      <c r="K25" s="187"/>
      <c r="L25" s="38"/>
      <c r="M25" s="35"/>
      <c r="N25" s="35"/>
      <c r="O25" s="35"/>
    </row>
    <row r="26" spans="1:15" ht="12">
      <c r="A26" s="192">
        <f t="shared" si="0"/>
        <v>22</v>
      </c>
      <c r="B26" s="243"/>
      <c r="C26" s="41"/>
      <c r="D26" s="276"/>
      <c r="E26" s="533"/>
      <c r="F26" s="40"/>
      <c r="G26" s="276"/>
      <c r="H26" s="534"/>
      <c r="I26" s="534"/>
      <c r="J26" s="534"/>
      <c r="K26" s="187"/>
      <c r="L26" s="38"/>
      <c r="M26" s="35"/>
      <c r="N26" s="35"/>
      <c r="O26" s="35"/>
    </row>
    <row r="27" spans="1:15" ht="12">
      <c r="A27" s="192">
        <f t="shared" si="0"/>
        <v>23</v>
      </c>
      <c r="B27" s="263" t="s">
        <v>132</v>
      </c>
      <c r="C27" s="280"/>
      <c r="F27" s="40" t="s">
        <v>175</v>
      </c>
      <c r="G27" s="40" t="s">
        <v>51</v>
      </c>
      <c r="H27" s="40" t="s">
        <v>160</v>
      </c>
      <c r="I27" s="276"/>
      <c r="J27" s="279"/>
      <c r="K27" s="187"/>
      <c r="L27" s="38"/>
      <c r="M27" s="35"/>
      <c r="N27" s="35"/>
      <c r="O27" s="35"/>
    </row>
    <row r="28" spans="1:15" ht="12">
      <c r="A28" s="192">
        <f t="shared" si="0"/>
        <v>24</v>
      </c>
      <c r="B28" s="264" t="s">
        <v>161</v>
      </c>
      <c r="C28" s="281"/>
      <c r="F28" s="405" t="s">
        <v>179</v>
      </c>
      <c r="G28" s="348">
        <v>365</v>
      </c>
      <c r="H28" s="260">
        <f>'Pg 4 STD OS &amp; Comm Fees'!H31</f>
        <v>2733946</v>
      </c>
      <c r="I28" s="535">
        <v>6.4999999999999997E-3</v>
      </c>
      <c r="J28" s="260">
        <f>(I28*H28)*(G28/360)</f>
        <v>18017.463569444441</v>
      </c>
      <c r="K28" s="187"/>
      <c r="L28" s="38"/>
      <c r="M28" s="35"/>
      <c r="N28" s="35"/>
      <c r="O28" s="35"/>
    </row>
    <row r="29" spans="1:15" ht="12.75" customHeight="1">
      <c r="A29" s="192">
        <f t="shared" si="0"/>
        <v>25</v>
      </c>
      <c r="B29" s="264" t="s">
        <v>177</v>
      </c>
      <c r="C29" s="281"/>
      <c r="F29" s="405" t="s">
        <v>178</v>
      </c>
      <c r="G29" s="348">
        <v>365</v>
      </c>
      <c r="H29" s="260">
        <f>'Pg 4 STD OS &amp; Comm Fees'!H32</f>
        <v>0</v>
      </c>
      <c r="I29" s="535">
        <v>6.4999999999999997E-3</v>
      </c>
      <c r="J29" s="260">
        <f>(I29*H29)*(G29/360)</f>
        <v>0</v>
      </c>
      <c r="K29" s="152"/>
      <c r="L29" s="38"/>
      <c r="M29" s="35"/>
      <c r="N29" s="35"/>
      <c r="O29" s="35"/>
    </row>
    <row r="30" spans="1:15" ht="12.75" customHeight="1" thickBot="1">
      <c r="A30" s="192">
        <f t="shared" si="0"/>
        <v>26</v>
      </c>
      <c r="B30" s="333" t="s">
        <v>162</v>
      </c>
      <c r="C30" s="281"/>
      <c r="D30" s="281"/>
      <c r="E30" s="369"/>
      <c r="F30" s="370"/>
      <c r="G30" s="348"/>
      <c r="H30" s="42"/>
      <c r="I30" s="42"/>
      <c r="J30" s="371">
        <f>SUM(J28:J29)</f>
        <v>18017.463569444441</v>
      </c>
      <c r="K30" s="152"/>
      <c r="L30" s="38"/>
      <c r="M30" s="35"/>
      <c r="N30" s="35"/>
      <c r="O30" s="35"/>
    </row>
    <row r="31" spans="1:15" ht="12.75" customHeight="1" thickTop="1">
      <c r="A31" s="192">
        <f t="shared" si="0"/>
        <v>27</v>
      </c>
      <c r="B31" s="264"/>
      <c r="C31" s="160"/>
      <c r="D31" s="160"/>
      <c r="E31" s="160"/>
      <c r="F31" s="325"/>
      <c r="G31" s="326"/>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36" t="s">
        <v>245</v>
      </c>
      <c r="C34" s="150"/>
      <c r="D34" s="150"/>
      <c r="E34" s="150"/>
      <c r="F34" s="150"/>
      <c r="G34" s="150"/>
      <c r="H34" s="150"/>
      <c r="I34" s="150"/>
      <c r="J34" s="150"/>
      <c r="K34" s="355"/>
    </row>
    <row r="35" spans="1:11" ht="12">
      <c r="A35" s="192">
        <f t="shared" si="0"/>
        <v>31</v>
      </c>
      <c r="B35" s="537"/>
      <c r="C35" s="89"/>
      <c r="D35" s="89"/>
      <c r="E35" s="89"/>
      <c r="F35" s="89"/>
      <c r="G35" s="89"/>
      <c r="H35" s="89"/>
      <c r="I35" s="89"/>
      <c r="J35" s="89"/>
      <c r="K35" s="152"/>
    </row>
    <row r="36" spans="1:11" ht="12">
      <c r="A36" s="192">
        <f t="shared" si="0"/>
        <v>32</v>
      </c>
      <c r="B36" s="537" t="s">
        <v>246</v>
      </c>
      <c r="C36" s="538">
        <v>5.2500000000000003E-3</v>
      </c>
      <c r="D36" s="89"/>
      <c r="E36" s="89"/>
      <c r="F36" s="89"/>
      <c r="G36" s="89"/>
      <c r="H36" s="89"/>
      <c r="I36" s="89"/>
      <c r="J36" s="89"/>
      <c r="K36" s="152"/>
    </row>
    <row r="37" spans="1:11" ht="12">
      <c r="A37" s="192">
        <f t="shared" si="0"/>
        <v>33</v>
      </c>
      <c r="B37" s="537" t="s">
        <v>247</v>
      </c>
      <c r="C37" s="538">
        <v>8.5000000000000006E-3</v>
      </c>
      <c r="D37" s="89"/>
      <c r="E37" s="89"/>
      <c r="F37" s="89"/>
      <c r="G37" s="89"/>
      <c r="H37" s="89"/>
      <c r="I37" s="89"/>
      <c r="J37" s="89"/>
      <c r="K37" s="152"/>
    </row>
    <row r="38" spans="1:11" ht="12">
      <c r="A38" s="192">
        <f t="shared" si="0"/>
        <v>34</v>
      </c>
      <c r="B38" s="539" t="s">
        <v>248</v>
      </c>
      <c r="C38" s="540">
        <f>C36-C37</f>
        <v>-3.2500000000000003E-3</v>
      </c>
      <c r="D38" s="38" t="s">
        <v>250</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41"/>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22" t="s">
        <v>234</v>
      </c>
    </row>
    <row r="2" spans="1:8" ht="16.5" customHeight="1">
      <c r="A2" s="89"/>
      <c r="B2" s="127" t="s">
        <v>105</v>
      </c>
    </row>
    <row r="3" spans="1:8" ht="15" customHeight="1">
      <c r="A3" s="89"/>
      <c r="B3" s="322" t="e">
        <f>#REF!</f>
        <v>#REF!</v>
      </c>
    </row>
    <row r="4" spans="1:8">
      <c r="A4" s="542"/>
      <c r="B4" s="543"/>
    </row>
    <row r="5" spans="1:8">
      <c r="A5" s="128" t="s">
        <v>5</v>
      </c>
      <c r="B5" s="128" t="s">
        <v>27</v>
      </c>
      <c r="C5" s="128" t="s">
        <v>52</v>
      </c>
      <c r="D5" s="128" t="s">
        <v>64</v>
      </c>
      <c r="E5" s="128" t="s">
        <v>65</v>
      </c>
    </row>
    <row r="6" spans="1:8" ht="11.25" customHeight="1">
      <c r="B6" s="544"/>
      <c r="C6" s="544"/>
      <c r="D6" s="544"/>
      <c r="E6" s="544"/>
    </row>
    <row r="7" spans="1:8" ht="11.25" customHeight="1">
      <c r="A7" s="192"/>
      <c r="B7" s="162"/>
      <c r="C7" s="545" t="s">
        <v>251</v>
      </c>
      <c r="D7" s="545" t="s">
        <v>251</v>
      </c>
    </row>
    <row r="8" spans="1:8" ht="11.25" customHeight="1">
      <c r="A8" s="192">
        <v>1</v>
      </c>
      <c r="B8" s="162" t="s">
        <v>9</v>
      </c>
      <c r="C8" s="546" t="s">
        <v>252</v>
      </c>
      <c r="D8" s="547" t="s">
        <v>253</v>
      </c>
    </row>
    <row r="9" spans="1:8" ht="11.25" customHeight="1">
      <c r="A9" s="192">
        <f t="shared" ref="A9:A25" si="0">A8+1</f>
        <v>2</v>
      </c>
      <c r="B9" s="162"/>
      <c r="C9" s="546" t="s">
        <v>254</v>
      </c>
      <c r="D9" s="547" t="s">
        <v>255</v>
      </c>
      <c r="E9" s="548" t="s">
        <v>166</v>
      </c>
    </row>
    <row r="10" spans="1:8" ht="11.25" customHeight="1">
      <c r="A10" s="192">
        <f t="shared" si="0"/>
        <v>3</v>
      </c>
      <c r="B10" s="549" t="s">
        <v>148</v>
      </c>
      <c r="C10" s="550">
        <v>18100400</v>
      </c>
      <c r="D10" s="550">
        <v>18100583</v>
      </c>
      <c r="E10" s="550" t="s">
        <v>167</v>
      </c>
    </row>
    <row r="11" spans="1:8" ht="11.25" customHeight="1">
      <c r="A11" s="192">
        <f t="shared" si="0"/>
        <v>4</v>
      </c>
      <c r="B11" s="549"/>
      <c r="C11" s="551"/>
      <c r="D11" s="160"/>
    </row>
    <row r="12" spans="1:8">
      <c r="A12" s="192">
        <f t="shared" si="0"/>
        <v>5</v>
      </c>
      <c r="B12" s="552">
        <v>40209</v>
      </c>
      <c r="C12" s="298">
        <v>-5627.69</v>
      </c>
      <c r="D12" s="298">
        <v>-18843.900000000001</v>
      </c>
      <c r="E12" s="553"/>
    </row>
    <row r="13" spans="1:8">
      <c r="A13" s="192">
        <f t="shared" si="0"/>
        <v>6</v>
      </c>
      <c r="B13" s="552">
        <v>40237</v>
      </c>
      <c r="C13" s="298">
        <v>-5627.69</v>
      </c>
      <c r="D13" s="298">
        <v>-18843.900000000001</v>
      </c>
      <c r="E13" s="553"/>
    </row>
    <row r="14" spans="1:8">
      <c r="A14" s="192">
        <f t="shared" si="0"/>
        <v>7</v>
      </c>
      <c r="B14" s="552">
        <v>40268</v>
      </c>
      <c r="C14" s="298">
        <v>-5627.69</v>
      </c>
      <c r="D14" s="298">
        <v>-18843.900000000001</v>
      </c>
      <c r="E14" s="553"/>
    </row>
    <row r="15" spans="1:8">
      <c r="A15" s="192">
        <f t="shared" si="0"/>
        <v>8</v>
      </c>
      <c r="B15" s="552">
        <v>40298</v>
      </c>
      <c r="C15" s="298">
        <v>-5627.69</v>
      </c>
      <c r="D15" s="298">
        <v>-18843.900000000001</v>
      </c>
      <c r="E15" s="553"/>
    </row>
    <row r="16" spans="1:8">
      <c r="A16" s="192">
        <f t="shared" si="0"/>
        <v>9</v>
      </c>
      <c r="B16" s="552">
        <v>40329</v>
      </c>
      <c r="C16" s="298">
        <v>-5627.69</v>
      </c>
      <c r="D16" s="298">
        <v>-18843.900000000001</v>
      </c>
      <c r="E16" s="553"/>
      <c r="H16" s="335"/>
    </row>
    <row r="17" spans="1:5">
      <c r="A17" s="192">
        <f t="shared" si="0"/>
        <v>10</v>
      </c>
      <c r="B17" s="552">
        <v>40359</v>
      </c>
      <c r="C17" s="298">
        <v>-5627.69</v>
      </c>
      <c r="D17" s="298">
        <v>-18843.900000000001</v>
      </c>
      <c r="E17" s="553"/>
    </row>
    <row r="18" spans="1:5">
      <c r="A18" s="192">
        <f t="shared" si="0"/>
        <v>11</v>
      </c>
      <c r="B18" s="552">
        <v>40390</v>
      </c>
      <c r="C18" s="298">
        <v>-5627.69</v>
      </c>
      <c r="D18" s="298">
        <v>-18843.900000000001</v>
      </c>
      <c r="E18" s="553"/>
    </row>
    <row r="19" spans="1:5">
      <c r="A19" s="192">
        <f t="shared" si="0"/>
        <v>12</v>
      </c>
      <c r="B19" s="552">
        <v>40421</v>
      </c>
      <c r="C19" s="298">
        <v>-5627.69</v>
      </c>
      <c r="D19" s="298">
        <v>-18843.900000000001</v>
      </c>
      <c r="E19" s="553"/>
    </row>
    <row r="20" spans="1:5">
      <c r="A20" s="192">
        <f t="shared" si="0"/>
        <v>13</v>
      </c>
      <c r="B20" s="552">
        <v>40451</v>
      </c>
      <c r="C20" s="298">
        <v>-5627.69</v>
      </c>
      <c r="D20" s="298">
        <v>-18843.900000000001</v>
      </c>
      <c r="E20" s="553"/>
    </row>
    <row r="21" spans="1:5">
      <c r="A21" s="192">
        <f t="shared" si="0"/>
        <v>14</v>
      </c>
      <c r="B21" s="552">
        <v>40482</v>
      </c>
      <c r="C21" s="298">
        <v>-5627.69</v>
      </c>
      <c r="D21" s="298">
        <v>-18843.900000000001</v>
      </c>
      <c r="E21" s="553"/>
    </row>
    <row r="22" spans="1:5">
      <c r="A22" s="192">
        <f t="shared" si="0"/>
        <v>15</v>
      </c>
      <c r="B22" s="552">
        <v>40512</v>
      </c>
      <c r="C22" s="298">
        <v>-5627.69</v>
      </c>
      <c r="D22" s="298">
        <v>-18843.900000000001</v>
      </c>
      <c r="E22" s="553"/>
    </row>
    <row r="23" spans="1:5">
      <c r="A23" s="192">
        <f t="shared" si="0"/>
        <v>16</v>
      </c>
      <c r="B23" s="552">
        <v>40543</v>
      </c>
      <c r="C23" s="298">
        <v>-5627.69</v>
      </c>
      <c r="D23" s="298">
        <v>-18843.900000000001</v>
      </c>
      <c r="E23" s="553"/>
    </row>
    <row r="24" spans="1:5" ht="12" thickBot="1">
      <c r="A24" s="192">
        <f t="shared" si="0"/>
        <v>17</v>
      </c>
      <c r="B24" s="552"/>
      <c r="C24" s="554"/>
      <c r="D24" s="554"/>
      <c r="E24" s="555"/>
    </row>
    <row r="25" spans="1:5" ht="12" thickBot="1">
      <c r="A25" s="192">
        <f t="shared" si="0"/>
        <v>18</v>
      </c>
      <c r="B25" s="556" t="s">
        <v>172</v>
      </c>
      <c r="C25" s="557">
        <f>SUM(C12:C24)</f>
        <v>-67532.280000000013</v>
      </c>
      <c r="D25" s="557">
        <f>SUM(D12:D24)</f>
        <v>-226126.79999999996</v>
      </c>
      <c r="E25" s="558">
        <f>SUM(C25:D25)</f>
        <v>-293659.07999999996</v>
      </c>
    </row>
    <row r="26" spans="1:5">
      <c r="A26" s="192"/>
      <c r="B26" s="276"/>
      <c r="C26" s="559"/>
      <c r="D26" s="559"/>
      <c r="E26" s="555"/>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33203125" defaultRowHeight="12.75" outlineLevelRow="1"/>
  <cols>
    <col min="1" max="1" width="2.83203125" style="410" customWidth="1"/>
    <col min="2" max="2" width="40.6640625" style="410" customWidth="1"/>
    <col min="3" max="3" width="18.33203125" style="410"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180</v>
      </c>
      <c r="B2" s="412"/>
      <c r="C2" s="413"/>
      <c r="D2" s="412"/>
      <c r="E2" s="412"/>
      <c r="F2" s="412"/>
      <c r="G2" s="412"/>
      <c r="AB2" s="414" t="s">
        <v>181</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182</v>
      </c>
      <c r="H8" s="104"/>
      <c r="I8" s="104"/>
    </row>
    <row r="9" spans="1:28">
      <c r="A9" s="130"/>
      <c r="B9" s="107" t="s">
        <v>183</v>
      </c>
      <c r="C9" s="107" t="s">
        <v>184</v>
      </c>
      <c r="D9" s="422" t="s">
        <v>185</v>
      </c>
      <c r="E9" s="422" t="s">
        <v>186</v>
      </c>
      <c r="F9" s="422" t="s">
        <v>187</v>
      </c>
      <c r="G9" s="422" t="s">
        <v>188</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189</v>
      </c>
      <c r="C12" s="425">
        <f>'Pg 3 STD Cost Rate'!C23</f>
        <v>153671199.44</v>
      </c>
      <c r="D12" s="426">
        <f>ROUND(C12/C$27,4)</f>
        <v>1.78E-2</v>
      </c>
      <c r="E12" s="427">
        <f>'Pg 3 STD Cost Rate'!E23</f>
        <v>3108318.7431666665</v>
      </c>
      <c r="F12" s="428">
        <f>ROUND(E12/C12,4)</f>
        <v>2.0199999999999999E-2</v>
      </c>
      <c r="G12" s="429">
        <f>ROUND(+D12*F12,4)</f>
        <v>4.0000000000000002E-4</v>
      </c>
      <c r="H12" s="104"/>
      <c r="I12" s="104"/>
    </row>
    <row r="13" spans="1:28">
      <c r="A13" s="130"/>
      <c r="B13" s="424"/>
      <c r="C13" s="425"/>
      <c r="D13" s="426"/>
      <c r="E13" s="427"/>
      <c r="F13" s="428"/>
      <c r="G13" s="429"/>
      <c r="H13" s="104"/>
      <c r="I13" s="104"/>
    </row>
    <row r="14" spans="1:28" hidden="1" outlineLevel="1">
      <c r="A14" s="130"/>
      <c r="B14" s="430" t="s">
        <v>190</v>
      </c>
      <c r="C14" s="431">
        <f>'Pg 6 LTD Cost '!S26</f>
        <v>4373860000</v>
      </c>
      <c r="D14" s="432">
        <f>ROUND(C14/C$27,4)</f>
        <v>0.50649999999999995</v>
      </c>
      <c r="E14" s="433">
        <f>'Pg 6 LTD Cost '!X26</f>
        <v>233211836.24000001</v>
      </c>
      <c r="F14" s="434">
        <f>ROUND(E14/C14,4)</f>
        <v>5.33E-2</v>
      </c>
      <c r="G14" s="435">
        <f>ROUND(+D14*F14,4)</f>
        <v>2.7E-2</v>
      </c>
      <c r="H14" s="104"/>
      <c r="I14" s="104"/>
    </row>
    <row r="15" spans="1:28" hidden="1" outlineLevel="1">
      <c r="A15" s="130"/>
      <c r="B15" s="430" t="s">
        <v>191</v>
      </c>
      <c r="C15" s="431"/>
      <c r="D15" s="432"/>
      <c r="E15" s="433"/>
      <c r="F15" s="434"/>
      <c r="G15" s="435"/>
      <c r="H15" s="104"/>
      <c r="I15" s="104"/>
    </row>
    <row r="16" spans="1:28" hidden="1" outlineLevel="1">
      <c r="A16" s="130"/>
      <c r="B16" s="430" t="s">
        <v>192</v>
      </c>
      <c r="C16" s="431"/>
      <c r="D16" s="432"/>
      <c r="E16" s="433"/>
      <c r="F16" s="434"/>
      <c r="G16" s="435"/>
      <c r="H16" s="104"/>
      <c r="I16" s="104"/>
    </row>
    <row r="17" spans="1:9" hidden="1" outlineLevel="1">
      <c r="A17" s="130"/>
      <c r="B17" s="430" t="s">
        <v>193</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194</v>
      </c>
      <c r="C19" s="425">
        <f>SUM(C14:C18)</f>
        <v>4373860000</v>
      </c>
      <c r="D19" s="426">
        <f>ROUND(C19/C27,4)</f>
        <v>0.50649999999999995</v>
      </c>
      <c r="E19" s="425">
        <f>SUM(E14:E18)</f>
        <v>233211836.24000001</v>
      </c>
      <c r="F19" s="440">
        <f>ROUND(E19/C19,4)</f>
        <v>5.33E-2</v>
      </c>
      <c r="G19" s="429">
        <f>ROUND(+D19*F19,4)</f>
        <v>2.7E-2</v>
      </c>
      <c r="H19" s="104"/>
      <c r="I19" s="104"/>
    </row>
    <row r="20" spans="1:9">
      <c r="A20" s="130"/>
      <c r="B20" s="109"/>
      <c r="C20" s="441"/>
      <c r="D20" s="441"/>
      <c r="E20" s="427"/>
      <c r="F20" s="441"/>
      <c r="G20" s="441"/>
      <c r="H20" s="104"/>
      <c r="I20" s="104"/>
    </row>
    <row r="21" spans="1:9">
      <c r="A21" s="130"/>
      <c r="B21" s="110" t="s">
        <v>195</v>
      </c>
      <c r="C21" s="442">
        <f>C19+C12</f>
        <v>4527531199.4399996</v>
      </c>
      <c r="D21" s="443">
        <f>ROUND(C21/$C$27,4)</f>
        <v>0.52429999999999999</v>
      </c>
      <c r="E21" s="444">
        <f>E19+E12</f>
        <v>236320154.98316666</v>
      </c>
      <c r="F21" s="445">
        <f>ROUND(E21/C21,4)</f>
        <v>5.2200000000000003E-2</v>
      </c>
      <c r="G21" s="446">
        <f>ROUND(+D21*F21,4)</f>
        <v>2.7400000000000001E-2</v>
      </c>
      <c r="H21" s="104"/>
      <c r="I21" s="104"/>
    </row>
    <row r="22" spans="1:9">
      <c r="A22" s="130"/>
      <c r="B22" s="111"/>
      <c r="C22" s="447"/>
      <c r="D22" s="426"/>
      <c r="E22" s="427"/>
      <c r="F22" s="447"/>
      <c r="G22" s="447"/>
      <c r="H22" s="104"/>
      <c r="I22" s="104"/>
    </row>
    <row r="23" spans="1:9">
      <c r="A23" s="130"/>
      <c r="B23" s="110" t="s">
        <v>196</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202</v>
      </c>
      <c r="C25" s="442">
        <f>'Pg 2 CapStructure'!I34-'Pg 2 CapStructure'!L38</f>
        <v>4107647071</v>
      </c>
      <c r="D25" s="443">
        <f>ROUND(C25/$C$27,4)</f>
        <v>0.47570000000000001</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8635178270.4399986</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197</v>
      </c>
      <c r="C31" s="418"/>
      <c r="D31" s="418"/>
      <c r="E31" s="420"/>
      <c r="F31" s="418"/>
      <c r="G31" s="418"/>
    </row>
    <row r="32" spans="1:9">
      <c r="A32" s="130"/>
      <c r="B32" s="463" t="s">
        <v>198</v>
      </c>
      <c r="C32" s="418"/>
      <c r="D32" s="418"/>
      <c r="E32" s="420"/>
      <c r="F32" s="418"/>
      <c r="G32" s="418"/>
    </row>
    <row r="33" spans="1:7">
      <c r="A33" s="130"/>
      <c r="B33" s="464" t="s">
        <v>201</v>
      </c>
      <c r="C33" s="418"/>
      <c r="D33" s="418"/>
      <c r="E33" s="420"/>
      <c r="F33" s="418"/>
      <c r="G33" s="418"/>
    </row>
    <row r="34" spans="1:7">
      <c r="A34" s="465"/>
      <c r="B34" s="462" t="s">
        <v>203</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1" spans="1:7">
      <c r="C41" s="466"/>
      <c r="D41" s="467"/>
      <c r="E41" s="468"/>
    </row>
    <row r="42" spans="1:7">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workbookViewId="0">
      <selection activeCell="D28" sqref="D28"/>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56" t="s">
        <v>319</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'Pg 2 CapStructure'!Q10</f>
        <v>167423333</v>
      </c>
      <c r="D14" s="609">
        <f>ROUND(C14/$C$30,4)</f>
        <v>1.9E-2</v>
      </c>
      <c r="E14" s="351">
        <f>'Pg 6 LTD Cost '!H30</f>
        <v>6.4000000000000003E-3</v>
      </c>
      <c r="F14" s="181">
        <f>ROUND(D14*E14,4)</f>
        <v>1E-4</v>
      </c>
      <c r="L14" s="238"/>
    </row>
    <row r="15" spans="1:12">
      <c r="A15" s="193">
        <f t="shared" si="0"/>
        <v>8</v>
      </c>
      <c r="B15" s="109"/>
      <c r="C15" s="168"/>
      <c r="D15" s="181"/>
      <c r="E15" s="167"/>
      <c r="F15" s="181"/>
      <c r="L15" s="238"/>
    </row>
    <row r="16" spans="1:12">
      <c r="A16" s="193">
        <f t="shared" si="0"/>
        <v>9</v>
      </c>
      <c r="B16" s="109" t="s">
        <v>14</v>
      </c>
      <c r="C16" s="168">
        <f>'Pg 2 CapStructure'!Q16</f>
        <v>4337088837</v>
      </c>
      <c r="D16" s="573">
        <f>ROUND(C16/$C$30,4)</f>
        <v>0.49280000000000002</v>
      </c>
      <c r="E16" s="169">
        <f>'Pg 6 LTD Cost '!H28</f>
        <v>5.2900000000000003E-2</v>
      </c>
      <c r="F16" s="181">
        <f>ROUND(D16*E16,4)</f>
        <v>2.6100000000000002E-2</v>
      </c>
      <c r="L16" s="238"/>
    </row>
    <row r="17" spans="1:12">
      <c r="A17" s="193">
        <f t="shared" si="0"/>
        <v>10</v>
      </c>
      <c r="B17" s="111"/>
      <c r="C17" s="170"/>
      <c r="D17" s="181"/>
      <c r="E17" s="169"/>
      <c r="F17" s="359"/>
      <c r="H17" s="250"/>
      <c r="I17" s="195"/>
      <c r="J17" s="195"/>
      <c r="K17" s="195"/>
      <c r="L17" s="251"/>
    </row>
    <row r="18" spans="1:12">
      <c r="A18" s="193">
        <v>11</v>
      </c>
      <c r="B18" s="104" t="s">
        <v>305</v>
      </c>
      <c r="C18" s="170"/>
      <c r="D18" s="181">
        <f>ROUND((C14+C16)/C30,4)</f>
        <v>0.51180000000000003</v>
      </c>
      <c r="E18" s="169">
        <f>'Pg 6 LTD Cost '!H32</f>
        <v>5.1200000000000002E-2</v>
      </c>
      <c r="F18" s="359">
        <f>F16+F14</f>
        <v>2.6200000000000001E-2</v>
      </c>
      <c r="H18" s="584"/>
      <c r="I18" s="195"/>
      <c r="J18" s="195"/>
      <c r="K18" s="195"/>
      <c r="L18" s="251"/>
    </row>
    <row r="19" spans="1:12">
      <c r="A19" s="193">
        <v>12</v>
      </c>
      <c r="B19" s="111"/>
      <c r="C19" s="170"/>
      <c r="D19" s="181"/>
      <c r="E19" s="169"/>
      <c r="F19" s="359"/>
      <c r="H19" s="250"/>
      <c r="I19" s="195"/>
      <c r="J19" s="195"/>
      <c r="K19" s="195"/>
      <c r="L19" s="251"/>
    </row>
    <row r="20" spans="1:12">
      <c r="A20" s="193">
        <v>13</v>
      </c>
      <c r="B20" s="104" t="s">
        <v>54</v>
      </c>
      <c r="C20" s="170"/>
      <c r="D20" s="181"/>
      <c r="E20" s="169"/>
      <c r="F20" s="359">
        <f>'Pg 4 STD OS &amp; Comm Fees'!F20</f>
        <v>2.0000000000000001E-4</v>
      </c>
      <c r="H20" s="250"/>
      <c r="I20" s="195"/>
      <c r="J20" s="195"/>
      <c r="K20" s="195"/>
      <c r="L20" s="251"/>
    </row>
    <row r="21" spans="1:12">
      <c r="A21" s="193">
        <v>14</v>
      </c>
      <c r="B21" s="111"/>
      <c r="C21" s="170"/>
      <c r="D21" s="181"/>
      <c r="E21" s="169"/>
      <c r="F21" s="359"/>
      <c r="H21" s="250"/>
      <c r="I21" s="195"/>
      <c r="J21" s="195"/>
      <c r="K21" s="195"/>
      <c r="L21" s="251"/>
    </row>
    <row r="22" spans="1:12">
      <c r="A22" s="193">
        <v>15</v>
      </c>
      <c r="B22" s="104" t="s">
        <v>306</v>
      </c>
      <c r="C22" s="170"/>
      <c r="D22" s="181"/>
      <c r="E22" s="169"/>
      <c r="F22" s="359">
        <f>'Pg 5 STD Amort'!G35</f>
        <v>1E-4</v>
      </c>
      <c r="H22" s="250"/>
      <c r="I22" s="195"/>
      <c r="J22" s="195"/>
      <c r="K22" s="195"/>
      <c r="L22" s="251"/>
    </row>
    <row r="23" spans="1:12">
      <c r="A23" s="193">
        <v>16</v>
      </c>
      <c r="B23" s="111"/>
      <c r="C23" s="170"/>
      <c r="D23" s="181"/>
      <c r="E23" s="169"/>
      <c r="F23" s="359"/>
      <c r="H23" s="250"/>
      <c r="I23" s="195"/>
      <c r="J23" s="195"/>
      <c r="K23" s="195"/>
      <c r="L23" s="251"/>
    </row>
    <row r="24" spans="1:12">
      <c r="A24" s="193">
        <v>17</v>
      </c>
      <c r="B24" s="104" t="s">
        <v>307</v>
      </c>
      <c r="C24" s="170"/>
      <c r="D24" s="181"/>
      <c r="E24" s="169"/>
      <c r="F24" s="359">
        <f>'Pg 7 Reacquired Debt'!I35</f>
        <v>2.0000000000000001E-4</v>
      </c>
      <c r="H24" s="250"/>
      <c r="I24" s="195"/>
      <c r="J24" s="195"/>
      <c r="K24" s="195"/>
      <c r="L24" s="251"/>
    </row>
    <row r="25" spans="1:12">
      <c r="A25" s="193">
        <v>18</v>
      </c>
      <c r="B25" s="111"/>
      <c r="C25" s="170"/>
      <c r="D25" s="181"/>
      <c r="E25" s="169"/>
      <c r="F25" s="359"/>
      <c r="H25" s="250"/>
      <c r="I25" s="195"/>
      <c r="J25" s="195"/>
      <c r="K25" s="195"/>
      <c r="L25" s="251"/>
    </row>
    <row r="26" spans="1:12">
      <c r="A26" s="193">
        <v>19</v>
      </c>
      <c r="B26" s="111" t="s">
        <v>308</v>
      </c>
      <c r="C26" s="170">
        <f>C16+C14</f>
        <v>4504512170</v>
      </c>
      <c r="D26" s="181">
        <f>D18</f>
        <v>0.51180000000000003</v>
      </c>
      <c r="E26" s="169"/>
      <c r="F26" s="605">
        <f>SUM(F18:F25)</f>
        <v>2.6699999999999998E-2</v>
      </c>
      <c r="G26" s="600"/>
      <c r="H26" s="250"/>
      <c r="I26" s="195"/>
      <c r="J26" s="195"/>
      <c r="K26" s="195"/>
      <c r="L26" s="251"/>
    </row>
    <row r="27" spans="1:12">
      <c r="A27" s="193">
        <v>20</v>
      </c>
      <c r="B27" s="111"/>
      <c r="C27" s="170"/>
      <c r="D27" s="181"/>
      <c r="E27" s="169"/>
      <c r="F27" s="359"/>
      <c r="H27" s="250"/>
      <c r="I27" s="195"/>
      <c r="J27" s="195"/>
      <c r="K27" s="195"/>
      <c r="L27" s="251"/>
    </row>
    <row r="28" spans="1:12">
      <c r="A28" s="193">
        <v>21</v>
      </c>
      <c r="B28" s="110" t="s">
        <v>15</v>
      </c>
      <c r="C28" s="172">
        <f>'Pg 2 CapStructure'!Q20</f>
        <v>4297150270</v>
      </c>
      <c r="D28" s="339">
        <f>ROUND(C28/$C$30,4)</f>
        <v>0.48820000000000002</v>
      </c>
      <c r="E28" s="608">
        <v>9.4700000000000006E-2</v>
      </c>
      <c r="F28" s="360">
        <f>ROUND(D28*E28,4)</f>
        <v>4.6199999999999998E-2</v>
      </c>
      <c r="H28" s="252"/>
      <c r="I28" s="608"/>
      <c r="J28" s="253"/>
      <c r="K28" s="254"/>
      <c r="L28" s="169"/>
    </row>
    <row r="29" spans="1:12">
      <c r="A29" s="193">
        <v>22</v>
      </c>
      <c r="B29" s="111"/>
      <c r="C29" s="169"/>
      <c r="D29" s="173"/>
      <c r="E29" s="567"/>
      <c r="F29" s="169"/>
      <c r="H29" s="252"/>
      <c r="I29" s="608"/>
      <c r="J29" s="253"/>
      <c r="K29" s="254"/>
      <c r="L29" s="169"/>
    </row>
    <row r="30" spans="1:12">
      <c r="A30" s="193">
        <v>23</v>
      </c>
      <c r="B30" s="110" t="s">
        <v>16</v>
      </c>
      <c r="C30" s="175">
        <f>C28+C26</f>
        <v>8801662440</v>
      </c>
      <c r="D30" s="244">
        <f>D28+D18</f>
        <v>1</v>
      </c>
      <c r="E30" s="577"/>
      <c r="F30" s="227">
        <f>F28+F26</f>
        <v>7.2899999999999993E-2</v>
      </c>
      <c r="H30" s="112"/>
      <c r="I30" s="112"/>
      <c r="J30" s="253"/>
      <c r="K30" s="169"/>
      <c r="L30" s="255"/>
    </row>
    <row r="31" spans="1:12">
      <c r="A31" s="193">
        <v>24</v>
      </c>
      <c r="B31" s="104"/>
      <c r="C31" s="112"/>
      <c r="D31" s="112"/>
      <c r="E31" s="176"/>
      <c r="F31" s="112"/>
      <c r="H31" s="104"/>
      <c r="I31" s="104"/>
      <c r="J31" s="104"/>
    </row>
    <row r="32" spans="1:12">
      <c r="A32" s="193">
        <v>25</v>
      </c>
      <c r="B32" s="104"/>
      <c r="C32" s="104"/>
      <c r="D32" s="104"/>
      <c r="E32" s="112"/>
      <c r="F32" s="104"/>
    </row>
    <row r="33" spans="1:7">
      <c r="A33" s="193">
        <v>26</v>
      </c>
      <c r="B33" s="375" t="s">
        <v>176</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&amp;CPg 1 Cost of Capital&amp;R&amp;F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B677"/>
  <sheetViews>
    <sheetView zoomScale="130" zoomScaleNormal="130" workbookViewId="0">
      <pane xSplit="2" ySplit="6" topLeftCell="M16" activePane="bottomRight" state="frozen"/>
      <selection activeCell="C28" sqref="C28"/>
      <selection pane="topRight" activeCell="C28" sqref="C28"/>
      <selection pane="bottomLeft" activeCell="C28" sqref="C28"/>
      <selection pane="bottomRight" activeCell="T9" sqref="T9"/>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32" t="s">
        <v>320</v>
      </c>
      <c r="C3" s="632"/>
      <c r="D3" s="632"/>
      <c r="E3" s="632"/>
      <c r="F3" s="632"/>
      <c r="G3" s="632"/>
      <c r="H3" s="632"/>
      <c r="I3" s="632"/>
      <c r="J3" s="632"/>
      <c r="K3" s="632"/>
      <c r="L3" s="632"/>
      <c r="M3" s="632"/>
      <c r="N3" s="632"/>
      <c r="O3" s="632"/>
      <c r="P3" s="632"/>
      <c r="Q3" s="632"/>
    </row>
    <row r="4" spans="1:53">
      <c r="B4" s="631" t="s">
        <v>59</v>
      </c>
      <c r="C4" s="631"/>
      <c r="D4" s="631"/>
      <c r="E4" s="631"/>
      <c r="F4" s="631"/>
      <c r="G4" s="631"/>
      <c r="H4" s="631"/>
      <c r="I4" s="631"/>
      <c r="J4" s="631"/>
      <c r="K4" s="631"/>
      <c r="L4" s="631"/>
      <c r="M4" s="631"/>
      <c r="N4" s="631"/>
      <c r="O4" s="631"/>
      <c r="P4" s="631"/>
      <c r="Q4" s="631"/>
    </row>
    <row r="5" spans="1:53">
      <c r="A5" s="130">
        <v>1</v>
      </c>
      <c r="B5" s="128" t="s">
        <v>5</v>
      </c>
      <c r="C5" s="314" t="s">
        <v>27</v>
      </c>
      <c r="D5" s="314" t="s">
        <v>52</v>
      </c>
      <c r="E5" s="314" t="s">
        <v>64</v>
      </c>
      <c r="F5" s="314" t="s">
        <v>65</v>
      </c>
      <c r="G5" s="314" t="s">
        <v>66</v>
      </c>
      <c r="H5" s="314" t="s">
        <v>67</v>
      </c>
      <c r="I5" s="314" t="s">
        <v>68</v>
      </c>
      <c r="J5" s="314" t="s">
        <v>69</v>
      </c>
      <c r="K5" s="314" t="s">
        <v>71</v>
      </c>
      <c r="L5" s="314" t="s">
        <v>72</v>
      </c>
      <c r="M5" s="314" t="s">
        <v>73</v>
      </c>
      <c r="N5" s="314" t="s">
        <v>74</v>
      </c>
      <c r="O5" s="314" t="s">
        <v>75</v>
      </c>
      <c r="P5" s="314"/>
      <c r="Q5" s="128" t="s">
        <v>76</v>
      </c>
    </row>
    <row r="6" spans="1:53" ht="35.1" customHeight="1">
      <c r="A6" s="130">
        <f>+A5+1</f>
        <v>2</v>
      </c>
      <c r="B6" s="102" t="s">
        <v>1</v>
      </c>
      <c r="C6" s="198">
        <v>43830</v>
      </c>
      <c r="D6" s="198">
        <v>43861</v>
      </c>
      <c r="E6" s="198">
        <v>43890</v>
      </c>
      <c r="F6" s="198">
        <v>43921</v>
      </c>
      <c r="G6" s="198">
        <v>43951</v>
      </c>
      <c r="H6" s="198">
        <v>43982</v>
      </c>
      <c r="I6" s="198">
        <v>44012</v>
      </c>
      <c r="J6" s="198">
        <v>44043</v>
      </c>
      <c r="K6" s="198">
        <v>44074</v>
      </c>
      <c r="L6" s="198">
        <v>44104</v>
      </c>
      <c r="M6" s="198">
        <v>44135</v>
      </c>
      <c r="N6" s="198">
        <v>44165</v>
      </c>
      <c r="O6" s="198">
        <v>44196</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6">
        <v>176000000</v>
      </c>
      <c r="D7" s="376">
        <v>103380000</v>
      </c>
      <c r="E7" s="376">
        <v>40000000</v>
      </c>
      <c r="F7" s="376">
        <v>16000000</v>
      </c>
      <c r="G7" s="376">
        <v>20000000</v>
      </c>
      <c r="H7" s="376">
        <v>35000000</v>
      </c>
      <c r="I7" s="376">
        <v>140000000</v>
      </c>
      <c r="J7" s="376">
        <v>163000000</v>
      </c>
      <c r="K7" s="376">
        <v>156000000</v>
      </c>
      <c r="L7" s="376">
        <v>221000000</v>
      </c>
      <c r="M7" s="376">
        <v>293000000</v>
      </c>
      <c r="N7" s="376">
        <v>356800000</v>
      </c>
      <c r="O7" s="376">
        <v>373800000</v>
      </c>
      <c r="P7" s="376"/>
      <c r="Q7" s="163">
        <f>ROUND(((C7+O7)+(SUM(D7:N7)*2))/24,0)</f>
        <v>151590000</v>
      </c>
      <c r="R7" s="562"/>
      <c r="S7" s="563"/>
      <c r="T7" s="563"/>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6"/>
      <c r="D8" s="376"/>
      <c r="E8" s="376"/>
      <c r="F8" s="376"/>
      <c r="G8" s="376"/>
      <c r="H8" s="376"/>
      <c r="I8" s="376"/>
      <c r="J8" s="376"/>
      <c r="K8" s="376"/>
      <c r="L8" s="376"/>
      <c r="M8" s="376"/>
      <c r="N8" s="376"/>
      <c r="O8" s="376"/>
      <c r="P8" s="376"/>
      <c r="Q8" s="163">
        <f>ROUND(((C8+L8)+(SUM(D8:N8)*2))/24,0)</f>
        <v>0</v>
      </c>
      <c r="R8" s="562"/>
      <c r="S8" s="563"/>
      <c r="T8" s="563"/>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6"/>
      <c r="D9" s="376"/>
      <c r="E9" s="376"/>
      <c r="F9" s="376">
        <v>60000000</v>
      </c>
      <c r="G9" s="376">
        <v>130000000</v>
      </c>
      <c r="H9" s="376"/>
      <c r="I9" s="376"/>
      <c r="J9" s="376"/>
      <c r="K9" s="376"/>
      <c r="L9" s="376"/>
      <c r="M9" s="376"/>
      <c r="N9" s="376"/>
      <c r="O9" s="376"/>
      <c r="P9" s="376"/>
      <c r="Q9" s="163">
        <f>ROUND(((C9+O9)+(SUM(D9:N9)*2))/24,0)</f>
        <v>15833333</v>
      </c>
      <c r="R9" s="101"/>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5">
        <f t="shared" ref="C10:H10" si="0">SUM(C7:C9)</f>
        <v>176000000</v>
      </c>
      <c r="D10" s="365">
        <f t="shared" si="0"/>
        <v>103380000</v>
      </c>
      <c r="E10" s="365">
        <f t="shared" si="0"/>
        <v>40000000</v>
      </c>
      <c r="F10" s="365">
        <f t="shared" si="0"/>
        <v>76000000</v>
      </c>
      <c r="G10" s="365">
        <f t="shared" si="0"/>
        <v>150000000</v>
      </c>
      <c r="H10" s="365">
        <f t="shared" si="0"/>
        <v>35000000</v>
      </c>
      <c r="I10" s="365">
        <f t="shared" ref="I10:Q10" si="1">SUM(I7:I9)</f>
        <v>140000000</v>
      </c>
      <c r="J10" s="365">
        <f t="shared" si="1"/>
        <v>163000000</v>
      </c>
      <c r="K10" s="365">
        <f t="shared" si="1"/>
        <v>156000000</v>
      </c>
      <c r="L10" s="365">
        <f t="shared" si="1"/>
        <v>221000000</v>
      </c>
      <c r="M10" s="365">
        <f t="shared" si="1"/>
        <v>293000000</v>
      </c>
      <c r="N10" s="365">
        <f t="shared" si="1"/>
        <v>356800000</v>
      </c>
      <c r="O10" s="365">
        <f t="shared" si="1"/>
        <v>373800000</v>
      </c>
      <c r="P10" s="200"/>
      <c r="Q10" s="218">
        <f t="shared" si="1"/>
        <v>167423333</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4"/>
      <c r="D11" s="364"/>
      <c r="E11" s="364"/>
      <c r="F11" s="364"/>
      <c r="G11" s="364"/>
      <c r="H11" s="364"/>
      <c r="I11" s="364"/>
      <c r="J11" s="364"/>
      <c r="K11" s="364"/>
      <c r="L11" s="364"/>
      <c r="M11" s="364"/>
      <c r="N11" s="364"/>
      <c r="O11" s="364"/>
      <c r="P11" s="364"/>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7">
        <v>4336141648</v>
      </c>
      <c r="D12" s="377">
        <v>4336292780</v>
      </c>
      <c r="E12" s="377">
        <v>4336452008</v>
      </c>
      <c r="F12" s="377">
        <v>4336611236</v>
      </c>
      <c r="G12" s="377">
        <v>4336769866</v>
      </c>
      <c r="H12" s="377">
        <v>4336929095</v>
      </c>
      <c r="I12" s="377">
        <v>4337088324</v>
      </c>
      <c r="J12" s="377">
        <v>4337247554</v>
      </c>
      <c r="K12" s="377">
        <v>4337406783</v>
      </c>
      <c r="L12" s="377">
        <v>4337566012</v>
      </c>
      <c r="M12" s="377">
        <v>4337725242</v>
      </c>
      <c r="N12" s="377">
        <v>4337884471</v>
      </c>
      <c r="O12" s="377">
        <v>4338043700</v>
      </c>
      <c r="P12" s="377"/>
      <c r="Q12" s="218">
        <f>ROUND(((C12+O12)+(SUM(D12:N12)*2))/24,0)</f>
        <v>4337088837</v>
      </c>
      <c r="R12" s="97"/>
      <c r="S12" s="563"/>
      <c r="T12" s="563"/>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8"/>
      <c r="D13" s="378"/>
      <c r="E13" s="378"/>
      <c r="F13" s="378"/>
      <c r="G13" s="378"/>
      <c r="H13" s="378"/>
      <c r="I13" s="378"/>
      <c r="J13" s="378"/>
      <c r="K13" s="378"/>
      <c r="L13" s="378"/>
      <c r="M13" s="378"/>
      <c r="N13" s="378"/>
      <c r="O13" s="378"/>
      <c r="P13" s="378"/>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8"/>
      <c r="D14" s="378">
        <v>0</v>
      </c>
      <c r="E14" s="378">
        <v>0</v>
      </c>
      <c r="F14" s="378">
        <v>0</v>
      </c>
      <c r="G14" s="378"/>
      <c r="H14" s="378"/>
      <c r="I14" s="378"/>
      <c r="J14" s="378"/>
      <c r="K14" s="378"/>
      <c r="L14" s="378"/>
      <c r="M14" s="378"/>
      <c r="N14" s="378"/>
      <c r="O14" s="378"/>
      <c r="P14" s="378"/>
      <c r="Q14" s="246">
        <f>ROUND(((C14+O14)+(SUM(D14:N14)*2))/24,0)</f>
        <v>0</v>
      </c>
      <c r="R14" s="97"/>
      <c r="S14" s="563"/>
      <c r="T14" s="563"/>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7">
        <f>SUM(C12:C14)</f>
        <v>4336141648</v>
      </c>
      <c r="D16" s="307">
        <f>SUM(D12:D14)</f>
        <v>4336292780</v>
      </c>
      <c r="E16" s="307">
        <f>SUM(E12:E14)</f>
        <v>4336452008</v>
      </c>
      <c r="F16" s="307">
        <f>SUM(F12:F14)</f>
        <v>4336611236</v>
      </c>
      <c r="G16" s="307">
        <f t="shared" ref="G16:O16" si="2">SUM(G12:G14)</f>
        <v>4336769866</v>
      </c>
      <c r="H16" s="307">
        <f t="shared" si="2"/>
        <v>4336929095</v>
      </c>
      <c r="I16" s="307">
        <f t="shared" si="2"/>
        <v>4337088324</v>
      </c>
      <c r="J16" s="307">
        <f t="shared" si="2"/>
        <v>4337247554</v>
      </c>
      <c r="K16" s="307">
        <f t="shared" si="2"/>
        <v>4337406783</v>
      </c>
      <c r="L16" s="307">
        <f t="shared" si="2"/>
        <v>4337566012</v>
      </c>
      <c r="M16" s="307">
        <f t="shared" si="2"/>
        <v>4337725242</v>
      </c>
      <c r="N16" s="307">
        <f t="shared" si="2"/>
        <v>4337884471</v>
      </c>
      <c r="O16" s="307">
        <f t="shared" si="2"/>
        <v>4338043700</v>
      </c>
      <c r="P16" s="98"/>
      <c r="Q16" s="218">
        <f>SUM(Q12:Q14)</f>
        <v>4337088837</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6">
        <v>0</v>
      </c>
      <c r="D18" s="306">
        <v>0</v>
      </c>
      <c r="E18" s="306">
        <v>0</v>
      </c>
      <c r="F18" s="306">
        <v>0</v>
      </c>
      <c r="G18" s="306">
        <v>0</v>
      </c>
      <c r="H18" s="306">
        <v>0</v>
      </c>
      <c r="I18" s="306">
        <v>0</v>
      </c>
      <c r="J18" s="306">
        <v>0</v>
      </c>
      <c r="K18" s="306">
        <v>0</v>
      </c>
      <c r="L18" s="306">
        <v>0</v>
      </c>
      <c r="M18" s="306">
        <v>0</v>
      </c>
      <c r="N18" s="306">
        <v>0</v>
      </c>
      <c r="O18" s="306">
        <v>0</v>
      </c>
      <c r="P18" s="306"/>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9">
        <v>4228197192</v>
      </c>
      <c r="D20" s="319">
        <v>4274443916</v>
      </c>
      <c r="E20" s="319">
        <v>4314388188</v>
      </c>
      <c r="F20" s="319">
        <v>4324198041</v>
      </c>
      <c r="G20" s="319">
        <v>4343227000</v>
      </c>
      <c r="H20" s="319">
        <v>4336316000</v>
      </c>
      <c r="I20" s="319">
        <v>4281574000</v>
      </c>
      <c r="J20" s="319">
        <v>4269289000</v>
      </c>
      <c r="K20" s="319">
        <v>4276748000</v>
      </c>
      <c r="L20" s="319">
        <v>4255467000</v>
      </c>
      <c r="M20" s="319">
        <v>4273886000</v>
      </c>
      <c r="N20" s="319">
        <v>4318644000</v>
      </c>
      <c r="O20" s="319">
        <v>4367047000</v>
      </c>
      <c r="P20" s="275"/>
      <c r="Q20" s="217">
        <f>ROUND(((C20+O20)+(SUM(D20:N20)*2))/24,0)</f>
        <v>4297150270</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8">
        <f t="shared" ref="C22" si="3">C10+C16+C18+C20-1000</f>
        <v>8740337840</v>
      </c>
      <c r="D22" s="308">
        <f>D10+D16+D18+D20</f>
        <v>8714116696</v>
      </c>
      <c r="E22" s="308">
        <f>E10+E16+E18+E20</f>
        <v>8690840196</v>
      </c>
      <c r="F22" s="308">
        <f>F10+F16+F18+F20</f>
        <v>8736809277</v>
      </c>
      <c r="G22" s="308">
        <f>G10+G16+G18+G20</f>
        <v>8829996866</v>
      </c>
      <c r="H22" s="308">
        <f t="shared" ref="H22" si="4">H10+H16+H18+H20</f>
        <v>8708245095</v>
      </c>
      <c r="I22" s="308">
        <f>I10+I16+I18+I20</f>
        <v>8758662324</v>
      </c>
      <c r="J22" s="308">
        <f>J10+J16+J18+J20</f>
        <v>8769536554</v>
      </c>
      <c r="K22" s="308">
        <f t="shared" ref="K22:O22" si="5">K10+K16+K18+K20</f>
        <v>8770154783</v>
      </c>
      <c r="L22" s="308">
        <f>L10+L16+L18+L20</f>
        <v>8814033012</v>
      </c>
      <c r="M22" s="308">
        <f t="shared" si="5"/>
        <v>8904611242</v>
      </c>
      <c r="N22" s="308">
        <f t="shared" si="5"/>
        <v>9013328471</v>
      </c>
      <c r="O22" s="308">
        <f t="shared" si="5"/>
        <v>9078890700</v>
      </c>
      <c r="P22" s="308"/>
      <c r="Q22" s="247">
        <f>Q10+Q16+Q18+Q20</f>
        <v>8801662440</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9">
        <f t="shared" ref="C24:H24" si="6">C10/C$22</f>
        <v>2.0136521404760712E-2</v>
      </c>
      <c r="D24" s="309">
        <f t="shared" si="6"/>
        <v>1.186350878769549E-2</v>
      </c>
      <c r="E24" s="309">
        <f t="shared" si="6"/>
        <v>4.6025469457383634E-3</v>
      </c>
      <c r="F24" s="309">
        <f t="shared" si="6"/>
        <v>8.6988278661493772E-3</v>
      </c>
      <c r="G24" s="309">
        <f t="shared" si="6"/>
        <v>1.698754849818539E-2</v>
      </c>
      <c r="H24" s="309">
        <f t="shared" si="6"/>
        <v>4.0191794808457906E-3</v>
      </c>
      <c r="I24" s="309">
        <f>I10/I$22</f>
        <v>1.5984175987282873E-2</v>
      </c>
      <c r="J24" s="309">
        <f>J10/J$22</f>
        <v>1.8587071163487165E-2</v>
      </c>
      <c r="K24" s="309">
        <f>K10/K$22</f>
        <v>1.778759940501725E-2</v>
      </c>
      <c r="L24" s="309">
        <f>L10/L$22</f>
        <v>2.5073652401700352E-2</v>
      </c>
      <c r="M24" s="309">
        <f t="shared" ref="M24:O24" si="7">M10/M$22</f>
        <v>3.2904300034797634E-2</v>
      </c>
      <c r="N24" s="309">
        <f t="shared" si="7"/>
        <v>3.9585820171536938E-2</v>
      </c>
      <c r="O24" s="309">
        <f t="shared" si="7"/>
        <v>4.1172430900616529E-2</v>
      </c>
      <c r="P24" s="309"/>
      <c r="Q24" s="310">
        <f>Q10/Q$22</f>
        <v>1.9021785275373501E-2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1">
        <f t="shared" ref="C25:H25" si="8">C16/C$22</f>
        <v>0.49610686993764991</v>
      </c>
      <c r="D25" s="311">
        <f t="shared" si="8"/>
        <v>0.49761701974802197</v>
      </c>
      <c r="E25" s="311">
        <f t="shared" si="8"/>
        <v>0.49896809861903485</v>
      </c>
      <c r="F25" s="311">
        <f t="shared" si="8"/>
        <v>0.49636098242596444</v>
      </c>
      <c r="G25" s="311">
        <f t="shared" si="8"/>
        <v>0.49114058949429301</v>
      </c>
      <c r="H25" s="311">
        <f t="shared" si="8"/>
        <v>0.49802561224306008</v>
      </c>
      <c r="I25" s="311">
        <f>I16/I$22</f>
        <v>0.4951770217371837</v>
      </c>
      <c r="J25" s="311">
        <f>J16/J$22</f>
        <v>0.49458115914023704</v>
      </c>
      <c r="K25" s="311">
        <f>K16/K$22</f>
        <v>0.49456445072184996</v>
      </c>
      <c r="L25" s="311">
        <f>L16/L$22</f>
        <v>0.49212046359419742</v>
      </c>
      <c r="M25" s="311">
        <f t="shared" ref="M25:O25" si="9">M16/M$22</f>
        <v>0.48713246700096646</v>
      </c>
      <c r="N25" s="311">
        <f t="shared" si="9"/>
        <v>0.48127442431028206</v>
      </c>
      <c r="O25" s="311">
        <f t="shared" si="9"/>
        <v>0.47781649139139876</v>
      </c>
      <c r="P25" s="311"/>
      <c r="Q25" s="312">
        <f>Q16/Q$22</f>
        <v>0.49275791551487858</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9">
        <f t="shared" ref="C26:H26" si="10">SUM(C24:C25)</f>
        <v>0.5162433913424106</v>
      </c>
      <c r="D26" s="309">
        <f t="shared" si="10"/>
        <v>0.50948052853571746</v>
      </c>
      <c r="E26" s="309">
        <f t="shared" si="10"/>
        <v>0.50357064556477327</v>
      </c>
      <c r="F26" s="309">
        <f t="shared" si="10"/>
        <v>0.50505981029211378</v>
      </c>
      <c r="G26" s="309">
        <f t="shared" si="10"/>
        <v>0.50812813799247836</v>
      </c>
      <c r="H26" s="309">
        <f t="shared" si="10"/>
        <v>0.50204479172390581</v>
      </c>
      <c r="I26" s="309">
        <f>SUM(I24:I25)</f>
        <v>0.51116119772446655</v>
      </c>
      <c r="J26" s="309">
        <f>SUM(J24:J25)</f>
        <v>0.51316823030372416</v>
      </c>
      <c r="K26" s="309">
        <f>SUM(K24:K25)</f>
        <v>0.51235205012686724</v>
      </c>
      <c r="L26" s="309">
        <f>SUM(L24:L25)</f>
        <v>0.51719411599589782</v>
      </c>
      <c r="M26" s="309">
        <f t="shared" ref="M26:O26" si="11">SUM(M24:M25)</f>
        <v>0.52003676703576407</v>
      </c>
      <c r="N26" s="309">
        <f t="shared" si="11"/>
        <v>0.520860244481819</v>
      </c>
      <c r="O26" s="309">
        <f t="shared" si="11"/>
        <v>0.51898892229201532</v>
      </c>
      <c r="P26" s="309"/>
      <c r="Q26" s="310">
        <f>SUM(Q24:Q25)</f>
        <v>0.51177970079025203</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9">
        <f>C18/C$22</f>
        <v>0</v>
      </c>
      <c r="D27" s="309">
        <f>D18/D$22</f>
        <v>0</v>
      </c>
      <c r="E27" s="309">
        <f>E18/E$22</f>
        <v>0</v>
      </c>
      <c r="F27" s="309">
        <f>F18/F$22</f>
        <v>0</v>
      </c>
      <c r="G27" s="309">
        <f t="shared" ref="G27:O27" si="12">G18/G$22</f>
        <v>0</v>
      </c>
      <c r="H27" s="309">
        <f t="shared" si="12"/>
        <v>0</v>
      </c>
      <c r="I27" s="309">
        <f t="shared" si="12"/>
        <v>0</v>
      </c>
      <c r="J27" s="309">
        <f t="shared" si="12"/>
        <v>0</v>
      </c>
      <c r="K27" s="309">
        <f t="shared" si="12"/>
        <v>0</v>
      </c>
      <c r="L27" s="309">
        <f t="shared" si="12"/>
        <v>0</v>
      </c>
      <c r="M27" s="309">
        <f t="shared" si="12"/>
        <v>0</v>
      </c>
      <c r="N27" s="309">
        <f t="shared" si="12"/>
        <v>0</v>
      </c>
      <c r="O27" s="309">
        <f t="shared" si="12"/>
        <v>0</v>
      </c>
      <c r="P27" s="309"/>
      <c r="Q27" s="310">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1">
        <f>C20/C$22</f>
        <v>0.48375672306964279</v>
      </c>
      <c r="D28" s="341">
        <f>D20/D$22</f>
        <v>0.49051947146428254</v>
      </c>
      <c r="E28" s="341">
        <f>E20/E$22</f>
        <v>0.49642935443522679</v>
      </c>
      <c r="F28" s="341">
        <f>F20/F$22</f>
        <v>0.49494018970788617</v>
      </c>
      <c r="G28" s="341">
        <f t="shared" ref="G28:O28" si="13">G20/G$22</f>
        <v>0.49187186200752159</v>
      </c>
      <c r="H28" s="341">
        <f t="shared" si="13"/>
        <v>0.49795520827609413</v>
      </c>
      <c r="I28" s="341">
        <f t="shared" si="13"/>
        <v>0.48883880227553339</v>
      </c>
      <c r="J28" s="341">
        <f t="shared" si="13"/>
        <v>0.48683176969627578</v>
      </c>
      <c r="K28" s="341">
        <f t="shared" si="13"/>
        <v>0.48764794987313281</v>
      </c>
      <c r="L28" s="341">
        <f t="shared" si="13"/>
        <v>0.48280588400410224</v>
      </c>
      <c r="M28" s="341">
        <f t="shared" si="13"/>
        <v>0.47996323296423588</v>
      </c>
      <c r="N28" s="341">
        <f t="shared" si="13"/>
        <v>0.479139755518181</v>
      </c>
      <c r="O28" s="341">
        <f t="shared" si="13"/>
        <v>0.48101107770798474</v>
      </c>
      <c r="P28" s="341"/>
      <c r="Q28" s="312">
        <f>Q20/Q$22</f>
        <v>0.48822029920974791</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5"/>
      <c r="D29" s="313"/>
      <c r="E29" s="313"/>
      <c r="F29" s="315"/>
      <c r="G29" s="315"/>
      <c r="H29" s="315"/>
      <c r="I29" s="315"/>
      <c r="J29" s="315"/>
      <c r="K29" s="315"/>
      <c r="L29" s="315"/>
      <c r="M29" s="315"/>
      <c r="N29" s="315"/>
      <c r="O29" s="315"/>
      <c r="P29" s="315"/>
      <c r="Q29" s="316"/>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7">
        <f>SUM(C26:C28)</f>
        <v>1.0000001144120534</v>
      </c>
      <c r="D30" s="317">
        <f>SUM(D26:D28)</f>
        <v>1</v>
      </c>
      <c r="E30" s="317">
        <f>SUM(E26:E28)</f>
        <v>1</v>
      </c>
      <c r="F30" s="317">
        <f>SUM(F26:F28)</f>
        <v>1</v>
      </c>
      <c r="G30" s="317">
        <f t="shared" ref="G30:O30" si="14">SUM(G26:G28)</f>
        <v>1</v>
      </c>
      <c r="H30" s="317">
        <f t="shared" si="14"/>
        <v>1</v>
      </c>
      <c r="I30" s="317">
        <f t="shared" si="14"/>
        <v>1</v>
      </c>
      <c r="J30" s="317">
        <f t="shared" si="14"/>
        <v>1</v>
      </c>
      <c r="K30" s="317">
        <f t="shared" si="14"/>
        <v>1</v>
      </c>
      <c r="L30" s="317">
        <f t="shared" si="14"/>
        <v>1</v>
      </c>
      <c r="M30" s="317">
        <f t="shared" si="14"/>
        <v>1</v>
      </c>
      <c r="N30" s="317">
        <f t="shared" si="14"/>
        <v>1</v>
      </c>
      <c r="O30" s="317">
        <f t="shared" si="14"/>
        <v>1</v>
      </c>
      <c r="P30" s="317"/>
      <c r="Q30" s="318">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0"/>
      <c r="D32" s="340"/>
      <c r="E32" s="340"/>
      <c r="F32" s="340"/>
      <c r="G32" s="340"/>
      <c r="H32" s="340"/>
      <c r="I32" s="340"/>
      <c r="J32" s="340"/>
      <c r="K32" s="340"/>
      <c r="L32" s="340"/>
      <c r="M32" s="340"/>
      <c r="N32" s="340"/>
      <c r="O32" s="340"/>
      <c r="P32" s="340"/>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2"/>
      <c r="D33" s="342"/>
      <c r="E33" s="342"/>
      <c r="F33" s="342"/>
      <c r="G33" s="342"/>
      <c r="H33" s="342"/>
      <c r="I33" s="342"/>
      <c r="J33" s="342"/>
      <c r="K33" s="342"/>
      <c r="L33" s="342"/>
      <c r="M33" s="342"/>
      <c r="N33" s="342"/>
      <c r="O33" s="342"/>
      <c r="P33" s="342"/>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9">
        <v>4048680000</v>
      </c>
      <c r="D34" s="319">
        <v>4059042000</v>
      </c>
      <c r="E34" s="319">
        <v>4099579000</v>
      </c>
      <c r="F34" s="319">
        <v>4114013000</v>
      </c>
      <c r="G34" s="319">
        <v>4161940000</v>
      </c>
      <c r="H34" s="319">
        <v>4150600000</v>
      </c>
      <c r="I34" s="319">
        <v>4086991000</v>
      </c>
      <c r="J34" s="319">
        <v>4080606000</v>
      </c>
      <c r="K34" s="319">
        <v>4119488000</v>
      </c>
      <c r="L34" s="319">
        <v>4097604735</v>
      </c>
      <c r="M34" s="319">
        <v>4135983497</v>
      </c>
      <c r="N34" s="319">
        <v>4150351354</v>
      </c>
      <c r="O34" s="319">
        <v>4181410458</v>
      </c>
      <c r="P34" s="319"/>
      <c r="Q34" s="218">
        <f>ROUND(((C34+O34)+(SUM(D34:N34)*2))/24,0)</f>
        <v>4114270318</v>
      </c>
      <c r="R34" s="90"/>
      <c r="S34" s="563"/>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C35" s="379"/>
      <c r="D35" s="379"/>
      <c r="E35" s="379"/>
      <c r="F35" s="379"/>
      <c r="P35" s="379"/>
      <c r="Q35" s="177"/>
      <c r="R35" s="90"/>
      <c r="S35" s="563"/>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-20292289</v>
      </c>
      <c r="D36" s="199">
        <v>-20292289</v>
      </c>
      <c r="E36" s="199">
        <v>-20292289</v>
      </c>
      <c r="F36" s="199">
        <v>-20420029</v>
      </c>
      <c r="G36" s="199">
        <v>-20420029</v>
      </c>
      <c r="H36" s="199">
        <v>-20420029</v>
      </c>
      <c r="I36" s="199">
        <v>-20529857</v>
      </c>
      <c r="J36" s="199">
        <v>-20529857</v>
      </c>
      <c r="K36" s="199">
        <v>-20529857</v>
      </c>
      <c r="L36" s="199">
        <v>-20656071</v>
      </c>
      <c r="M36" s="199">
        <v>-20656071</v>
      </c>
      <c r="N36" s="199">
        <v>-20656071</v>
      </c>
      <c r="O36" s="199">
        <v>-20759387</v>
      </c>
      <c r="P36" s="199"/>
      <c r="Q36" s="218">
        <f>ROUND(((C36+O36)+(SUM(D36:N36)*2))/24,0)</f>
        <v>-20494024</v>
      </c>
      <c r="R36" s="98"/>
      <c r="S36" s="563"/>
      <c r="T36" s="563"/>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6"/>
      <c r="D37" s="306"/>
      <c r="E37" s="306"/>
      <c r="F37" s="306"/>
      <c r="G37" s="306"/>
      <c r="H37" s="306"/>
      <c r="I37" s="306"/>
      <c r="J37" s="306"/>
      <c r="K37" s="306"/>
      <c r="L37" s="306"/>
      <c r="M37" s="306"/>
      <c r="N37" s="306"/>
      <c r="O37" s="306"/>
      <c r="P37" s="306"/>
      <c r="R37" s="98"/>
      <c r="S37" s="563"/>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5">+A37+1</f>
        <v>23</v>
      </c>
      <c r="B38" s="228" t="s">
        <v>34</v>
      </c>
      <c r="C38" s="320">
        <f t="shared" ref="C38:H38" si="16">SUM(C36:C37)</f>
        <v>-20292289</v>
      </c>
      <c r="D38" s="320">
        <f t="shared" si="16"/>
        <v>-20292289</v>
      </c>
      <c r="E38" s="320">
        <f t="shared" si="16"/>
        <v>-20292289</v>
      </c>
      <c r="F38" s="320">
        <f t="shared" si="16"/>
        <v>-20420029</v>
      </c>
      <c r="G38" s="320">
        <f t="shared" si="16"/>
        <v>-20420029</v>
      </c>
      <c r="H38" s="320">
        <f t="shared" si="16"/>
        <v>-20420029</v>
      </c>
      <c r="I38" s="320">
        <f>SUM(I36:I37)</f>
        <v>-20529857</v>
      </c>
      <c r="J38" s="320">
        <f>SUM(J36:J37)</f>
        <v>-20529857</v>
      </c>
      <c r="K38" s="320">
        <f>SUM(K36:K37)</f>
        <v>-20529857</v>
      </c>
      <c r="L38" s="320">
        <f>SUM(L36:L37)</f>
        <v>-20656071</v>
      </c>
      <c r="M38" s="320">
        <f>SUM(M36:M37)</f>
        <v>-20656071</v>
      </c>
      <c r="N38" s="320">
        <f t="shared" ref="N38:O38" si="17">SUM(N36:N37)</f>
        <v>-20656071</v>
      </c>
      <c r="O38" s="320">
        <f t="shared" si="17"/>
        <v>-20759387</v>
      </c>
      <c r="P38" s="200"/>
      <c r="Q38" s="218">
        <f>ROUND(((C38+O38)+(SUM(D38:N38)*2))/24,0)</f>
        <v>-20494024</v>
      </c>
      <c r="R38" s="98"/>
      <c r="S38" s="563"/>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5"/>
        <v>24</v>
      </c>
      <c r="B39" s="229" t="s">
        <v>169</v>
      </c>
      <c r="C39" s="200"/>
      <c r="D39" s="200"/>
      <c r="E39" s="200"/>
      <c r="F39" s="200"/>
      <c r="G39" s="200"/>
      <c r="H39" s="200"/>
      <c r="I39" s="200"/>
      <c r="J39" s="200"/>
      <c r="K39" s="200"/>
      <c r="L39" s="200"/>
      <c r="M39" s="200"/>
      <c r="N39" s="200"/>
      <c r="O39" s="200"/>
      <c r="P39" s="200"/>
      <c r="Q39" s="97"/>
      <c r="R39" s="98"/>
      <c r="S39" s="563"/>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5"/>
        <v>25</v>
      </c>
      <c r="B40" s="610" t="s">
        <v>170</v>
      </c>
      <c r="C40" s="319">
        <f>7767000+21485000</f>
        <v>29252000</v>
      </c>
      <c r="D40" s="319">
        <f>-28993000+21485000</f>
        <v>-7508000</v>
      </c>
      <c r="E40" s="319">
        <f>-30208000+21485000</f>
        <v>-8723000</v>
      </c>
      <c r="F40" s="319">
        <f>-30580000+21485000</f>
        <v>-9095000</v>
      </c>
      <c r="G40" s="319">
        <f>-3001000+21485000</f>
        <v>18484000</v>
      </c>
      <c r="H40" s="319">
        <f>-9073000+21485000</f>
        <v>12412000</v>
      </c>
      <c r="I40" s="319">
        <f>-20972000+21485000+2147000</f>
        <v>2660000</v>
      </c>
      <c r="J40" s="319">
        <f>-13520000+21485000</f>
        <v>7965000</v>
      </c>
      <c r="K40" s="319">
        <f>16556000+21485000</f>
        <v>38041000</v>
      </c>
      <c r="L40" s="319">
        <f>10582000+21485000+4149000</f>
        <v>36216000</v>
      </c>
      <c r="M40" s="319">
        <f>25808000+21485000+7537000</f>
        <v>54830000</v>
      </c>
      <c r="N40" s="319">
        <f>-4104000+21485000+5710000</f>
        <v>23091000</v>
      </c>
      <c r="O40" s="319">
        <f>-13411000+21485000+8003000</f>
        <v>16077000</v>
      </c>
      <c r="P40" s="200"/>
      <c r="Q40" s="611">
        <f>ROUND(((C40+O40)+(SUM(D40:N40)*2))/24,0)</f>
        <v>15919792</v>
      </c>
      <c r="R40" s="98"/>
      <c r="S40" s="612"/>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3"/>
    </row>
    <row r="41" spans="1:54" ht="13.5" thickBot="1">
      <c r="A41" s="130">
        <f t="shared" si="15"/>
        <v>26</v>
      </c>
      <c r="B41" s="231" t="s">
        <v>118</v>
      </c>
      <c r="C41" s="199">
        <v>-5353474</v>
      </c>
      <c r="D41" s="199">
        <v>-5321370</v>
      </c>
      <c r="E41" s="199">
        <v>-5289267</v>
      </c>
      <c r="F41" s="199">
        <f>-5257164</f>
        <v>-5257164</v>
      </c>
      <c r="G41" s="199">
        <v>-5225061</v>
      </c>
      <c r="H41" s="199">
        <f>-5192957-1000</f>
        <v>-5193957</v>
      </c>
      <c r="I41" s="199">
        <f>-5160854-2000</f>
        <v>-5162854</v>
      </c>
      <c r="J41" s="199">
        <v>-5128751</v>
      </c>
      <c r="K41" s="199">
        <f>-5096648-1000</f>
        <v>-5097648</v>
      </c>
      <c r="L41" s="199">
        <v>-5064545</v>
      </c>
      <c r="M41" s="199">
        <f>-5032441</f>
        <v>-5032441</v>
      </c>
      <c r="N41" s="199">
        <v>-5000338</v>
      </c>
      <c r="O41" s="199">
        <v>-4968234</v>
      </c>
      <c r="P41" s="199"/>
      <c r="Q41" s="218">
        <f>ROUND(((C41+O41)+(SUM(D41:N41)*2))/24,0)</f>
        <v>-5161188</v>
      </c>
      <c r="R41" s="98"/>
      <c r="S41" s="563"/>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5"/>
        <v>27</v>
      </c>
      <c r="B42" s="231" t="s">
        <v>119</v>
      </c>
      <c r="C42" s="199">
        <v>-183123429</v>
      </c>
      <c r="D42" s="199">
        <v>-182280257</v>
      </c>
      <c r="E42" s="199">
        <f>-180504632</f>
        <v>-180504632</v>
      </c>
      <c r="F42" s="199">
        <v>-175412848</v>
      </c>
      <c r="G42" s="199">
        <v>-174125482</v>
      </c>
      <c r="H42" s="199">
        <v>-172514225</v>
      </c>
      <c r="I42" s="199">
        <v>-171550750</v>
      </c>
      <c r="J42" s="199">
        <v>-170989012</v>
      </c>
      <c r="K42" s="199">
        <v>-169673457</v>
      </c>
      <c r="L42" s="199">
        <v>-168357902</v>
      </c>
      <c r="M42" s="199">
        <f>-167042347-2000</f>
        <v>-167044347</v>
      </c>
      <c r="N42" s="199">
        <v>-165726792</v>
      </c>
      <c r="O42" s="199">
        <f>-175986902+1000</f>
        <v>-175985902</v>
      </c>
      <c r="P42" s="199"/>
      <c r="Q42" s="218">
        <f>ROUND(((C42+O42)+(SUM(D42:N42)*2))/24,0)</f>
        <v>-173144531</v>
      </c>
      <c r="R42" s="98"/>
      <c r="S42" s="563"/>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5"/>
        <v>28</v>
      </c>
      <c r="B43" s="232" t="s">
        <v>120</v>
      </c>
      <c r="C43" s="230">
        <f t="shared" ref="C43:H43" si="18">SUM(C40:C42)</f>
        <v>-159224903</v>
      </c>
      <c r="D43" s="230">
        <f t="shared" si="18"/>
        <v>-195109627</v>
      </c>
      <c r="E43" s="230">
        <f t="shared" si="18"/>
        <v>-194516899</v>
      </c>
      <c r="F43" s="230">
        <f t="shared" si="18"/>
        <v>-189765012</v>
      </c>
      <c r="G43" s="230">
        <f t="shared" si="18"/>
        <v>-160866543</v>
      </c>
      <c r="H43" s="230">
        <f t="shared" si="18"/>
        <v>-165296182</v>
      </c>
      <c r="I43" s="230">
        <f>SUM(I40:I42)</f>
        <v>-174053604</v>
      </c>
      <c r="J43" s="230">
        <f>SUM(J40:J42)</f>
        <v>-168152763</v>
      </c>
      <c r="K43" s="230">
        <f>SUM(K40:K42)</f>
        <v>-136730105</v>
      </c>
      <c r="L43" s="230">
        <f>SUM(L40:L42)</f>
        <v>-137206447</v>
      </c>
      <c r="M43" s="230">
        <f t="shared" ref="M43:O43" si="19">SUM(M40:M42)</f>
        <v>-117246788</v>
      </c>
      <c r="N43" s="230">
        <f t="shared" si="19"/>
        <v>-147636130</v>
      </c>
      <c r="O43" s="230">
        <f t="shared" si="19"/>
        <v>-164877136</v>
      </c>
      <c r="P43" s="275"/>
      <c r="Q43" s="218">
        <f>ROUND(((C43+O43)+(SUM(D43:N43)*2))/24,0)</f>
        <v>-162385927</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5"/>
        <v>29</v>
      </c>
      <c r="B44" s="622" t="s">
        <v>103</v>
      </c>
      <c r="C44" s="307">
        <f t="shared" ref="C44:O44" si="20">+C34-C38-C43</f>
        <v>4228197192</v>
      </c>
      <c r="D44" s="307">
        <f t="shared" si="20"/>
        <v>4274443916</v>
      </c>
      <c r="E44" s="307">
        <f t="shared" si="20"/>
        <v>4314388188</v>
      </c>
      <c r="F44" s="307">
        <f t="shared" si="20"/>
        <v>4324198041</v>
      </c>
      <c r="G44" s="307">
        <f t="shared" si="20"/>
        <v>4343226572</v>
      </c>
      <c r="H44" s="307">
        <f t="shared" si="20"/>
        <v>4336316211</v>
      </c>
      <c r="I44" s="307">
        <f t="shared" si="20"/>
        <v>4281574461</v>
      </c>
      <c r="J44" s="307">
        <f t="shared" si="20"/>
        <v>4269288620</v>
      </c>
      <c r="K44" s="307">
        <f t="shared" si="20"/>
        <v>4276747962</v>
      </c>
      <c r="L44" s="307">
        <f t="shared" si="20"/>
        <v>4255467253</v>
      </c>
      <c r="M44" s="307">
        <f t="shared" si="20"/>
        <v>4273886356</v>
      </c>
      <c r="N44" s="307">
        <f t="shared" si="20"/>
        <v>4318643555</v>
      </c>
      <c r="O44" s="307">
        <f t="shared" si="20"/>
        <v>4367046981</v>
      </c>
      <c r="P44" s="98"/>
      <c r="Q44" s="218">
        <f>ROUND(((C44+O44)+(SUM(D44:N44)*2))/24,0)</f>
        <v>4297150268</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4"/>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29" t="s">
        <v>316</v>
      </c>
      <c r="C46" s="628">
        <f t="shared" ref="C46:J46" si="21">MROUND(C20,1000)-MROUND(C44,1000)</f>
        <v>0</v>
      </c>
      <c r="D46" s="628">
        <f t="shared" si="21"/>
        <v>0</v>
      </c>
      <c r="E46" s="628">
        <f t="shared" si="21"/>
        <v>0</v>
      </c>
      <c r="F46" s="628">
        <f t="shared" si="21"/>
        <v>0</v>
      </c>
      <c r="G46" s="628">
        <f t="shared" si="21"/>
        <v>0</v>
      </c>
      <c r="H46" s="628">
        <f t="shared" si="21"/>
        <v>0</v>
      </c>
      <c r="I46" s="628">
        <f t="shared" si="21"/>
        <v>0</v>
      </c>
      <c r="J46" s="628">
        <f t="shared" si="21"/>
        <v>0</v>
      </c>
      <c r="K46" s="628">
        <f>MROUND(K20,1000)-MROUND(K44,1000)</f>
        <v>0</v>
      </c>
      <c r="L46" s="628">
        <f t="shared" ref="L46:O46" si="22">MROUND(L20,1000)-MROUND(L44,1000)</f>
        <v>0</v>
      </c>
      <c r="M46" s="628">
        <f t="shared" si="22"/>
        <v>0</v>
      </c>
      <c r="N46" s="628">
        <f t="shared" si="22"/>
        <v>0</v>
      </c>
      <c r="O46" s="628">
        <f t="shared" si="22"/>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28"/>
      <c r="D47" s="628"/>
      <c r="E47" s="628"/>
      <c r="F47" s="628"/>
      <c r="G47" s="628"/>
      <c r="H47" s="628"/>
      <c r="I47" s="628"/>
      <c r="J47" s="628"/>
      <c r="K47" s="628"/>
      <c r="L47" s="628"/>
      <c r="M47" s="628"/>
      <c r="N47" s="628"/>
      <c r="O47" s="628"/>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3"/>
      <c r="D49" s="623"/>
      <c r="E49" s="623"/>
      <c r="F49" s="623"/>
      <c r="G49" s="623"/>
      <c r="H49" s="623"/>
      <c r="I49" s="623"/>
      <c r="J49" s="623"/>
      <c r="K49" s="623"/>
      <c r="L49" s="623"/>
      <c r="M49" s="623"/>
      <c r="N49" s="623"/>
      <c r="O49" s="623"/>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4"/>
      <c r="C50" s="319"/>
      <c r="D50" s="319"/>
      <c r="E50" s="319"/>
      <c r="F50" s="319"/>
      <c r="G50" s="319"/>
      <c r="H50" s="319"/>
      <c r="I50" s="319"/>
      <c r="J50" s="319"/>
      <c r="K50" s="319"/>
      <c r="L50" s="319"/>
      <c r="M50" s="319"/>
      <c r="N50" s="319"/>
      <c r="O50" s="319"/>
      <c r="P50" s="199"/>
      <c r="Q50" s="597"/>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4"/>
      <c r="C51" s="319"/>
      <c r="D51" s="319"/>
      <c r="E51" s="319"/>
      <c r="F51" s="319"/>
      <c r="G51" s="319"/>
      <c r="H51" s="319"/>
      <c r="I51" s="319"/>
      <c r="J51" s="319"/>
      <c r="K51" s="319"/>
      <c r="L51" s="319"/>
      <c r="M51" s="319"/>
      <c r="N51" s="319"/>
      <c r="O51" s="319"/>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9"/>
      <c r="D52" s="319"/>
      <c r="E52" s="319"/>
      <c r="F52" s="319"/>
      <c r="G52" s="319"/>
      <c r="H52" s="319"/>
      <c r="I52" s="319"/>
      <c r="J52" s="319"/>
      <c r="K52" s="319"/>
      <c r="L52" s="319"/>
      <c r="M52" s="319"/>
      <c r="N52" s="319"/>
      <c r="O52" s="319"/>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4"/>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1"/>
      <c r="D54" s="621"/>
      <c r="E54" s="621"/>
      <c r="F54" s="621"/>
      <c r="G54" s="225"/>
      <c r="H54" s="225"/>
      <c r="I54" s="225"/>
      <c r="J54" s="225"/>
      <c r="K54" s="225"/>
      <c r="L54" s="225"/>
      <c r="M54" s="225"/>
      <c r="N54" s="225"/>
      <c r="O54" s="225"/>
      <c r="P54" s="225"/>
      <c r="Q54" s="574"/>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3"/>
      <c r="L56" s="225"/>
      <c r="M56" s="607"/>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5"/>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5"/>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4" orientation="landscape" r:id="rId1"/>
  <headerFooter alignWithMargins="0">
    <oddFooter>&amp;C&amp;A&amp;R&amp;8&amp;F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zoomScaleNormal="100" workbookViewId="0">
      <selection activeCell="E23" sqref="E23"/>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6" t="s">
        <v>25</v>
      </c>
      <c r="C2" s="201"/>
      <c r="D2" s="201"/>
      <c r="E2" s="201"/>
      <c r="F2" s="201"/>
    </row>
    <row r="3" spans="1:8" ht="15.75">
      <c r="A3" s="34"/>
      <c r="B3" s="336" t="s">
        <v>37</v>
      </c>
      <c r="C3" s="201"/>
      <c r="D3" s="201"/>
      <c r="E3" s="201"/>
      <c r="F3" s="201"/>
    </row>
    <row r="4" spans="1:8" ht="15.75" customHeight="1">
      <c r="B4" s="337" t="str">
        <f>'New Format'!B5</f>
        <v>For The 12 Months Ending December 31, 2020</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'Pg 4 STD OS &amp; Comm Fees'!C11</f>
        <v>134816008.18000001</v>
      </c>
      <c r="D13" s="211">
        <f>IF(E13=0,"NA",(E13/C13))</f>
        <v>4.783148149135474E-3</v>
      </c>
      <c r="E13" s="76">
        <f>'Pg 4 STD OS &amp; Comm Fees'!D11</f>
        <v>644844.93999999994</v>
      </c>
      <c r="F13" s="74"/>
      <c r="G13" s="75"/>
    </row>
    <row r="14" spans="1:8">
      <c r="A14" s="3">
        <f t="shared" si="0"/>
        <v>7</v>
      </c>
      <c r="B14" s="67" t="s">
        <v>115</v>
      </c>
      <c r="C14" s="85">
        <f>'Pg 4 STD OS &amp; Comm Fees'!C12</f>
        <v>0</v>
      </c>
      <c r="D14" s="211" t="str">
        <f>IF(E14=0,"NA",(E14/C14))</f>
        <v>NA</v>
      </c>
      <c r="E14" s="76">
        <f>'Pg 4 STD OS &amp; Comm Fees'!D12</f>
        <v>0</v>
      </c>
      <c r="F14" s="74"/>
      <c r="G14" s="75"/>
    </row>
    <row r="15" spans="1:8">
      <c r="A15" s="3">
        <v>10</v>
      </c>
      <c r="B15" s="67" t="s">
        <v>261</v>
      </c>
      <c r="C15" s="85">
        <f>'Pg 4 STD OS &amp; Comm Fees'!C13</f>
        <v>0</v>
      </c>
      <c r="D15" s="211" t="str">
        <f>IF(E15=0,"NA",(E15/C15))</f>
        <v>NA</v>
      </c>
      <c r="E15" s="76">
        <f>'Pg 4 STD OS &amp; Comm Fees'!D13</f>
        <v>0</v>
      </c>
      <c r="F15" s="74"/>
      <c r="G15" s="75"/>
    </row>
    <row r="16" spans="1:8">
      <c r="A16" s="3">
        <f>A15+1</f>
        <v>11</v>
      </c>
      <c r="B16" s="67" t="s">
        <v>315</v>
      </c>
      <c r="C16" s="85">
        <f>'Pg 4 STD OS &amp; Comm Fees'!C14</f>
        <v>18855191.260000002</v>
      </c>
      <c r="D16" s="211">
        <f>IF(E16=0,"NA",(E16/C16))</f>
        <v>1.7676922785030396E-2</v>
      </c>
      <c r="E16" s="76">
        <f>'Pg 4 STD OS &amp; Comm Fees'!D14</f>
        <v>333301.76000000001</v>
      </c>
    </row>
    <row r="17" spans="1:7">
      <c r="A17" s="3">
        <f t="shared" si="0"/>
        <v>12</v>
      </c>
      <c r="B17" s="329" t="s">
        <v>157</v>
      </c>
      <c r="C17" s="331">
        <f>SUM(C13:C16)</f>
        <v>153671199.44</v>
      </c>
      <c r="D17" s="332">
        <f>IF(E17=0,"NA",(E17/C17))</f>
        <v>6.3651920695908379E-3</v>
      </c>
      <c r="E17" s="330">
        <f>SUM(E13:E16)</f>
        <v>978146.7</v>
      </c>
      <c r="F17" s="74">
        <f>E17/C23</f>
        <v>6.3651920695908379E-3</v>
      </c>
      <c r="G17" s="75"/>
    </row>
    <row r="18" spans="1:7">
      <c r="A18" s="3">
        <f t="shared" si="0"/>
        <v>13</v>
      </c>
      <c r="B18" s="67"/>
      <c r="C18" s="86"/>
      <c r="D18" s="212"/>
      <c r="E18" s="77"/>
      <c r="F18" s="67"/>
      <c r="G18" s="75"/>
    </row>
    <row r="19" spans="1:7">
      <c r="A19" s="3">
        <f t="shared" si="0"/>
        <v>14</v>
      </c>
      <c r="B19" s="71" t="s">
        <v>54</v>
      </c>
      <c r="C19" s="87"/>
      <c r="D19" s="88"/>
      <c r="E19" s="350">
        <f>'Pg 4 STD OS &amp; Comm Fees'!F16</f>
        <v>1417761.9231666666</v>
      </c>
      <c r="F19" s="575">
        <f>E19/C23</f>
        <v>9.2259442779987107E-3</v>
      </c>
      <c r="G19" s="191" t="s">
        <v>77</v>
      </c>
    </row>
    <row r="20" spans="1:7">
      <c r="A20" s="3">
        <f t="shared" si="0"/>
        <v>15</v>
      </c>
      <c r="B20" s="71"/>
      <c r="C20" s="78"/>
      <c r="D20" s="79"/>
      <c r="E20" s="83"/>
      <c r="F20" s="74"/>
      <c r="G20" s="75"/>
    </row>
    <row r="21" spans="1:7">
      <c r="A21" s="3">
        <f t="shared" si="0"/>
        <v>16</v>
      </c>
      <c r="B21" s="71" t="s">
        <v>55</v>
      </c>
      <c r="C21" s="78"/>
      <c r="D21" s="79"/>
      <c r="E21" s="350">
        <f>-'Pg 5 STD Amort'!G27</f>
        <v>712410.12</v>
      </c>
      <c r="F21" s="575">
        <f>E21/C23</f>
        <v>4.6359377853242845E-3</v>
      </c>
      <c r="G21" s="191" t="s">
        <v>98</v>
      </c>
    </row>
    <row r="22" spans="1:7" ht="13.5" thickBot="1">
      <c r="A22" s="3">
        <f t="shared" si="0"/>
        <v>17</v>
      </c>
      <c r="B22" s="67"/>
      <c r="C22" s="77"/>
      <c r="D22" s="76"/>
      <c r="E22" s="84"/>
      <c r="G22" s="67"/>
    </row>
    <row r="23" spans="1:7" ht="13.5" thickBot="1">
      <c r="A23" s="3">
        <f t="shared" si="0"/>
        <v>18</v>
      </c>
      <c r="B23" s="80" t="s">
        <v>39</v>
      </c>
      <c r="C23" s="81">
        <f>C17</f>
        <v>153671199.44</v>
      </c>
      <c r="D23" s="82"/>
      <c r="E23" s="81">
        <f>SUM(E17:E22)</f>
        <v>3108318.7431666665</v>
      </c>
      <c r="F23" s="216">
        <f>E23/C23</f>
        <v>2.022707413291383E-2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S36"/>
  <sheetViews>
    <sheetView zoomScaleNormal="100" workbookViewId="0">
      <selection activeCell="H31" sqref="H31"/>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'New Format'!B5</f>
        <v>For The 12 Months Ending December 31, 2020</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+A5+1</f>
        <v>2</v>
      </c>
      <c r="B6" s="353" t="s">
        <v>121</v>
      </c>
      <c r="C6" s="354"/>
      <c r="D6" s="354"/>
      <c r="E6" s="354"/>
      <c r="F6" s="354"/>
      <c r="G6" s="354"/>
      <c r="H6" s="150"/>
      <c r="I6" s="150"/>
      <c r="J6" s="150"/>
      <c r="K6" s="355"/>
      <c r="M6" s="35"/>
      <c r="N6" s="35"/>
      <c r="O6" s="35"/>
    </row>
    <row r="7" spans="1:15" ht="12">
      <c r="A7" s="192">
        <f>+A6+1</f>
        <v>3</v>
      </c>
      <c r="B7" s="205"/>
      <c r="C7" s="206"/>
      <c r="D7" s="206"/>
      <c r="E7" s="206"/>
      <c r="F7" s="206" t="s">
        <v>2</v>
      </c>
      <c r="G7" s="38" t="s">
        <v>2</v>
      </c>
      <c r="H7" s="38"/>
      <c r="I7" s="38"/>
      <c r="J7" s="38"/>
      <c r="K7" s="356" t="s">
        <v>2</v>
      </c>
      <c r="L7" s="35"/>
      <c r="M7" s="274"/>
      <c r="N7" s="35"/>
      <c r="O7" s="35"/>
    </row>
    <row r="8" spans="1:15" ht="12">
      <c r="A8" s="192">
        <f>A7+1</f>
        <v>4</v>
      </c>
      <c r="B8" s="205"/>
      <c r="C8" s="213" t="s">
        <v>50</v>
      </c>
      <c r="D8" s="213" t="s">
        <v>114</v>
      </c>
      <c r="E8" s="213" t="s">
        <v>50</v>
      </c>
      <c r="F8" s="213" t="s">
        <v>131</v>
      </c>
      <c r="G8" s="38"/>
      <c r="H8" s="38"/>
      <c r="I8" s="38"/>
      <c r="J8" s="38"/>
      <c r="K8" s="356"/>
      <c r="L8" s="204"/>
      <c r="M8" s="35"/>
      <c r="N8" s="35"/>
      <c r="O8" s="35"/>
    </row>
    <row r="9" spans="1:15" ht="12">
      <c r="A9" s="192">
        <f>A8+1</f>
        <v>5</v>
      </c>
      <c r="B9" s="205"/>
      <c r="C9" s="214" t="s">
        <v>151</v>
      </c>
      <c r="D9" s="214" t="s">
        <v>38</v>
      </c>
      <c r="E9" s="214" t="s">
        <v>99</v>
      </c>
      <c r="F9" s="214" t="s">
        <v>152</v>
      </c>
      <c r="G9" s="40"/>
      <c r="H9" s="40"/>
      <c r="I9" s="38"/>
      <c r="J9" s="38"/>
      <c r="K9" s="356"/>
      <c r="L9" s="204"/>
      <c r="M9" s="239"/>
      <c r="N9" s="35"/>
      <c r="O9" s="35"/>
    </row>
    <row r="10" spans="1:15" ht="12">
      <c r="A10" s="192">
        <f>A9+1</f>
        <v>6</v>
      </c>
      <c r="B10" s="205"/>
      <c r="C10" s="89"/>
      <c r="D10" s="89"/>
      <c r="E10" s="89"/>
      <c r="F10" s="328"/>
      <c r="G10" s="38"/>
      <c r="H10" s="38"/>
      <c r="I10" s="38"/>
      <c r="J10" s="38"/>
      <c r="K10" s="356"/>
      <c r="L10" s="35"/>
      <c r="M10" s="35"/>
      <c r="O10" s="35"/>
    </row>
    <row r="11" spans="1:15" ht="12">
      <c r="A11" s="192">
        <f t="shared" ref="A11:A36" si="0">A10+1</f>
        <v>7</v>
      </c>
      <c r="B11" s="205" t="s">
        <v>36</v>
      </c>
      <c r="C11" s="323">
        <v>134816008.18000001</v>
      </c>
      <c r="D11" s="323">
        <v>644844.93999999994</v>
      </c>
      <c r="E11" s="268">
        <f>IF(C11=0,"NA",(D11/C11))</f>
        <v>4.783148149135474E-3</v>
      </c>
      <c r="F11" s="380">
        <v>0</v>
      </c>
      <c r="G11" s="347"/>
      <c r="I11" s="38"/>
      <c r="J11" s="38"/>
      <c r="K11" s="356"/>
      <c r="L11" s="35"/>
      <c r="M11" s="368"/>
      <c r="O11" s="35"/>
    </row>
    <row r="12" spans="1:15" ht="12">
      <c r="A12" s="192">
        <f t="shared" si="0"/>
        <v>8</v>
      </c>
      <c r="B12" s="205" t="s">
        <v>115</v>
      </c>
      <c r="C12" s="323">
        <v>0</v>
      </c>
      <c r="D12" s="323">
        <v>0</v>
      </c>
      <c r="E12" s="268" t="str">
        <f>IF(C12=0,"NA",(D12/C12))</f>
        <v>NA</v>
      </c>
      <c r="F12" s="380">
        <v>0</v>
      </c>
      <c r="G12" s="347"/>
      <c r="H12" s="324"/>
      <c r="I12" s="38"/>
      <c r="J12" s="38"/>
      <c r="K12" s="356"/>
      <c r="L12" s="35"/>
      <c r="M12" s="368"/>
      <c r="O12" s="35"/>
    </row>
    <row r="13" spans="1:15" ht="12" hidden="1">
      <c r="A13" s="192">
        <v>9</v>
      </c>
      <c r="B13" s="205" t="s">
        <v>261</v>
      </c>
      <c r="C13" s="323">
        <v>0</v>
      </c>
      <c r="D13" s="323">
        <v>0</v>
      </c>
      <c r="E13" s="268" t="str">
        <f>IF(C13=0,"NA",(D13/C13))</f>
        <v>NA</v>
      </c>
      <c r="F13" s="210">
        <f>J26</f>
        <v>0</v>
      </c>
      <c r="G13" s="347"/>
      <c r="H13" s="367"/>
      <c r="I13" s="38"/>
      <c r="J13" s="38"/>
      <c r="K13" s="356"/>
      <c r="L13" s="35"/>
      <c r="M13" s="368"/>
      <c r="O13" s="35"/>
    </row>
    <row r="14" spans="1:15" ht="12">
      <c r="A14" s="192">
        <f>A13+1</f>
        <v>10</v>
      </c>
      <c r="B14" s="205" t="s">
        <v>315</v>
      </c>
      <c r="C14" s="323">
        <v>18855191.260000002</v>
      </c>
      <c r="D14" s="323">
        <v>333301.76000000001</v>
      </c>
      <c r="E14" s="268">
        <f>IF(C14=0,"NA",(D14/C14))</f>
        <v>1.7676922785030396E-2</v>
      </c>
      <c r="F14" s="210">
        <f>J27</f>
        <v>1389786.8055</v>
      </c>
      <c r="G14" s="347"/>
      <c r="H14" s="324"/>
      <c r="I14" s="38"/>
      <c r="J14" s="38"/>
      <c r="K14" s="356"/>
      <c r="L14" s="35"/>
      <c r="M14" s="203"/>
      <c r="N14" s="35"/>
      <c r="O14" s="35"/>
    </row>
    <row r="15" spans="1:15" ht="12">
      <c r="A15" s="192">
        <f t="shared" si="0"/>
        <v>11</v>
      </c>
      <c r="B15" s="205" t="s">
        <v>159</v>
      </c>
      <c r="C15" s="323">
        <v>0</v>
      </c>
      <c r="D15" s="323">
        <v>0</v>
      </c>
      <c r="E15" s="268" t="str">
        <f>IF(C15=0,"NA",(D15/C15))</f>
        <v>NA</v>
      </c>
      <c r="F15" s="210">
        <f>J32</f>
        <v>27975.117666666665</v>
      </c>
      <c r="G15" s="38"/>
      <c r="H15" s="38"/>
      <c r="I15" s="38"/>
      <c r="J15" s="38"/>
      <c r="K15" s="356"/>
      <c r="L15" s="35"/>
      <c r="M15" s="35"/>
      <c r="N15" s="35"/>
      <c r="O15" s="35"/>
    </row>
    <row r="16" spans="1:15" ht="12.75" thickBot="1">
      <c r="A16" s="192">
        <f t="shared" si="0"/>
        <v>12</v>
      </c>
      <c r="B16" s="334" t="s">
        <v>163</v>
      </c>
      <c r="C16" s="372">
        <f>SUM(C10:C15)</f>
        <v>153671199.44</v>
      </c>
      <c r="D16" s="374">
        <f>SUM(D10:D15)</f>
        <v>978146.7</v>
      </c>
      <c r="E16" s="373">
        <f>D16/C16</f>
        <v>6.3651920695908379E-3</v>
      </c>
      <c r="F16" s="374">
        <f>SUM(F10:F15)</f>
        <v>1417761.9231666666</v>
      </c>
      <c r="G16" s="38"/>
      <c r="H16" s="38"/>
      <c r="I16" s="38"/>
      <c r="J16" s="38"/>
      <c r="K16" s="356"/>
      <c r="L16" s="35"/>
      <c r="M16" s="35"/>
      <c r="N16" s="35"/>
      <c r="O16" s="35"/>
    </row>
    <row r="17" spans="1:15" ht="12.75" thickTop="1">
      <c r="A17" s="192"/>
      <c r="B17" s="334"/>
      <c r="C17" s="524"/>
      <c r="D17" s="595"/>
      <c r="E17" s="596"/>
      <c r="F17" s="595"/>
      <c r="G17" s="38"/>
      <c r="H17" s="38"/>
      <c r="I17" s="38"/>
      <c r="J17" s="38"/>
      <c r="K17" s="356"/>
      <c r="L17" s="35"/>
      <c r="M17" s="35"/>
      <c r="N17" s="35"/>
      <c r="O17" s="35"/>
    </row>
    <row r="18" spans="1:15" ht="12">
      <c r="A18" s="192"/>
      <c r="B18" s="586" t="s">
        <v>309</v>
      </c>
      <c r="C18" s="207"/>
      <c r="D18" s="208"/>
      <c r="E18" s="206"/>
      <c r="F18" s="585">
        <f>'New Format'!C30</f>
        <v>8801662440</v>
      </c>
      <c r="G18" s="38"/>
      <c r="H18" s="38"/>
      <c r="I18" s="38"/>
      <c r="J18" s="38"/>
      <c r="K18" s="356"/>
      <c r="L18" s="35"/>
      <c r="M18" s="35"/>
      <c r="N18" s="35"/>
      <c r="O18" s="35"/>
    </row>
    <row r="19" spans="1:15" ht="12">
      <c r="A19" s="192"/>
      <c r="B19" s="205"/>
      <c r="C19" s="207"/>
      <c r="D19" s="208"/>
      <c r="E19" s="206"/>
      <c r="F19" s="207"/>
      <c r="G19" s="38"/>
      <c r="H19" s="38"/>
      <c r="I19" s="38"/>
      <c r="J19" s="38"/>
      <c r="K19" s="356"/>
      <c r="L19" s="35"/>
      <c r="M19" s="35"/>
      <c r="N19" s="35"/>
      <c r="O19" s="35"/>
    </row>
    <row r="20" spans="1:15" ht="12">
      <c r="A20" s="192"/>
      <c r="B20" s="586" t="s">
        <v>311</v>
      </c>
      <c r="C20" s="207"/>
      <c r="D20" s="208"/>
      <c r="E20" s="206"/>
      <c r="F20" s="581">
        <f>ROUND(F16/F18,4)</f>
        <v>2.0000000000000001E-4</v>
      </c>
      <c r="G20" s="38"/>
      <c r="H20" s="38"/>
      <c r="I20" s="38"/>
      <c r="J20" s="38"/>
      <c r="K20" s="356"/>
      <c r="L20" s="35"/>
      <c r="M20" s="35"/>
      <c r="N20" s="35"/>
      <c r="O20" s="35"/>
    </row>
    <row r="21" spans="1:15" ht="12.75" thickBot="1">
      <c r="A21" s="192">
        <f>A16+1</f>
        <v>13</v>
      </c>
      <c r="B21" s="349"/>
      <c r="C21" s="209"/>
      <c r="D21" s="209"/>
      <c r="E21" s="209"/>
      <c r="F21" s="209"/>
      <c r="G21" s="357"/>
      <c r="H21" s="357"/>
      <c r="I21" s="357"/>
      <c r="J21" s="357"/>
      <c r="K21" s="358"/>
      <c r="L21" s="38"/>
      <c r="M21" s="35"/>
      <c r="N21" s="35"/>
      <c r="O21" s="35"/>
    </row>
    <row r="22" spans="1:15" ht="12">
      <c r="A22" s="192">
        <f t="shared" si="0"/>
        <v>14</v>
      </c>
      <c r="B22" s="635" t="s">
        <v>97</v>
      </c>
      <c r="C22" s="636"/>
      <c r="D22" s="150"/>
      <c r="E22" s="150"/>
      <c r="F22" s="150"/>
      <c r="G22" s="150"/>
      <c r="H22" s="184"/>
      <c r="I22" s="184"/>
      <c r="J22" s="184"/>
      <c r="K22" s="147"/>
      <c r="L22" s="38" t="s">
        <v>2</v>
      </c>
      <c r="M22" s="35"/>
      <c r="N22" s="35"/>
      <c r="O22" s="35"/>
    </row>
    <row r="23" spans="1:15" ht="12">
      <c r="A23" s="192">
        <f t="shared" si="0"/>
        <v>15</v>
      </c>
      <c r="B23" s="633" t="s">
        <v>106</v>
      </c>
      <c r="C23" s="634"/>
      <c r="D23" s="38"/>
      <c r="E23" s="38"/>
      <c r="F23" s="38"/>
      <c r="G23" s="219" t="s">
        <v>262</v>
      </c>
      <c r="H23" s="219" t="s">
        <v>262</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261</v>
      </c>
      <c r="C26" s="324"/>
      <c r="D26" s="324"/>
      <c r="E26" s="348">
        <f>D26-C26</f>
        <v>0</v>
      </c>
      <c r="F26" s="370">
        <v>650000000</v>
      </c>
      <c r="G26" s="260">
        <f>C13+H32</f>
        <v>0</v>
      </c>
      <c r="H26" s="260">
        <f>F26-G26</f>
        <v>650000000</v>
      </c>
      <c r="I26" s="381">
        <v>1.75E-3</v>
      </c>
      <c r="J26" s="210">
        <f>ROUND(H26*I26*E26/360,4)</f>
        <v>0</v>
      </c>
      <c r="K26" s="152"/>
      <c r="L26" s="38"/>
      <c r="M26" s="35"/>
      <c r="N26" s="35"/>
      <c r="O26" s="35"/>
    </row>
    <row r="27" spans="1:15" ht="12">
      <c r="A27" s="192">
        <f>A26+1</f>
        <v>19</v>
      </c>
      <c r="B27" s="205" t="s">
        <v>315</v>
      </c>
      <c r="C27" s="324">
        <v>43831</v>
      </c>
      <c r="D27" s="324">
        <v>44196</v>
      </c>
      <c r="E27" s="348">
        <f>D27-C27+1</f>
        <v>366</v>
      </c>
      <c r="F27" s="370">
        <v>800000000</v>
      </c>
      <c r="G27" s="260">
        <f>C14+H33</f>
        <v>18855191.260000002</v>
      </c>
      <c r="H27" s="260">
        <f>F27-G27</f>
        <v>781144808.74000001</v>
      </c>
      <c r="I27" s="381">
        <v>1.75E-3</v>
      </c>
      <c r="J27" s="210">
        <f>ROUND(H27*I27*E27/360,4)</f>
        <v>1389786.8055</v>
      </c>
      <c r="K27" s="187"/>
      <c r="L27" s="38"/>
      <c r="M27" s="35"/>
      <c r="N27" s="35"/>
      <c r="O27" s="35"/>
    </row>
    <row r="28" spans="1:15" ht="12.75" thickBot="1">
      <c r="A28" s="192">
        <f t="shared" si="0"/>
        <v>20</v>
      </c>
      <c r="B28" s="264" t="s">
        <v>130</v>
      </c>
      <c r="C28" s="41"/>
      <c r="D28" s="276"/>
      <c r="E28" s="327"/>
      <c r="F28" s="277"/>
      <c r="G28" s="591"/>
      <c r="H28" s="591"/>
      <c r="I28" s="278"/>
      <c r="J28" s="594">
        <f>+J26+J27</f>
        <v>1389786.8055</v>
      </c>
      <c r="K28" s="187"/>
      <c r="L28" s="38"/>
      <c r="M28" s="35"/>
      <c r="N28" s="35"/>
      <c r="O28" s="35"/>
    </row>
    <row r="29" spans="1:15" ht="12.75" thickTop="1">
      <c r="A29" s="192">
        <f t="shared" si="0"/>
        <v>21</v>
      </c>
      <c r="B29" s="243"/>
      <c r="C29" s="41"/>
      <c r="D29" s="276"/>
      <c r="E29" s="327"/>
      <c r="F29" s="327"/>
      <c r="G29" s="276"/>
      <c r="H29" s="279"/>
      <c r="I29" s="279"/>
      <c r="J29" s="279"/>
      <c r="K29" s="187"/>
      <c r="L29" s="38"/>
      <c r="M29" s="35"/>
      <c r="N29" s="35"/>
      <c r="O29" s="35"/>
    </row>
    <row r="30" spans="1:15" ht="12">
      <c r="A30" s="192">
        <f t="shared" si="0"/>
        <v>22</v>
      </c>
      <c r="B30" s="263" t="s">
        <v>132</v>
      </c>
      <c r="C30" s="280"/>
      <c r="D30" s="89"/>
      <c r="E30" s="89"/>
      <c r="F30" s="40" t="s">
        <v>175</v>
      </c>
      <c r="G30" s="40" t="s">
        <v>51</v>
      </c>
      <c r="H30" s="40" t="s">
        <v>160</v>
      </c>
      <c r="I30" s="276"/>
      <c r="J30" s="279"/>
      <c r="K30" s="187"/>
      <c r="L30" s="38"/>
      <c r="M30" s="35"/>
      <c r="N30" s="35"/>
      <c r="O30" s="35"/>
    </row>
    <row r="31" spans="1:15" ht="12">
      <c r="A31" s="192">
        <f t="shared" si="0"/>
        <v>23</v>
      </c>
      <c r="B31" s="264" t="s">
        <v>161</v>
      </c>
      <c r="C31" s="591"/>
      <c r="D31" s="89"/>
      <c r="E31" s="89"/>
      <c r="F31" s="592" t="s">
        <v>179</v>
      </c>
      <c r="G31" s="406">
        <v>366</v>
      </c>
      <c r="H31" s="323">
        <v>2733946</v>
      </c>
      <c r="I31" s="381">
        <v>0.01</v>
      </c>
      <c r="J31" s="260">
        <f>(I31*H31)*(G31/360)+(15*12)</f>
        <v>27975.117666666665</v>
      </c>
      <c r="K31" s="187"/>
      <c r="L31" s="38"/>
      <c r="M31" s="35"/>
      <c r="N31" s="35"/>
      <c r="O31" s="35"/>
    </row>
    <row r="32" spans="1:15" ht="12.75" customHeight="1" thickBot="1">
      <c r="A32" s="192">
        <f>A31+1</f>
        <v>24</v>
      </c>
      <c r="B32" s="264"/>
      <c r="C32" s="591"/>
      <c r="D32" s="89"/>
      <c r="E32" s="89"/>
      <c r="F32" s="592"/>
      <c r="G32" s="406"/>
      <c r="H32" s="323"/>
      <c r="I32" s="381"/>
      <c r="J32" s="371">
        <f>SUM(J31)</f>
        <v>27975.117666666665</v>
      </c>
      <c r="K32" s="152"/>
      <c r="L32" s="38"/>
      <c r="M32" s="35"/>
      <c r="N32" s="35"/>
      <c r="O32" s="35"/>
    </row>
    <row r="33" spans="1:19" ht="12.75" customHeight="1" thickTop="1">
      <c r="A33" s="192">
        <f t="shared" si="0"/>
        <v>25</v>
      </c>
      <c r="B33" s="333" t="s">
        <v>162</v>
      </c>
      <c r="C33" s="591"/>
      <c r="D33" s="591"/>
      <c r="E33" s="593"/>
      <c r="F33" s="370"/>
      <c r="G33" s="348"/>
      <c r="H33" s="42"/>
      <c r="I33" s="42"/>
      <c r="K33" s="152"/>
      <c r="L33" s="38"/>
      <c r="M33" s="35"/>
      <c r="N33" s="35"/>
      <c r="O33" s="35"/>
    </row>
    <row r="34" spans="1:19" ht="12.75" customHeight="1">
      <c r="A34" s="192">
        <f t="shared" si="0"/>
        <v>26</v>
      </c>
      <c r="B34" s="264"/>
      <c r="C34" s="591"/>
      <c r="D34" s="591"/>
      <c r="E34" s="591"/>
      <c r="F34" s="325"/>
      <c r="G34" s="326"/>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opLeftCell="A7" zoomScaleNormal="100" workbookViewId="0">
      <selection activeCell="G33" sqref="G33"/>
    </sheetView>
  </sheetViews>
  <sheetFormatPr defaultRowHeight="11.25"/>
  <cols>
    <col min="1" max="1" width="5.6640625" bestFit="1" customWidth="1"/>
    <col min="2" max="2" width="52.6640625" bestFit="1" customWidth="1"/>
    <col min="3" max="6" width="21.6640625" customWidth="1"/>
    <col min="7" max="7" width="15.83203125" customWidth="1"/>
    <col min="8" max="9" width="12" style="125" customWidth="1"/>
  </cols>
  <sheetData>
    <row r="1" spans="1:8" ht="12">
      <c r="B1" s="36" t="s">
        <v>46</v>
      </c>
    </row>
    <row r="2" spans="1:8" ht="12">
      <c r="A2" s="89"/>
      <c r="B2" s="127" t="s">
        <v>105</v>
      </c>
    </row>
    <row r="3" spans="1:8" ht="12">
      <c r="A3" s="89"/>
      <c r="B3" s="569" t="str">
        <f>'New Format'!B5</f>
        <v>For The 12 Months Ending December 31, 2020</v>
      </c>
    </row>
    <row r="4" spans="1:8" ht="12">
      <c r="A4" s="38"/>
      <c r="B4" s="36"/>
      <c r="C4" s="382"/>
      <c r="D4" s="382"/>
      <c r="E4" s="382"/>
      <c r="F4" s="382"/>
      <c r="G4" s="382"/>
    </row>
    <row r="5" spans="1:8" ht="12">
      <c r="A5" s="383" t="s">
        <v>5</v>
      </c>
      <c r="B5" s="383" t="s">
        <v>27</v>
      </c>
      <c r="C5" s="383" t="s">
        <v>64</v>
      </c>
      <c r="D5" s="383" t="s">
        <v>65</v>
      </c>
      <c r="E5" s="383" t="s">
        <v>66</v>
      </c>
      <c r="F5" s="383" t="s">
        <v>67</v>
      </c>
      <c r="G5" s="383" t="s">
        <v>68</v>
      </c>
    </row>
    <row r="6" spans="1:8" ht="11.25" customHeight="1">
      <c r="A6" s="382"/>
      <c r="B6" s="384"/>
      <c r="C6" s="384"/>
      <c r="D6" s="384"/>
      <c r="E6" s="384"/>
      <c r="F6" s="384"/>
      <c r="G6" s="384"/>
    </row>
    <row r="7" spans="1:8" ht="11.25" customHeight="1">
      <c r="A7" s="192"/>
      <c r="B7" s="162"/>
      <c r="C7" s="338"/>
      <c r="D7" s="338"/>
      <c r="E7" s="338"/>
      <c r="F7" s="338"/>
    </row>
    <row r="8" spans="1:8" ht="11.25" customHeight="1">
      <c r="A8" s="192">
        <v>1</v>
      </c>
      <c r="B8" s="385" t="s">
        <v>9</v>
      </c>
      <c r="C8" s="386" t="s">
        <v>263</v>
      </c>
      <c r="D8" s="386" t="s">
        <v>263</v>
      </c>
      <c r="E8" s="386" t="s">
        <v>314</v>
      </c>
      <c r="F8" s="386" t="s">
        <v>263</v>
      </c>
      <c r="G8" s="382"/>
    </row>
    <row r="9" spans="1:8" ht="11.25" customHeight="1">
      <c r="A9" s="192">
        <f>A8+1</f>
        <v>2</v>
      </c>
      <c r="B9" s="385"/>
      <c r="C9" s="387" t="s">
        <v>264</v>
      </c>
      <c r="D9" s="387" t="s">
        <v>294</v>
      </c>
      <c r="E9" s="387" t="s">
        <v>264</v>
      </c>
      <c r="F9" s="387" t="s">
        <v>294</v>
      </c>
      <c r="G9" s="388" t="s">
        <v>166</v>
      </c>
    </row>
    <row r="10" spans="1:8" ht="11.25" customHeight="1">
      <c r="A10" s="192">
        <f t="shared" ref="A10:A35" si="0">A9+1</f>
        <v>3</v>
      </c>
      <c r="B10" s="127" t="s">
        <v>148</v>
      </c>
      <c r="C10" s="389">
        <v>18100673</v>
      </c>
      <c r="D10" s="389">
        <v>18900443</v>
      </c>
      <c r="E10" s="389">
        <v>18100683</v>
      </c>
      <c r="F10" s="389">
        <v>18900473</v>
      </c>
      <c r="G10" s="389" t="s">
        <v>167</v>
      </c>
    </row>
    <row r="11" spans="1:8" ht="11.25" customHeight="1">
      <c r="A11" s="192">
        <f t="shared" si="0"/>
        <v>4</v>
      </c>
      <c r="B11" s="127"/>
      <c r="C11" s="382"/>
      <c r="D11" s="382"/>
      <c r="E11" s="382"/>
      <c r="G11" s="382"/>
    </row>
    <row r="12" spans="1:8" ht="12">
      <c r="A12" s="192">
        <f t="shared" si="0"/>
        <v>5</v>
      </c>
      <c r="B12" s="390" t="s">
        <v>62</v>
      </c>
      <c r="C12" s="382"/>
      <c r="D12" s="382"/>
      <c r="E12" s="382"/>
      <c r="F12" s="382"/>
      <c r="G12" s="391"/>
    </row>
    <row r="13" spans="1:8" ht="12">
      <c r="A13" s="192">
        <f t="shared" si="0"/>
        <v>6</v>
      </c>
      <c r="B13" s="579" t="s">
        <v>317</v>
      </c>
      <c r="C13" s="576">
        <v>349611.21</v>
      </c>
      <c r="D13" s="576">
        <v>0</v>
      </c>
      <c r="E13" s="576">
        <v>2188496.36</v>
      </c>
      <c r="F13" s="576">
        <v>53722.06</v>
      </c>
      <c r="G13" s="393"/>
    </row>
    <row r="14" spans="1:8" ht="12">
      <c r="A14" s="192">
        <f t="shared" si="0"/>
        <v>7</v>
      </c>
      <c r="B14" s="35"/>
      <c r="C14" s="394"/>
      <c r="D14" s="394"/>
      <c r="E14" s="394"/>
      <c r="F14" s="394"/>
      <c r="G14" s="393"/>
    </row>
    <row r="15" spans="1:8" ht="12">
      <c r="A15" s="192">
        <f t="shared" si="0"/>
        <v>8</v>
      </c>
      <c r="B15" s="404">
        <v>43831</v>
      </c>
      <c r="C15" s="394">
        <v>-10211.44</v>
      </c>
      <c r="D15" s="394">
        <v>0</v>
      </c>
      <c r="E15" s="394">
        <f>-47576.01</f>
        <v>-47576.01</v>
      </c>
      <c r="F15" s="394">
        <v>-1580.06</v>
      </c>
      <c r="G15" s="393"/>
    </row>
    <row r="16" spans="1:8" ht="12">
      <c r="A16" s="192">
        <f t="shared" si="0"/>
        <v>9</v>
      </c>
      <c r="B16" s="404">
        <v>43862</v>
      </c>
      <c r="C16" s="394">
        <v>-10211.44</v>
      </c>
      <c r="D16" s="394">
        <v>0</v>
      </c>
      <c r="E16" s="394">
        <f>-47576.01</f>
        <v>-47576.01</v>
      </c>
      <c r="F16" s="394">
        <v>-1580.06</v>
      </c>
      <c r="G16" s="392"/>
      <c r="H16" s="366"/>
    </row>
    <row r="17" spans="1:7" ht="12">
      <c r="A17" s="192">
        <f t="shared" si="0"/>
        <v>10</v>
      </c>
      <c r="B17" s="404">
        <v>43891</v>
      </c>
      <c r="C17" s="394">
        <v>-10211.44</v>
      </c>
      <c r="D17" s="394">
        <v>0</v>
      </c>
      <c r="E17" s="394">
        <f>-47576.01</f>
        <v>-47576.01</v>
      </c>
      <c r="F17" s="394">
        <v>-1580.06</v>
      </c>
      <c r="G17" s="393"/>
    </row>
    <row r="18" spans="1:7" ht="12">
      <c r="A18" s="192">
        <f t="shared" si="0"/>
        <v>11</v>
      </c>
      <c r="B18" s="404">
        <v>43922</v>
      </c>
      <c r="C18" s="394">
        <v>-10211.44</v>
      </c>
      <c r="D18" s="394">
        <v>0</v>
      </c>
      <c r="E18" s="394">
        <f t="shared" ref="E18:E23" si="1">-47576.01</f>
        <v>-47576.01</v>
      </c>
      <c r="F18" s="394">
        <v>-1580.06</v>
      </c>
      <c r="G18" s="393"/>
    </row>
    <row r="19" spans="1:7" ht="12">
      <c r="A19" s="192">
        <f t="shared" si="0"/>
        <v>12</v>
      </c>
      <c r="B19" s="404">
        <v>43952</v>
      </c>
      <c r="C19" s="394">
        <v>-10211.44</v>
      </c>
      <c r="D19" s="394">
        <v>0</v>
      </c>
      <c r="E19" s="394">
        <f t="shared" si="1"/>
        <v>-47576.01</v>
      </c>
      <c r="F19" s="394">
        <v>-1580.06</v>
      </c>
      <c r="G19" s="393"/>
    </row>
    <row r="20" spans="1:7" ht="12">
      <c r="A20" s="192">
        <f t="shared" si="0"/>
        <v>13</v>
      </c>
      <c r="B20" s="404">
        <v>43983</v>
      </c>
      <c r="C20" s="394">
        <v>-10211.44</v>
      </c>
      <c r="D20" s="394">
        <v>0</v>
      </c>
      <c r="E20" s="394">
        <f t="shared" si="1"/>
        <v>-47576.01</v>
      </c>
      <c r="F20" s="394">
        <v>-1580.06</v>
      </c>
      <c r="G20" s="393"/>
    </row>
    <row r="21" spans="1:7" ht="12">
      <c r="A21" s="192">
        <f t="shared" si="0"/>
        <v>14</v>
      </c>
      <c r="B21" s="404">
        <v>44013</v>
      </c>
      <c r="C21" s="394">
        <v>-10211.44</v>
      </c>
      <c r="D21" s="394">
        <v>0</v>
      </c>
      <c r="E21" s="394">
        <f t="shared" si="1"/>
        <v>-47576.01</v>
      </c>
      <c r="F21" s="394">
        <v>-1580.06</v>
      </c>
      <c r="G21" s="393"/>
    </row>
    <row r="22" spans="1:7" ht="12">
      <c r="A22" s="192">
        <f t="shared" si="0"/>
        <v>15</v>
      </c>
      <c r="B22" s="404">
        <v>44044</v>
      </c>
      <c r="C22" s="394">
        <v>-10211.44</v>
      </c>
      <c r="D22" s="394">
        <v>0</v>
      </c>
      <c r="E22" s="394">
        <f t="shared" si="1"/>
        <v>-47576.01</v>
      </c>
      <c r="F22" s="394">
        <v>-1580.06</v>
      </c>
      <c r="G22" s="393"/>
    </row>
    <row r="23" spans="1:7" ht="12">
      <c r="A23" s="192">
        <f t="shared" si="0"/>
        <v>16</v>
      </c>
      <c r="B23" s="404">
        <v>44075</v>
      </c>
      <c r="C23" s="394">
        <v>-10211.44</v>
      </c>
      <c r="D23" s="394">
        <v>0</v>
      </c>
      <c r="E23" s="394">
        <f t="shared" si="1"/>
        <v>-47576.01</v>
      </c>
      <c r="F23" s="394">
        <v>-1580.06</v>
      </c>
      <c r="G23" s="393"/>
    </row>
    <row r="24" spans="1:7" ht="12">
      <c r="A24" s="192">
        <f t="shared" si="0"/>
        <v>17</v>
      </c>
      <c r="B24" s="404">
        <v>44105</v>
      </c>
      <c r="C24" s="394">
        <v>-10211.44</v>
      </c>
      <c r="D24" s="394">
        <v>0</v>
      </c>
      <c r="E24" s="394">
        <f t="shared" ref="E24:E26" si="2">-47576.01</f>
        <v>-47576.01</v>
      </c>
      <c r="F24" s="394">
        <v>-1580.06</v>
      </c>
      <c r="G24" s="393"/>
    </row>
    <row r="25" spans="1:7" ht="12">
      <c r="A25" s="192">
        <f t="shared" si="0"/>
        <v>18</v>
      </c>
      <c r="B25" s="404">
        <v>44136</v>
      </c>
      <c r="C25" s="394">
        <v>-10211.44</v>
      </c>
      <c r="D25" s="394">
        <v>0</v>
      </c>
      <c r="E25" s="394">
        <f t="shared" si="2"/>
        <v>-47576.01</v>
      </c>
      <c r="F25" s="394">
        <v>-1580.06</v>
      </c>
      <c r="G25" s="393"/>
    </row>
    <row r="26" spans="1:7" ht="12.75" thickBot="1">
      <c r="A26" s="192">
        <f t="shared" si="0"/>
        <v>19</v>
      </c>
      <c r="B26" s="404">
        <v>44166</v>
      </c>
      <c r="C26" s="394">
        <v>-10211.44</v>
      </c>
      <c r="D26" s="394">
        <v>0</v>
      </c>
      <c r="E26" s="394">
        <f t="shared" si="2"/>
        <v>-47576.01</v>
      </c>
      <c r="F26" s="394">
        <v>-1580.06</v>
      </c>
      <c r="G26" s="393"/>
    </row>
    <row r="27" spans="1:7" ht="12.75" thickBot="1">
      <c r="A27" s="192">
        <f t="shared" si="0"/>
        <v>20</v>
      </c>
      <c r="B27" s="395" t="s">
        <v>318</v>
      </c>
      <c r="C27" s="401">
        <f>SUM(C15:C26)</f>
        <v>-122537.28000000001</v>
      </c>
      <c r="D27" s="401">
        <f t="shared" ref="D27:F27" si="3">SUM(D15:D26)</f>
        <v>0</v>
      </c>
      <c r="E27" s="401">
        <f t="shared" si="3"/>
        <v>-570912.12</v>
      </c>
      <c r="F27" s="401">
        <f t="shared" si="3"/>
        <v>-18960.719999999998</v>
      </c>
      <c r="G27" s="402">
        <f>SUM(C27:F27)</f>
        <v>-712410.12</v>
      </c>
    </row>
    <row r="28" spans="1:7" ht="12">
      <c r="A28" s="192">
        <f t="shared" si="0"/>
        <v>21</v>
      </c>
      <c r="B28" s="390"/>
      <c r="C28" s="396"/>
      <c r="D28" s="396"/>
      <c r="E28" s="396"/>
      <c r="F28" s="396"/>
      <c r="G28" s="391"/>
    </row>
    <row r="29" spans="1:7" ht="12">
      <c r="A29" s="192">
        <f t="shared" si="0"/>
        <v>22</v>
      </c>
      <c r="B29" s="397" t="s">
        <v>164</v>
      </c>
      <c r="C29" s="394"/>
      <c r="D29" s="394"/>
      <c r="E29" s="394"/>
      <c r="F29" s="394"/>
      <c r="G29" s="393"/>
    </row>
    <row r="30" spans="1:7" ht="12">
      <c r="A30" s="192">
        <f t="shared" si="0"/>
        <v>23</v>
      </c>
      <c r="B30" s="398" t="s">
        <v>165</v>
      </c>
      <c r="D30" s="394"/>
      <c r="E30" s="394"/>
      <c r="F30" s="394"/>
      <c r="G30" s="393"/>
    </row>
    <row r="31" spans="1:7" ht="12.75" thickBot="1">
      <c r="A31" s="192">
        <f t="shared" si="0"/>
        <v>24</v>
      </c>
      <c r="B31" s="206" t="s">
        <v>63</v>
      </c>
      <c r="C31" s="403">
        <f>C13+C27+C29+C30</f>
        <v>227073.93</v>
      </c>
      <c r="D31" s="403">
        <f>D13+D27+D29+D30</f>
        <v>0</v>
      </c>
      <c r="E31" s="403">
        <f>E13+E27+E29+E30</f>
        <v>1617584.2399999998</v>
      </c>
      <c r="F31" s="403">
        <f>F13+F27+F29+F30</f>
        <v>34761.339999999997</v>
      </c>
      <c r="G31" s="393"/>
    </row>
    <row r="32" spans="1:7" ht="12.75" thickTop="1">
      <c r="A32" s="192">
        <f t="shared" si="0"/>
        <v>25</v>
      </c>
      <c r="B32" s="399"/>
      <c r="C32" s="382"/>
      <c r="D32" s="382"/>
      <c r="E32" s="382"/>
      <c r="F32" s="382"/>
      <c r="G32" s="382"/>
    </row>
    <row r="33" spans="1:8" ht="12">
      <c r="A33" s="192">
        <f t="shared" si="0"/>
        <v>26</v>
      </c>
      <c r="B33" s="36" t="s">
        <v>309</v>
      </c>
      <c r="C33" s="392"/>
      <c r="D33" s="392"/>
      <c r="E33" s="392"/>
      <c r="F33" s="392"/>
      <c r="G33" s="35">
        <f>'New Format'!C30</f>
        <v>8801662440</v>
      </c>
    </row>
    <row r="34" spans="1:8" ht="12">
      <c r="A34" s="192">
        <f t="shared" si="0"/>
        <v>27</v>
      </c>
      <c r="B34" s="35"/>
      <c r="C34" s="400"/>
      <c r="D34" s="400"/>
      <c r="E34" s="400"/>
      <c r="F34" s="400"/>
      <c r="G34" s="35"/>
    </row>
    <row r="35" spans="1:8" ht="12">
      <c r="A35" s="192">
        <f t="shared" si="0"/>
        <v>28</v>
      </c>
      <c r="B35" s="36" t="s">
        <v>310</v>
      </c>
      <c r="C35" s="35"/>
      <c r="D35" s="35"/>
      <c r="E35" s="35"/>
      <c r="F35" s="35"/>
      <c r="G35" s="582">
        <f>ROUND(-G27/G33,4)</f>
        <v>1E-4</v>
      </c>
      <c r="H35" s="598"/>
    </row>
    <row r="36" spans="1:8">
      <c r="A36" s="192"/>
    </row>
    <row r="37" spans="1:8">
      <c r="A37" s="192"/>
    </row>
    <row r="38" spans="1:8">
      <c r="A38" s="192"/>
      <c r="B38" s="221"/>
    </row>
    <row r="39" spans="1:8">
      <c r="A39" s="192"/>
    </row>
    <row r="40" spans="1:8">
      <c r="A40" s="192"/>
    </row>
    <row r="41" spans="1:8">
      <c r="A41" s="192"/>
    </row>
    <row r="42" spans="1:8">
      <c r="A42" s="192"/>
    </row>
    <row r="43" spans="1:8">
      <c r="A43" s="192"/>
      <c r="B43" s="160"/>
    </row>
    <row r="44" spans="1:8">
      <c r="A44" s="192"/>
    </row>
    <row r="45" spans="1:8">
      <c r="A45" s="192"/>
    </row>
    <row r="46" spans="1:8">
      <c r="A46" s="192"/>
      <c r="B46" s="223"/>
    </row>
    <row r="47" spans="1:8">
      <c r="A47" s="192"/>
    </row>
    <row r="48" spans="1:8">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scale="96" orientation="landscape"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5"/>
  <sheetViews>
    <sheetView zoomScaleNormal="100" workbookViewId="0">
      <pane xSplit="5" ySplit="5" topLeftCell="F18" activePane="bottomRight" state="frozen"/>
      <selection activeCell="F32" sqref="F32"/>
      <selection pane="topRight" activeCell="F32" sqref="F32"/>
      <selection pane="bottomLeft" activeCell="F32" sqref="F32"/>
      <selection pane="bottomRight" activeCell="I25" sqref="I25"/>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23" width="8.832031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row>
    <row r="2" spans="1:25" s="57" customFormat="1" ht="12.75" customHeight="1">
      <c r="A2" s="267" t="str">
        <f>'New Format'!B5</f>
        <v>For The 12 Months Ending December 31, 2020</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68</v>
      </c>
      <c r="K4" s="179" t="s">
        <v>69</v>
      </c>
      <c r="L4" s="179" t="s">
        <v>68</v>
      </c>
      <c r="M4" s="179" t="s">
        <v>69</v>
      </c>
      <c r="N4" s="179" t="s">
        <v>68</v>
      </c>
      <c r="O4" s="179" t="s">
        <v>69</v>
      </c>
      <c r="P4" s="179" t="s">
        <v>68</v>
      </c>
      <c r="Q4" s="179" t="s">
        <v>69</v>
      </c>
      <c r="R4" s="179" t="s">
        <v>68</v>
      </c>
      <c r="S4" s="179" t="s">
        <v>69</v>
      </c>
      <c r="T4" s="179" t="s">
        <v>68</v>
      </c>
      <c r="U4" s="179" t="s">
        <v>69</v>
      </c>
      <c r="V4" s="179" t="s">
        <v>68</v>
      </c>
      <c r="W4" s="179"/>
      <c r="X4" s="472" t="s">
        <v>199</v>
      </c>
    </row>
    <row r="5" spans="1:25" ht="33.75">
      <c r="A5" s="361">
        <v>1</v>
      </c>
      <c r="B5" s="362" t="s">
        <v>127</v>
      </c>
      <c r="C5" s="362" t="s">
        <v>100</v>
      </c>
      <c r="D5" s="362" t="s">
        <v>57</v>
      </c>
      <c r="E5" s="362" t="s">
        <v>104</v>
      </c>
      <c r="F5" s="362" t="s">
        <v>117</v>
      </c>
      <c r="G5" s="362" t="s">
        <v>84</v>
      </c>
      <c r="H5" s="362" t="s">
        <v>94</v>
      </c>
      <c r="I5" s="362" t="s">
        <v>80</v>
      </c>
      <c r="J5" s="363">
        <f>'Pg 2 CapStructure'!C6</f>
        <v>43830</v>
      </c>
      <c r="K5" s="363">
        <f>'Pg 2 CapStructure'!D6</f>
        <v>43861</v>
      </c>
      <c r="L5" s="363">
        <f>'Pg 2 CapStructure'!E6</f>
        <v>43890</v>
      </c>
      <c r="M5" s="363">
        <f>'Pg 2 CapStructure'!F6</f>
        <v>43921</v>
      </c>
      <c r="N5" s="363">
        <f>'Pg 2 CapStructure'!G6</f>
        <v>43951</v>
      </c>
      <c r="O5" s="363">
        <f>'Pg 2 CapStructure'!H6</f>
        <v>43982</v>
      </c>
      <c r="P5" s="363">
        <f>'Pg 2 CapStructure'!I6</f>
        <v>44012</v>
      </c>
      <c r="Q5" s="363">
        <f>'Pg 2 CapStructure'!J6</f>
        <v>44043</v>
      </c>
      <c r="R5" s="363">
        <f>'Pg 2 CapStructure'!K6</f>
        <v>44074</v>
      </c>
      <c r="S5" s="363">
        <f>'Pg 2 CapStructure'!L6</f>
        <v>44104</v>
      </c>
      <c r="T5" s="363">
        <f>'Pg 2 CapStructure'!M6</f>
        <v>44135</v>
      </c>
      <c r="U5" s="363">
        <f>'Pg 2 CapStructure'!N6</f>
        <v>44165</v>
      </c>
      <c r="V5" s="363">
        <f>'Pg 2 CapStructure'!O6</f>
        <v>44196</v>
      </c>
      <c r="W5" s="363"/>
      <c r="X5" s="473" t="s">
        <v>38</v>
      </c>
      <c r="Y5" s="473" t="s">
        <v>200</v>
      </c>
    </row>
    <row r="6" spans="1:25" s="28" customFormat="1">
      <c r="A6" s="614">
        <v>2</v>
      </c>
      <c r="B6" s="298" t="s">
        <v>23</v>
      </c>
      <c r="C6" s="602">
        <v>7.1499999999999994E-2</v>
      </c>
      <c r="D6" s="603">
        <v>35053</v>
      </c>
      <c r="E6" s="603">
        <v>46010</v>
      </c>
      <c r="F6" s="272">
        <f t="shared" ref="F6:F23" si="0">ROUND(((J6+V6)+(SUM(K6:U6)*2))/24,0)</f>
        <v>15000000</v>
      </c>
      <c r="G6" s="284">
        <v>99.211911999999998</v>
      </c>
      <c r="H6" s="604">
        <f t="shared" ref="H6:H9" si="1">ROUND(YIELD(D6,E6,C6,G6,100,2,2),4)</f>
        <v>7.2099999999999997E-2</v>
      </c>
      <c r="I6" s="272">
        <f t="shared" ref="I6:I9" si="2">ROUND(+H6*F6,0)</f>
        <v>1081500</v>
      </c>
      <c r="J6" s="272">
        <v>15000000</v>
      </c>
      <c r="K6" s="272">
        <v>15000000</v>
      </c>
      <c r="L6" s="272">
        <v>15000000</v>
      </c>
      <c r="M6" s="272">
        <v>15000000</v>
      </c>
      <c r="N6" s="272">
        <v>15000000</v>
      </c>
      <c r="O6" s="272">
        <v>15000000</v>
      </c>
      <c r="P6" s="272">
        <v>15000000</v>
      </c>
      <c r="Q6" s="272">
        <v>15000000</v>
      </c>
      <c r="R6" s="272">
        <v>15000000</v>
      </c>
      <c r="S6" s="272">
        <v>15000000</v>
      </c>
      <c r="T6" s="272">
        <v>15000000</v>
      </c>
      <c r="U6" s="272">
        <v>15000000</v>
      </c>
      <c r="V6" s="272">
        <v>15000000</v>
      </c>
      <c r="W6" s="272"/>
      <c r="X6" s="272">
        <f t="shared" ref="X6:X23" si="3">H6*V6</f>
        <v>1081500</v>
      </c>
    </row>
    <row r="7" spans="1:25" s="28" customFormat="1">
      <c r="A7" s="601">
        <v>3</v>
      </c>
      <c r="B7" s="298" t="s">
        <v>23</v>
      </c>
      <c r="C7" s="602">
        <v>7.1999999999999995E-2</v>
      </c>
      <c r="D7" s="603">
        <v>35054</v>
      </c>
      <c r="E7" s="603">
        <v>46013</v>
      </c>
      <c r="F7" s="272">
        <f t="shared" si="0"/>
        <v>2000000</v>
      </c>
      <c r="G7" s="284">
        <v>99.211600000000004</v>
      </c>
      <c r="H7" s="604">
        <f t="shared" si="1"/>
        <v>7.2599999999999998E-2</v>
      </c>
      <c r="I7" s="272">
        <f t="shared" si="2"/>
        <v>145200</v>
      </c>
      <c r="J7" s="272">
        <v>2000000</v>
      </c>
      <c r="K7" s="272">
        <v>2000000</v>
      </c>
      <c r="L7" s="272">
        <v>2000000</v>
      </c>
      <c r="M7" s="272">
        <v>2000000</v>
      </c>
      <c r="N7" s="272">
        <v>2000000</v>
      </c>
      <c r="O7" s="272">
        <v>2000000</v>
      </c>
      <c r="P7" s="272">
        <v>2000000</v>
      </c>
      <c r="Q7" s="272">
        <v>2000000</v>
      </c>
      <c r="R7" s="272">
        <v>2000000</v>
      </c>
      <c r="S7" s="272">
        <v>2000000</v>
      </c>
      <c r="T7" s="272">
        <v>2000000</v>
      </c>
      <c r="U7" s="272">
        <v>2000000</v>
      </c>
      <c r="V7" s="272">
        <v>2000000</v>
      </c>
      <c r="W7" s="272"/>
      <c r="X7" s="272">
        <f t="shared" si="3"/>
        <v>145200</v>
      </c>
    </row>
    <row r="8" spans="1:25" s="28" customFormat="1">
      <c r="A8" s="614">
        <v>4</v>
      </c>
      <c r="B8" s="298" t="s">
        <v>21</v>
      </c>
      <c r="C8" s="602">
        <v>7.0199999999999999E-2</v>
      </c>
      <c r="D8" s="603">
        <v>35786</v>
      </c>
      <c r="E8" s="603">
        <v>46722</v>
      </c>
      <c r="F8" s="272">
        <f t="shared" si="0"/>
        <v>300000000</v>
      </c>
      <c r="G8" s="284">
        <v>98.985735776666658</v>
      </c>
      <c r="H8" s="604">
        <f t="shared" si="1"/>
        <v>7.0999999999999994E-2</v>
      </c>
      <c r="I8" s="272">
        <f t="shared" si="2"/>
        <v>21300000</v>
      </c>
      <c r="J8" s="272">
        <v>300000000</v>
      </c>
      <c r="K8" s="272">
        <v>300000000</v>
      </c>
      <c r="L8" s="272">
        <v>300000000</v>
      </c>
      <c r="M8" s="272">
        <v>300000000</v>
      </c>
      <c r="N8" s="272">
        <v>300000000</v>
      </c>
      <c r="O8" s="272">
        <v>300000000</v>
      </c>
      <c r="P8" s="272">
        <v>300000000</v>
      </c>
      <c r="Q8" s="272">
        <v>300000000</v>
      </c>
      <c r="R8" s="272">
        <v>300000000</v>
      </c>
      <c r="S8" s="272">
        <v>300000000</v>
      </c>
      <c r="T8" s="272">
        <v>300000000</v>
      </c>
      <c r="U8" s="272">
        <v>300000000</v>
      </c>
      <c r="V8" s="272">
        <v>300000000</v>
      </c>
      <c r="W8" s="272"/>
      <c r="X8" s="272">
        <f t="shared" si="3"/>
        <v>21299999.999999996</v>
      </c>
    </row>
    <row r="9" spans="1:25" s="297" customFormat="1">
      <c r="A9" s="601">
        <v>5</v>
      </c>
      <c r="B9" s="298" t="s">
        <v>22</v>
      </c>
      <c r="C9" s="602">
        <v>7.0000000000000007E-2</v>
      </c>
      <c r="D9" s="603">
        <v>36228</v>
      </c>
      <c r="E9" s="603">
        <v>47186</v>
      </c>
      <c r="F9" s="272">
        <f t="shared" si="0"/>
        <v>100000000</v>
      </c>
      <c r="G9" s="284">
        <v>99.042870549999989</v>
      </c>
      <c r="H9" s="604">
        <f t="shared" si="1"/>
        <v>7.0800000000000002E-2</v>
      </c>
      <c r="I9" s="272">
        <f t="shared" si="2"/>
        <v>7080000</v>
      </c>
      <c r="J9" s="272">
        <v>100000000</v>
      </c>
      <c r="K9" s="272">
        <v>100000000</v>
      </c>
      <c r="L9" s="272">
        <v>100000000</v>
      </c>
      <c r="M9" s="272">
        <v>100000000</v>
      </c>
      <c r="N9" s="272">
        <v>100000000</v>
      </c>
      <c r="O9" s="272">
        <v>100000000</v>
      </c>
      <c r="P9" s="272">
        <v>100000000</v>
      </c>
      <c r="Q9" s="272">
        <v>100000000</v>
      </c>
      <c r="R9" s="272">
        <v>100000000</v>
      </c>
      <c r="S9" s="272">
        <v>100000000</v>
      </c>
      <c r="T9" s="272">
        <v>100000000</v>
      </c>
      <c r="U9" s="272">
        <v>100000000</v>
      </c>
      <c r="V9" s="272">
        <v>100000000</v>
      </c>
      <c r="W9" s="272"/>
      <c r="X9" s="272">
        <f t="shared" si="3"/>
        <v>7080000</v>
      </c>
      <c r="Y9" s="28"/>
    </row>
    <row r="10" spans="1:25" s="297" customFormat="1">
      <c r="A10" s="614">
        <v>6</v>
      </c>
      <c r="B10" s="615" t="s">
        <v>24</v>
      </c>
      <c r="C10" s="602">
        <v>3.9E-2</v>
      </c>
      <c r="D10" s="616">
        <v>41417</v>
      </c>
      <c r="E10" s="617">
        <v>47908</v>
      </c>
      <c r="F10" s="272">
        <f t="shared" si="0"/>
        <v>138460000</v>
      </c>
      <c r="G10" s="284">
        <v>98.939099999999996</v>
      </c>
      <c r="H10" s="604">
        <f t="shared" ref="H10:H22" si="4">ROUND(YIELD(D10,E10,C10,G10,100,2,2),4)</f>
        <v>3.9800000000000002E-2</v>
      </c>
      <c r="I10" s="272">
        <f t="shared" ref="I10:I23" si="5">ROUND(+H10*F10,0)</f>
        <v>5510708</v>
      </c>
      <c r="J10" s="272">
        <v>138460000</v>
      </c>
      <c r="K10" s="272">
        <v>138460000</v>
      </c>
      <c r="L10" s="272">
        <v>138460000</v>
      </c>
      <c r="M10" s="272">
        <v>138460000</v>
      </c>
      <c r="N10" s="272">
        <v>138460000</v>
      </c>
      <c r="O10" s="272">
        <v>138460000</v>
      </c>
      <c r="P10" s="272">
        <v>138460000</v>
      </c>
      <c r="Q10" s="272">
        <v>138460000</v>
      </c>
      <c r="R10" s="272">
        <v>138460000</v>
      </c>
      <c r="S10" s="272">
        <v>138460000</v>
      </c>
      <c r="T10" s="272">
        <v>138460000</v>
      </c>
      <c r="U10" s="272">
        <v>138460000</v>
      </c>
      <c r="V10" s="272">
        <v>138460000</v>
      </c>
      <c r="W10" s="272"/>
      <c r="X10" s="272">
        <f t="shared" si="3"/>
        <v>5510708</v>
      </c>
    </row>
    <row r="11" spans="1:25" s="297" customFormat="1">
      <c r="A11" s="601">
        <v>7</v>
      </c>
      <c r="B11" s="615" t="s">
        <v>24</v>
      </c>
      <c r="C11" s="602">
        <v>0.04</v>
      </c>
      <c r="D11" s="616">
        <v>41417</v>
      </c>
      <c r="E11" s="617">
        <v>47908</v>
      </c>
      <c r="F11" s="272">
        <f t="shared" si="0"/>
        <v>23400000</v>
      </c>
      <c r="G11" s="284">
        <v>98.939099999999996</v>
      </c>
      <c r="H11" s="604">
        <f t="shared" si="4"/>
        <v>4.0800000000000003E-2</v>
      </c>
      <c r="I11" s="272">
        <f t="shared" si="5"/>
        <v>954720</v>
      </c>
      <c r="J11" s="272">
        <v>23400000</v>
      </c>
      <c r="K11" s="272">
        <v>23400000</v>
      </c>
      <c r="L11" s="272">
        <v>23400000</v>
      </c>
      <c r="M11" s="272">
        <v>23400000</v>
      </c>
      <c r="N11" s="272">
        <v>23400000</v>
      </c>
      <c r="O11" s="272">
        <v>23400000</v>
      </c>
      <c r="P11" s="272">
        <v>23400000</v>
      </c>
      <c r="Q11" s="272">
        <v>23400000</v>
      </c>
      <c r="R11" s="272">
        <v>23400000</v>
      </c>
      <c r="S11" s="272">
        <v>23400000</v>
      </c>
      <c r="T11" s="272">
        <v>23400000</v>
      </c>
      <c r="U11" s="272">
        <v>23400000</v>
      </c>
      <c r="V11" s="272">
        <v>23400000</v>
      </c>
      <c r="W11" s="272"/>
      <c r="X11" s="272">
        <f t="shared" si="3"/>
        <v>954720.00000000012</v>
      </c>
    </row>
    <row r="12" spans="1:25" s="297" customFormat="1">
      <c r="A12" s="614">
        <v>8</v>
      </c>
      <c r="B12" s="298" t="s">
        <v>95</v>
      </c>
      <c r="C12" s="602">
        <v>5.4829999999999997E-2</v>
      </c>
      <c r="D12" s="603">
        <v>38499</v>
      </c>
      <c r="E12" s="603">
        <v>49461</v>
      </c>
      <c r="F12" s="272">
        <f t="shared" si="0"/>
        <v>250000000</v>
      </c>
      <c r="G12" s="284">
        <v>84.886606835999999</v>
      </c>
      <c r="H12" s="604">
        <f t="shared" si="4"/>
        <v>6.6500000000000004E-2</v>
      </c>
      <c r="I12" s="275">
        <f t="shared" si="5"/>
        <v>16625000</v>
      </c>
      <c r="J12" s="275">
        <v>250000000</v>
      </c>
      <c r="K12" s="275">
        <v>250000000</v>
      </c>
      <c r="L12" s="275">
        <v>250000000</v>
      </c>
      <c r="M12" s="275">
        <v>250000000</v>
      </c>
      <c r="N12" s="275">
        <v>250000000</v>
      </c>
      <c r="O12" s="275">
        <v>250000000</v>
      </c>
      <c r="P12" s="275">
        <v>250000000</v>
      </c>
      <c r="Q12" s="275">
        <v>250000000</v>
      </c>
      <c r="R12" s="275">
        <v>250000000</v>
      </c>
      <c r="S12" s="275">
        <v>250000000</v>
      </c>
      <c r="T12" s="275">
        <v>250000000</v>
      </c>
      <c r="U12" s="275">
        <v>250000000</v>
      </c>
      <c r="V12" s="275">
        <v>250000000</v>
      </c>
      <c r="W12" s="275"/>
      <c r="X12" s="272">
        <f t="shared" si="3"/>
        <v>16625000</v>
      </c>
    </row>
    <row r="13" spans="1:25" s="297" customFormat="1">
      <c r="A13" s="601">
        <v>9</v>
      </c>
      <c r="B13" s="298" t="s">
        <v>95</v>
      </c>
      <c r="C13" s="602">
        <v>6.7239999999999994E-2</v>
      </c>
      <c r="D13" s="603">
        <v>38898</v>
      </c>
      <c r="E13" s="603">
        <v>49841</v>
      </c>
      <c r="F13" s="272">
        <f t="shared" si="0"/>
        <v>250000000</v>
      </c>
      <c r="G13" s="284">
        <v>107.515271756</v>
      </c>
      <c r="H13" s="604">
        <f t="shared" si="4"/>
        <v>6.1699999999999998E-2</v>
      </c>
      <c r="I13" s="275">
        <f t="shared" si="5"/>
        <v>15425000</v>
      </c>
      <c r="J13" s="275">
        <v>250000000</v>
      </c>
      <c r="K13" s="275">
        <v>250000000</v>
      </c>
      <c r="L13" s="275">
        <v>250000000</v>
      </c>
      <c r="M13" s="275">
        <v>250000000</v>
      </c>
      <c r="N13" s="275">
        <v>250000000</v>
      </c>
      <c r="O13" s="275">
        <v>250000000</v>
      </c>
      <c r="P13" s="275">
        <v>250000000</v>
      </c>
      <c r="Q13" s="275">
        <v>250000000</v>
      </c>
      <c r="R13" s="275">
        <v>250000000</v>
      </c>
      <c r="S13" s="275">
        <v>250000000</v>
      </c>
      <c r="T13" s="275">
        <v>250000000</v>
      </c>
      <c r="U13" s="275">
        <v>250000000</v>
      </c>
      <c r="V13" s="275">
        <v>250000000</v>
      </c>
      <c r="W13" s="275"/>
      <c r="X13" s="272">
        <f t="shared" si="3"/>
        <v>15425000</v>
      </c>
    </row>
    <row r="14" spans="1:25" s="297" customFormat="1">
      <c r="A14" s="614">
        <v>10</v>
      </c>
      <c r="B14" s="298" t="s">
        <v>95</v>
      </c>
      <c r="C14" s="602">
        <v>6.2740000000000004E-2</v>
      </c>
      <c r="D14" s="603">
        <v>38978</v>
      </c>
      <c r="E14" s="603">
        <v>50114</v>
      </c>
      <c r="F14" s="272">
        <f t="shared" si="0"/>
        <v>300000000</v>
      </c>
      <c r="G14" s="284">
        <v>98.812700000000007</v>
      </c>
      <c r="H14" s="604">
        <f t="shared" si="4"/>
        <v>6.3600000000000004E-2</v>
      </c>
      <c r="I14" s="275">
        <f t="shared" si="5"/>
        <v>19080000</v>
      </c>
      <c r="J14" s="275">
        <v>300000000</v>
      </c>
      <c r="K14" s="275">
        <v>300000000</v>
      </c>
      <c r="L14" s="275">
        <v>300000000</v>
      </c>
      <c r="M14" s="275">
        <v>300000000</v>
      </c>
      <c r="N14" s="275">
        <v>300000000</v>
      </c>
      <c r="O14" s="275">
        <v>300000000</v>
      </c>
      <c r="P14" s="275">
        <v>300000000</v>
      </c>
      <c r="Q14" s="275">
        <v>300000000</v>
      </c>
      <c r="R14" s="275">
        <v>300000000</v>
      </c>
      <c r="S14" s="275">
        <v>300000000</v>
      </c>
      <c r="T14" s="275">
        <v>300000000</v>
      </c>
      <c r="U14" s="275">
        <v>300000000</v>
      </c>
      <c r="V14" s="275">
        <v>300000000</v>
      </c>
      <c r="W14" s="275"/>
      <c r="X14" s="272">
        <f t="shared" si="3"/>
        <v>19080000</v>
      </c>
    </row>
    <row r="15" spans="1:25" s="297" customFormat="1">
      <c r="A15" s="601">
        <v>11</v>
      </c>
      <c r="B15" s="298" t="s">
        <v>95</v>
      </c>
      <c r="C15" s="602">
        <v>5.7570000000000003E-2</v>
      </c>
      <c r="D15" s="603">
        <v>40067</v>
      </c>
      <c r="E15" s="603">
        <v>51058</v>
      </c>
      <c r="F15" s="272">
        <f t="shared" si="0"/>
        <v>350000000</v>
      </c>
      <c r="G15" s="284">
        <v>98.983599999999996</v>
      </c>
      <c r="H15" s="604">
        <f t="shared" si="4"/>
        <v>5.8299999999999998E-2</v>
      </c>
      <c r="I15" s="275">
        <f t="shared" si="5"/>
        <v>20405000</v>
      </c>
      <c r="J15" s="275">
        <v>350000000</v>
      </c>
      <c r="K15" s="275">
        <v>350000000</v>
      </c>
      <c r="L15" s="275">
        <v>350000000</v>
      </c>
      <c r="M15" s="275">
        <v>350000000</v>
      </c>
      <c r="N15" s="275">
        <v>350000000</v>
      </c>
      <c r="O15" s="275">
        <v>350000000</v>
      </c>
      <c r="P15" s="275">
        <v>350000000</v>
      </c>
      <c r="Q15" s="275">
        <v>350000000</v>
      </c>
      <c r="R15" s="275">
        <v>350000000</v>
      </c>
      <c r="S15" s="275">
        <v>350000000</v>
      </c>
      <c r="T15" s="275">
        <v>350000000</v>
      </c>
      <c r="U15" s="275">
        <v>350000000</v>
      </c>
      <c r="V15" s="275">
        <v>350000000</v>
      </c>
      <c r="W15" s="275"/>
      <c r="X15" s="272">
        <f t="shared" si="3"/>
        <v>20405000</v>
      </c>
    </row>
    <row r="16" spans="1:25" s="297" customFormat="1">
      <c r="A16" s="614">
        <v>12</v>
      </c>
      <c r="B16" s="298" t="s">
        <v>95</v>
      </c>
      <c r="C16" s="602">
        <v>5.7950000000000002E-2</v>
      </c>
      <c r="D16" s="603">
        <v>40245</v>
      </c>
      <c r="E16" s="603">
        <v>51210</v>
      </c>
      <c r="F16" s="272">
        <f t="shared" si="0"/>
        <v>325000000</v>
      </c>
      <c r="G16" s="284">
        <v>98.958799999999997</v>
      </c>
      <c r="H16" s="604">
        <f t="shared" si="4"/>
        <v>5.8700000000000002E-2</v>
      </c>
      <c r="I16" s="275">
        <f t="shared" si="5"/>
        <v>19077500</v>
      </c>
      <c r="J16" s="275">
        <v>325000000</v>
      </c>
      <c r="K16" s="275">
        <v>325000000</v>
      </c>
      <c r="L16" s="275">
        <v>325000000</v>
      </c>
      <c r="M16" s="275">
        <v>325000000</v>
      </c>
      <c r="N16" s="275">
        <v>325000000</v>
      </c>
      <c r="O16" s="275">
        <v>325000000</v>
      </c>
      <c r="P16" s="275">
        <v>325000000</v>
      </c>
      <c r="Q16" s="275">
        <v>325000000</v>
      </c>
      <c r="R16" s="275">
        <v>325000000</v>
      </c>
      <c r="S16" s="275">
        <v>325000000</v>
      </c>
      <c r="T16" s="275">
        <v>325000000</v>
      </c>
      <c r="U16" s="275">
        <v>325000000</v>
      </c>
      <c r="V16" s="275">
        <v>325000000</v>
      </c>
      <c r="W16" s="275"/>
      <c r="X16" s="272">
        <f t="shared" si="3"/>
        <v>19077500</v>
      </c>
    </row>
    <row r="17" spans="1:25" s="297" customFormat="1">
      <c r="A17" s="601">
        <v>13</v>
      </c>
      <c r="B17" s="298" t="s">
        <v>95</v>
      </c>
      <c r="C17" s="602">
        <v>5.7639999999999997E-2</v>
      </c>
      <c r="D17" s="603">
        <v>40358</v>
      </c>
      <c r="E17" s="603">
        <v>51332</v>
      </c>
      <c r="F17" s="272">
        <f t="shared" si="0"/>
        <v>250000000</v>
      </c>
      <c r="G17" s="284">
        <v>98.965199999999996</v>
      </c>
      <c r="H17" s="604">
        <f t="shared" si="4"/>
        <v>5.8400000000000001E-2</v>
      </c>
      <c r="I17" s="275">
        <f t="shared" si="5"/>
        <v>14600000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W17" s="275"/>
      <c r="X17" s="272">
        <f t="shared" si="3"/>
        <v>14600000</v>
      </c>
    </row>
    <row r="18" spans="1:25" s="297" customFormat="1">
      <c r="A18" s="614">
        <v>14</v>
      </c>
      <c r="B18" s="298" t="s">
        <v>95</v>
      </c>
      <c r="C18" s="602">
        <v>5.638E-2</v>
      </c>
      <c r="D18" s="603">
        <v>40627</v>
      </c>
      <c r="E18" s="603">
        <v>51606</v>
      </c>
      <c r="F18" s="272">
        <f t="shared" si="0"/>
        <v>300000000</v>
      </c>
      <c r="G18" s="284">
        <v>98.971000000000004</v>
      </c>
      <c r="H18" s="604">
        <f t="shared" si="4"/>
        <v>5.7099999999999998E-2</v>
      </c>
      <c r="I18" s="275">
        <f t="shared" si="5"/>
        <v>17130000</v>
      </c>
      <c r="J18" s="275">
        <v>300000000</v>
      </c>
      <c r="K18" s="275">
        <v>300000000</v>
      </c>
      <c r="L18" s="275">
        <v>300000000</v>
      </c>
      <c r="M18" s="275">
        <v>300000000</v>
      </c>
      <c r="N18" s="275">
        <v>300000000</v>
      </c>
      <c r="O18" s="275">
        <v>300000000</v>
      </c>
      <c r="P18" s="275">
        <v>300000000</v>
      </c>
      <c r="Q18" s="275">
        <v>300000000</v>
      </c>
      <c r="R18" s="275">
        <v>300000000</v>
      </c>
      <c r="S18" s="275">
        <v>300000000</v>
      </c>
      <c r="T18" s="275">
        <v>300000000</v>
      </c>
      <c r="U18" s="275">
        <v>300000000</v>
      </c>
      <c r="V18" s="275">
        <v>300000000</v>
      </c>
      <c r="W18" s="275"/>
      <c r="X18" s="272">
        <f t="shared" si="3"/>
        <v>17130000</v>
      </c>
    </row>
    <row r="19" spans="1:25" s="297" customFormat="1">
      <c r="A19" s="601">
        <v>15</v>
      </c>
      <c r="B19" s="298" t="s">
        <v>95</v>
      </c>
      <c r="C19" s="602">
        <v>4.4339999999999997E-2</v>
      </c>
      <c r="D19" s="603">
        <v>40863</v>
      </c>
      <c r="E19" s="603">
        <v>51820</v>
      </c>
      <c r="F19" s="272">
        <f t="shared" si="0"/>
        <v>250000000</v>
      </c>
      <c r="G19" s="284">
        <v>98.962999999999994</v>
      </c>
      <c r="H19" s="604">
        <f t="shared" si="4"/>
        <v>4.4999999999999998E-2</v>
      </c>
      <c r="I19" s="275">
        <f t="shared" si="5"/>
        <v>11250000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V19" s="275">
        <v>250000000</v>
      </c>
      <c r="W19" s="275"/>
      <c r="X19" s="272">
        <f t="shared" si="3"/>
        <v>11250000</v>
      </c>
    </row>
    <row r="20" spans="1:25" s="297" customFormat="1">
      <c r="A20" s="614">
        <v>16</v>
      </c>
      <c r="B20" s="298" t="s">
        <v>95</v>
      </c>
      <c r="C20" s="602">
        <v>4.7E-2</v>
      </c>
      <c r="D20" s="603">
        <v>40869</v>
      </c>
      <c r="E20" s="603">
        <v>55472</v>
      </c>
      <c r="F20" s="272">
        <f t="shared" si="0"/>
        <v>45000000</v>
      </c>
      <c r="G20" s="284">
        <v>98.863900000000001</v>
      </c>
      <c r="H20" s="604">
        <f t="shared" si="4"/>
        <v>4.7600000000000003E-2</v>
      </c>
      <c r="I20" s="275">
        <f t="shared" si="5"/>
        <v>2142000</v>
      </c>
      <c r="J20" s="275">
        <v>45000000</v>
      </c>
      <c r="K20" s="275">
        <v>45000000</v>
      </c>
      <c r="L20" s="275">
        <v>45000000</v>
      </c>
      <c r="M20" s="275">
        <v>45000000</v>
      </c>
      <c r="N20" s="275">
        <v>45000000</v>
      </c>
      <c r="O20" s="275">
        <v>45000000</v>
      </c>
      <c r="P20" s="275">
        <v>45000000</v>
      </c>
      <c r="Q20" s="275">
        <v>45000000</v>
      </c>
      <c r="R20" s="275">
        <v>45000000</v>
      </c>
      <c r="S20" s="275">
        <v>45000000</v>
      </c>
      <c r="T20" s="275">
        <v>45000000</v>
      </c>
      <c r="U20" s="275">
        <v>45000000</v>
      </c>
      <c r="V20" s="275">
        <v>45000000</v>
      </c>
      <c r="W20" s="275"/>
      <c r="X20" s="272">
        <f t="shared" si="3"/>
        <v>2142000</v>
      </c>
    </row>
    <row r="21" spans="1:25" s="297" customFormat="1">
      <c r="A21" s="601">
        <v>17</v>
      </c>
      <c r="B21" s="298" t="s">
        <v>95</v>
      </c>
      <c r="C21" s="602">
        <v>4.2999999999999997E-2</v>
      </c>
      <c r="D21" s="603">
        <v>42150</v>
      </c>
      <c r="E21" s="603">
        <v>53102</v>
      </c>
      <c r="F21" s="272">
        <f t="shared" si="0"/>
        <v>425000000</v>
      </c>
      <c r="G21" s="284">
        <v>98.483019762352939</v>
      </c>
      <c r="H21" s="604">
        <f t="shared" si="4"/>
        <v>4.3900000000000002E-2</v>
      </c>
      <c r="I21" s="275">
        <f t="shared" si="5"/>
        <v>18657500</v>
      </c>
      <c r="J21" s="272">
        <v>425000000</v>
      </c>
      <c r="K21" s="272">
        <v>425000000</v>
      </c>
      <c r="L21" s="272">
        <v>425000000</v>
      </c>
      <c r="M21" s="272">
        <v>425000000</v>
      </c>
      <c r="N21" s="272">
        <v>425000000</v>
      </c>
      <c r="O21" s="272">
        <v>425000000</v>
      </c>
      <c r="P21" s="272">
        <v>425000000</v>
      </c>
      <c r="Q21" s="272">
        <v>425000000</v>
      </c>
      <c r="R21" s="272">
        <v>425000000</v>
      </c>
      <c r="S21" s="272">
        <v>425000000</v>
      </c>
      <c r="T21" s="272">
        <v>425000000</v>
      </c>
      <c r="U21" s="272">
        <v>425000000</v>
      </c>
      <c r="V21" s="272">
        <v>425000000</v>
      </c>
      <c r="W21" s="272"/>
      <c r="X21" s="272">
        <f t="shared" si="3"/>
        <v>18657500</v>
      </c>
    </row>
    <row r="22" spans="1:25" s="297" customFormat="1">
      <c r="A22" s="614">
        <v>18</v>
      </c>
      <c r="B22" s="298" t="s">
        <v>95</v>
      </c>
      <c r="C22" s="602">
        <v>4.2229999999999997E-2</v>
      </c>
      <c r="D22" s="603">
        <v>43265</v>
      </c>
      <c r="E22" s="603">
        <v>54224</v>
      </c>
      <c r="F22" s="272">
        <f t="shared" si="0"/>
        <v>600000000</v>
      </c>
      <c r="G22" s="284">
        <v>98.886799999999994</v>
      </c>
      <c r="H22" s="604">
        <f t="shared" si="4"/>
        <v>4.2900000000000001E-2</v>
      </c>
      <c r="I22" s="275">
        <f t="shared" si="5"/>
        <v>25740000</v>
      </c>
      <c r="J22" s="272">
        <v>600000000</v>
      </c>
      <c r="K22" s="272">
        <v>600000000</v>
      </c>
      <c r="L22" s="272">
        <v>600000000</v>
      </c>
      <c r="M22" s="272">
        <v>600000000</v>
      </c>
      <c r="N22" s="272">
        <v>600000000</v>
      </c>
      <c r="O22" s="272">
        <v>600000000</v>
      </c>
      <c r="P22" s="272">
        <v>600000000</v>
      </c>
      <c r="Q22" s="272">
        <v>600000000</v>
      </c>
      <c r="R22" s="272">
        <v>600000000</v>
      </c>
      <c r="S22" s="272">
        <v>600000000</v>
      </c>
      <c r="T22" s="272">
        <v>600000000</v>
      </c>
      <c r="U22" s="272">
        <v>600000000</v>
      </c>
      <c r="V22" s="272">
        <v>600000000</v>
      </c>
      <c r="W22" s="272"/>
      <c r="X22" s="275">
        <f t="shared" si="3"/>
        <v>25740000</v>
      </c>
    </row>
    <row r="23" spans="1:25">
      <c r="A23" s="601">
        <v>19</v>
      </c>
      <c r="B23" s="580" t="s">
        <v>95</v>
      </c>
      <c r="C23" s="282">
        <v>3.2500000000000001E-2</v>
      </c>
      <c r="D23" s="283">
        <v>43707</v>
      </c>
      <c r="E23" s="283">
        <v>54681</v>
      </c>
      <c r="F23" s="272">
        <f t="shared" si="0"/>
        <v>450000000</v>
      </c>
      <c r="G23" s="284">
        <v>99.087100000000007</v>
      </c>
      <c r="H23" s="604">
        <f>ROUND(YIELD(D23,E23,C23,G23,100,2,2),4)</f>
        <v>3.3000000000000002E-2</v>
      </c>
      <c r="I23" s="275">
        <f t="shared" si="5"/>
        <v>14850000</v>
      </c>
      <c r="J23" s="272">
        <v>450000000</v>
      </c>
      <c r="K23" s="272">
        <v>450000000</v>
      </c>
      <c r="L23" s="272">
        <v>450000000</v>
      </c>
      <c r="M23" s="272">
        <v>450000000</v>
      </c>
      <c r="N23" s="272">
        <v>450000000</v>
      </c>
      <c r="O23" s="272">
        <v>450000000</v>
      </c>
      <c r="P23" s="272">
        <v>450000000</v>
      </c>
      <c r="Q23" s="272">
        <v>450000000</v>
      </c>
      <c r="R23" s="272">
        <v>450000000</v>
      </c>
      <c r="S23" s="272">
        <v>450000000</v>
      </c>
      <c r="T23" s="272">
        <v>450000000</v>
      </c>
      <c r="U23" s="272">
        <v>450000000</v>
      </c>
      <c r="V23" s="272">
        <v>450000000</v>
      </c>
      <c r="W23" s="272"/>
      <c r="X23" s="275">
        <f t="shared" si="3"/>
        <v>14850000</v>
      </c>
    </row>
    <row r="24" spans="1:25">
      <c r="A24" s="614">
        <v>20</v>
      </c>
      <c r="B24" s="137"/>
      <c r="C24" s="282"/>
      <c r="D24" s="283"/>
      <c r="E24" s="283"/>
      <c r="F24" s="272"/>
      <c r="G24" s="292"/>
      <c r="H24" s="182"/>
      <c r="I24" s="275"/>
      <c r="J24" s="272"/>
      <c r="K24" s="272"/>
      <c r="L24" s="272"/>
      <c r="M24" s="272"/>
      <c r="N24" s="272"/>
      <c r="O24" s="272"/>
      <c r="P24" s="272"/>
      <c r="Q24" s="272"/>
      <c r="R24" s="272"/>
      <c r="S24" s="272"/>
      <c r="T24" s="272"/>
      <c r="U24" s="272"/>
      <c r="V24" s="272"/>
      <c r="W24" s="272"/>
      <c r="X24" s="474">
        <f>SUM(X6:X23)</f>
        <v>231054128</v>
      </c>
    </row>
    <row r="25" spans="1:25" ht="13.5" thickBot="1">
      <c r="A25" s="601">
        <v>21</v>
      </c>
      <c r="B25" s="137"/>
      <c r="C25" s="139" t="s">
        <v>116</v>
      </c>
      <c r="D25" s="283"/>
      <c r="E25" s="283"/>
      <c r="F25" s="272"/>
      <c r="G25" s="288"/>
      <c r="H25" s="182"/>
      <c r="I25" s="289">
        <f>'Pg 7 Reacquired Debt'!I31</f>
        <v>2157708.2400000002</v>
      </c>
      <c r="J25" s="230"/>
      <c r="K25" s="230"/>
      <c r="L25" s="230"/>
      <c r="M25" s="230"/>
      <c r="N25" s="230"/>
      <c r="O25" s="230"/>
      <c r="P25" s="230"/>
      <c r="Q25" s="230"/>
      <c r="R25" s="230"/>
      <c r="S25" s="230"/>
      <c r="T25" s="230"/>
      <c r="U25" s="230"/>
      <c r="V25" s="230"/>
      <c r="W25" s="275"/>
      <c r="X25" s="474">
        <f>I25</f>
        <v>2157708.2400000002</v>
      </c>
    </row>
    <row r="26" spans="1:25" ht="13.5" thickBot="1">
      <c r="A26" s="614">
        <v>22</v>
      </c>
      <c r="B26" s="139" t="s">
        <v>129</v>
      </c>
      <c r="C26" s="282"/>
      <c r="D26" s="283"/>
      <c r="E26" s="283"/>
      <c r="F26" s="289">
        <f>SUM(F6:F25)</f>
        <v>4373860000</v>
      </c>
      <c r="G26" s="290"/>
      <c r="H26" s="215">
        <f>ROUND(+I26/F26,4)</f>
        <v>5.33E-2</v>
      </c>
      <c r="I26" s="293">
        <f t="shared" ref="I26:V26" si="6">SUM(I6:I25)</f>
        <v>233211836.24000001</v>
      </c>
      <c r="J26" s="293">
        <f>SUM(J6:J25)</f>
        <v>4373860000</v>
      </c>
      <c r="K26" s="293">
        <f>SUM(K6:K25)</f>
        <v>4373860000</v>
      </c>
      <c r="L26" s="293">
        <f>SUM(L6:L25)</f>
        <v>4373860000</v>
      </c>
      <c r="M26" s="293">
        <f t="shared" si="6"/>
        <v>4373860000</v>
      </c>
      <c r="N26" s="293">
        <f t="shared" si="6"/>
        <v>4373860000</v>
      </c>
      <c r="O26" s="293">
        <f t="shared" si="6"/>
        <v>4373860000</v>
      </c>
      <c r="P26" s="293">
        <f t="shared" si="6"/>
        <v>4373860000</v>
      </c>
      <c r="Q26" s="293">
        <f t="shared" si="6"/>
        <v>4373860000</v>
      </c>
      <c r="R26" s="293">
        <f t="shared" si="6"/>
        <v>4373860000</v>
      </c>
      <c r="S26" s="293">
        <f t="shared" si="6"/>
        <v>4373860000</v>
      </c>
      <c r="T26" s="293">
        <f t="shared" si="6"/>
        <v>4373860000</v>
      </c>
      <c r="U26" s="293">
        <f t="shared" si="6"/>
        <v>4373860000</v>
      </c>
      <c r="V26" s="293">
        <f t="shared" si="6"/>
        <v>4373860000</v>
      </c>
      <c r="W26" s="291"/>
      <c r="X26" s="293">
        <f>SUM(X24:X25)</f>
        <v>233211836.24000001</v>
      </c>
      <c r="Y26" s="475">
        <f>X26/V26</f>
        <v>5.3319456095988441E-2</v>
      </c>
    </row>
    <row r="27" spans="1:25" ht="13.5" thickBot="1">
      <c r="A27" s="601">
        <v>23</v>
      </c>
      <c r="B27" s="137"/>
      <c r="C27" s="282"/>
      <c r="D27" s="283"/>
      <c r="E27" s="283"/>
      <c r="F27" s="291"/>
      <c r="G27" s="288"/>
      <c r="H27" s="245"/>
      <c r="I27" s="291"/>
      <c r="J27" s="497"/>
      <c r="K27" s="497"/>
      <c r="L27" s="497"/>
      <c r="M27" s="497"/>
      <c r="N27" s="497"/>
      <c r="O27" s="497"/>
      <c r="P27" s="497"/>
      <c r="Q27" s="497"/>
      <c r="R27" s="497"/>
      <c r="S27" s="497"/>
      <c r="T27" s="497"/>
      <c r="U27" s="497"/>
      <c r="V27" s="497"/>
      <c r="W27" s="497"/>
      <c r="X27" s="273">
        <f>H27*S27</f>
        <v>0</v>
      </c>
    </row>
    <row r="28" spans="1:25" ht="13.5" thickBot="1">
      <c r="A28" s="614">
        <v>24</v>
      </c>
      <c r="B28" s="139" t="s">
        <v>313</v>
      </c>
      <c r="C28" s="282"/>
      <c r="D28" s="283"/>
      <c r="E28" s="283"/>
      <c r="F28" s="291">
        <f>F26-I25</f>
        <v>4371702291.7600002</v>
      </c>
      <c r="G28" s="288"/>
      <c r="H28" s="215">
        <f>ROUND(+I28/F28,4)</f>
        <v>5.2900000000000003E-2</v>
      </c>
      <c r="I28" s="291">
        <f>SUM(I6:I23)</f>
        <v>231054128</v>
      </c>
      <c r="J28" s="497"/>
      <c r="K28" s="497"/>
      <c r="L28" s="497"/>
      <c r="M28" s="497"/>
      <c r="N28" s="497"/>
      <c r="O28" s="497"/>
      <c r="P28" s="497"/>
      <c r="Q28" s="497"/>
      <c r="R28" s="497"/>
      <c r="S28" s="497"/>
      <c r="T28" s="497"/>
      <c r="U28" s="497"/>
      <c r="V28" s="497"/>
      <c r="W28" s="497"/>
      <c r="X28" s="273"/>
    </row>
    <row r="29" spans="1:25">
      <c r="A29" s="601">
        <v>25</v>
      </c>
      <c r="B29" s="137"/>
      <c r="C29" s="282"/>
      <c r="D29" s="283"/>
      <c r="E29" s="283"/>
      <c r="F29" s="291"/>
      <c r="G29" s="288"/>
      <c r="H29" s="245"/>
      <c r="I29" s="291"/>
      <c r="J29" s="497"/>
      <c r="K29" s="497"/>
      <c r="L29" s="497"/>
      <c r="M29" s="497"/>
      <c r="N29" s="497"/>
      <c r="O29" s="497"/>
      <c r="P29" s="497"/>
      <c r="Q29" s="497"/>
      <c r="R29" s="497"/>
      <c r="S29" s="497"/>
      <c r="T29" s="497"/>
      <c r="U29" s="497"/>
      <c r="V29" s="497"/>
      <c r="W29" s="497"/>
      <c r="X29" s="273"/>
    </row>
    <row r="30" spans="1:25">
      <c r="A30" s="614">
        <v>26</v>
      </c>
      <c r="B30" s="580" t="s">
        <v>303</v>
      </c>
      <c r="C30" s="282"/>
      <c r="D30" s="283"/>
      <c r="E30" s="283"/>
      <c r="F30" s="291">
        <f>'Pg 3 STD Cost Rate'!C17</f>
        <v>153671199.44</v>
      </c>
      <c r="G30" s="288"/>
      <c r="H30" s="587">
        <f>ROUND(I30/F30,4)</f>
        <v>6.4000000000000003E-3</v>
      </c>
      <c r="I30" s="291">
        <f>'Pg 3 STD Cost Rate'!E17</f>
        <v>978146.7</v>
      </c>
      <c r="J30" s="497"/>
      <c r="K30" s="497"/>
      <c r="L30" s="497"/>
      <c r="M30" s="497"/>
      <c r="N30" s="497"/>
      <c r="O30" s="497"/>
      <c r="P30" s="497"/>
      <c r="Q30" s="497"/>
      <c r="R30" s="497"/>
      <c r="S30" s="497"/>
      <c r="T30" s="497"/>
      <c r="U30" s="497"/>
      <c r="V30" s="497"/>
      <c r="W30" s="497"/>
      <c r="X30" s="273"/>
    </row>
    <row r="31" spans="1:25">
      <c r="A31" s="601">
        <v>27</v>
      </c>
      <c r="B31" s="137"/>
      <c r="C31" s="282"/>
      <c r="D31" s="283"/>
      <c r="E31" s="283"/>
      <c r="F31" s="291"/>
      <c r="G31" s="288"/>
      <c r="H31" s="245"/>
      <c r="I31" s="291"/>
      <c r="J31" s="497"/>
      <c r="K31" s="497"/>
      <c r="L31" s="497"/>
      <c r="M31" s="497"/>
      <c r="N31" s="497"/>
      <c r="O31" s="497"/>
      <c r="P31" s="497"/>
      <c r="Q31" s="497"/>
      <c r="R31" s="497"/>
      <c r="S31" s="497"/>
      <c r="T31" s="497"/>
      <c r="U31" s="497"/>
      <c r="V31" s="497"/>
      <c r="W31" s="497"/>
      <c r="X31" s="273"/>
    </row>
    <row r="32" spans="1:25">
      <c r="A32" s="614">
        <v>28</v>
      </c>
      <c r="B32" s="588" t="s">
        <v>304</v>
      </c>
      <c r="C32" s="282"/>
      <c r="D32" s="283"/>
      <c r="E32" s="283"/>
      <c r="F32" s="291">
        <f>F30+F26</f>
        <v>4527531199.4399996</v>
      </c>
      <c r="G32" s="288"/>
      <c r="H32" s="587">
        <f>ROUND(I32/F32,4)</f>
        <v>5.1200000000000002E-2</v>
      </c>
      <c r="I32" s="291">
        <f>I30+I28</f>
        <v>232032274.69999999</v>
      </c>
      <c r="J32" s="497"/>
      <c r="K32" s="497"/>
      <c r="L32" s="497"/>
      <c r="M32" s="497"/>
      <c r="N32" s="497"/>
      <c r="O32" s="497"/>
      <c r="P32" s="497"/>
      <c r="Q32" s="497"/>
      <c r="R32" s="497"/>
      <c r="S32" s="497"/>
      <c r="T32" s="497"/>
      <c r="U32" s="497"/>
      <c r="V32" s="497"/>
      <c r="W32" s="497"/>
      <c r="X32" s="273"/>
    </row>
    <row r="33" spans="1:55">
      <c r="A33" s="601">
        <v>29</v>
      </c>
      <c r="B33" s="137"/>
      <c r="C33" s="282"/>
      <c r="D33" s="283"/>
      <c r="E33" s="283"/>
      <c r="F33" s="291"/>
      <c r="G33" s="288"/>
      <c r="H33" s="245"/>
      <c r="I33" s="291"/>
      <c r="J33" s="497"/>
      <c r="K33" s="497"/>
      <c r="L33" s="497"/>
      <c r="M33" s="497"/>
      <c r="N33" s="497"/>
      <c r="O33" s="497"/>
      <c r="P33" s="497"/>
      <c r="Q33" s="497"/>
      <c r="R33" s="497"/>
      <c r="S33" s="497"/>
      <c r="T33" s="497"/>
      <c r="U33" s="497"/>
      <c r="V33" s="497"/>
      <c r="W33" s="497"/>
      <c r="X33" s="273"/>
    </row>
    <row r="34" spans="1:55">
      <c r="A34" s="614">
        <v>30</v>
      </c>
      <c r="B34" s="135" t="s">
        <v>85</v>
      </c>
      <c r="C34" s="136"/>
      <c r="D34" s="136"/>
      <c r="E34" s="136"/>
      <c r="F34" s="136"/>
      <c r="G34" s="136"/>
      <c r="H34" s="136"/>
      <c r="I34" s="136"/>
      <c r="X34" s="291"/>
      <c r="Y34" s="245"/>
    </row>
    <row r="35" spans="1:55">
      <c r="A35" s="601">
        <v>31</v>
      </c>
      <c r="B35" s="135" t="s">
        <v>93</v>
      </c>
      <c r="C35" s="136"/>
      <c r="D35" s="136"/>
      <c r="E35" s="136"/>
      <c r="F35" s="136"/>
      <c r="G35" s="138"/>
      <c r="H35" s="136"/>
      <c r="I35" s="136"/>
    </row>
    <row r="36" spans="1:55">
      <c r="A36" s="133"/>
      <c r="B36" s="135"/>
      <c r="C36" s="136"/>
      <c r="D36" s="136"/>
      <c r="E36" s="136"/>
      <c r="F36" s="136"/>
      <c r="G36" s="138"/>
      <c r="H36" s="136"/>
      <c r="I36" s="136"/>
    </row>
    <row r="37" spans="1:55">
      <c r="A37" s="133"/>
      <c r="B37" s="135"/>
      <c r="C37" s="136"/>
      <c r="D37" s="136"/>
      <c r="E37" s="136"/>
      <c r="F37" s="136"/>
      <c r="G37" s="138"/>
      <c r="H37" s="136"/>
      <c r="I37" s="136"/>
    </row>
    <row r="38" spans="1:55">
      <c r="A38" s="133"/>
      <c r="B38" s="134"/>
      <c r="C38" s="134"/>
      <c r="D38" s="134"/>
      <c r="E38" s="321"/>
      <c r="G38" s="134"/>
      <c r="H38" s="294"/>
      <c r="I38" s="295"/>
      <c r="J38" s="296"/>
      <c r="K38" s="296"/>
      <c r="L38" s="296"/>
      <c r="M38" s="296"/>
      <c r="N38" s="296"/>
      <c r="O38" s="296"/>
      <c r="P38" s="296"/>
      <c r="Q38" s="296"/>
      <c r="R38" s="296"/>
      <c r="S38" s="296"/>
      <c r="T38" s="296"/>
      <c r="U38" s="296"/>
      <c r="V38" s="296"/>
      <c r="W38" s="296"/>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row>
    <row r="39" spans="1:55">
      <c r="A39" s="44"/>
      <c r="B39" s="297"/>
      <c r="C39" s="297"/>
      <c r="D39" s="297"/>
      <c r="E39" s="297"/>
      <c r="F39" s="271"/>
      <c r="G39" s="297"/>
      <c r="H39" s="136"/>
      <c r="I39" s="178"/>
      <c r="J39" s="298"/>
      <c r="K39" s="137"/>
      <c r="L39" s="137"/>
      <c r="M39" s="137"/>
      <c r="N39" s="137"/>
      <c r="O39" s="137"/>
      <c r="P39" s="137"/>
      <c r="Q39" s="137"/>
      <c r="R39" s="137"/>
      <c r="S39" s="137"/>
      <c r="T39" s="137"/>
      <c r="U39" s="137"/>
      <c r="V39" s="137"/>
      <c r="W39" s="137"/>
    </row>
    <row r="40" spans="1:55">
      <c r="A40" s="44"/>
      <c r="B40" s="297"/>
      <c r="C40" s="297"/>
      <c r="D40" s="297"/>
      <c r="E40" s="297"/>
      <c r="F40" s="270"/>
      <c r="G40" s="297"/>
      <c r="H40" s="134"/>
      <c r="I40" s="295"/>
      <c r="J40" s="273"/>
      <c r="K40" s="273"/>
      <c r="L40" s="273"/>
      <c r="M40" s="273"/>
      <c r="N40" s="273"/>
      <c r="O40" s="273"/>
      <c r="P40" s="273"/>
      <c r="Q40" s="273"/>
      <c r="R40" s="273"/>
      <c r="S40" s="273"/>
      <c r="T40" s="273"/>
      <c r="U40" s="273"/>
      <c r="V40" s="273"/>
      <c r="W40" s="273"/>
    </row>
    <row r="41" spans="1:55">
      <c r="A41" s="44"/>
      <c r="B41" s="28"/>
      <c r="C41" s="28"/>
      <c r="D41" s="28"/>
      <c r="E41" s="28"/>
      <c r="F41" s="271"/>
      <c r="G41" s="28"/>
      <c r="H41" s="28"/>
      <c r="I41" s="45"/>
      <c r="J41" s="220" t="str">
        <f t="shared" ref="J41:S41" si="7">IF(J40&lt;&gt;0,"ERROR","")</f>
        <v/>
      </c>
      <c r="K41" s="220" t="str">
        <f t="shared" si="7"/>
        <v/>
      </c>
      <c r="L41" s="220" t="str">
        <f t="shared" si="7"/>
        <v/>
      </c>
      <c r="M41" s="220" t="str">
        <f t="shared" si="7"/>
        <v/>
      </c>
      <c r="N41" s="220" t="str">
        <f t="shared" si="7"/>
        <v/>
      </c>
      <c r="O41" s="220" t="str">
        <f t="shared" si="7"/>
        <v/>
      </c>
      <c r="P41" s="220" t="str">
        <f t="shared" si="7"/>
        <v/>
      </c>
      <c r="Q41" s="220" t="str">
        <f t="shared" si="7"/>
        <v/>
      </c>
      <c r="R41" s="220" t="str">
        <f t="shared" si="7"/>
        <v/>
      </c>
      <c r="S41" s="44" t="str">
        <f t="shared" si="7"/>
        <v/>
      </c>
      <c r="T41" s="44"/>
      <c r="U41" s="44"/>
      <c r="V41" s="44"/>
      <c r="W41" s="44"/>
    </row>
    <row r="42" spans="1:55">
      <c r="A42" s="44"/>
      <c r="B42" s="28"/>
      <c r="C42" s="28"/>
      <c r="D42" s="28"/>
      <c r="E42" s="630" t="s">
        <v>321</v>
      </c>
      <c r="F42" s="45"/>
      <c r="G42" s="28"/>
      <c r="H42" s="182">
        <f>0.095*(274/366)+0.094*(92/366)</f>
        <v>9.4748633879781427E-2</v>
      </c>
      <c r="Y42" s="606"/>
    </row>
    <row r="43" spans="1:55">
      <c r="A43" s="46"/>
      <c r="B43" s="47"/>
      <c r="C43" s="48"/>
      <c r="D43" s="49"/>
      <c r="E43" s="49"/>
      <c r="F43" s="261"/>
      <c r="G43" s="51"/>
      <c r="H43" s="182"/>
      <c r="I43" s="97"/>
      <c r="Y43" s="606"/>
    </row>
    <row r="44" spans="1:55">
      <c r="A44" s="46"/>
      <c r="B44" s="47"/>
      <c r="C44" s="48"/>
      <c r="D44" s="49"/>
      <c r="E44" s="49"/>
      <c r="F44" s="50"/>
      <c r="G44" s="51"/>
      <c r="H44" s="52"/>
      <c r="I44" s="53"/>
      <c r="Y44" s="606"/>
    </row>
    <row r="45" spans="1:55">
      <c r="A45" s="46"/>
      <c r="B45" s="47"/>
      <c r="C45" s="48"/>
      <c r="D45" s="49"/>
      <c r="E45" s="49"/>
      <c r="F45" s="50"/>
      <c r="G45" s="51"/>
      <c r="H45" s="52"/>
      <c r="I45" s="53"/>
      <c r="Y45" s="606"/>
    </row>
    <row r="46" spans="1:55" hidden="1">
      <c r="A46" s="54"/>
      <c r="B46" s="28"/>
      <c r="C46" s="28"/>
      <c r="D46" s="28"/>
      <c r="E46" s="28"/>
      <c r="F46" s="45"/>
      <c r="G46" s="28"/>
      <c r="H46" s="55"/>
      <c r="I46" s="45"/>
      <c r="Y46" s="606"/>
    </row>
    <row r="47" spans="1:55" hidden="1">
      <c r="A47" s="54"/>
      <c r="B47" s="28"/>
      <c r="C47" s="28"/>
      <c r="D47" s="28"/>
      <c r="E47" s="28"/>
      <c r="F47" s="45"/>
      <c r="G47" s="28"/>
      <c r="H47" s="56"/>
      <c r="I47" s="45"/>
      <c r="Y47" s="606"/>
    </row>
    <row r="48" spans="1:55" hidden="1">
      <c r="A48" s="54"/>
      <c r="B48" s="28"/>
      <c r="C48" s="28"/>
      <c r="D48" s="28"/>
      <c r="E48" s="28"/>
      <c r="F48" s="45"/>
      <c r="G48" s="28"/>
      <c r="H48" s="28"/>
      <c r="I48" s="45"/>
      <c r="Y48" s="606"/>
    </row>
    <row r="49" spans="1:25">
      <c r="A49" s="46"/>
      <c r="B49" s="47"/>
      <c r="C49" s="48"/>
      <c r="D49" s="49"/>
      <c r="E49" s="49"/>
      <c r="F49" s="50"/>
      <c r="G49" s="51"/>
      <c r="H49" s="52"/>
      <c r="I49" s="53"/>
      <c r="Y49" s="606"/>
    </row>
    <row r="50" spans="1:25">
      <c r="A50" s="46"/>
      <c r="B50" s="47"/>
      <c r="C50" s="48"/>
      <c r="D50" s="49"/>
      <c r="E50" s="49"/>
      <c r="F50" s="50"/>
      <c r="G50" s="51"/>
      <c r="H50" s="52"/>
      <c r="I50" s="53"/>
      <c r="Y50" s="606"/>
    </row>
    <row r="51" spans="1:25">
      <c r="A51" s="54"/>
      <c r="B51" s="28"/>
      <c r="C51" s="28"/>
      <c r="D51" s="28"/>
      <c r="E51" s="28"/>
      <c r="F51" s="45"/>
      <c r="G51" s="28"/>
      <c r="H51" s="28"/>
      <c r="I51" s="45"/>
      <c r="Y51" s="606"/>
    </row>
    <row r="52" spans="1:25">
      <c r="A52" s="54"/>
      <c r="B52" s="28"/>
      <c r="C52" s="28"/>
      <c r="D52" s="28"/>
      <c r="E52" s="28"/>
      <c r="F52" s="45"/>
      <c r="G52" s="28"/>
      <c r="H52" s="28"/>
      <c r="I52" s="45"/>
      <c r="Y52" s="606"/>
    </row>
    <row r="53" spans="1:25">
      <c r="A53" s="54"/>
      <c r="B53" s="28"/>
      <c r="C53" s="28"/>
      <c r="D53" s="28"/>
      <c r="E53" s="28"/>
      <c r="F53" s="45"/>
      <c r="G53" s="28"/>
      <c r="H53" s="28"/>
      <c r="I53" s="45"/>
      <c r="Y53" s="606"/>
    </row>
    <row r="54" spans="1:25">
      <c r="A54" s="54"/>
      <c r="B54" s="28"/>
      <c r="C54" s="28"/>
      <c r="D54" s="28"/>
      <c r="E54" s="28"/>
      <c r="F54" s="45"/>
      <c r="G54" s="28"/>
      <c r="H54" s="28"/>
      <c r="I54" s="45"/>
      <c r="Y54" s="606"/>
    </row>
    <row r="55" spans="1:25">
      <c r="A55" s="54"/>
      <c r="B55" s="28"/>
      <c r="C55" s="28"/>
      <c r="D55" s="28"/>
      <c r="E55" s="28"/>
      <c r="F55" s="45"/>
      <c r="G55" s="28"/>
      <c r="H55" s="28"/>
      <c r="I55" s="45"/>
      <c r="Y55" s="606"/>
    </row>
    <row r="56" spans="1:25">
      <c r="A56" s="54"/>
      <c r="B56" s="28"/>
      <c r="C56" s="28"/>
      <c r="D56" s="28"/>
      <c r="E56" s="28"/>
      <c r="F56" s="45"/>
      <c r="G56" s="28"/>
      <c r="H56" s="28"/>
      <c r="I56" s="45"/>
      <c r="Y56" s="606"/>
    </row>
    <row r="57" spans="1:25">
      <c r="A57" s="54"/>
      <c r="B57" s="28"/>
      <c r="C57" s="28"/>
      <c r="D57" s="28"/>
      <c r="E57" s="28"/>
      <c r="F57" s="45"/>
      <c r="G57" s="28"/>
      <c r="H57" s="28"/>
      <c r="I57" s="45"/>
      <c r="Y57" s="606"/>
    </row>
    <row r="58" spans="1:25">
      <c r="A58" s="54"/>
      <c r="B58" s="28"/>
      <c r="C58" s="28"/>
      <c r="D58" s="28"/>
      <c r="E58" s="28"/>
      <c r="F58" s="45"/>
      <c r="G58" s="28"/>
      <c r="H58" s="28"/>
      <c r="I58" s="45"/>
      <c r="Y58" s="606"/>
    </row>
    <row r="59" spans="1:25">
      <c r="A59" s="54"/>
      <c r="B59" s="28"/>
      <c r="C59" s="28"/>
      <c r="D59" s="28"/>
      <c r="E59" s="28"/>
      <c r="F59" s="45"/>
      <c r="G59" s="28"/>
      <c r="H59" s="28"/>
      <c r="I59" s="45"/>
      <c r="Y59" s="606"/>
    </row>
    <row r="60" spans="1:25">
      <c r="A60" s="44"/>
      <c r="B60" s="28"/>
      <c r="C60" s="47"/>
      <c r="D60" s="28"/>
      <c r="E60" s="28"/>
      <c r="F60" s="45"/>
      <c r="G60" s="28"/>
      <c r="H60" s="28"/>
      <c r="I60" s="45"/>
      <c r="Y60" s="606"/>
    </row>
    <row r="61" spans="1:25">
      <c r="C61" s="24"/>
      <c r="E61" s="30"/>
      <c r="Y61" s="606"/>
    </row>
    <row r="62" spans="1:25">
      <c r="C62" s="29"/>
      <c r="Y62" s="606"/>
    </row>
    <row r="63" spans="1:25">
      <c r="Y63" s="606"/>
    </row>
    <row r="64" spans="1:25">
      <c r="Y64" s="606"/>
    </row>
    <row r="65" spans="25:25">
      <c r="Y65" s="606"/>
    </row>
    <row r="66" spans="25:25">
      <c r="Y66" s="606"/>
    </row>
    <row r="67" spans="25:25">
      <c r="Y67" s="606"/>
    </row>
    <row r="68" spans="25:25">
      <c r="Y68" s="606"/>
    </row>
    <row r="69" spans="25:25">
      <c r="Y69" s="606"/>
    </row>
    <row r="70" spans="25:25">
      <c r="Y70" s="606"/>
    </row>
    <row r="71" spans="25:25">
      <c r="Y71" s="606"/>
    </row>
    <row r="72" spans="25:25">
      <c r="Y72" s="606"/>
    </row>
    <row r="73" spans="25:25">
      <c r="Y73" s="606"/>
    </row>
    <row r="74" spans="25:25">
      <c r="Y74" s="606"/>
    </row>
    <row r="75" spans="25:25">
      <c r="Y75" s="606"/>
    </row>
    <row r="76" spans="25:25">
      <c r="Y76" s="606"/>
    </row>
    <row r="77" spans="25:25">
      <c r="Y77" s="606"/>
    </row>
    <row r="78" spans="25:25">
      <c r="Y78" s="606"/>
    </row>
    <row r="79" spans="25:25">
      <c r="Y79" s="606"/>
    </row>
    <row r="80" spans="25:25">
      <c r="Y80" s="606"/>
    </row>
    <row r="81" spans="25:25">
      <c r="Y81" s="606"/>
    </row>
    <row r="82" spans="25:25">
      <c r="Y82" s="606"/>
    </row>
    <row r="83" spans="25:25">
      <c r="Y83" s="606"/>
    </row>
    <row r="84" spans="25:25">
      <c r="Y84" s="606"/>
    </row>
    <row r="85" spans="25:25">
      <c r="Y85" s="606"/>
    </row>
    <row r="86" spans="25:25">
      <c r="Y86" s="606"/>
    </row>
    <row r="87" spans="25:25">
      <c r="Y87" s="606"/>
    </row>
    <row r="88" spans="25:25">
      <c r="Y88" s="606"/>
    </row>
    <row r="89" spans="25:25">
      <c r="Y89" s="606"/>
    </row>
    <row r="90" spans="25:25">
      <c r="Y90" s="606"/>
    </row>
    <row r="91" spans="25:25">
      <c r="Y91" s="606"/>
    </row>
    <row r="92" spans="25:25">
      <c r="Y92" s="606"/>
    </row>
    <row r="93" spans="25:25">
      <c r="Y93" s="606"/>
    </row>
    <row r="94" spans="25:25">
      <c r="Y94" s="606"/>
    </row>
    <row r="95" spans="25:25">
      <c r="Y95" s="606"/>
    </row>
    <row r="96" spans="25:25">
      <c r="Y96" s="606"/>
    </row>
    <row r="97" spans="25:25">
      <c r="Y97" s="606"/>
    </row>
    <row r="98" spans="25:25">
      <c r="Y98" s="606"/>
    </row>
    <row r="99" spans="25:25">
      <c r="Y99" s="606"/>
    </row>
    <row r="100" spans="25:25">
      <c r="Y100" s="606"/>
    </row>
    <row r="101" spans="25:25">
      <c r="Y101" s="606"/>
    </row>
    <row r="102" spans="25:25">
      <c r="Y102" s="606"/>
    </row>
    <row r="105" spans="25:25">
      <c r="Y105" s="606"/>
    </row>
    <row r="106" spans="25:25">
      <c r="Y106" s="606"/>
    </row>
    <row r="107" spans="25:25">
      <c r="Y107" s="606"/>
    </row>
    <row r="108" spans="25:25">
      <c r="Y108" s="606"/>
    </row>
    <row r="109" spans="25:25">
      <c r="Y109" s="606"/>
    </row>
    <row r="110" spans="25:25">
      <c r="Y110" s="606"/>
    </row>
    <row r="111" spans="25:25">
      <c r="Y111" s="606"/>
    </row>
    <row r="112" spans="25:25">
      <c r="Y112" s="606"/>
    </row>
    <row r="113" spans="25:25">
      <c r="Y113" s="606"/>
    </row>
    <row r="114" spans="25:25">
      <c r="Y114" s="606"/>
    </row>
    <row r="115" spans="25:25">
      <c r="Y115" s="606"/>
    </row>
    <row r="116" spans="25:25">
      <c r="Y116" s="606"/>
    </row>
    <row r="117" spans="25:25">
      <c r="Y117" s="606"/>
    </row>
    <row r="118" spans="25:25">
      <c r="Y118" s="606"/>
    </row>
    <row r="119" spans="25:25">
      <c r="Y119" s="606"/>
    </row>
    <row r="120" spans="25:25">
      <c r="Y120" s="606"/>
    </row>
    <row r="121" spans="25:25">
      <c r="Y121" s="606"/>
    </row>
    <row r="122" spans="25:25">
      <c r="Y122" s="606"/>
    </row>
    <row r="123" spans="25:25">
      <c r="Y123" s="606"/>
    </row>
    <row r="124" spans="25:25">
      <c r="Y124" s="606"/>
    </row>
    <row r="125" spans="25:25">
      <c r="Y125" s="606"/>
    </row>
    <row r="126" spans="25:25">
      <c r="Y126" s="606"/>
    </row>
    <row r="127" spans="25:25">
      <c r="Y127" s="606"/>
    </row>
    <row r="128" spans="25:25">
      <c r="Y128" s="606"/>
    </row>
    <row r="129" spans="25:25">
      <c r="Y129" s="606"/>
    </row>
    <row r="130" spans="25:25">
      <c r="Y130" s="606"/>
    </row>
    <row r="131" spans="25:25">
      <c r="Y131" s="606"/>
    </row>
    <row r="132" spans="25:25">
      <c r="Y132" s="606"/>
    </row>
    <row r="133" spans="25:25">
      <c r="Y133" s="606"/>
    </row>
    <row r="134" spans="25:25">
      <c r="Y134" s="606"/>
    </row>
    <row r="136" spans="25:25">
      <c r="Y136" s="606"/>
    </row>
    <row r="137" spans="25:25">
      <c r="Y137" s="606"/>
    </row>
    <row r="138" spans="25:25">
      <c r="Y138" s="606"/>
    </row>
    <row r="139" spans="25:25">
      <c r="Y139" s="606"/>
    </row>
    <row r="140" spans="25:25">
      <c r="Y140" s="606"/>
    </row>
    <row r="141" spans="25:25">
      <c r="Y141" s="606"/>
    </row>
    <row r="142" spans="25:25">
      <c r="Y142" s="606"/>
    </row>
    <row r="143" spans="25:25">
      <c r="Y143" s="606"/>
    </row>
    <row r="144" spans="25:25">
      <c r="Y144" s="606"/>
    </row>
    <row r="145" spans="25:25">
      <c r="Y145" s="606"/>
    </row>
    <row r="146" spans="25:25">
      <c r="Y146" s="606"/>
    </row>
    <row r="147" spans="25:25">
      <c r="Y147" s="606"/>
    </row>
    <row r="148" spans="25:25">
      <c r="Y148" s="606"/>
    </row>
    <row r="149" spans="25:25">
      <c r="Y149" s="606"/>
    </row>
    <row r="150" spans="25:25">
      <c r="Y150" s="606"/>
    </row>
    <row r="151" spans="25:25">
      <c r="Y151" s="606"/>
    </row>
    <row r="152" spans="25:25">
      <c r="Y152" s="606"/>
    </row>
    <row r="153" spans="25:25">
      <c r="Y153" s="606"/>
    </row>
    <row r="154" spans="25:25">
      <c r="Y154" s="606"/>
    </row>
    <row r="155" spans="25:25">
      <c r="Y155" s="606"/>
    </row>
    <row r="156" spans="25:25">
      <c r="Y156" s="606"/>
    </row>
    <row r="157" spans="25:25">
      <c r="Y157" s="606"/>
    </row>
    <row r="158" spans="25:25">
      <c r="Y158" s="606"/>
    </row>
    <row r="159" spans="25:25">
      <c r="Y159" s="606"/>
    </row>
    <row r="160" spans="25:25">
      <c r="Y160" s="606"/>
    </row>
    <row r="161" spans="25:25">
      <c r="Y161" s="606"/>
    </row>
    <row r="162" spans="25:25">
      <c r="Y162" s="606"/>
    </row>
    <row r="163" spans="25:25">
      <c r="Y163" s="606"/>
    </row>
    <row r="164" spans="25:25">
      <c r="Y164" s="606"/>
    </row>
    <row r="165" spans="25:25">
      <c r="Y165" s="606"/>
    </row>
  </sheetData>
  <phoneticPr fontId="25" type="noConversion"/>
  <printOptions horizontalCentered="1"/>
  <pageMargins left="0.2" right="0.2" top="0.41" bottom="0.35" header="0.17" footer="0.17"/>
  <pageSetup scale="90" orientation="landscape" r:id="rId1"/>
  <headerFooter alignWithMargins="0">
    <oddFooter>&amp;C&amp;A&amp;R&amp;8&amp;F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U83"/>
  <sheetViews>
    <sheetView zoomScaleNormal="100" workbookViewId="0">
      <pane xSplit="2" ySplit="7" topLeftCell="C14" activePane="bottomRight" state="frozen"/>
      <selection activeCell="F32" sqref="F32"/>
      <selection pane="topRight" activeCell="F32" sqref="F32"/>
      <selection pane="bottomLeft" activeCell="F32" sqref="F32"/>
      <selection pane="bottomRight" activeCell="I33" sqref="I33"/>
    </sheetView>
  </sheetViews>
  <sheetFormatPr defaultColWidth="8.83203125" defaultRowHeight="15" outlineLevelCol="1"/>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27" customWidth="1"/>
    <col min="12" max="12" width="12" style="31" hidden="1" customWidth="1" outlineLevel="1"/>
    <col min="13" max="13" width="14.6640625" style="31" hidden="1" customWidth="1" outlineLevel="1"/>
    <col min="14" max="14" width="15.1640625" style="31" hidden="1" customWidth="1" outlineLevel="1"/>
    <col min="15" max="15" width="8.5" style="31" hidden="1" customWidth="1" outlineLevel="1"/>
    <col min="16" max="16" width="2.5" style="31" hidden="1" customWidth="1" outlineLevel="1"/>
    <col min="17" max="17" width="13.5" style="31" bestFit="1" customWidth="1" collapsed="1"/>
    <col min="18" max="18" width="13.5" style="31"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c r="L1" s="58"/>
      <c r="M1" s="58"/>
      <c r="N1" s="58"/>
      <c r="O1" s="58"/>
      <c r="P1" s="58"/>
    </row>
    <row r="2" spans="1:21" s="32" customFormat="1" ht="12.75" customHeight="1">
      <c r="B2" s="66" t="s">
        <v>26</v>
      </c>
      <c r="C2" s="59"/>
      <c r="D2" s="59"/>
      <c r="E2" s="59"/>
      <c r="F2" s="59"/>
      <c r="G2" s="59"/>
      <c r="H2" s="59"/>
      <c r="I2" s="59"/>
      <c r="J2" s="62"/>
      <c r="K2" s="60"/>
      <c r="L2" s="58"/>
      <c r="M2" s="58"/>
      <c r="N2" s="58"/>
      <c r="O2" s="58"/>
      <c r="P2" s="58"/>
    </row>
    <row r="3" spans="1:21" s="32" customFormat="1" ht="12.75" customHeight="1">
      <c r="B3" s="637" t="str">
        <f>'New Format'!B5</f>
        <v>For The 12 Months Ending December 31, 2020</v>
      </c>
      <c r="C3" s="637"/>
      <c r="D3" s="637"/>
      <c r="E3" s="59"/>
      <c r="F3" s="59"/>
      <c r="G3" s="59"/>
      <c r="H3" s="59"/>
      <c r="I3" s="59"/>
      <c r="J3" s="60"/>
      <c r="K3" s="60"/>
      <c r="L3" s="58"/>
      <c r="M3" s="58"/>
      <c r="N3" s="58"/>
      <c r="O3" s="58"/>
      <c r="P3" s="58"/>
    </row>
    <row r="4" spans="1:21" s="32" customFormat="1" ht="12.75" customHeight="1">
      <c r="B4" s="124"/>
      <c r="C4" s="124"/>
      <c r="D4" s="124"/>
      <c r="E4" s="59"/>
      <c r="F4" s="59"/>
      <c r="G4" s="59"/>
      <c r="H4" s="59"/>
      <c r="I4" s="59"/>
      <c r="J4" s="60"/>
      <c r="K4" s="60"/>
      <c r="L4" s="505" t="s">
        <v>229</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s="58"/>
      <c r="M5" s="58"/>
      <c r="N5" s="58"/>
      <c r="O5" s="58"/>
      <c r="P5" s="58"/>
    </row>
    <row r="6" spans="1:21" s="32" customFormat="1" ht="12.75" customHeight="1">
      <c r="A6" s="236">
        <f t="shared" ref="A6:A40" si="0">A5+1</f>
        <v>2</v>
      </c>
      <c r="B6" s="61" t="s">
        <v>2</v>
      </c>
      <c r="C6" s="248" t="s">
        <v>17</v>
      </c>
      <c r="D6" s="249" t="s">
        <v>107</v>
      </c>
      <c r="E6" s="222" t="s">
        <v>143</v>
      </c>
      <c r="F6" s="222" t="s">
        <v>144</v>
      </c>
      <c r="G6" s="222" t="s">
        <v>144</v>
      </c>
      <c r="H6" s="222" t="s">
        <v>70</v>
      </c>
      <c r="I6" s="249" t="s">
        <v>18</v>
      </c>
      <c r="J6" s="60"/>
      <c r="K6" s="60"/>
      <c r="L6" s="504" t="s">
        <v>226</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s="504" t="s">
        <v>227</v>
      </c>
      <c r="M7" s="58"/>
      <c r="N7" s="58"/>
      <c r="O7" s="500">
        <v>40543</v>
      </c>
      <c r="P7" s="58"/>
    </row>
    <row r="8" spans="1:21" s="32" customFormat="1" ht="12.75" customHeight="1">
      <c r="A8" s="236">
        <f t="shared" si="0"/>
        <v>4</v>
      </c>
      <c r="B8" s="115"/>
      <c r="C8" s="116"/>
      <c r="D8" s="116"/>
      <c r="E8" s="116"/>
      <c r="F8" s="116"/>
      <c r="G8" s="116"/>
      <c r="H8" s="299"/>
      <c r="I8" s="65"/>
      <c r="J8" s="117"/>
      <c r="K8" s="235"/>
      <c r="L8" s="501">
        <v>40543</v>
      </c>
      <c r="M8" s="499" t="s">
        <v>223</v>
      </c>
      <c r="N8" s="499" t="s">
        <v>224</v>
      </c>
      <c r="O8" s="499" t="s">
        <v>228</v>
      </c>
      <c r="P8" s="499" t="s">
        <v>225</v>
      </c>
    </row>
    <row r="9" spans="1:21" s="32" customFormat="1" ht="12.75" customHeight="1">
      <c r="A9" s="236">
        <f>A8+1</f>
        <v>5</v>
      </c>
      <c r="B9" s="115">
        <v>0.10249999999999999</v>
      </c>
      <c r="C9" s="116">
        <v>32140</v>
      </c>
      <c r="D9" s="116">
        <v>35779</v>
      </c>
      <c r="E9" s="116">
        <v>35048</v>
      </c>
      <c r="F9" s="116"/>
      <c r="G9" s="116"/>
      <c r="H9" s="299">
        <v>42684</v>
      </c>
      <c r="I9" s="300">
        <v>0</v>
      </c>
      <c r="J9" s="117">
        <v>18900013</v>
      </c>
      <c r="K9" s="235"/>
      <c r="L9" s="498"/>
      <c r="M9" s="503"/>
      <c r="N9" s="503"/>
      <c r="O9" s="502"/>
      <c r="P9" s="503"/>
      <c r="Q9" s="300"/>
      <c r="R9" s="300"/>
      <c r="S9" s="570"/>
    </row>
    <row r="10" spans="1:21" s="32" customFormat="1" ht="12.75" customHeight="1">
      <c r="A10" s="236">
        <f t="shared" si="0"/>
        <v>6</v>
      </c>
      <c r="B10" s="115" t="s">
        <v>124</v>
      </c>
      <c r="C10" s="116">
        <v>35587</v>
      </c>
      <c r="D10" s="116">
        <v>46539</v>
      </c>
      <c r="E10" s="116">
        <v>39234</v>
      </c>
      <c r="F10" s="116" t="s">
        <v>133</v>
      </c>
      <c r="G10" s="116">
        <v>39237</v>
      </c>
      <c r="H10" s="299">
        <v>42887</v>
      </c>
      <c r="I10" s="300">
        <v>0</v>
      </c>
      <c r="J10" s="117">
        <v>18900383</v>
      </c>
      <c r="K10" s="235"/>
      <c r="L10" s="498"/>
      <c r="M10" s="503"/>
      <c r="N10" s="503"/>
      <c r="O10" s="502"/>
      <c r="P10" s="503"/>
      <c r="Q10" s="590"/>
      <c r="R10" s="589"/>
      <c r="S10" s="570"/>
    </row>
    <row r="11" spans="1:21" s="32" customFormat="1" ht="12.75" customHeight="1">
      <c r="A11" s="236">
        <f t="shared" si="0"/>
        <v>7</v>
      </c>
      <c r="B11" s="115" t="s">
        <v>138</v>
      </c>
      <c r="C11" s="116">
        <v>33410</v>
      </c>
      <c r="D11" s="116">
        <v>37063</v>
      </c>
      <c r="E11" s="116">
        <v>35961</v>
      </c>
      <c r="F11" s="116" t="s">
        <v>134</v>
      </c>
      <c r="G11" s="116">
        <v>35961</v>
      </c>
      <c r="H11" s="299">
        <v>43266</v>
      </c>
      <c r="I11" s="300">
        <v>0</v>
      </c>
      <c r="J11" s="117">
        <v>18900243</v>
      </c>
      <c r="K11" s="235"/>
      <c r="L11" s="498"/>
      <c r="M11" s="503"/>
      <c r="N11" s="503"/>
      <c r="O11" s="502"/>
      <c r="P11" s="503"/>
      <c r="Q11" s="300"/>
      <c r="R11" s="589"/>
      <c r="S11" s="570"/>
    </row>
    <row r="12" spans="1:21" s="235" customFormat="1" ht="12.75" customHeight="1">
      <c r="A12" s="236">
        <f t="shared" si="0"/>
        <v>8</v>
      </c>
      <c r="B12" s="301" t="s">
        <v>44</v>
      </c>
      <c r="C12" s="116">
        <v>33616</v>
      </c>
      <c r="D12" s="116">
        <f>DATE(2022,1,12)</f>
        <v>44573</v>
      </c>
      <c r="E12" s="302">
        <v>37701</v>
      </c>
      <c r="F12" s="302"/>
      <c r="G12" s="302"/>
      <c r="H12" s="299">
        <f>DATE(2022,1,12)</f>
        <v>44573</v>
      </c>
      <c r="I12" s="300">
        <v>1141.08</v>
      </c>
      <c r="J12" s="117">
        <v>18900293</v>
      </c>
      <c r="K12" s="626"/>
      <c r="L12" s="498"/>
      <c r="M12" s="618"/>
      <c r="N12" s="618"/>
      <c r="O12" s="619"/>
      <c r="P12" s="618"/>
      <c r="Q12" s="300"/>
      <c r="R12" s="300"/>
      <c r="S12" s="300"/>
      <c r="T12" s="570"/>
      <c r="U12" s="32"/>
    </row>
    <row r="13" spans="1:21" s="235" customFormat="1" ht="12.75" customHeight="1">
      <c r="A13" s="236">
        <f t="shared" si="0"/>
        <v>9</v>
      </c>
      <c r="B13" s="301" t="s">
        <v>45</v>
      </c>
      <c r="C13" s="116">
        <v>33616</v>
      </c>
      <c r="D13" s="116">
        <f>DATE(2022,1,13)</f>
        <v>44574</v>
      </c>
      <c r="E13" s="302">
        <v>37701</v>
      </c>
      <c r="F13" s="302"/>
      <c r="G13" s="302"/>
      <c r="H13" s="299">
        <f>DATE(2022,1,13)</f>
        <v>44574</v>
      </c>
      <c r="I13" s="300">
        <v>2662.56</v>
      </c>
      <c r="J13" s="117">
        <v>18900303</v>
      </c>
      <c r="K13" s="626"/>
      <c r="L13" s="620"/>
      <c r="M13" s="618"/>
      <c r="N13" s="618"/>
      <c r="O13" s="619"/>
      <c r="P13" s="618"/>
      <c r="Q13" s="300"/>
      <c r="R13" s="590"/>
      <c r="S13" s="589"/>
      <c r="T13" s="570"/>
      <c r="U13" s="32"/>
    </row>
    <row r="14" spans="1:21" s="235" customFormat="1" ht="12.75" customHeight="1">
      <c r="A14" s="236">
        <f t="shared" si="0"/>
        <v>10</v>
      </c>
      <c r="B14" s="301" t="s">
        <v>125</v>
      </c>
      <c r="C14" s="116">
        <v>33828</v>
      </c>
      <c r="D14" s="116">
        <v>44785</v>
      </c>
      <c r="E14" s="302">
        <v>37770</v>
      </c>
      <c r="F14" s="302"/>
      <c r="G14" s="302"/>
      <c r="H14" s="299">
        <v>44785</v>
      </c>
      <c r="I14" s="300">
        <v>62485.68</v>
      </c>
      <c r="J14" s="117">
        <v>18900323</v>
      </c>
      <c r="K14" s="626"/>
      <c r="L14" s="620"/>
      <c r="M14" s="618"/>
      <c r="N14" s="618"/>
      <c r="O14" s="619"/>
      <c r="P14" s="618"/>
      <c r="Q14" s="300"/>
      <c r="R14" s="300"/>
      <c r="S14" s="589"/>
      <c r="T14" s="570"/>
      <c r="U14" s="32"/>
    </row>
    <row r="15" spans="1:21" s="235" customFormat="1" ht="12.75" customHeight="1">
      <c r="A15" s="236">
        <f t="shared" si="0"/>
        <v>11</v>
      </c>
      <c r="B15" s="301" t="s">
        <v>146</v>
      </c>
      <c r="C15" s="116">
        <v>34199</v>
      </c>
      <c r="D15" s="116">
        <v>45156</v>
      </c>
      <c r="E15" s="302">
        <v>37851</v>
      </c>
      <c r="H15" s="299">
        <v>45156</v>
      </c>
      <c r="I15" s="300">
        <v>10655.88</v>
      </c>
      <c r="J15" s="117">
        <v>18900353</v>
      </c>
      <c r="K15" s="626"/>
      <c r="L15" s="620"/>
      <c r="M15" s="618"/>
      <c r="N15" s="618"/>
      <c r="O15" s="619"/>
      <c r="P15" s="618"/>
      <c r="Q15" s="300"/>
      <c r="R15" s="300"/>
      <c r="S15" s="589"/>
      <c r="T15" s="570"/>
      <c r="U15" s="32"/>
    </row>
    <row r="16" spans="1:21" s="235" customFormat="1" ht="12.75" customHeight="1">
      <c r="A16" s="236">
        <f t="shared" si="0"/>
        <v>12</v>
      </c>
      <c r="B16" s="115" t="s">
        <v>139</v>
      </c>
      <c r="C16" s="116">
        <v>33161</v>
      </c>
      <c r="D16" s="116">
        <v>35718</v>
      </c>
      <c r="E16" s="116">
        <v>34372</v>
      </c>
      <c r="F16" s="116" t="s">
        <v>135</v>
      </c>
      <c r="G16" s="116">
        <v>34366</v>
      </c>
      <c r="H16" s="299">
        <v>45323</v>
      </c>
      <c r="I16" s="300">
        <v>168880.08</v>
      </c>
      <c r="J16" s="117">
        <v>18900173</v>
      </c>
      <c r="K16" s="626"/>
      <c r="L16" s="498"/>
      <c r="M16" s="618"/>
      <c r="N16" s="618"/>
      <c r="O16" s="619"/>
      <c r="P16" s="618"/>
      <c r="Q16" s="300"/>
      <c r="R16" s="300"/>
      <c r="S16" s="589"/>
      <c r="T16" s="32"/>
      <c r="U16" s="32"/>
    </row>
    <row r="17" spans="1:21" s="235" customFormat="1" ht="12.75" customHeight="1">
      <c r="A17" s="236">
        <f t="shared" si="0"/>
        <v>13</v>
      </c>
      <c r="B17" s="115" t="s">
        <v>123</v>
      </c>
      <c r="C17" s="116">
        <v>35587</v>
      </c>
      <c r="D17" s="116">
        <v>46539</v>
      </c>
      <c r="E17" s="116">
        <v>38504</v>
      </c>
      <c r="F17" s="116"/>
      <c r="G17" s="116"/>
      <c r="H17" s="299">
        <v>46539</v>
      </c>
      <c r="I17" s="300">
        <v>229804.2</v>
      </c>
      <c r="J17" s="117">
        <v>18900193</v>
      </c>
      <c r="K17" s="626"/>
      <c r="L17" s="498"/>
      <c r="M17" s="618"/>
      <c r="N17" s="618"/>
      <c r="O17" s="619"/>
      <c r="P17" s="618"/>
      <c r="Q17" s="300"/>
      <c r="R17" s="300"/>
      <c r="S17" s="589"/>
      <c r="T17" s="32"/>
      <c r="U17" s="32"/>
    </row>
    <row r="18" spans="1:21" s="235" customFormat="1" ht="12.75" customHeight="1">
      <c r="A18" s="236">
        <f t="shared" si="0"/>
        <v>14</v>
      </c>
      <c r="B18" s="301" t="s">
        <v>40</v>
      </c>
      <c r="C18" s="116">
        <v>33457</v>
      </c>
      <c r="D18" s="116">
        <f>DATE(2021,8,1)</f>
        <v>44409</v>
      </c>
      <c r="E18" s="302">
        <v>37691</v>
      </c>
      <c r="F18" s="302" t="s">
        <v>136</v>
      </c>
      <c r="G18" s="302">
        <v>37691</v>
      </c>
      <c r="H18" s="299">
        <v>47908</v>
      </c>
      <c r="I18" s="300">
        <v>45480.480000000003</v>
      </c>
      <c r="J18" s="117">
        <v>18900253</v>
      </c>
      <c r="K18" s="626"/>
      <c r="L18" s="498"/>
      <c r="M18" s="618"/>
      <c r="N18" s="618"/>
      <c r="O18" s="619"/>
      <c r="P18" s="618"/>
      <c r="Q18" s="300"/>
      <c r="R18" s="300"/>
      <c r="S18" s="589"/>
      <c r="T18" s="32"/>
      <c r="U18" s="32"/>
    </row>
    <row r="19" spans="1:21" s="235" customFormat="1" ht="12.75" customHeight="1">
      <c r="A19" s="236">
        <f t="shared" si="0"/>
        <v>15</v>
      </c>
      <c r="B19" s="301" t="s">
        <v>41</v>
      </c>
      <c r="C19" s="116">
        <v>33457</v>
      </c>
      <c r="D19" s="116">
        <f>DATE(2021,8,1)</f>
        <v>44409</v>
      </c>
      <c r="E19" s="302">
        <v>37691</v>
      </c>
      <c r="F19" s="302" t="s">
        <v>136</v>
      </c>
      <c r="G19" s="302">
        <v>37691</v>
      </c>
      <c r="H19" s="299">
        <v>47908</v>
      </c>
      <c r="I19" s="300">
        <v>34561.440000000002</v>
      </c>
      <c r="J19" s="117">
        <v>18900263</v>
      </c>
      <c r="K19" s="626"/>
      <c r="L19" s="498"/>
      <c r="M19" s="618"/>
      <c r="N19" s="618"/>
      <c r="O19" s="619"/>
      <c r="P19" s="618"/>
      <c r="Q19" s="300"/>
      <c r="R19" s="300"/>
      <c r="S19" s="589"/>
      <c r="T19" s="32"/>
      <c r="U19" s="32"/>
    </row>
    <row r="20" spans="1:21" s="235" customFormat="1" ht="12.75" customHeight="1">
      <c r="A20" s="236">
        <f t="shared" si="0"/>
        <v>16</v>
      </c>
      <c r="B20" s="301" t="s">
        <v>42</v>
      </c>
      <c r="C20" s="116">
        <v>33664</v>
      </c>
      <c r="D20" s="116">
        <f>DATE(2022,3,1)</f>
        <v>44621</v>
      </c>
      <c r="E20" s="302">
        <v>37691</v>
      </c>
      <c r="F20" s="302" t="s">
        <v>136</v>
      </c>
      <c r="G20" s="302">
        <v>37691</v>
      </c>
      <c r="H20" s="299">
        <v>47908</v>
      </c>
      <c r="I20" s="300">
        <v>105825.48</v>
      </c>
      <c r="J20" s="117">
        <v>18900273</v>
      </c>
      <c r="K20" s="626"/>
      <c r="L20" s="498"/>
      <c r="M20" s="618"/>
      <c r="N20" s="618"/>
      <c r="O20" s="619"/>
      <c r="P20" s="618"/>
      <c r="Q20" s="300"/>
      <c r="R20" s="300"/>
      <c r="S20" s="589"/>
      <c r="T20" s="32"/>
      <c r="U20" s="32"/>
    </row>
    <row r="21" spans="1:21" s="235" customFormat="1" ht="12.75" customHeight="1">
      <c r="A21" s="236">
        <f t="shared" si="0"/>
        <v>17</v>
      </c>
      <c r="B21" s="301" t="s">
        <v>43</v>
      </c>
      <c r="C21" s="116">
        <v>33664</v>
      </c>
      <c r="D21" s="116">
        <f>DATE(2022,3,1)</f>
        <v>44621</v>
      </c>
      <c r="E21" s="302">
        <v>37691</v>
      </c>
      <c r="F21" s="302" t="s">
        <v>136</v>
      </c>
      <c r="G21" s="302">
        <v>37691</v>
      </c>
      <c r="H21" s="299">
        <v>47908</v>
      </c>
      <c r="I21" s="300">
        <v>32297.759999999998</v>
      </c>
      <c r="J21" s="117">
        <v>18900283</v>
      </c>
      <c r="K21" s="626"/>
      <c r="L21" s="498"/>
      <c r="M21" s="618"/>
      <c r="N21" s="618"/>
      <c r="O21" s="619"/>
      <c r="P21" s="618"/>
      <c r="Q21" s="300"/>
      <c r="R21" s="300"/>
    </row>
    <row r="22" spans="1:21" s="235" customFormat="1" ht="12.75" customHeight="1">
      <c r="A22" s="236">
        <f t="shared" si="0"/>
        <v>18</v>
      </c>
      <c r="B22" s="301" t="s">
        <v>265</v>
      </c>
      <c r="C22" s="116">
        <v>37691</v>
      </c>
      <c r="D22" s="116">
        <v>47908</v>
      </c>
      <c r="E22" s="302">
        <v>41449</v>
      </c>
      <c r="F22" s="302" t="s">
        <v>266</v>
      </c>
      <c r="G22" s="302">
        <v>41417</v>
      </c>
      <c r="H22" s="299">
        <v>47908</v>
      </c>
      <c r="I22" s="300">
        <v>299128.68</v>
      </c>
      <c r="J22" s="117">
        <v>18900433</v>
      </c>
      <c r="K22" s="626"/>
      <c r="L22" s="498"/>
      <c r="M22" s="618"/>
      <c r="N22" s="618"/>
      <c r="O22" s="619"/>
      <c r="P22" s="618"/>
      <c r="Q22" s="300"/>
      <c r="R22" s="300"/>
    </row>
    <row r="23" spans="1:21" s="235" customFormat="1" ht="12.75" customHeight="1">
      <c r="A23" s="236">
        <f t="shared" si="0"/>
        <v>19</v>
      </c>
      <c r="B23" s="301" t="s">
        <v>265</v>
      </c>
      <c r="C23" s="116">
        <v>37691</v>
      </c>
      <c r="D23" s="116">
        <v>47908</v>
      </c>
      <c r="E23" s="302">
        <v>41449</v>
      </c>
      <c r="F23" s="302" t="s">
        <v>266</v>
      </c>
      <c r="G23" s="302">
        <v>41417</v>
      </c>
      <c r="H23" s="299">
        <v>47908</v>
      </c>
      <c r="I23" s="300">
        <v>50553.24</v>
      </c>
      <c r="J23" s="117">
        <v>18900533</v>
      </c>
      <c r="K23" s="626"/>
      <c r="L23" s="498"/>
      <c r="M23" s="618"/>
      <c r="N23" s="618"/>
      <c r="O23" s="619"/>
      <c r="P23" s="618"/>
      <c r="Q23" s="300"/>
      <c r="R23" s="300"/>
    </row>
    <row r="24" spans="1:21" s="235" customFormat="1" ht="12.75" customHeight="1">
      <c r="A24" s="236">
        <f>A23+1</f>
        <v>20</v>
      </c>
      <c r="B24" s="115" t="s">
        <v>101</v>
      </c>
      <c r="C24" s="116">
        <v>38183</v>
      </c>
      <c r="D24" s="116">
        <v>38913</v>
      </c>
      <c r="E24" s="116">
        <v>38499</v>
      </c>
      <c r="F24" s="116" t="s">
        <v>102</v>
      </c>
      <c r="G24" s="116">
        <v>38499</v>
      </c>
      <c r="H24" s="299">
        <v>49456</v>
      </c>
      <c r="I24" s="300">
        <f>17086.56</f>
        <v>17086.560000000001</v>
      </c>
      <c r="J24" s="117">
        <v>18900183</v>
      </c>
      <c r="K24" s="626"/>
      <c r="L24" s="498"/>
      <c r="M24" s="618"/>
      <c r="N24" s="618"/>
      <c r="O24" s="619"/>
      <c r="P24" s="618"/>
      <c r="Q24" s="300"/>
      <c r="R24" s="300"/>
    </row>
    <row r="25" spans="1:21" s="235" customFormat="1" ht="12.75" customHeight="1">
      <c r="A25" s="236">
        <f t="shared" si="0"/>
        <v>21</v>
      </c>
      <c r="B25" s="115" t="s">
        <v>29</v>
      </c>
      <c r="C25" s="116">
        <v>37035</v>
      </c>
      <c r="D25" s="116">
        <v>51682</v>
      </c>
      <c r="E25" s="116">
        <v>38898</v>
      </c>
      <c r="F25" s="116" t="s">
        <v>137</v>
      </c>
      <c r="G25" s="116">
        <v>38898</v>
      </c>
      <c r="H25" s="299">
        <v>49841</v>
      </c>
      <c r="I25" s="300">
        <f>(16418.45*12)</f>
        <v>197021.40000000002</v>
      </c>
      <c r="J25" s="117">
        <v>18900373</v>
      </c>
      <c r="K25" s="626"/>
      <c r="L25" s="498"/>
      <c r="M25" s="618"/>
      <c r="N25" s="618"/>
      <c r="O25" s="619"/>
      <c r="P25" s="618"/>
      <c r="Q25" s="300"/>
      <c r="R25" s="300"/>
    </row>
    <row r="26" spans="1:21" s="235" customFormat="1" ht="12.75" customHeight="1">
      <c r="A26" s="236">
        <f t="shared" si="0"/>
        <v>22</v>
      </c>
      <c r="B26" s="115" t="s">
        <v>257</v>
      </c>
      <c r="C26" s="116">
        <v>33117</v>
      </c>
      <c r="D26" s="116">
        <v>44075</v>
      </c>
      <c r="E26" s="116">
        <v>40900</v>
      </c>
      <c r="F26" s="116" t="s">
        <v>258</v>
      </c>
      <c r="G26" s="116">
        <v>40869</v>
      </c>
      <c r="H26" s="299">
        <v>55472</v>
      </c>
      <c r="I26" s="300">
        <v>400518.84</v>
      </c>
      <c r="J26" s="117">
        <v>18900393</v>
      </c>
      <c r="K26" s="626"/>
      <c r="L26" s="498"/>
      <c r="M26" s="619"/>
      <c r="N26" s="619"/>
      <c r="O26" s="619"/>
      <c r="P26" s="619"/>
      <c r="Q26" s="300"/>
      <c r="R26" s="300"/>
    </row>
    <row r="27" spans="1:21" s="235" customFormat="1" ht="12.75" customHeight="1">
      <c r="A27" s="236">
        <f t="shared" si="0"/>
        <v>23</v>
      </c>
      <c r="B27" s="115" t="s">
        <v>297</v>
      </c>
      <c r="C27" s="116">
        <v>38637</v>
      </c>
      <c r="D27" s="116">
        <v>42278</v>
      </c>
      <c r="E27" s="116">
        <v>42160</v>
      </c>
      <c r="F27" s="116" t="s">
        <v>299</v>
      </c>
      <c r="G27" s="116">
        <v>42150</v>
      </c>
      <c r="H27" s="299">
        <v>53102</v>
      </c>
      <c r="I27" s="300">
        <v>82302.48</v>
      </c>
      <c r="J27" s="117">
        <v>18900203</v>
      </c>
      <c r="K27" s="626"/>
      <c r="L27" s="498"/>
      <c r="M27" s="619"/>
      <c r="N27" s="619"/>
      <c r="O27" s="619"/>
      <c r="P27" s="619"/>
      <c r="Q27" s="300"/>
      <c r="R27" s="300"/>
    </row>
    <row r="28" spans="1:21" s="235" customFormat="1" ht="12.75" customHeight="1">
      <c r="A28" s="236">
        <f t="shared" si="0"/>
        <v>24</v>
      </c>
      <c r="B28" s="115" t="s">
        <v>298</v>
      </c>
      <c r="C28" s="116">
        <v>39836</v>
      </c>
      <c r="D28" s="116">
        <v>42384</v>
      </c>
      <c r="E28" s="116">
        <v>42160</v>
      </c>
      <c r="F28" s="116" t="s">
        <v>299</v>
      </c>
      <c r="G28" s="116">
        <v>42150</v>
      </c>
      <c r="H28" s="299">
        <v>53102</v>
      </c>
      <c r="I28" s="300">
        <v>316649.76</v>
      </c>
      <c r="J28" s="117">
        <v>18900213</v>
      </c>
      <c r="K28" s="626"/>
      <c r="L28" s="498"/>
      <c r="M28" s="619"/>
      <c r="N28" s="619"/>
      <c r="O28" s="619"/>
      <c r="P28" s="619"/>
      <c r="Q28" s="300"/>
      <c r="R28" s="300"/>
    </row>
    <row r="29" spans="1:21" s="235" customFormat="1" ht="12.75" customHeight="1">
      <c r="A29" s="236">
        <f t="shared" si="0"/>
        <v>25</v>
      </c>
      <c r="B29" s="115" t="s">
        <v>122</v>
      </c>
      <c r="C29" s="116">
        <v>39237</v>
      </c>
      <c r="D29" s="116">
        <v>24624</v>
      </c>
      <c r="E29" s="116">
        <v>43217</v>
      </c>
      <c r="F29" s="116"/>
      <c r="G29" s="116"/>
      <c r="H29" s="299">
        <v>61149</v>
      </c>
      <c r="I29" s="300">
        <v>100652.64</v>
      </c>
      <c r="J29" s="117">
        <v>18900233</v>
      </c>
      <c r="K29" s="626"/>
      <c r="L29" s="498"/>
      <c r="M29" s="619"/>
      <c r="N29" s="619"/>
      <c r="O29" s="619"/>
      <c r="P29" s="619"/>
      <c r="Q29" s="300"/>
      <c r="R29" s="300"/>
    </row>
    <row r="30" spans="1:21" s="32" customFormat="1" ht="12.75" customHeight="1">
      <c r="A30" s="236">
        <f t="shared" si="0"/>
        <v>26</v>
      </c>
      <c r="B30" s="115"/>
      <c r="C30" s="116"/>
      <c r="D30" s="116"/>
      <c r="E30" s="116"/>
      <c r="F30" s="116"/>
      <c r="G30" s="116"/>
      <c r="H30" s="299"/>
      <c r="I30" s="303"/>
      <c r="J30" s="304"/>
      <c r="K30" s="235"/>
    </row>
    <row r="31" spans="1:21" s="32" customFormat="1" ht="15" customHeight="1" thickBot="1">
      <c r="A31" s="236">
        <f t="shared" si="0"/>
        <v>27</v>
      </c>
      <c r="B31" s="113" t="s">
        <v>28</v>
      </c>
      <c r="C31" s="118"/>
      <c r="D31" s="118"/>
      <c r="E31" s="118"/>
      <c r="F31" s="118"/>
      <c r="G31" s="118"/>
      <c r="H31" s="118"/>
      <c r="I31" s="305">
        <f>SUM(I8:I30)</f>
        <v>2157708.2400000002</v>
      </c>
      <c r="J31" s="120"/>
      <c r="K31" s="235"/>
    </row>
    <row r="32" spans="1:21" s="32" customFormat="1" ht="12.75" customHeight="1" thickTop="1">
      <c r="A32" s="236">
        <f t="shared" si="0"/>
        <v>28</v>
      </c>
      <c r="B32" s="121"/>
      <c r="C32" s="122"/>
      <c r="D32" s="122"/>
      <c r="E32" s="122"/>
      <c r="F32" s="122"/>
      <c r="G32" s="122"/>
      <c r="H32" s="122"/>
      <c r="I32" s="65"/>
      <c r="J32" s="119"/>
      <c r="K32" s="235"/>
    </row>
    <row r="33" spans="1:11" s="32" customFormat="1" ht="12.75" customHeight="1">
      <c r="A33" s="236">
        <f t="shared" si="0"/>
        <v>29</v>
      </c>
      <c r="B33" s="121" t="s">
        <v>309</v>
      </c>
      <c r="C33" s="122"/>
      <c r="D33" s="122"/>
      <c r="E33" s="122"/>
      <c r="F33" s="122"/>
      <c r="G33" s="122"/>
      <c r="H33" s="122"/>
      <c r="I33" s="300">
        <f>'New Format'!C30</f>
        <v>8801662440</v>
      </c>
      <c r="J33" s="119"/>
      <c r="K33" s="235"/>
    </row>
    <row r="34" spans="1:11" s="32" customFormat="1" ht="12.75" customHeight="1">
      <c r="A34" s="236">
        <f t="shared" si="0"/>
        <v>30</v>
      </c>
      <c r="B34" s="121"/>
      <c r="C34" s="122"/>
      <c r="D34" s="122"/>
      <c r="E34" s="122"/>
      <c r="F34" s="122"/>
      <c r="G34" s="122"/>
      <c r="H34" s="122"/>
      <c r="I34" s="65"/>
      <c r="J34" s="119"/>
      <c r="K34" s="235"/>
    </row>
    <row r="35" spans="1:11" s="32" customFormat="1" ht="12.75" customHeight="1">
      <c r="A35" s="236">
        <f t="shared" si="0"/>
        <v>31</v>
      </c>
      <c r="B35" s="121" t="s">
        <v>312</v>
      </c>
      <c r="C35" s="122"/>
      <c r="D35" s="122"/>
      <c r="E35" s="122"/>
      <c r="F35" s="122"/>
      <c r="G35" s="122"/>
      <c r="H35" s="122"/>
      <c r="I35" s="583">
        <f>ROUND(I31/I33,4)</f>
        <v>2.0000000000000001E-4</v>
      </c>
      <c r="J35" s="599"/>
      <c r="K35" s="235"/>
    </row>
    <row r="36" spans="1:11" s="32" customFormat="1" ht="12.75" customHeight="1">
      <c r="A36" s="236">
        <f t="shared" si="0"/>
        <v>32</v>
      </c>
      <c r="B36" s="121"/>
      <c r="C36" s="122"/>
      <c r="D36" s="122"/>
      <c r="E36" s="122"/>
      <c r="F36" s="122"/>
      <c r="G36" s="122"/>
      <c r="H36" s="122"/>
      <c r="I36" s="65"/>
      <c r="J36" s="119"/>
      <c r="K36" s="235"/>
    </row>
    <row r="37" spans="1:11" s="32" customFormat="1" ht="12.75" customHeight="1">
      <c r="A37" s="236">
        <f t="shared" si="0"/>
        <v>33</v>
      </c>
      <c r="C37" s="58"/>
      <c r="D37" s="58"/>
      <c r="E37" s="58"/>
      <c r="F37" s="58"/>
      <c r="G37" s="58"/>
      <c r="H37" s="149"/>
      <c r="I37" s="65"/>
      <c r="J37" s="119"/>
      <c r="K37" s="235"/>
    </row>
    <row r="38" spans="1:11" s="32" customFormat="1" ht="12.75" customHeight="1">
      <c r="A38" s="236">
        <f t="shared" si="0"/>
        <v>34</v>
      </c>
      <c r="B38" s="234"/>
      <c r="C38" s="235"/>
      <c r="D38" s="235"/>
      <c r="E38" s="235"/>
      <c r="F38" s="235"/>
      <c r="H38" s="33"/>
      <c r="I38" s="65"/>
      <c r="K38" s="235"/>
    </row>
    <row r="39" spans="1:11" s="32" customFormat="1" ht="12.75" customHeight="1">
      <c r="A39" s="236">
        <f t="shared" si="0"/>
        <v>35</v>
      </c>
      <c r="B39" s="58" t="s">
        <v>141</v>
      </c>
      <c r="H39" s="33"/>
      <c r="I39" s="65"/>
      <c r="J39" s="117"/>
      <c r="K39" s="235"/>
    </row>
    <row r="40" spans="1:11" s="32" customFormat="1" ht="12.75" customHeight="1">
      <c r="A40" s="236">
        <f t="shared" si="0"/>
        <v>36</v>
      </c>
      <c r="B40" s="265" t="s">
        <v>140</v>
      </c>
      <c r="H40" s="33"/>
      <c r="I40" s="33"/>
      <c r="K40" s="235"/>
    </row>
    <row r="41" spans="1:11" s="32" customFormat="1" ht="12.75" customHeight="1">
      <c r="A41" s="237"/>
      <c r="H41" s="33"/>
      <c r="I41" s="33"/>
      <c r="K41" s="235"/>
    </row>
    <row r="42" spans="1:11" s="32" customFormat="1" ht="12.75" customHeight="1">
      <c r="H42" s="33"/>
      <c r="I42" s="33"/>
      <c r="K42" s="235"/>
    </row>
    <row r="43" spans="1:11" s="32" customFormat="1" ht="12.75" customHeight="1">
      <c r="H43" s="33"/>
      <c r="I43" s="224"/>
      <c r="K43" s="235"/>
    </row>
    <row r="44" spans="1:11" s="32" customFormat="1" ht="12.75" customHeight="1">
      <c r="H44" s="33"/>
      <c r="I44" s="33"/>
      <c r="K44" s="235"/>
    </row>
    <row r="45" spans="1:11" s="32" customFormat="1" ht="12.75" customHeight="1">
      <c r="H45" s="33"/>
      <c r="I45" s="33"/>
      <c r="K45" s="235"/>
    </row>
    <row r="46" spans="1:11" s="32" customFormat="1" ht="12.75" customHeight="1">
      <c r="H46" s="33"/>
      <c r="I46" s="33"/>
      <c r="K46" s="235"/>
    </row>
    <row r="47" spans="1:11" s="32" customFormat="1" ht="12.75" customHeight="1">
      <c r="H47" s="33"/>
      <c r="I47" s="33"/>
      <c r="K47" s="235"/>
    </row>
    <row r="48" spans="1:11" s="32" customFormat="1" ht="12.75" customHeight="1">
      <c r="H48" s="33"/>
      <c r="I48" s="33"/>
      <c r="K48" s="235"/>
    </row>
    <row r="49" spans="8:11" s="32" customFormat="1" ht="12.75" customHeight="1">
      <c r="H49" s="33"/>
      <c r="I49" s="33"/>
      <c r="K49" s="235"/>
    </row>
    <row r="50" spans="8:11" s="32" customFormat="1" ht="12.75" customHeight="1">
      <c r="H50" s="33"/>
      <c r="I50" s="33"/>
      <c r="K50" s="235"/>
    </row>
    <row r="51" spans="8:11" s="32" customFormat="1" ht="12.75" customHeight="1">
      <c r="H51" s="33"/>
      <c r="I51" s="33"/>
      <c r="K51" s="235"/>
    </row>
    <row r="52" spans="8:11" s="32" customFormat="1" ht="12.75" customHeight="1">
      <c r="K52" s="235"/>
    </row>
    <row r="53" spans="8:11" s="32" customFormat="1" ht="12.75" customHeight="1">
      <c r="K53" s="235"/>
    </row>
    <row r="54" spans="8:11" s="32" customFormat="1" ht="12.75" customHeight="1">
      <c r="K54" s="235"/>
    </row>
    <row r="55" spans="8:11" s="32" customFormat="1" ht="12.75" customHeight="1">
      <c r="K55" s="235"/>
    </row>
    <row r="56" spans="8:11" s="32" customFormat="1" ht="12.75" customHeight="1">
      <c r="K56" s="235"/>
    </row>
    <row r="57" spans="8:11" s="32" customFormat="1" ht="12.75" customHeight="1">
      <c r="K57" s="235"/>
    </row>
    <row r="58" spans="8:11" s="32" customFormat="1" ht="12.75" customHeight="1">
      <c r="K58" s="235"/>
    </row>
    <row r="59" spans="8:11" s="32" customFormat="1" ht="15.75">
      <c r="K59" s="235"/>
    </row>
    <row r="60" spans="8:11" s="32" customFormat="1" ht="15.75">
      <c r="K60" s="235"/>
    </row>
    <row r="61" spans="8:11" s="32" customFormat="1" ht="15.75">
      <c r="K61" s="235"/>
    </row>
    <row r="62" spans="8:11" s="32" customFormat="1" ht="15.75">
      <c r="K62" s="235"/>
    </row>
    <row r="63" spans="8:11" s="32" customFormat="1" ht="15.75">
      <c r="K63" s="235"/>
    </row>
    <row r="64" spans="8:11" s="32" customFormat="1" ht="15.75">
      <c r="K64" s="235"/>
    </row>
    <row r="65" spans="11:11" s="32" customFormat="1" ht="15.75">
      <c r="K65" s="235"/>
    </row>
    <row r="66" spans="11:11" s="32" customFormat="1" ht="15.75">
      <c r="K66" s="235"/>
    </row>
    <row r="67" spans="11:11" s="32" customFormat="1" ht="15.75">
      <c r="K67" s="235"/>
    </row>
    <row r="68" spans="11:11" s="32" customFormat="1" ht="15.75">
      <c r="K68" s="235"/>
    </row>
    <row r="69" spans="11:11" s="32" customFormat="1" ht="15.75">
      <c r="K69" s="235"/>
    </row>
    <row r="70" spans="11:11" s="32" customFormat="1" ht="15.75">
      <c r="K70" s="235"/>
    </row>
    <row r="71" spans="11:11" s="32" customFormat="1" ht="15.75">
      <c r="K71" s="235"/>
    </row>
    <row r="72" spans="11:11" s="32" customFormat="1" ht="15.75">
      <c r="K72" s="235"/>
    </row>
    <row r="73" spans="11:11" s="32" customFormat="1" ht="15.75">
      <c r="K73" s="235"/>
    </row>
    <row r="74" spans="11:11" s="32" customFormat="1" ht="15.75">
      <c r="K74" s="235"/>
    </row>
    <row r="75" spans="11:11" s="32" customFormat="1" ht="15.75">
      <c r="K75" s="235"/>
    </row>
    <row r="76" spans="11:11" s="32" customFormat="1" ht="15.75">
      <c r="K76" s="235"/>
    </row>
    <row r="77" spans="11:11" s="32" customFormat="1" ht="15.75">
      <c r="K77" s="235"/>
    </row>
    <row r="78" spans="11:11" s="32" customFormat="1" ht="15.75">
      <c r="K78" s="235"/>
    </row>
    <row r="79" spans="11:11" s="32" customFormat="1" ht="15.75">
      <c r="K79" s="235"/>
    </row>
    <row r="80" spans="11:11" s="32" customFormat="1" ht="15.75">
      <c r="K80" s="235"/>
    </row>
    <row r="81" spans="11:11" s="32" customFormat="1" ht="15.75">
      <c r="K81" s="235"/>
    </row>
    <row r="82" spans="11:11" s="32" customFormat="1" ht="15.75">
      <c r="K82" s="235"/>
    </row>
    <row r="83" spans="11:11" s="32" customFormat="1" ht="15.75">
      <c r="K83" s="235"/>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&amp;C&amp;A&amp;R&amp;7&amp;F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2" t="s">
        <v>199</v>
      </c>
    </row>
    <row r="5" spans="1:26" ht="33.75">
      <c r="A5" s="361">
        <v>1</v>
      </c>
      <c r="B5" s="362" t="s">
        <v>127</v>
      </c>
      <c r="C5" s="362" t="s">
        <v>100</v>
      </c>
      <c r="D5" s="362" t="s">
        <v>57</v>
      </c>
      <c r="E5" s="362" t="s">
        <v>104</v>
      </c>
      <c r="F5" s="362" t="s">
        <v>117</v>
      </c>
      <c r="G5" s="362" t="s">
        <v>301</v>
      </c>
      <c r="H5" s="362" t="s">
        <v>302</v>
      </c>
      <c r="I5" s="362" t="s">
        <v>80</v>
      </c>
      <c r="J5" s="363" t="e">
        <f>'Pg 2 CapStructure'!#REF!</f>
        <v>#REF!</v>
      </c>
      <c r="K5" s="363" t="e">
        <f>'Pg 2 CapStructure'!#REF!</f>
        <v>#REF!</v>
      </c>
      <c r="L5" s="363" t="e">
        <f>'Pg 2 CapStructure'!#REF!</f>
        <v>#REF!</v>
      </c>
      <c r="M5" s="363">
        <f>'Pg 2 CapStructure'!C6</f>
        <v>43830</v>
      </c>
      <c r="N5" s="363">
        <f>'Pg 2 CapStructure'!D6</f>
        <v>43861</v>
      </c>
      <c r="O5" s="363">
        <f>'Pg 2 CapStructure'!E6</f>
        <v>43890</v>
      </c>
      <c r="P5" s="363">
        <f>'Pg 2 CapStructure'!F6</f>
        <v>43921</v>
      </c>
      <c r="Q5" s="363">
        <f>'Pg 2 CapStructure'!G6</f>
        <v>43951</v>
      </c>
      <c r="R5" s="363">
        <f>'Pg 2 CapStructure'!H6</f>
        <v>43982</v>
      </c>
      <c r="S5" s="363">
        <f>'Pg 2 CapStructure'!I6</f>
        <v>44012</v>
      </c>
      <c r="T5" s="363">
        <f>'Pg 2 CapStructure'!J6</f>
        <v>44043</v>
      </c>
      <c r="U5" s="363">
        <f>'Pg 2 CapStructure'!K6</f>
        <v>44074</v>
      </c>
      <c r="V5" s="363">
        <f>'Pg 2 CapStructure'!L6</f>
        <v>44104</v>
      </c>
      <c r="Y5" s="473" t="s">
        <v>38</v>
      </c>
      <c r="Z5" s="473" t="s">
        <v>200</v>
      </c>
    </row>
    <row r="6" spans="1:26">
      <c r="A6" s="133">
        <v>2</v>
      </c>
      <c r="B6" s="137" t="s">
        <v>23</v>
      </c>
      <c r="C6" s="282">
        <v>7.3499999999999996E-2</v>
      </c>
      <c r="D6" s="283">
        <v>34953</v>
      </c>
      <c r="E6" s="283">
        <v>42258</v>
      </c>
      <c r="F6" s="272">
        <f t="shared" ref="F6:F27" si="0">ROUND(((+J6+V6)+(SUM(K6:U6)*2))/24,0)</f>
        <v>7083333</v>
      </c>
      <c r="G6" s="284">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2">
        <v>7.3599999999999999E-2</v>
      </c>
      <c r="D7" s="283">
        <v>34953</v>
      </c>
      <c r="E7" s="283">
        <v>42262</v>
      </c>
      <c r="F7" s="272">
        <f t="shared" si="0"/>
        <v>1416667</v>
      </c>
      <c r="G7" s="284">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2">
        <v>5.1970000000000002E-2</v>
      </c>
      <c r="D8" s="283">
        <v>38637</v>
      </c>
      <c r="E8" s="283">
        <v>42278</v>
      </c>
      <c r="F8" s="272">
        <f t="shared" si="0"/>
        <v>68750000</v>
      </c>
      <c r="G8" s="284">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2">
        <v>6.7500000000000004E-2</v>
      </c>
      <c r="D9" s="283">
        <v>39836</v>
      </c>
      <c r="E9" s="283">
        <v>42384</v>
      </c>
      <c r="F9" s="272">
        <f t="shared" si="0"/>
        <v>114583333</v>
      </c>
      <c r="G9" s="284">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2">
        <v>6.7400000000000002E-2</v>
      </c>
      <c r="D10" s="283">
        <v>35961</v>
      </c>
      <c r="E10" s="283">
        <v>43266</v>
      </c>
      <c r="F10" s="272">
        <f t="shared" si="0"/>
        <v>200000000</v>
      </c>
      <c r="G10" s="284">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2">
        <v>7.1499999999999994E-2</v>
      </c>
      <c r="D11" s="283">
        <v>35053</v>
      </c>
      <c r="E11" s="283">
        <v>46010</v>
      </c>
      <c r="F11" s="272">
        <f t="shared" si="0"/>
        <v>15000000</v>
      </c>
      <c r="G11" s="284">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2">
        <v>7.1999999999999995E-2</v>
      </c>
      <c r="D12" s="283">
        <v>35054</v>
      </c>
      <c r="E12" s="283">
        <v>46013</v>
      </c>
      <c r="F12" s="272">
        <f t="shared" si="0"/>
        <v>2000000</v>
      </c>
      <c r="G12" s="284">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2">
        <v>7.0199999999999999E-2</v>
      </c>
      <c r="D13" s="283">
        <v>35786</v>
      </c>
      <c r="E13" s="283">
        <v>46722</v>
      </c>
      <c r="F13" s="272">
        <f t="shared" si="0"/>
        <v>300000000</v>
      </c>
      <c r="G13" s="284">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2">
        <v>7.0000000000000007E-2</v>
      </c>
      <c r="D14" s="283">
        <v>36228</v>
      </c>
      <c r="E14" s="283">
        <v>47186</v>
      </c>
      <c r="F14" s="272">
        <f t="shared" si="0"/>
        <v>100000000</v>
      </c>
      <c r="G14" s="284">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5" t="s">
        <v>24</v>
      </c>
      <c r="C15" s="282">
        <v>3.9E-2</v>
      </c>
      <c r="D15" s="286">
        <v>41417</v>
      </c>
      <c r="E15" s="287">
        <v>47908</v>
      </c>
      <c r="F15" s="272">
        <f t="shared" si="0"/>
        <v>138460000</v>
      </c>
      <c r="G15" s="284">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5" t="s">
        <v>24</v>
      </c>
      <c r="C16" s="282">
        <v>0.04</v>
      </c>
      <c r="D16" s="286">
        <v>41417</v>
      </c>
      <c r="E16" s="287">
        <v>47908</v>
      </c>
      <c r="F16" s="272">
        <f t="shared" si="0"/>
        <v>23400000</v>
      </c>
      <c r="G16" s="284">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2">
        <v>5.4829999999999997E-2</v>
      </c>
      <c r="D17" s="283">
        <v>38499</v>
      </c>
      <c r="E17" s="283">
        <v>49461</v>
      </c>
      <c r="F17" s="272">
        <f t="shared" si="0"/>
        <v>250000000</v>
      </c>
      <c r="G17" s="284">
        <v>100</v>
      </c>
      <c r="H17" s="182">
        <f t="shared" si="1"/>
        <v>5.4800000000000001E-2</v>
      </c>
      <c r="I17" s="275">
        <f t="shared" si="2"/>
        <v>13700000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Y17" s="272">
        <f t="shared" si="3"/>
        <v>13700000</v>
      </c>
    </row>
    <row r="18" spans="1:26">
      <c r="A18" s="133">
        <f t="shared" si="4"/>
        <v>14</v>
      </c>
      <c r="B18" s="137" t="s">
        <v>95</v>
      </c>
      <c r="C18" s="282">
        <v>6.7239999999999994E-2</v>
      </c>
      <c r="D18" s="283">
        <v>38898</v>
      </c>
      <c r="E18" s="283">
        <v>49841</v>
      </c>
      <c r="F18" s="272">
        <f t="shared" si="0"/>
        <v>250000000</v>
      </c>
      <c r="G18" s="284">
        <v>100</v>
      </c>
      <c r="H18" s="182">
        <f t="shared" si="1"/>
        <v>6.7199999999999996E-2</v>
      </c>
      <c r="I18" s="275">
        <f t="shared" si="2"/>
        <v>16800000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V18" s="275">
        <v>250000000</v>
      </c>
      <c r="Y18" s="272">
        <f t="shared" si="3"/>
        <v>16800000</v>
      </c>
    </row>
    <row r="19" spans="1:26">
      <c r="A19" s="133">
        <f t="shared" si="4"/>
        <v>15</v>
      </c>
      <c r="B19" s="137" t="s">
        <v>95</v>
      </c>
      <c r="C19" s="282">
        <v>6.2740000000000004E-2</v>
      </c>
      <c r="D19" s="283">
        <v>38978</v>
      </c>
      <c r="E19" s="283">
        <v>50114</v>
      </c>
      <c r="F19" s="272">
        <f t="shared" si="0"/>
        <v>300000000</v>
      </c>
      <c r="G19" s="284">
        <v>100</v>
      </c>
      <c r="H19" s="182">
        <f t="shared" si="1"/>
        <v>6.2700000000000006E-2</v>
      </c>
      <c r="I19" s="275">
        <f t="shared" si="2"/>
        <v>18810000</v>
      </c>
      <c r="J19" s="275">
        <v>300000000</v>
      </c>
      <c r="K19" s="275">
        <v>300000000</v>
      </c>
      <c r="L19" s="275">
        <v>300000000</v>
      </c>
      <c r="M19" s="275">
        <v>300000000</v>
      </c>
      <c r="N19" s="275">
        <v>300000000</v>
      </c>
      <c r="O19" s="275">
        <v>300000000</v>
      </c>
      <c r="P19" s="275">
        <v>300000000</v>
      </c>
      <c r="Q19" s="275">
        <v>300000000</v>
      </c>
      <c r="R19" s="275">
        <v>300000000</v>
      </c>
      <c r="S19" s="275">
        <v>300000000</v>
      </c>
      <c r="T19" s="275">
        <v>300000000</v>
      </c>
      <c r="U19" s="275">
        <v>300000000</v>
      </c>
      <c r="V19" s="275">
        <v>300000000</v>
      </c>
      <c r="Y19" s="272">
        <f t="shared" si="3"/>
        <v>18810000</v>
      </c>
    </row>
    <row r="20" spans="1:26">
      <c r="A20" s="133">
        <f t="shared" si="4"/>
        <v>16</v>
      </c>
      <c r="B20" s="137" t="s">
        <v>95</v>
      </c>
      <c r="C20" s="282">
        <v>5.7570000000000003E-2</v>
      </c>
      <c r="D20" s="283">
        <v>40067</v>
      </c>
      <c r="E20" s="283">
        <v>51058</v>
      </c>
      <c r="F20" s="272">
        <f t="shared" si="0"/>
        <v>350000000</v>
      </c>
      <c r="G20" s="284">
        <v>100</v>
      </c>
      <c r="H20" s="182">
        <f t="shared" si="1"/>
        <v>5.7599999999999998E-2</v>
      </c>
      <c r="I20" s="275">
        <f t="shared" si="2"/>
        <v>20160000</v>
      </c>
      <c r="J20" s="275">
        <v>350000000</v>
      </c>
      <c r="K20" s="275">
        <v>350000000</v>
      </c>
      <c r="L20" s="275">
        <v>350000000</v>
      </c>
      <c r="M20" s="275">
        <v>350000000</v>
      </c>
      <c r="N20" s="275">
        <v>350000000</v>
      </c>
      <c r="O20" s="275">
        <v>350000000</v>
      </c>
      <c r="P20" s="275">
        <v>350000000</v>
      </c>
      <c r="Q20" s="275">
        <v>350000000</v>
      </c>
      <c r="R20" s="275">
        <v>350000000</v>
      </c>
      <c r="S20" s="275">
        <v>350000000</v>
      </c>
      <c r="T20" s="275">
        <v>350000000</v>
      </c>
      <c r="U20" s="275">
        <v>350000000</v>
      </c>
      <c r="V20" s="275">
        <v>350000000</v>
      </c>
      <c r="Y20" s="272">
        <f t="shared" si="3"/>
        <v>20160000</v>
      </c>
    </row>
    <row r="21" spans="1:26">
      <c r="A21" s="133">
        <f t="shared" si="4"/>
        <v>17</v>
      </c>
      <c r="B21" s="137" t="s">
        <v>95</v>
      </c>
      <c r="C21" s="282">
        <v>5.7950000000000002E-2</v>
      </c>
      <c r="D21" s="283">
        <v>40245</v>
      </c>
      <c r="E21" s="283">
        <v>51210</v>
      </c>
      <c r="F21" s="272">
        <f t="shared" si="0"/>
        <v>325000000</v>
      </c>
      <c r="G21" s="284">
        <v>100</v>
      </c>
      <c r="H21" s="182">
        <f t="shared" si="1"/>
        <v>5.79E-2</v>
      </c>
      <c r="I21" s="275">
        <f t="shared" si="2"/>
        <v>18817500</v>
      </c>
      <c r="J21" s="275">
        <v>325000000</v>
      </c>
      <c r="K21" s="275">
        <v>325000000</v>
      </c>
      <c r="L21" s="275">
        <v>325000000</v>
      </c>
      <c r="M21" s="275">
        <v>325000000</v>
      </c>
      <c r="N21" s="275">
        <v>325000000</v>
      </c>
      <c r="O21" s="275">
        <v>325000000</v>
      </c>
      <c r="P21" s="275">
        <v>325000000</v>
      </c>
      <c r="Q21" s="275">
        <v>325000000</v>
      </c>
      <c r="R21" s="275">
        <v>325000000</v>
      </c>
      <c r="S21" s="275">
        <v>325000000</v>
      </c>
      <c r="T21" s="275">
        <v>325000000</v>
      </c>
      <c r="U21" s="275">
        <v>325000000</v>
      </c>
      <c r="V21" s="275">
        <v>325000000</v>
      </c>
      <c r="Y21" s="272">
        <f t="shared" si="3"/>
        <v>18817500</v>
      </c>
    </row>
    <row r="22" spans="1:26">
      <c r="A22" s="133">
        <f t="shared" si="4"/>
        <v>18</v>
      </c>
      <c r="B22" s="137" t="s">
        <v>95</v>
      </c>
      <c r="C22" s="282">
        <v>5.7639999999999997E-2</v>
      </c>
      <c r="D22" s="283">
        <v>40358</v>
      </c>
      <c r="E22" s="283">
        <v>51332</v>
      </c>
      <c r="F22" s="272">
        <f t="shared" si="0"/>
        <v>250000000</v>
      </c>
      <c r="G22" s="284">
        <v>100</v>
      </c>
      <c r="H22" s="182">
        <f t="shared" si="1"/>
        <v>5.7599999999999998E-2</v>
      </c>
      <c r="I22" s="275">
        <f t="shared" si="2"/>
        <v>14400000</v>
      </c>
      <c r="J22" s="275">
        <v>250000000</v>
      </c>
      <c r="K22" s="275">
        <v>250000000</v>
      </c>
      <c r="L22" s="275">
        <v>250000000</v>
      </c>
      <c r="M22" s="275">
        <v>250000000</v>
      </c>
      <c r="N22" s="275">
        <v>250000000</v>
      </c>
      <c r="O22" s="275">
        <v>250000000</v>
      </c>
      <c r="P22" s="275">
        <v>250000000</v>
      </c>
      <c r="Q22" s="275">
        <v>250000000</v>
      </c>
      <c r="R22" s="275">
        <v>250000000</v>
      </c>
      <c r="S22" s="275">
        <v>250000000</v>
      </c>
      <c r="T22" s="275">
        <v>250000000</v>
      </c>
      <c r="U22" s="275">
        <v>250000000</v>
      </c>
      <c r="V22" s="275">
        <v>250000000</v>
      </c>
      <c r="Y22" s="272">
        <f t="shared" si="3"/>
        <v>14400000</v>
      </c>
    </row>
    <row r="23" spans="1:26">
      <c r="A23" s="133">
        <v>25</v>
      </c>
      <c r="B23" s="137" t="s">
        <v>95</v>
      </c>
      <c r="C23" s="282">
        <v>5.638E-2</v>
      </c>
      <c r="D23" s="283">
        <v>40627</v>
      </c>
      <c r="E23" s="283">
        <v>51606</v>
      </c>
      <c r="F23" s="272">
        <f t="shared" si="0"/>
        <v>300000000</v>
      </c>
      <c r="G23" s="284">
        <v>100</v>
      </c>
      <c r="H23" s="182">
        <f t="shared" si="1"/>
        <v>5.6399999999999999E-2</v>
      </c>
      <c r="I23" s="275">
        <f t="shared" si="2"/>
        <v>16920000</v>
      </c>
      <c r="J23" s="275">
        <v>300000000</v>
      </c>
      <c r="K23" s="275">
        <v>300000000</v>
      </c>
      <c r="L23" s="275">
        <v>300000000</v>
      </c>
      <c r="M23" s="275">
        <v>300000000</v>
      </c>
      <c r="N23" s="275">
        <v>300000000</v>
      </c>
      <c r="O23" s="275">
        <v>300000000</v>
      </c>
      <c r="P23" s="275">
        <v>300000000</v>
      </c>
      <c r="Q23" s="275">
        <v>300000000</v>
      </c>
      <c r="R23" s="275">
        <v>300000000</v>
      </c>
      <c r="S23" s="275">
        <v>300000000</v>
      </c>
      <c r="T23" s="275">
        <v>300000000</v>
      </c>
      <c r="U23" s="275">
        <v>300000000</v>
      </c>
      <c r="V23" s="275">
        <v>300000000</v>
      </c>
      <c r="Y23" s="272">
        <f t="shared" si="3"/>
        <v>16920000</v>
      </c>
    </row>
    <row r="24" spans="1:26">
      <c r="A24" s="133">
        <v>26</v>
      </c>
      <c r="B24" s="137" t="s">
        <v>95</v>
      </c>
      <c r="C24" s="282">
        <v>4.4339999999999997E-2</v>
      </c>
      <c r="D24" s="283">
        <v>40863</v>
      </c>
      <c r="E24" s="283">
        <v>51820</v>
      </c>
      <c r="F24" s="272">
        <f t="shared" si="0"/>
        <v>250000000</v>
      </c>
      <c r="G24" s="284">
        <v>100</v>
      </c>
      <c r="H24" s="182">
        <f t="shared" si="1"/>
        <v>4.4299999999999999E-2</v>
      </c>
      <c r="I24" s="275">
        <f t="shared" si="2"/>
        <v>11075000</v>
      </c>
      <c r="J24" s="275">
        <v>250000000</v>
      </c>
      <c r="K24" s="275">
        <v>250000000</v>
      </c>
      <c r="L24" s="275">
        <v>250000000</v>
      </c>
      <c r="M24" s="275">
        <v>250000000</v>
      </c>
      <c r="N24" s="275">
        <v>250000000</v>
      </c>
      <c r="O24" s="275">
        <v>250000000</v>
      </c>
      <c r="P24" s="275">
        <v>250000000</v>
      </c>
      <c r="Q24" s="275">
        <v>250000000</v>
      </c>
      <c r="R24" s="275">
        <v>250000000</v>
      </c>
      <c r="S24" s="275">
        <v>250000000</v>
      </c>
      <c r="T24" s="275">
        <v>250000000</v>
      </c>
      <c r="U24" s="275">
        <v>250000000</v>
      </c>
      <c r="V24" s="275">
        <v>250000000</v>
      </c>
      <c r="Y24" s="272">
        <f t="shared" si="3"/>
        <v>11075000</v>
      </c>
    </row>
    <row r="25" spans="1:26">
      <c r="A25" s="133">
        <v>27</v>
      </c>
      <c r="B25" s="137" t="s">
        <v>95</v>
      </c>
      <c r="C25" s="282">
        <v>4.7E-2</v>
      </c>
      <c r="D25" s="283">
        <v>40869</v>
      </c>
      <c r="E25" s="283">
        <v>55472</v>
      </c>
      <c r="F25" s="272">
        <f t="shared" si="0"/>
        <v>45000000</v>
      </c>
      <c r="G25" s="284">
        <v>100</v>
      </c>
      <c r="H25" s="182">
        <f t="shared" si="1"/>
        <v>4.7E-2</v>
      </c>
      <c r="I25" s="275">
        <f t="shared" si="2"/>
        <v>2115000</v>
      </c>
      <c r="J25" s="275">
        <v>45000000</v>
      </c>
      <c r="K25" s="275">
        <v>45000000</v>
      </c>
      <c r="L25" s="275">
        <v>45000000</v>
      </c>
      <c r="M25" s="275">
        <v>45000000</v>
      </c>
      <c r="N25" s="275">
        <v>45000000</v>
      </c>
      <c r="O25" s="275">
        <v>45000000</v>
      </c>
      <c r="P25" s="275">
        <v>45000000</v>
      </c>
      <c r="Q25" s="275">
        <v>45000000</v>
      </c>
      <c r="R25" s="275">
        <v>45000000</v>
      </c>
      <c r="S25" s="275">
        <v>45000000</v>
      </c>
      <c r="T25" s="275">
        <v>45000000</v>
      </c>
      <c r="U25" s="275">
        <v>45000000</v>
      </c>
      <c r="V25" s="275">
        <v>45000000</v>
      </c>
      <c r="Y25" s="272">
        <f t="shared" si="3"/>
        <v>2115000</v>
      </c>
    </row>
    <row r="26" spans="1:26">
      <c r="A26" s="133">
        <v>28</v>
      </c>
      <c r="B26" s="137" t="s">
        <v>126</v>
      </c>
      <c r="C26" s="282">
        <v>6.9739999999999996E-2</v>
      </c>
      <c r="D26" s="283">
        <v>39237</v>
      </c>
      <c r="E26" s="283">
        <v>42887</v>
      </c>
      <c r="F26" s="272">
        <f t="shared" si="0"/>
        <v>250000000</v>
      </c>
      <c r="G26" s="284">
        <v>100</v>
      </c>
      <c r="H26" s="182">
        <f t="shared" si="1"/>
        <v>6.9699999999999998E-2</v>
      </c>
      <c r="I26" s="275">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2">
        <v>4.2999999999999997E-2</v>
      </c>
      <c r="D27" s="283">
        <v>42150</v>
      </c>
      <c r="E27" s="283">
        <v>53102</v>
      </c>
      <c r="F27" s="272">
        <f t="shared" si="0"/>
        <v>265625000</v>
      </c>
      <c r="G27" s="284">
        <v>100</v>
      </c>
      <c r="H27" s="182">
        <f t="shared" si="1"/>
        <v>4.2999999999999997E-2</v>
      </c>
      <c r="I27" s="275">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5">
        <f t="shared" si="3"/>
        <v>18275000</v>
      </c>
    </row>
    <row r="28" spans="1:26">
      <c r="A28" s="133">
        <v>30</v>
      </c>
      <c r="B28" s="137"/>
      <c r="C28" s="282"/>
      <c r="D28" s="283"/>
      <c r="E28" s="283"/>
      <c r="F28" s="272"/>
      <c r="G28" s="284"/>
      <c r="H28" s="182"/>
      <c r="I28" s="275"/>
      <c r="J28" s="275"/>
      <c r="K28" s="275"/>
      <c r="L28" s="275"/>
      <c r="M28" s="275"/>
      <c r="N28" s="275"/>
      <c r="O28" s="275"/>
      <c r="P28" s="275"/>
      <c r="Q28" s="275"/>
      <c r="R28" s="275"/>
      <c r="S28" s="275"/>
      <c r="T28" s="275"/>
      <c r="U28" s="275"/>
      <c r="V28" s="275"/>
      <c r="Y28" s="474">
        <f>SUM(Y6:Y27)</f>
        <v>217589940</v>
      </c>
    </row>
    <row r="29" spans="1:26" ht="13.5" thickBot="1">
      <c r="A29" s="133">
        <v>31</v>
      </c>
      <c r="B29" s="137"/>
      <c r="C29" s="139"/>
      <c r="D29" s="283"/>
      <c r="E29" s="283"/>
      <c r="F29" s="272"/>
      <c r="G29" s="292"/>
      <c r="H29" s="182"/>
      <c r="I29" s="291"/>
      <c r="J29" s="272"/>
      <c r="K29" s="272"/>
      <c r="L29" s="272"/>
      <c r="M29" s="272"/>
      <c r="N29" s="272"/>
      <c r="O29" s="272"/>
      <c r="P29" s="272"/>
      <c r="Q29" s="272"/>
      <c r="R29" s="272"/>
      <c r="S29" s="272"/>
      <c r="T29" s="272"/>
      <c r="U29" s="272"/>
      <c r="V29" s="272"/>
      <c r="Y29" s="578"/>
    </row>
    <row r="30" spans="1:26" ht="13.5" thickBot="1">
      <c r="A30" s="133">
        <v>32</v>
      </c>
      <c r="B30" s="139" t="s">
        <v>129</v>
      </c>
      <c r="C30" s="282"/>
      <c r="D30" s="283"/>
      <c r="E30" s="283"/>
      <c r="F30" s="289">
        <f>SUM(F6:F29)</f>
        <v>3806318333</v>
      </c>
      <c r="G30" s="290"/>
      <c r="H30" s="215">
        <f>ROUND(+I30/F30,4)</f>
        <v>5.8500000000000003E-2</v>
      </c>
      <c r="I30" s="293">
        <f t="shared" ref="I30:V30" si="5">SUM(I6:I29)</f>
        <v>222671082</v>
      </c>
      <c r="J30" s="293">
        <f t="shared" si="5"/>
        <v>3760860000</v>
      </c>
      <c r="K30" s="293">
        <f t="shared" si="5"/>
        <v>3760860000</v>
      </c>
      <c r="L30" s="293">
        <f t="shared" si="5"/>
        <v>3760860000</v>
      </c>
      <c r="M30" s="293">
        <f t="shared" si="5"/>
        <v>3760860000</v>
      </c>
      <c r="N30" s="293">
        <f t="shared" si="5"/>
        <v>3760860000</v>
      </c>
      <c r="O30" s="293">
        <f t="shared" si="5"/>
        <v>4185860000</v>
      </c>
      <c r="P30" s="293">
        <f t="shared" si="5"/>
        <v>3785860000</v>
      </c>
      <c r="Q30" s="293">
        <f t="shared" si="5"/>
        <v>3785860000</v>
      </c>
      <c r="R30" s="293">
        <f t="shared" si="5"/>
        <v>3785860000</v>
      </c>
      <c r="S30" s="293">
        <f t="shared" si="5"/>
        <v>3773860000</v>
      </c>
      <c r="T30" s="293">
        <f t="shared" si="5"/>
        <v>3773860000</v>
      </c>
      <c r="U30" s="293">
        <f t="shared" si="5"/>
        <v>3773860000</v>
      </c>
      <c r="V30" s="293">
        <f t="shared" si="5"/>
        <v>3773860000</v>
      </c>
      <c r="Y30" s="293">
        <f>Y28+Y29</f>
        <v>217589940</v>
      </c>
      <c r="Z30" s="475">
        <f>Y30/V30</f>
        <v>5.765713089515774E-2</v>
      </c>
    </row>
    <row r="31" spans="1:26">
      <c r="A31" s="133">
        <v>33</v>
      </c>
      <c r="B31" s="137"/>
      <c r="C31" s="282"/>
      <c r="D31" s="283"/>
      <c r="E31" s="283"/>
      <c r="F31" s="291"/>
      <c r="G31" s="288"/>
      <c r="H31" s="245"/>
      <c r="I31" s="291"/>
      <c r="J31" s="497"/>
      <c r="K31" s="497"/>
      <c r="L31" s="497"/>
      <c r="M31" s="497"/>
      <c r="N31" s="497"/>
      <c r="O31" s="497"/>
      <c r="P31" s="497"/>
      <c r="Q31" s="497"/>
      <c r="R31" s="497"/>
      <c r="S31" s="497"/>
      <c r="T31" s="497"/>
      <c r="U31" s="497"/>
      <c r="V31" s="497"/>
      <c r="Y31" s="273">
        <f>H31*V31</f>
        <v>0</v>
      </c>
    </row>
    <row r="32" spans="1:26">
      <c r="A32" s="133">
        <v>34</v>
      </c>
      <c r="B32" s="135" t="s">
        <v>300</v>
      </c>
      <c r="C32" s="136"/>
      <c r="D32" s="136"/>
      <c r="E32" s="136"/>
      <c r="F32" s="291"/>
      <c r="G32" s="25"/>
      <c r="H32" s="245"/>
      <c r="I32" s="291"/>
      <c r="J32" s="275"/>
      <c r="K32" s="343"/>
      <c r="L32" s="343"/>
      <c r="M32" s="343"/>
      <c r="N32" s="343"/>
      <c r="O32" s="343"/>
      <c r="P32" s="343"/>
      <c r="Q32" s="343"/>
      <c r="R32" s="343"/>
      <c r="S32" s="343"/>
      <c r="T32" s="343"/>
      <c r="U32" s="343"/>
      <c r="V32" s="343"/>
      <c r="Y32" s="272"/>
    </row>
    <row r="33" spans="1:56">
      <c r="A33" s="133"/>
      <c r="B33" s="135"/>
      <c r="C33" s="136"/>
      <c r="D33" s="136"/>
      <c r="E33" s="136"/>
      <c r="F33" s="136"/>
      <c r="G33" s="136"/>
      <c r="H33" s="136"/>
      <c r="I33" s="136"/>
      <c r="Y33" s="291"/>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1" t="str">
        <f>IF((F30-'Pg 2 CapStructure'!Q16)&gt;1,"Total LTD ERROR",IF((F30-'Pg 2 CapStructure'!Q16)&lt;-1,"Total LTD ERROR",""))</f>
        <v>Total LTD ERROR</v>
      </c>
      <c r="G37" s="134"/>
      <c r="H37" s="294"/>
      <c r="I37" s="295"/>
      <c r="J37" s="296"/>
      <c r="K37" s="296"/>
      <c r="L37" s="296"/>
      <c r="M37" s="296"/>
      <c r="N37" s="296"/>
      <c r="O37" s="296"/>
      <c r="P37" s="296"/>
      <c r="Q37" s="296"/>
      <c r="R37" s="296"/>
      <c r="S37" s="296"/>
      <c r="T37" s="296"/>
      <c r="U37" s="296"/>
      <c r="V37" s="296"/>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7"/>
      <c r="C38" s="297"/>
      <c r="D38" s="297"/>
      <c r="E38" s="297"/>
      <c r="F38" s="271"/>
      <c r="G38" s="297"/>
      <c r="H38" s="136"/>
      <c r="I38" s="178"/>
      <c r="J38" s="298"/>
      <c r="K38" s="298"/>
      <c r="L38" s="298"/>
      <c r="M38" s="298"/>
      <c r="N38" s="137"/>
      <c r="O38" s="137"/>
      <c r="P38" s="137"/>
      <c r="Q38" s="137"/>
      <c r="R38" s="137"/>
      <c r="S38" s="137"/>
      <c r="T38" s="137"/>
      <c r="U38" s="137"/>
      <c r="V38" s="137"/>
    </row>
    <row r="39" spans="1:56">
      <c r="A39" s="44"/>
      <c r="B39" s="297"/>
      <c r="C39" s="297"/>
      <c r="D39" s="297"/>
      <c r="E39" s="297"/>
      <c r="F39" s="270"/>
      <c r="G39" s="297"/>
      <c r="H39" s="134"/>
      <c r="I39" s="295"/>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AF5C8B29DFE6A45B801DF9C6EE92814" ma:contentTypeVersion="44" ma:contentTypeDescription="" ma:contentTypeScope="" ma:versionID="5fc1cc59952da72a79bcb88b98a38c5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2021-05-28T07:00:00+00:00</OpenedDate>
    <SignificantOrder xmlns="dc463f71-b30c-4ab2-9473-d307f9d35888">false</SignificantOrder>
    <Date1 xmlns="dc463f71-b30c-4ab2-9473-d307f9d35888">2021-05-28T07:00:00+00:00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210389</DocketNumber>
    <DelegatedOrder xmlns="dc463f71-b30c-4ab2-9473-d307f9d35888">false</DelegatedOrder>
  </documentManagement>
</p:properties>
</file>

<file path=customXml/itemProps1.xml><?xml version="1.0" encoding="utf-8"?>
<ds:datastoreItem xmlns:ds="http://schemas.openxmlformats.org/officeDocument/2006/customXml" ds:itemID="{2C578744-A728-4A68-9C87-8020CA552EC6}"/>
</file>

<file path=customXml/itemProps2.xml><?xml version="1.0" encoding="utf-8"?>
<ds:datastoreItem xmlns:ds="http://schemas.openxmlformats.org/officeDocument/2006/customXml" ds:itemID="{BEF89684-C6F9-4C96-A311-54B2955F66B9}"/>
</file>

<file path=customXml/itemProps3.xml><?xml version="1.0" encoding="utf-8"?>
<ds:datastoreItem xmlns:ds="http://schemas.openxmlformats.org/officeDocument/2006/customXml" ds:itemID="{224ED7D6-FFB5-43C8-8991-C565C9A24FA0}"/>
</file>

<file path=customXml/itemProps4.xml><?xml version="1.0" encoding="utf-8"?>
<ds:datastoreItem xmlns:ds="http://schemas.openxmlformats.org/officeDocument/2006/customXml" ds:itemID="{E0D1AC5D-7C5D-40A2-A4A6-4A07CAB2AF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New Format</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'New Format'!Print_Area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Patrick McConnell</cp:lastModifiedBy>
  <cp:lastPrinted>2021-02-22T23:06:57Z</cp:lastPrinted>
  <dcterms:created xsi:type="dcterms:W3CDTF">2001-12-28T16:42:36Z</dcterms:created>
  <dcterms:modified xsi:type="dcterms:W3CDTF">2021-05-24T15:48:36Z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0x0101006E56B4D1795A2E4DB2F0B01679ED314A000AF5C8B29DFE6A45B801DF9C6EE92814</vt:lpwstr>
  </property>
  <property fmtid="{D5CDD505-2E9C-101B-9397-08002B2CF9AE}" pid="3" name="_docset_NoMedatataSyncRequired">
    <vt:lpwstr>False</vt:lpwstr>
  </property>
  <property fmtid="{D5CDD505-2E9C-101B-9397-08002B2CF9AE}" pid="4" name="IsEFSEC">
    <vt:bool>false</vt:bool>
  </property>
</Properties>
</file>