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1\2021 WA REC Filing\Filing\NEW-AVA-Workpapers-3-31-21 (R)\"/>
    </mc:Choice>
  </mc:AlternateContent>
  <xr:revisionPtr revIDLastSave="0" documentId="13_ncr:1_{949F3598-31EC-42EC-B068-35CA0267367C}" xr6:coauthVersionLast="44" xr6:coauthVersionMax="44" xr10:uidLastSave="{00000000-0000-0000-0000-000000000000}"/>
  <bookViews>
    <workbookView xWindow="-120" yWindow="-120" windowWidth="29040" windowHeight="15840" tabRatio="715" xr2:uid="{00000000-000D-0000-FFFF-FFFF00000000}"/>
  </bookViews>
  <sheets>
    <sheet name="Rate Design" sheetId="2" r:id="rId1"/>
    <sheet name="3-2021 thru 6-2021 RECs" sheetId="8" r:id="rId2"/>
    <sheet name="7-2021 thru 6-2022 RECs" sheetId="1" r:id="rId3"/>
    <sheet name="Forecast Balance" sheetId="5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Balance'!$A$1:$T$27</definedName>
    <definedName name="_xlnm.Print_Area" localSheetId="4">'Forecasted Revenue'!$A$1:$S$43</definedName>
    <definedName name="_xlnm.Print_Area" localSheetId="5">'kWh Forecast'!$A$1:$R$56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2" l="1"/>
  <c r="D25" i="2"/>
  <c r="E14" i="1" l="1"/>
  <c r="F14" i="8"/>
  <c r="F18" i="8" s="1"/>
  <c r="D26" i="2"/>
  <c r="C6" i="5"/>
  <c r="C5" i="5"/>
  <c r="I14" i="8"/>
  <c r="H14" i="8"/>
  <c r="G14" i="8"/>
  <c r="D9" i="2" l="1"/>
  <c r="C12" i="2"/>
  <c r="D12" i="2"/>
  <c r="B25" i="5" l="1"/>
  <c r="R33" i="3"/>
  <c r="R7" i="3"/>
  <c r="C18" i="3"/>
  <c r="E24" i="1" l="1"/>
  <c r="C32" i="6"/>
  <c r="F16" i="8"/>
  <c r="G16" i="8" s="1"/>
  <c r="E19" i="9"/>
  <c r="E21" i="9" s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B17" i="5" l="1"/>
  <c r="V4" i="5"/>
  <c r="E16" i="8"/>
  <c r="E23" i="9"/>
  <c r="E25" i="9" s="1"/>
  <c r="H16" i="8" l="1"/>
  <c r="B12" i="5" l="1"/>
  <c r="B8" i="5" s="1"/>
  <c r="C7" i="5" l="1"/>
  <c r="B15" i="10"/>
  <c r="B14" i="10"/>
  <c r="B13" i="10"/>
  <c r="D13" i="10" s="1"/>
  <c r="S32" i="6"/>
  <c r="B46" i="3" l="1"/>
  <c r="B44" i="3"/>
  <c r="N41" i="2" l="1"/>
  <c r="N40" i="2"/>
  <c r="G18" i="8" l="1"/>
  <c r="O42" i="3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D5" i="5" l="1"/>
  <c r="D7" i="5" l="1"/>
  <c r="A1" i="9"/>
  <c r="D6" i="5" l="1"/>
  <c r="H18" i="8" l="1"/>
  <c r="I16" i="8"/>
  <c r="I18" i="8" s="1"/>
  <c r="B18" i="3"/>
  <c r="E18" i="8" l="1"/>
  <c r="R51" i="3" l="1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R41" i="3"/>
  <c r="R40" i="3"/>
  <c r="R39" i="3"/>
  <c r="R38" i="3"/>
  <c r="R37" i="3"/>
  <c r="R36" i="3"/>
  <c r="R35" i="3"/>
  <c r="R3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25" i="3"/>
  <c r="Q23" i="3"/>
  <c r="S10" i="6" s="1"/>
  <c r="P23" i="3"/>
  <c r="R10" i="6" s="1"/>
  <c r="O23" i="3"/>
  <c r="Q10" i="6" s="1"/>
  <c r="N23" i="3"/>
  <c r="P10" i="6" s="1"/>
  <c r="M23" i="3"/>
  <c r="O10" i="6" s="1"/>
  <c r="L23" i="3"/>
  <c r="N10" i="6" s="1"/>
  <c r="K23" i="3"/>
  <c r="M10" i="6" s="1"/>
  <c r="J23" i="3"/>
  <c r="L10" i="6" s="1"/>
  <c r="I23" i="3"/>
  <c r="K10" i="6" s="1"/>
  <c r="H23" i="3"/>
  <c r="J10" i="6" s="1"/>
  <c r="G23" i="3"/>
  <c r="I10" i="6" s="1"/>
  <c r="F23" i="3"/>
  <c r="H10" i="6" s="1"/>
  <c r="Q22" i="3"/>
  <c r="S9" i="6" s="1"/>
  <c r="P22" i="3"/>
  <c r="R9" i="6" s="1"/>
  <c r="O22" i="3"/>
  <c r="Q9" i="6" s="1"/>
  <c r="N22" i="3"/>
  <c r="P9" i="6" s="1"/>
  <c r="M22" i="3"/>
  <c r="O9" i="6" s="1"/>
  <c r="L22" i="3"/>
  <c r="N9" i="6" s="1"/>
  <c r="K22" i="3"/>
  <c r="M9" i="6" s="1"/>
  <c r="J22" i="3"/>
  <c r="L9" i="6" s="1"/>
  <c r="I22" i="3"/>
  <c r="K9" i="6" s="1"/>
  <c r="H22" i="3"/>
  <c r="J9" i="6" s="1"/>
  <c r="G22" i="3"/>
  <c r="I9" i="6" s="1"/>
  <c r="F22" i="3"/>
  <c r="H9" i="6" s="1"/>
  <c r="Q21" i="3"/>
  <c r="S8" i="6" s="1"/>
  <c r="P21" i="3"/>
  <c r="R8" i="6" s="1"/>
  <c r="O21" i="3"/>
  <c r="Q8" i="6" s="1"/>
  <c r="N21" i="3"/>
  <c r="P8" i="6" s="1"/>
  <c r="M21" i="3"/>
  <c r="O8" i="6" s="1"/>
  <c r="L21" i="3"/>
  <c r="N8" i="6" s="1"/>
  <c r="K21" i="3"/>
  <c r="M8" i="6" s="1"/>
  <c r="J21" i="3"/>
  <c r="L8" i="6" s="1"/>
  <c r="I21" i="3"/>
  <c r="K8" i="6" s="1"/>
  <c r="H21" i="3"/>
  <c r="J8" i="6" s="1"/>
  <c r="G21" i="3"/>
  <c r="I8" i="6" s="1"/>
  <c r="F21" i="3"/>
  <c r="H8" i="6" s="1"/>
  <c r="Q20" i="3"/>
  <c r="S7" i="6" s="1"/>
  <c r="P20" i="3"/>
  <c r="R7" i="6" s="1"/>
  <c r="O20" i="3"/>
  <c r="Q7" i="6" s="1"/>
  <c r="N20" i="3"/>
  <c r="P7" i="6" s="1"/>
  <c r="M20" i="3"/>
  <c r="O7" i="6" s="1"/>
  <c r="L20" i="3"/>
  <c r="N7" i="6" s="1"/>
  <c r="K20" i="3"/>
  <c r="M7" i="6" s="1"/>
  <c r="J20" i="3"/>
  <c r="L7" i="6" s="1"/>
  <c r="I20" i="3"/>
  <c r="K7" i="6" s="1"/>
  <c r="H20" i="3"/>
  <c r="J7" i="6" s="1"/>
  <c r="G20" i="3"/>
  <c r="I7" i="6" s="1"/>
  <c r="F20" i="3"/>
  <c r="H7" i="6" s="1"/>
  <c r="Q19" i="3"/>
  <c r="S6" i="6" s="1"/>
  <c r="P19" i="3"/>
  <c r="R6" i="6" s="1"/>
  <c r="O19" i="3"/>
  <c r="Q6" i="6" s="1"/>
  <c r="N19" i="3"/>
  <c r="P6" i="6" s="1"/>
  <c r="M19" i="3"/>
  <c r="O6" i="6" s="1"/>
  <c r="L19" i="3"/>
  <c r="N6" i="6" s="1"/>
  <c r="K19" i="3"/>
  <c r="M6" i="6" s="1"/>
  <c r="J19" i="3"/>
  <c r="L6" i="6" s="1"/>
  <c r="I19" i="3"/>
  <c r="K6" i="6" s="1"/>
  <c r="H19" i="3"/>
  <c r="J6" i="6" s="1"/>
  <c r="G19" i="3"/>
  <c r="I6" i="6" s="1"/>
  <c r="F19" i="3"/>
  <c r="Q18" i="3"/>
  <c r="S5" i="6" s="1"/>
  <c r="P18" i="3"/>
  <c r="O18" i="3"/>
  <c r="Q5" i="6" s="1"/>
  <c r="N18" i="3"/>
  <c r="M18" i="3"/>
  <c r="O5" i="6" s="1"/>
  <c r="L18" i="3"/>
  <c r="K18" i="3"/>
  <c r="M5" i="6" s="1"/>
  <c r="J18" i="3"/>
  <c r="I18" i="3"/>
  <c r="K5" i="6" s="1"/>
  <c r="H18" i="3"/>
  <c r="G18" i="3"/>
  <c r="I5" i="6" s="1"/>
  <c r="F18" i="3"/>
  <c r="R15" i="3"/>
  <c r="R14" i="3"/>
  <c r="R13" i="3"/>
  <c r="R12" i="3"/>
  <c r="R11" i="3"/>
  <c r="R10" i="3"/>
  <c r="R9" i="3"/>
  <c r="R8" i="3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C22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J26" i="3" l="1"/>
  <c r="N26" i="3"/>
  <c r="F26" i="3"/>
  <c r="I50" i="3"/>
  <c r="M50" i="3"/>
  <c r="Q52" i="3"/>
  <c r="F52" i="3"/>
  <c r="J52" i="3"/>
  <c r="N52" i="3"/>
  <c r="G52" i="3"/>
  <c r="K52" i="3"/>
  <c r="O52" i="3"/>
  <c r="H50" i="3"/>
  <c r="L50" i="3"/>
  <c r="P50" i="3"/>
  <c r="P5" i="6"/>
  <c r="P11" i="6" s="1"/>
  <c r="R16" i="3"/>
  <c r="C8" i="5"/>
  <c r="R42" i="3"/>
  <c r="R19" i="3"/>
  <c r="E10" i="2" s="1"/>
  <c r="J24" i="3"/>
  <c r="L5" i="6"/>
  <c r="L11" i="6" s="1"/>
  <c r="H5" i="6"/>
  <c r="H6" i="6"/>
  <c r="R45" i="3"/>
  <c r="E12" i="2" s="1"/>
  <c r="Q50" i="3"/>
  <c r="R46" i="3"/>
  <c r="F12" i="2" s="1"/>
  <c r="R47" i="3"/>
  <c r="G12" i="2" s="1"/>
  <c r="R48" i="3"/>
  <c r="H12" i="2" s="1"/>
  <c r="R49" i="3"/>
  <c r="F50" i="3"/>
  <c r="J50" i="3"/>
  <c r="N50" i="3"/>
  <c r="H52" i="3"/>
  <c r="L52" i="3"/>
  <c r="P52" i="3"/>
  <c r="G50" i="3"/>
  <c r="K50" i="3"/>
  <c r="O50" i="3"/>
  <c r="I52" i="3"/>
  <c r="M52" i="3"/>
  <c r="R44" i="3"/>
  <c r="I11" i="6"/>
  <c r="Q11" i="6"/>
  <c r="R20" i="3"/>
  <c r="F10" i="2" s="1"/>
  <c r="M11" i="6"/>
  <c r="G24" i="3"/>
  <c r="K24" i="3"/>
  <c r="O24" i="3"/>
  <c r="R21" i="3"/>
  <c r="G10" i="2" s="1"/>
  <c r="R22" i="3"/>
  <c r="H10" i="2" s="1"/>
  <c r="R23" i="3"/>
  <c r="I10" i="2" s="1"/>
  <c r="F24" i="3"/>
  <c r="H24" i="3"/>
  <c r="J5" i="6"/>
  <c r="L24" i="3"/>
  <c r="N5" i="6"/>
  <c r="P24" i="3"/>
  <c r="R5" i="6"/>
  <c r="H26" i="3"/>
  <c r="I26" i="3"/>
  <c r="M26" i="3"/>
  <c r="Q26" i="3"/>
  <c r="N24" i="3"/>
  <c r="L26" i="3"/>
  <c r="P26" i="3"/>
  <c r="I24" i="3"/>
  <c r="M24" i="3"/>
  <c r="Q24" i="3"/>
  <c r="G26" i="3"/>
  <c r="K26" i="3"/>
  <c r="O26" i="3"/>
  <c r="K11" i="6"/>
  <c r="O11" i="6"/>
  <c r="S11" i="6"/>
  <c r="R18" i="3"/>
  <c r="D8" i="5" l="1"/>
  <c r="S12" i="6"/>
  <c r="P12" i="6"/>
  <c r="M12" i="6"/>
  <c r="H11" i="6"/>
  <c r="H12" i="6" s="1"/>
  <c r="R26" i="3"/>
  <c r="K12" i="6"/>
  <c r="L12" i="6"/>
  <c r="R52" i="3"/>
  <c r="R50" i="3"/>
  <c r="R24" i="3"/>
  <c r="D10" i="2"/>
  <c r="R11" i="6"/>
  <c r="R12" i="6" s="1"/>
  <c r="J11" i="6"/>
  <c r="J12" i="6" s="1"/>
  <c r="I12" i="6"/>
  <c r="N11" i="6"/>
  <c r="N12" i="6" s="1"/>
  <c r="O12" i="6"/>
  <c r="Q12" i="6"/>
  <c r="D23" i="3"/>
  <c r="F10" i="6" s="1"/>
  <c r="F29" i="6" s="1"/>
  <c r="F38" i="6" s="1"/>
  <c r="D19" i="3"/>
  <c r="F6" i="6" s="1"/>
  <c r="F25" i="6" s="1"/>
  <c r="F34" i="6" s="1"/>
  <c r="C22" i="3"/>
  <c r="E9" i="6" s="1"/>
  <c r="E28" i="6" s="1"/>
  <c r="E37" i="6" s="1"/>
  <c r="B23" i="3"/>
  <c r="D10" i="6" s="1"/>
  <c r="C19" i="3"/>
  <c r="B22" i="3"/>
  <c r="D9" i="6" s="1"/>
  <c r="C21" i="3"/>
  <c r="E8" i="6" s="1"/>
  <c r="E27" i="6" s="1"/>
  <c r="E36" i="6" s="1"/>
  <c r="E23" i="3"/>
  <c r="G10" i="6" s="1"/>
  <c r="G29" i="6" s="1"/>
  <c r="G38" i="6" s="1"/>
  <c r="E20" i="3"/>
  <c r="G7" i="6" s="1"/>
  <c r="G26" i="6" s="1"/>
  <c r="G35" i="6" s="1"/>
  <c r="B21" i="3"/>
  <c r="D8" i="6" s="1"/>
  <c r="D22" i="3"/>
  <c r="F9" i="6" s="1"/>
  <c r="F28" i="6" s="1"/>
  <c r="F37" i="6" s="1"/>
  <c r="B19" i="3"/>
  <c r="E21" i="3"/>
  <c r="G8" i="6" s="1"/>
  <c r="G27" i="6" s="1"/>
  <c r="G36" i="6" s="1"/>
  <c r="B20" i="3"/>
  <c r="D7" i="6" s="1"/>
  <c r="D18" i="3"/>
  <c r="F5" i="6" s="1"/>
  <c r="D20" i="3"/>
  <c r="F7" i="6" s="1"/>
  <c r="F26" i="6" s="1"/>
  <c r="F35" i="6" s="1"/>
  <c r="C23" i="3"/>
  <c r="E10" i="6" s="1"/>
  <c r="E29" i="6" s="1"/>
  <c r="E38" i="6" s="1"/>
  <c r="C20" i="3"/>
  <c r="E7" i="6" s="1"/>
  <c r="E26" i="6" s="1"/>
  <c r="E35" i="6" s="1"/>
  <c r="D21" i="3"/>
  <c r="F8" i="6" s="1"/>
  <c r="F27" i="6" s="1"/>
  <c r="F36" i="6" s="1"/>
  <c r="E22" i="3"/>
  <c r="G9" i="6" s="1"/>
  <c r="G28" i="6" s="1"/>
  <c r="G37" i="6" s="1"/>
  <c r="E19" i="3"/>
  <c r="G6" i="6" s="1"/>
  <c r="G25" i="6" s="1"/>
  <c r="G34" i="6" s="1"/>
  <c r="E18" i="3"/>
  <c r="E5" i="6"/>
  <c r="D11" i="2" l="1"/>
  <c r="D16" i="2" s="1"/>
  <c r="C44" i="2" s="1"/>
  <c r="C10" i="2"/>
  <c r="E6" i="6"/>
  <c r="E25" i="6" s="1"/>
  <c r="E34" i="6" s="1"/>
  <c r="C26" i="3"/>
  <c r="D26" i="6"/>
  <c r="D35" i="6" s="1"/>
  <c r="T7" i="6"/>
  <c r="D27" i="6"/>
  <c r="D36" i="6" s="1"/>
  <c r="T8" i="6"/>
  <c r="D28" i="6"/>
  <c r="D37" i="6" s="1"/>
  <c r="T9" i="6"/>
  <c r="D29" i="6"/>
  <c r="D38" i="6" s="1"/>
  <c r="T10" i="6"/>
  <c r="D6" i="6"/>
  <c r="B26" i="3"/>
  <c r="E26" i="3"/>
  <c r="G5" i="6"/>
  <c r="G24" i="6" s="1"/>
  <c r="D26" i="3"/>
  <c r="B24" i="3"/>
  <c r="E11" i="6"/>
  <c r="E24" i="6"/>
  <c r="E33" i="6" s="1"/>
  <c r="F11" i="6"/>
  <c r="E24" i="3"/>
  <c r="C24" i="3"/>
  <c r="D24" i="3"/>
  <c r="D5" i="6"/>
  <c r="D24" i="6" s="1"/>
  <c r="D33" i="6" s="1"/>
  <c r="F24" i="6"/>
  <c r="D13" i="2" l="1"/>
  <c r="C46" i="2"/>
  <c r="G11" i="6"/>
  <c r="T5" i="6"/>
  <c r="D25" i="6"/>
  <c r="D34" i="6" s="1"/>
  <c r="D39" i="6" s="1"/>
  <c r="T6" i="6"/>
  <c r="G33" i="6"/>
  <c r="G39" i="6" s="1"/>
  <c r="H3" i="5" s="1"/>
  <c r="G30" i="6"/>
  <c r="E9" i="2"/>
  <c r="E11" i="2" s="1"/>
  <c r="F9" i="2"/>
  <c r="F11" i="2" s="1"/>
  <c r="H9" i="2"/>
  <c r="H11" i="2" s="1"/>
  <c r="H14" i="2" s="1"/>
  <c r="G9" i="2"/>
  <c r="G11" i="2" s="1"/>
  <c r="I9" i="2"/>
  <c r="I11" i="2" s="1"/>
  <c r="I16" i="2" s="1"/>
  <c r="F30" i="6"/>
  <c r="F33" i="6"/>
  <c r="F39" i="6" s="1"/>
  <c r="G3" i="5" s="1"/>
  <c r="D11" i="6"/>
  <c r="E30" i="6"/>
  <c r="E39" i="6"/>
  <c r="F3" i="5" s="1"/>
  <c r="T11" i="6" l="1"/>
  <c r="G5" i="5"/>
  <c r="H5" i="5"/>
  <c r="F5" i="5"/>
  <c r="C8" i="2"/>
  <c r="F16" i="2"/>
  <c r="F13" i="2"/>
  <c r="F14" i="2"/>
  <c r="S20" i="6"/>
  <c r="S29" i="6" s="1"/>
  <c r="S38" i="6" s="1"/>
  <c r="N20" i="6"/>
  <c r="N29" i="6" s="1"/>
  <c r="N38" i="6" s="1"/>
  <c r="H20" i="6"/>
  <c r="H29" i="6" s="1"/>
  <c r="H38" i="6" s="1"/>
  <c r="I20" i="6"/>
  <c r="I29" i="6" s="1"/>
  <c r="I38" i="6" s="1"/>
  <c r="O20" i="6"/>
  <c r="O29" i="6" s="1"/>
  <c r="O38" i="6" s="1"/>
  <c r="J20" i="6"/>
  <c r="J29" i="6" s="1"/>
  <c r="J38" i="6" s="1"/>
  <c r="Q20" i="6"/>
  <c r="Q29" i="6" s="1"/>
  <c r="Q38" i="6" s="1"/>
  <c r="K20" i="6"/>
  <c r="K29" i="6" s="1"/>
  <c r="K38" i="6" s="1"/>
  <c r="P20" i="6"/>
  <c r="P29" i="6" s="1"/>
  <c r="P38" i="6" s="1"/>
  <c r="I18" i="2"/>
  <c r="I19" i="2" s="1"/>
  <c r="I23" i="2" s="1"/>
  <c r="R20" i="6"/>
  <c r="R29" i="6" s="1"/>
  <c r="R38" i="6" s="1"/>
  <c r="L20" i="6"/>
  <c r="L29" i="6" s="1"/>
  <c r="L38" i="6" s="1"/>
  <c r="M20" i="6"/>
  <c r="M29" i="6" s="1"/>
  <c r="M38" i="6" s="1"/>
  <c r="E13" i="2"/>
  <c r="E14" i="2"/>
  <c r="E16" i="2"/>
  <c r="G16" i="2"/>
  <c r="G13" i="2"/>
  <c r="G14" i="2"/>
  <c r="H16" i="2"/>
  <c r="H13" i="2"/>
  <c r="D30" i="6"/>
  <c r="E3" i="5"/>
  <c r="E5" i="5" s="1"/>
  <c r="E6" i="5" l="1"/>
  <c r="F7" i="5" s="1"/>
  <c r="E7" i="5"/>
  <c r="O51" i="2"/>
  <c r="H18" i="10"/>
  <c r="R18" i="6"/>
  <c r="R27" i="6" s="1"/>
  <c r="R36" i="6" s="1"/>
  <c r="L18" i="6"/>
  <c r="L27" i="6" s="1"/>
  <c r="L36" i="6" s="1"/>
  <c r="G18" i="2"/>
  <c r="G19" i="2" s="1"/>
  <c r="G23" i="2" s="1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R19" i="6"/>
  <c r="R28" i="6" s="1"/>
  <c r="R37" i="6" s="1"/>
  <c r="L19" i="6"/>
  <c r="L28" i="6" s="1"/>
  <c r="L37" i="6" s="1"/>
  <c r="Q19" i="6"/>
  <c r="Q28" i="6" s="1"/>
  <c r="Q37" i="6" s="1"/>
  <c r="S19" i="6"/>
  <c r="S28" i="6" s="1"/>
  <c r="S37" i="6" s="1"/>
  <c r="N19" i="6"/>
  <c r="N28" i="6" s="1"/>
  <c r="N37" i="6" s="1"/>
  <c r="H19" i="6"/>
  <c r="H28" i="6" s="1"/>
  <c r="H37" i="6" s="1"/>
  <c r="H18" i="2"/>
  <c r="H19" i="2" s="1"/>
  <c r="H23" i="2" s="1"/>
  <c r="O19" i="6"/>
  <c r="O28" i="6" s="1"/>
  <c r="O37" i="6" s="1"/>
  <c r="J19" i="6"/>
  <c r="J28" i="6" s="1"/>
  <c r="J37" i="6" s="1"/>
  <c r="M19" i="6"/>
  <c r="M28" i="6" s="1"/>
  <c r="M37" i="6" s="1"/>
  <c r="K19" i="6"/>
  <c r="K28" i="6" s="1"/>
  <c r="K37" i="6" s="1"/>
  <c r="P19" i="6"/>
  <c r="P28" i="6" s="1"/>
  <c r="P37" i="6" s="1"/>
  <c r="I19" i="6"/>
  <c r="I28" i="6" s="1"/>
  <c r="I37" i="6" s="1"/>
  <c r="K16" i="6"/>
  <c r="K25" i="6" s="1"/>
  <c r="K34" i="6" s="1"/>
  <c r="P16" i="6"/>
  <c r="P25" i="6" s="1"/>
  <c r="P34" i="6" s="1"/>
  <c r="E18" i="2"/>
  <c r="E19" i="2" s="1"/>
  <c r="E23" i="2" s="1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F19" i="2" s="1"/>
  <c r="F23" i="2" s="1"/>
  <c r="O17" i="6"/>
  <c r="O26" i="6" s="1"/>
  <c r="O35" i="6" s="1"/>
  <c r="J17" i="6"/>
  <c r="J26" i="6" s="1"/>
  <c r="J35" i="6" s="1"/>
  <c r="Q17" i="6"/>
  <c r="Q26" i="6" s="1"/>
  <c r="Q35" i="6" s="1"/>
  <c r="O50" i="2" l="1"/>
  <c r="H17" i="10"/>
  <c r="O49" i="2"/>
  <c r="H16" i="10"/>
  <c r="O48" i="2"/>
  <c r="H15" i="10"/>
  <c r="O47" i="2"/>
  <c r="H14" i="10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H33" i="6" s="1"/>
  <c r="D18" i="2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C14" i="10" l="1"/>
  <c r="D14" i="10" s="1"/>
  <c r="D19" i="2"/>
  <c r="D23" i="2" s="1"/>
  <c r="E8" i="5"/>
  <c r="F6" i="5"/>
  <c r="G7" i="5" s="1"/>
  <c r="O40" i="2"/>
  <c r="P40" i="2" s="1"/>
  <c r="O41" i="2"/>
  <c r="M30" i="6"/>
  <c r="M33" i="6"/>
  <c r="M39" i="6" s="1"/>
  <c r="N3" i="5" s="1"/>
  <c r="H39" i="6"/>
  <c r="I3" i="5" s="1"/>
  <c r="H30" i="6"/>
  <c r="L33" i="6"/>
  <c r="L39" i="6" s="1"/>
  <c r="M3" i="5" s="1"/>
  <c r="L30" i="6"/>
  <c r="I30" i="6"/>
  <c r="I33" i="6"/>
  <c r="I39" i="6" s="1"/>
  <c r="J3" i="5" s="1"/>
  <c r="J33" i="6"/>
  <c r="J39" i="6" s="1"/>
  <c r="K3" i="5" s="1"/>
  <c r="J30" i="6"/>
  <c r="N33" i="6"/>
  <c r="N39" i="6" s="1"/>
  <c r="O3" i="5" s="1"/>
  <c r="N30" i="6"/>
  <c r="R33" i="6"/>
  <c r="R39" i="6" s="1"/>
  <c r="S3" i="5" s="1"/>
  <c r="R30" i="6"/>
  <c r="P30" i="6"/>
  <c r="P33" i="6"/>
  <c r="P39" i="6" s="1"/>
  <c r="Q3" i="5" s="1"/>
  <c r="O33" i="6"/>
  <c r="O39" i="6" s="1"/>
  <c r="P3" i="5" s="1"/>
  <c r="O30" i="6"/>
  <c r="S33" i="6"/>
  <c r="S39" i="6" s="1"/>
  <c r="T3" i="5" s="1"/>
  <c r="S30" i="6"/>
  <c r="K33" i="6"/>
  <c r="K39" i="6" s="1"/>
  <c r="L3" i="5" s="1"/>
  <c r="K30" i="6"/>
  <c r="Q33" i="6"/>
  <c r="Q39" i="6" s="1"/>
  <c r="R3" i="5" s="1"/>
  <c r="Q30" i="6"/>
  <c r="V3" i="5" l="1"/>
  <c r="C19" i="2"/>
  <c r="C23" i="2" s="1"/>
  <c r="O52" i="2" s="1"/>
  <c r="C15" i="10"/>
  <c r="C16" i="10" s="1"/>
  <c r="D16" i="10" s="1"/>
  <c r="P5" i="5"/>
  <c r="K5" i="5"/>
  <c r="Q5" i="5"/>
  <c r="L5" i="5"/>
  <c r="M5" i="5"/>
  <c r="T5" i="5"/>
  <c r="S5" i="5"/>
  <c r="R5" i="5"/>
  <c r="N5" i="5"/>
  <c r="F8" i="5"/>
  <c r="G6" i="5"/>
  <c r="O42" i="2"/>
  <c r="P42" i="2" s="1"/>
  <c r="P41" i="2"/>
  <c r="I5" i="5"/>
  <c r="D15" i="10" l="1"/>
  <c r="H7" i="5"/>
  <c r="H6" i="5"/>
  <c r="H19" i="10"/>
  <c r="B18" i="5"/>
  <c r="O5" i="5"/>
  <c r="J5" i="5"/>
  <c r="O46" i="2"/>
  <c r="H13" i="10"/>
  <c r="G8" i="5"/>
  <c r="H8" i="5" l="1"/>
  <c r="B16" i="5" s="1"/>
  <c r="I7" i="5" l="1"/>
  <c r="I6" i="5"/>
  <c r="J7" i="5" s="1"/>
  <c r="E16" i="1"/>
  <c r="E18" i="1" s="1"/>
  <c r="I8" i="5" l="1"/>
  <c r="J6" i="5"/>
  <c r="K7" i="5" s="1"/>
  <c r="K6" i="5" l="1"/>
  <c r="L7" i="5" s="1"/>
  <c r="J8" i="5"/>
  <c r="K8" i="5" l="1"/>
  <c r="L6" i="5"/>
  <c r="M7" i="5" s="1"/>
  <c r="L8" i="5" l="1"/>
  <c r="M6" i="5"/>
  <c r="N7" i="5" s="1"/>
  <c r="N6" i="5" l="1"/>
  <c r="M8" i="5"/>
  <c r="N8" i="5" l="1"/>
  <c r="O7" i="5" s="1"/>
  <c r="O6" i="5" l="1"/>
  <c r="P7" i="5" s="1"/>
  <c r="O8" i="5" l="1"/>
  <c r="P6" i="5"/>
  <c r="Q7" i="5" s="1"/>
  <c r="P8" i="5" l="1"/>
  <c r="Q6" i="5"/>
  <c r="R7" i="5" s="1"/>
  <c r="Q8" i="5" l="1"/>
  <c r="R6" i="5"/>
  <c r="S7" i="5" s="1"/>
  <c r="R8" i="5" l="1"/>
  <c r="S6" i="5"/>
  <c r="T6" i="5" l="1"/>
  <c r="T7" i="5"/>
  <c r="S8" i="5"/>
  <c r="B19" i="5" l="1"/>
  <c r="B20" i="5" s="1"/>
  <c r="V7" i="5"/>
  <c r="T8" i="5"/>
  <c r="B49" i="3"/>
  <c r="E48" i="3"/>
  <c r="D49" i="3"/>
  <c r="C49" i="3"/>
  <c r="D48" i="3"/>
  <c r="E49" i="3"/>
  <c r="E50" i="3" s="1"/>
  <c r="C48" i="3"/>
  <c r="B48" i="3"/>
  <c r="E20" i="1" l="1"/>
  <c r="E22" i="1" s="1"/>
  <c r="B52" i="3"/>
  <c r="D52" i="3"/>
  <c r="C52" i="3"/>
  <c r="C50" i="3"/>
  <c r="D50" i="3"/>
  <c r="B50" i="3"/>
  <c r="E52" i="3"/>
  <c r="E26" i="1" l="1"/>
  <c r="U30" i="6" s="1"/>
  <c r="U3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B24" authorId="0" shapeId="0" xr:uid="{CCBB8500-2E67-4A57-B719-3C613CF7F474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2.652% x (1-.21) = 2.095
COE: 4.559%
Total 6.654%</t>
        </r>
      </text>
    </comment>
  </commentList>
</comments>
</file>

<file path=xl/sharedStrings.xml><?xml version="1.0" encoding="utf-8"?>
<sst xmlns="http://schemas.openxmlformats.org/spreadsheetml/2006/main" count="264" uniqueCount="178">
  <si>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</si>
  <si>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</si>
  <si>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</si>
  <si>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</si>
  <si>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</si>
  <si>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</si>
  <si>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</si>
  <si>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</si>
  <si>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</si>
  <si>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</si>
  <si>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</si>
  <si>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</si>
  <si>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</si>
  <si>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</si>
  <si>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</si>
  <si>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</si>
  <si>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</si>
  <si>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</si>
  <si>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</si>
  <si>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</si>
  <si>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</si>
  <si>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</si>
  <si>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</si>
  <si>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</si>
  <si>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</si>
  <si>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</si>
  <si>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</si>
  <si>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</si>
  <si>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</si>
  <si>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</si>
  <si>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</si>
  <si>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</si>
  <si>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</si>
  <si>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</si>
  <si>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</si>
  <si>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</si>
  <si>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</si>
  <si>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</si>
  <si>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</si>
  <si>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</si>
  <si>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</si>
  <si>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</si>
  <si>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</si>
  <si>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</si>
  <si>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</si>
  <si>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</si>
  <si>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</si>
  <si>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</si>
  <si>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</si>
  <si>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</si>
  <si>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</si>
  <si>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</si>
  <si>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</si>
  <si>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</si>
  <si>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</si>
  <si>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</si>
  <si>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</si>
  <si>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</si>
  <si>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</si>
  <si>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</si>
  <si>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</si>
  <si>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</si>
  <si>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</si>
  <si>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</si>
  <si>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</si>
  <si>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</si>
  <si>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</si>
  <si>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</si>
  <si>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</si>
  <si>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</si>
  <si>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</si>
  <si>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</si>
  <si>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</si>
  <si>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</si>
  <si>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</si>
  <si>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</si>
  <si>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</si>
  <si>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</si>
  <si>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</si>
  <si>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</si>
  <si>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</si>
  <si>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</si>
  <si>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</si>
  <si>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</si>
  <si>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</si>
  <si>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</si>
  <si>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</si>
  <si>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</si>
  <si>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</si>
  <si>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Forecast End of June Balance</t>
  </si>
  <si>
    <t>Forecast Annual REC Sales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</si>
  <si>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</si>
  <si>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</si>
  <si>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</si>
  <si>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</si>
  <si>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</si>
  <si>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</si>
  <si>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</si>
  <si>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</si>
  <si>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</si>
  <si>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</si>
  <si>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</si>
  <si>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</si>
  <si>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</si>
  <si>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</si>
  <si>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</si>
  <si>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</si>
  <si>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</si>
  <si>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</si>
  <si>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</si>
  <si>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</si>
  <si>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</si>
  <si>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</si>
  <si>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</si>
  <si>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</si>
  <si>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</si>
  <si>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</si>
  <si>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</si>
  <si>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</si>
  <si>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</si>
  <si>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 xml:space="preserve"> Gray shaded box is Confidential per WAC-480-07-160</t>
  </si>
  <si>
    <t>SCHEDULE 1, 2</t>
  </si>
  <si>
    <t>WA001/WA002</t>
  </si>
  <si>
    <t>Residential Schedule 001/002</t>
  </si>
  <si>
    <t xml:space="preserve">Net REC Revenue Amortization Credit </t>
  </si>
  <si>
    <t>Electric Service</t>
  </si>
  <si>
    <t>Current Bill Rate</t>
  </si>
  <si>
    <t>Proposed Increase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</si>
  <si>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</si>
  <si>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</si>
  <si>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</si>
  <si>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</si>
  <si>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</si>
  <si>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</si>
  <si>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</si>
  <si>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</si>
  <si>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25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</si>
  <si>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</si>
  <si>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</si>
  <si>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</si>
  <si>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</si>
  <si>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</si>
  <si>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</si>
  <si>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</si>
  <si>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</si>
  <si>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</si>
  <si>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Increase in Billed Revenue</t>
  </si>
  <si>
    <t>Overall</t>
  </si>
  <si>
    <t xml:space="preserve"> UE-170485</t>
  </si>
  <si>
    <t>UE-170485</t>
  </si>
  <si>
    <t>Present</t>
  </si>
  <si>
    <t>Proposed</t>
  </si>
  <si>
    <t>Over 1,500 Kwh/Month</t>
  </si>
  <si>
    <t>Total Rebate Amount (Grossed Up)</t>
  </si>
  <si>
    <t>Acct 186322</t>
  </si>
  <si>
    <t>Balance Sheet</t>
  </si>
  <si>
    <t>UE-190334</t>
  </si>
  <si>
    <t>Approved In</t>
  </si>
  <si>
    <t xml:space="preserve"> UE-190334</t>
  </si>
  <si>
    <t>TWELVE MONTHS ENDED DECEMBER 31, 2018 (Effective 04/01/20)</t>
  </si>
  <si>
    <t>Morgan Stanley</t>
  </si>
  <si>
    <t>Shell</t>
  </si>
  <si>
    <t>UE-190334 Cost of Service Study</t>
  </si>
  <si>
    <t>Bill at 918 kWhs</t>
  </si>
  <si>
    <t>Proposed Change</t>
  </si>
  <si>
    <t>Change in Billed Revenue</t>
  </si>
  <si>
    <r>
      <t>PT Ratio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</si>
  <si>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>Remains consistent with ERM Authorized Power Supply Base</t>
    </r>
  </si>
  <si>
    <t>Projected end of June 2021 Balance</t>
  </si>
  <si>
    <t>July 2021 - June 2022 REC Revenue Forecast</t>
  </si>
  <si>
    <t>July 2021 - June 2022 Amortization Credit</t>
  </si>
  <si>
    <t>Acct 186324</t>
  </si>
  <si>
    <t xml:space="preserve">EREV Feb Mid-month 02.12.21 </t>
  </si>
  <si>
    <t>July 1, 2021 through June 30, 2022 Forecasted Loads (input)</t>
  </si>
  <si>
    <t>Interstate Gas</t>
  </si>
  <si>
    <t>Total Projected REC Balance as of June 2022</t>
  </si>
  <si>
    <t>Plus Bill Impact</t>
  </si>
  <si>
    <t>Residential Bill Impact (914 kWh's)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</si>
</sst>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</numFmts>
  <fonts count="15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490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54" fillId="0" borderId="0">
      <alignment readingOrder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4" fillId="0" borderId="0">
      <alignment readingOrder="1"/>
    </xf>
    <xf numFmtId="0" fontId="4" fillId="0" borderId="0"/>
    <xf numFmtId="3" fontId="15" fillId="0" borderId="0"/>
    <xf numFmtId="3" fontId="15" fillId="0" borderId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4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63" fillId="0" borderId="0"/>
    <xf numFmtId="0" fontId="63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63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63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63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4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7" fontId="16" fillId="0" borderId="0">
      <alignment horizontal="left" wrapText="1"/>
    </xf>
    <xf numFmtId="177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63" fillId="0" borderId="0"/>
    <xf numFmtId="0" fontId="63" fillId="0" borderId="0"/>
    <xf numFmtId="178" fontId="65" fillId="0" borderId="0">
      <alignment horizontal="left"/>
    </xf>
    <xf numFmtId="179" fontId="66" fillId="0" borderId="0">
      <alignment horizontal="left"/>
    </xf>
    <xf numFmtId="0" fontId="67" fillId="0" borderId="34"/>
    <xf numFmtId="0" fontId="68" fillId="0" borderId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171" fontId="64" fillId="0" borderId="0">
      <alignment horizontal="left" wrapText="1"/>
    </xf>
    <xf numFmtId="0" fontId="69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171" fontId="64" fillId="0" borderId="0">
      <alignment horizontal="left" wrapText="1"/>
    </xf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69" fillId="38" borderId="0" applyNumberFormat="0" applyBorder="0" applyAlignment="0" applyProtection="0"/>
    <xf numFmtId="171" fontId="64" fillId="0" borderId="0">
      <alignment horizontal="left" wrapText="1"/>
    </xf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171" fontId="64" fillId="0" borderId="0">
      <alignment horizontal="left" wrapText="1"/>
    </xf>
    <xf numFmtId="0" fontId="69" fillId="4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171" fontId="64" fillId="0" borderId="0">
      <alignment horizontal="left" wrapText="1"/>
    </xf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9" fillId="40" borderId="0" applyNumberFormat="0" applyBorder="0" applyAlignment="0" applyProtection="0"/>
    <xf numFmtId="171" fontId="64" fillId="0" borderId="0">
      <alignment horizontal="left" wrapText="1"/>
    </xf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171" fontId="64" fillId="0" borderId="0">
      <alignment horizontal="left" wrapText="1"/>
    </xf>
    <xf numFmtId="0" fontId="69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171" fontId="64" fillId="0" borderId="0">
      <alignment horizontal="left" wrapText="1"/>
    </xf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9" fillId="42" borderId="0" applyNumberFormat="0" applyBorder="0" applyAlignment="0" applyProtection="0"/>
    <xf numFmtId="171" fontId="64" fillId="0" borderId="0">
      <alignment horizontal="left" wrapText="1"/>
    </xf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171" fontId="64" fillId="0" borderId="0">
      <alignment horizontal="left" wrapText="1"/>
    </xf>
    <xf numFmtId="0" fontId="69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171" fontId="64" fillId="0" borderId="0">
      <alignment horizontal="left" wrapText="1"/>
    </xf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9" fillId="44" borderId="0" applyNumberFormat="0" applyBorder="0" applyAlignment="0" applyProtection="0"/>
    <xf numFmtId="171" fontId="64" fillId="0" borderId="0">
      <alignment horizontal="left" wrapText="1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171" fontId="64" fillId="0" borderId="0">
      <alignment horizontal="left" wrapText="1"/>
    </xf>
    <xf numFmtId="0" fontId="69" fillId="4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9" fillId="4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171" fontId="64" fillId="0" borderId="0">
      <alignment horizontal="left" wrapText="1"/>
    </xf>
    <xf numFmtId="0" fontId="69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171" fontId="64" fillId="0" borderId="0">
      <alignment horizontal="left" wrapText="1"/>
    </xf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9" fillId="45" borderId="0" applyNumberFormat="0" applyBorder="0" applyAlignment="0" applyProtection="0"/>
    <xf numFmtId="171" fontId="64" fillId="0" borderId="0">
      <alignment horizontal="left" wrapText="1"/>
    </xf>
    <xf numFmtId="0" fontId="69" fillId="45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171" fontId="64" fillId="0" borderId="0">
      <alignment horizontal="left" wrapText="1"/>
    </xf>
    <xf numFmtId="0" fontId="69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171" fontId="64" fillId="0" borderId="0">
      <alignment horizontal="left" wrapText="1"/>
    </xf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69" fillId="39" borderId="0" applyNumberFormat="0" applyBorder="0" applyAlignment="0" applyProtection="0"/>
    <xf numFmtId="171" fontId="64" fillId="0" borderId="0">
      <alignment horizontal="left" wrapText="1"/>
    </xf>
    <xf numFmtId="0" fontId="69" fillId="39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171" fontId="64" fillId="0" borderId="0">
      <alignment horizontal="left" wrapText="1"/>
    </xf>
    <xf numFmtId="0" fontId="69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9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171" fontId="64" fillId="0" borderId="0">
      <alignment horizontal="left" wrapText="1"/>
    </xf>
    <xf numFmtId="0" fontId="69" fillId="4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171" fontId="64" fillId="0" borderId="0">
      <alignment horizontal="left" wrapText="1"/>
    </xf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9" fillId="47" borderId="0" applyNumberFormat="0" applyBorder="0" applyAlignment="0" applyProtection="0"/>
    <xf numFmtId="171" fontId="64" fillId="0" borderId="0">
      <alignment horizontal="left" wrapText="1"/>
    </xf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171" fontId="64" fillId="0" borderId="0">
      <alignment horizontal="left" wrapText="1"/>
    </xf>
    <xf numFmtId="0" fontId="69" fillId="4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71" fontId="64" fillId="0" borderId="0">
      <alignment horizontal="left" wrapText="1"/>
    </xf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9" fillId="44" borderId="0" applyNumberFormat="0" applyBorder="0" applyAlignment="0" applyProtection="0"/>
    <xf numFmtId="171" fontId="64" fillId="0" borderId="0">
      <alignment horizontal="left" wrapText="1"/>
    </xf>
    <xf numFmtId="0" fontId="69" fillId="44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171" fontId="64" fillId="0" borderId="0">
      <alignment horizontal="left" wrapText="1"/>
    </xf>
    <xf numFmtId="0" fontId="69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171" fontId="64" fillId="0" borderId="0">
      <alignment horizontal="left" wrapText="1"/>
    </xf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69" fillId="39" borderId="0" applyNumberFormat="0" applyBorder="0" applyAlignment="0" applyProtection="0"/>
    <xf numFmtId="171" fontId="64" fillId="0" borderId="0">
      <alignment horizontal="left" wrapText="1"/>
    </xf>
    <xf numFmtId="0" fontId="69" fillId="39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171" fontId="64" fillId="0" borderId="0">
      <alignment horizontal="left" wrapText="1"/>
    </xf>
    <xf numFmtId="0" fontId="69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171" fontId="64" fillId="0" borderId="0">
      <alignment horizontal="left" wrapText="1"/>
    </xf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9" fillId="49" borderId="0" applyNumberFormat="0" applyBorder="0" applyAlignment="0" applyProtection="0"/>
    <xf numFmtId="171" fontId="64" fillId="0" borderId="0">
      <alignment horizontal="left" wrapText="1"/>
    </xf>
    <xf numFmtId="0" fontId="69" fillId="49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30" fillId="16" borderId="0" applyNumberFormat="0" applyBorder="0" applyAlignment="0" applyProtection="0"/>
    <xf numFmtId="0" fontId="30" fillId="46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20" borderId="0" applyNumberFormat="0" applyBorder="0" applyAlignment="0" applyProtection="0"/>
    <xf numFmtId="0" fontId="30" fillId="51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30" fillId="24" borderId="0" applyNumberFormat="0" applyBorder="0" applyAlignment="0" applyProtection="0"/>
    <xf numFmtId="0" fontId="30" fillId="49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30" fillId="28" borderId="0" applyNumberFormat="0" applyBorder="0" applyAlignment="0" applyProtection="0"/>
    <xf numFmtId="0" fontId="30" fillId="40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70" fillId="57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30" fillId="13" borderId="0" applyNumberFormat="0" applyBorder="0" applyAlignment="0" applyProtection="0"/>
    <xf numFmtId="0" fontId="30" fillId="59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30" fillId="13" borderId="0" applyNumberFormat="0" applyBorder="0" applyAlignment="0" applyProtection="0"/>
    <xf numFmtId="0" fontId="30" fillId="59" borderId="0" applyNumberFormat="0" applyBorder="0" applyAlignment="0" applyProtection="0"/>
    <xf numFmtId="171" fontId="64" fillId="0" borderId="0">
      <alignment horizontal="left" wrapText="1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1" borderId="0" applyNumberFormat="0" applyBorder="0" applyAlignment="0" applyProtection="0"/>
    <xf numFmtId="0" fontId="69" fillId="61" borderId="0" applyNumberFormat="0" applyBorder="0" applyAlignment="0" applyProtection="0"/>
    <xf numFmtId="0" fontId="70" fillId="62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30" fillId="17" borderId="0" applyNumberFormat="0" applyBorder="0" applyAlignment="0" applyProtection="0"/>
    <xf numFmtId="0" fontId="30" fillId="51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30" fillId="17" borderId="0" applyNumberFormat="0" applyBorder="0" applyAlignment="0" applyProtection="0"/>
    <xf numFmtId="0" fontId="30" fillId="51" borderId="0" applyNumberFormat="0" applyBorder="0" applyAlignment="0" applyProtection="0"/>
    <xf numFmtId="171" fontId="64" fillId="0" borderId="0">
      <alignment horizontal="left" wrapText="1"/>
    </xf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30" fillId="21" borderId="0" applyNumberFormat="0" applyBorder="0" applyAlignment="0" applyProtection="0"/>
    <xf numFmtId="0" fontId="30" fillId="49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30" fillId="21" borderId="0" applyNumberFormat="0" applyBorder="0" applyAlignment="0" applyProtection="0"/>
    <xf numFmtId="0" fontId="30" fillId="49" borderId="0" applyNumberFormat="0" applyBorder="0" applyAlignment="0" applyProtection="0"/>
    <xf numFmtId="171" fontId="64" fillId="0" borderId="0">
      <alignment horizontal="left" wrapText="1"/>
    </xf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70" fillId="67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70" fillId="66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30" fillId="25" borderId="0" applyNumberFormat="0" applyBorder="0" applyAlignment="0" applyProtection="0"/>
    <xf numFmtId="0" fontId="30" fillId="68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30" fillId="25" borderId="0" applyNumberFormat="0" applyBorder="0" applyAlignment="0" applyProtection="0"/>
    <xf numFmtId="0" fontId="30" fillId="68" borderId="0" applyNumberFormat="0" applyBorder="0" applyAlignment="0" applyProtection="0"/>
    <xf numFmtId="171" fontId="64" fillId="0" borderId="0">
      <alignment horizontal="left" wrapText="1"/>
    </xf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70" fillId="56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171" fontId="64" fillId="0" borderId="0">
      <alignment horizontal="left" wrapText="1"/>
    </xf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30" fillId="29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1" borderId="0" applyNumberFormat="0" applyBorder="0" applyAlignment="0" applyProtection="0"/>
    <xf numFmtId="0" fontId="69" fillId="61" borderId="0" applyNumberFormat="0" applyBorder="0" applyAlignment="0" applyProtection="0"/>
    <xf numFmtId="0" fontId="70" fillId="7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30" fillId="33" borderId="0" applyNumberFormat="0" applyBorder="0" applyAlignment="0" applyProtection="0"/>
    <xf numFmtId="0" fontId="30" fillId="63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30" fillId="33" borderId="0" applyNumberFormat="0" applyBorder="0" applyAlignment="0" applyProtection="0"/>
    <xf numFmtId="0" fontId="30" fillId="63" borderId="0" applyNumberFormat="0" applyBorder="0" applyAlignment="0" applyProtection="0"/>
    <xf numFmtId="171" fontId="64" fillId="0" borderId="0">
      <alignment horizontal="left" wrapText="1"/>
    </xf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48" fillId="7" borderId="0" applyNumberFormat="0" applyBorder="0" applyAlignment="0" applyProtection="0"/>
    <xf numFmtId="0" fontId="48" fillId="44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1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6" fillId="0" borderId="0" applyFont="0" applyFill="0" applyBorder="0" applyAlignment="0" applyProtection="0">
      <alignment horizontal="right"/>
    </xf>
    <xf numFmtId="0" fontId="68" fillId="0" borderId="34"/>
    <xf numFmtId="180" fontId="72" fillId="0" borderId="0" applyFill="0" applyBorder="0" applyAlignment="0"/>
    <xf numFmtId="180" fontId="72" fillId="0" borderId="0" applyFill="0" applyBorder="0" applyAlignment="0"/>
    <xf numFmtId="171" fontId="64" fillId="0" borderId="0">
      <alignment horizontal="left" wrapText="1"/>
    </xf>
    <xf numFmtId="171" fontId="64" fillId="0" borderId="0">
      <alignment horizontal="left" wrapText="1"/>
    </xf>
    <xf numFmtId="180" fontId="72" fillId="0" borderId="0" applyFill="0" applyBorder="0" applyAlignment="0"/>
    <xf numFmtId="41" fontId="16" fillId="71" borderId="0"/>
    <xf numFmtId="0" fontId="73" fillId="72" borderId="35" applyNumberFormat="0" applyAlignment="0" applyProtection="0"/>
    <xf numFmtId="171" fontId="64" fillId="0" borderId="0">
      <alignment horizontal="left" wrapText="1"/>
    </xf>
    <xf numFmtId="0" fontId="73" fillId="72" borderId="35" applyNumberFormat="0" applyAlignment="0" applyProtection="0"/>
    <xf numFmtId="0" fontId="51" fillId="10" borderId="28" applyNumberFormat="0" applyAlignment="0" applyProtection="0"/>
    <xf numFmtId="0" fontId="74" fillId="73" borderId="28" applyNumberFormat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1" fontId="16" fillId="71" borderId="0"/>
    <xf numFmtId="171" fontId="64" fillId="0" borderId="0">
      <alignment horizontal="left" wrapText="1"/>
    </xf>
    <xf numFmtId="41" fontId="16" fillId="71" borderId="0"/>
    <xf numFmtId="0" fontId="51" fillId="10" borderId="28" applyNumberFormat="0" applyAlignment="0" applyProtection="0"/>
    <xf numFmtId="0" fontId="74" fillId="73" borderId="28" applyNumberFormat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1" fontId="16" fillId="71" borderId="0"/>
    <xf numFmtId="41" fontId="16" fillId="71" borderId="0"/>
    <xf numFmtId="171" fontId="64" fillId="0" borderId="0">
      <alignment horizontal="left" wrapText="1"/>
    </xf>
    <xf numFmtId="41" fontId="16" fillId="71" borderId="0"/>
    <xf numFmtId="171" fontId="64" fillId="0" borderId="0">
      <alignment horizontal="left" wrapText="1"/>
    </xf>
    <xf numFmtId="41" fontId="16" fillId="71" borderId="0"/>
    <xf numFmtId="171" fontId="64" fillId="0" borderId="0">
      <alignment horizontal="left" wrapText="1"/>
    </xf>
    <xf numFmtId="41" fontId="16" fillId="71" borderId="0"/>
    <xf numFmtId="171" fontId="64" fillId="0" borderId="0">
      <alignment horizontal="left" wrapText="1"/>
    </xf>
    <xf numFmtId="41" fontId="16" fillId="71" borderId="0"/>
    <xf numFmtId="41" fontId="16" fillId="71" borderId="0"/>
    <xf numFmtId="41" fontId="16" fillId="71" borderId="0"/>
    <xf numFmtId="0" fontId="74" fillId="73" borderId="28" applyNumberFormat="0" applyAlignment="0" applyProtection="0"/>
    <xf numFmtId="0" fontId="51" fillId="10" borderId="28" applyNumberFormat="0" applyAlignment="0" applyProtection="0"/>
    <xf numFmtId="0" fontId="75" fillId="74" borderId="36" applyNumberFormat="0" applyAlignment="0" applyProtection="0"/>
    <xf numFmtId="0" fontId="75" fillId="74" borderId="36" applyNumberFormat="0" applyAlignment="0" applyProtection="0"/>
    <xf numFmtId="171" fontId="64" fillId="0" borderId="0">
      <alignment horizontal="left" wrapText="1"/>
    </xf>
    <xf numFmtId="0" fontId="75" fillId="74" borderId="36" applyNumberFormat="0" applyAlignment="0" applyProtection="0"/>
    <xf numFmtId="171" fontId="64" fillId="0" borderId="0">
      <alignment horizontal="left" wrapText="1"/>
    </xf>
    <xf numFmtId="0" fontId="31" fillId="11" borderId="31" applyNumberFormat="0" applyAlignment="0" applyProtection="0"/>
    <xf numFmtId="0" fontId="75" fillId="74" borderId="36" applyNumberFormat="0" applyAlignment="0" applyProtection="0"/>
    <xf numFmtId="41" fontId="16" fillId="37" borderId="0"/>
    <xf numFmtId="41" fontId="16" fillId="37" borderId="0"/>
    <xf numFmtId="171" fontId="64" fillId="0" borderId="0">
      <alignment horizontal="left" wrapText="1"/>
    </xf>
    <xf numFmtId="41" fontId="16" fillId="37" borderId="0"/>
    <xf numFmtId="41" fontId="16" fillId="37" borderId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7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8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3" fontId="69" fillId="0" borderId="0" applyFont="0" applyFill="0" applyBorder="0" applyAlignment="0" applyProtection="0"/>
    <xf numFmtId="171" fontId="64" fillId="0" borderId="0">
      <alignment horizontal="left" wrapText="1"/>
    </xf>
    <xf numFmtId="43" fontId="69" fillId="0" borderId="0" applyFont="0" applyFill="0" applyBorder="0" applyAlignment="0" applyProtection="0"/>
    <xf numFmtId="171" fontId="64" fillId="0" borderId="0">
      <alignment horizontal="left" wrapText="1"/>
    </xf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64" fillId="0" borderId="0">
      <alignment horizontal="left" wrapText="1"/>
    </xf>
    <xf numFmtId="43" fontId="16" fillId="0" borderId="0" applyFont="0" applyFill="0" applyBorder="0" applyAlignment="0" applyProtection="0"/>
    <xf numFmtId="3" fontId="79" fillId="0" borderId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1" fontId="64" fillId="0" borderId="0">
      <alignment horizontal="left" wrapText="1"/>
    </xf>
    <xf numFmtId="3" fontId="79" fillId="0" borderId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83" fontId="86" fillId="0" borderId="0">
      <protection locked="0"/>
    </xf>
    <xf numFmtId="0" fontId="82" fillId="0" borderId="0"/>
    <xf numFmtId="0" fontId="83" fillId="0" borderId="0"/>
    <xf numFmtId="0" fontId="83" fillId="0" borderId="0"/>
    <xf numFmtId="0" fontId="82" fillId="0" borderId="0"/>
    <xf numFmtId="0" fontId="81" fillId="0" borderId="0"/>
    <xf numFmtId="0" fontId="83" fillId="0" borderId="0"/>
    <xf numFmtId="0" fontId="87" fillId="0" borderId="0" applyNumberFormat="0" applyAlignment="0">
      <alignment horizontal="left"/>
    </xf>
    <xf numFmtId="0" fontId="87" fillId="0" borderId="0" applyNumberFormat="0" applyAlignment="0">
      <alignment horizontal="left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87" fillId="0" borderId="0" applyNumberFormat="0" applyAlignment="0">
      <alignment horizontal="left"/>
    </xf>
    <xf numFmtId="0" fontId="88" fillId="0" borderId="0" applyNumberFormat="0" applyAlignment="0"/>
    <xf numFmtId="0" fontId="88" fillId="0" borderId="0" applyNumberFormat="0" applyAlignment="0"/>
    <xf numFmtId="171" fontId="64" fillId="0" borderId="0">
      <alignment horizontal="left" wrapText="1"/>
    </xf>
    <xf numFmtId="171" fontId="64" fillId="0" borderId="0">
      <alignment horizontal="left" wrapText="1"/>
    </xf>
    <xf numFmtId="0" fontId="88" fillId="0" borderId="0" applyNumberFormat="0" applyAlignment="0"/>
    <xf numFmtId="0" fontId="80" fillId="0" borderId="0"/>
    <xf numFmtId="0" fontId="80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1" fillId="0" borderId="0"/>
    <xf numFmtId="0" fontId="83" fillId="0" borderId="0"/>
    <xf numFmtId="0" fontId="80" fillId="0" borderId="0"/>
    <xf numFmtId="0" fontId="80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8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8" fontId="76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89" fillId="0" borderId="0" applyFont="0" applyFill="0" applyBorder="0" applyAlignment="0" applyProtection="0"/>
    <xf numFmtId="44" fontId="90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8" fontId="8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64" fillId="0" borderId="0">
      <alignment horizontal="left" wrapText="1"/>
    </xf>
    <xf numFmtId="44" fontId="77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8" fontId="7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8" fontId="7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71" fontId="64" fillId="0" borderId="0">
      <alignment horizontal="left" wrapText="1"/>
    </xf>
    <xf numFmtId="184" fontId="16" fillId="0" borderId="0" applyFont="0" applyFill="0" applyBorder="0" applyAlignment="0" applyProtection="0"/>
    <xf numFmtId="171" fontId="64" fillId="0" borderId="0">
      <alignment horizontal="left" wrapText="1"/>
    </xf>
    <xf numFmtId="18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8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44" fontId="69" fillId="0" borderId="0" applyFont="0" applyFill="0" applyBorder="0" applyAlignment="0" applyProtection="0"/>
    <xf numFmtId="171" fontId="64" fillId="0" borderId="0">
      <alignment horizontal="left" wrapText="1"/>
    </xf>
    <xf numFmtId="44" fontId="69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64" fillId="0" borderId="0">
      <alignment horizontal="left" wrapText="1"/>
    </xf>
    <xf numFmtId="44" fontId="16" fillId="0" borderId="0" applyFont="0" applyFill="0" applyBorder="0" applyAlignment="0" applyProtection="0"/>
    <xf numFmtId="5" fontId="79" fillId="0" borderId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85" fontId="16" fillId="0" borderId="0" applyFont="0" applyFill="0" applyBorder="0" applyAlignment="0" applyProtection="0"/>
    <xf numFmtId="186" fontId="91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1" fontId="64" fillId="0" borderId="0">
      <alignment horizontal="left" wrapText="1"/>
    </xf>
    <xf numFmtId="5" fontId="79" fillId="0" borderId="0" applyFill="0" applyBorder="0" applyAlignment="0" applyProtection="0"/>
    <xf numFmtId="185" fontId="16" fillId="0" borderId="0" applyFont="0" applyFill="0" applyBorder="0" applyAlignment="0" applyProtection="0"/>
    <xf numFmtId="186" fontId="79" fillId="0" borderId="0" applyFont="0" applyFill="0" applyBorder="0" applyAlignment="0" applyProtection="0"/>
    <xf numFmtId="5" fontId="79" fillId="0" borderId="0" applyFill="0" applyBorder="0" applyAlignment="0" applyProtection="0"/>
    <xf numFmtId="185" fontId="16" fillId="0" borderId="0" applyFont="0" applyFill="0" applyBorder="0" applyAlignment="0" applyProtection="0"/>
    <xf numFmtId="187" fontId="79" fillId="0" borderId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171" fontId="64" fillId="0" borderId="0">
      <alignment horizontal="left" wrapText="1"/>
    </xf>
    <xf numFmtId="187" fontId="79" fillId="0" borderId="0" applyFill="0" applyBorder="0" applyAlignment="0" applyProtection="0"/>
    <xf numFmtId="0" fontId="84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79" fillId="0" borderId="0" applyFill="0" applyBorder="0" applyAlignment="0" applyProtection="0"/>
    <xf numFmtId="0" fontId="91" fillId="0" borderId="0" applyFont="0" applyFill="0" applyBorder="0" applyAlignment="0" applyProtection="0"/>
    <xf numFmtId="0" fontId="68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171" fontId="16" fillId="0" borderId="0"/>
    <xf numFmtId="171" fontId="16" fillId="0" borderId="0"/>
    <xf numFmtId="171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/>
    <xf numFmtId="171" fontId="16" fillId="0" borderId="0"/>
    <xf numFmtId="171" fontId="64" fillId="0" borderId="0">
      <alignment horizontal="left" wrapText="1"/>
    </xf>
    <xf numFmtId="171" fontId="16" fillId="0" borderId="0"/>
    <xf numFmtId="171" fontId="64" fillId="0" borderId="0">
      <alignment horizontal="left" wrapText="1"/>
    </xf>
    <xf numFmtId="171" fontId="16" fillId="0" borderId="0"/>
    <xf numFmtId="171" fontId="64" fillId="0" borderId="0">
      <alignment horizontal="left" wrapText="1"/>
    </xf>
    <xf numFmtId="188" fontId="93" fillId="0" borderId="0"/>
    <xf numFmtId="171" fontId="64" fillId="0" borderId="0">
      <alignment horizontal="left" wrapText="1"/>
    </xf>
    <xf numFmtId="171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/>
    <xf numFmtId="171" fontId="16" fillId="0" borderId="0"/>
    <xf numFmtId="171" fontId="16" fillId="0" borderId="0"/>
    <xf numFmtId="189" fontId="16" fillId="0" borderId="0" applyFont="0" applyFill="0" applyBorder="0" applyAlignment="0" applyProtection="0">
      <alignment horizontal="left" wrapText="1"/>
    </xf>
    <xf numFmtId="189" fontId="16" fillId="0" borderId="0" applyFont="0" applyFill="0" applyBorder="0" applyAlignment="0" applyProtection="0">
      <alignment horizontal="left" wrapText="1"/>
    </xf>
    <xf numFmtId="189" fontId="16" fillId="0" borderId="0" applyFont="0" applyFill="0" applyBorder="0" applyAlignment="0" applyProtection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89" fontId="16" fillId="0" borderId="0" applyFont="0" applyFill="0" applyBorder="0" applyAlignment="0" applyProtection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89" fontId="16" fillId="0" borderId="0" applyFont="0" applyFill="0" applyBorder="0" applyAlignment="0" applyProtection="0">
      <alignment horizontal="left"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1" fontId="64" fillId="0" borderId="0">
      <alignment horizontal="left" wrapText="1"/>
    </xf>
    <xf numFmtId="0" fontId="5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" fontId="79" fillId="0" borderId="0" applyFill="0" applyBorder="0" applyAlignment="0" applyProtection="0"/>
    <xf numFmtId="2" fontId="84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2" fontId="79" fillId="0" borderId="0" applyFont="0" applyFill="0" applyBorder="0" applyAlignment="0" applyProtection="0"/>
    <xf numFmtId="2" fontId="79" fillId="0" borderId="0" applyFont="0" applyFill="0" applyBorder="0" applyAlignment="0" applyProtection="0"/>
    <xf numFmtId="2" fontId="79" fillId="0" borderId="0" applyFill="0" applyBorder="0" applyAlignment="0" applyProtection="0"/>
    <xf numFmtId="2" fontId="84" fillId="0" borderId="0" applyFont="0" applyFill="0" applyBorder="0" applyAlignment="0" applyProtection="0"/>
    <xf numFmtId="0" fontId="80" fillId="0" borderId="0"/>
    <xf numFmtId="0" fontId="80" fillId="0" borderId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47" fillId="6" borderId="0" applyNumberFormat="0" applyBorder="0" applyAlignment="0" applyProtection="0"/>
    <xf numFmtId="0" fontId="47" fillId="46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95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171" fontId="64" fillId="0" borderId="0">
      <alignment horizontal="left" wrapText="1"/>
    </xf>
    <xf numFmtId="38" fontId="59" fillId="37" borderId="0" applyNumberFormat="0" applyBorder="0" applyAlignment="0" applyProtection="0"/>
    <xf numFmtId="0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38" fontId="59" fillId="37" borderId="0" applyNumberFormat="0" applyBorder="0" applyAlignment="0" applyProtection="0"/>
    <xf numFmtId="0" fontId="96" fillId="0" borderId="34"/>
    <xf numFmtId="190" fontId="57" fillId="0" borderId="0" applyNumberFormat="0" applyFill="0" applyBorder="0" applyProtection="0">
      <alignment horizontal="right"/>
    </xf>
    <xf numFmtId="0" fontId="97" fillId="0" borderId="2" applyNumberFormat="0" applyAlignment="0" applyProtection="0">
      <alignment horizontal="left"/>
    </xf>
    <xf numFmtId="0" fontId="97" fillId="0" borderId="2" applyNumberFormat="0" applyAlignment="0" applyProtection="0">
      <alignment horizontal="left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97" fillId="0" borderId="2" applyNumberFormat="0" applyAlignment="0" applyProtection="0">
      <alignment horizontal="left"/>
    </xf>
    <xf numFmtId="171" fontId="64" fillId="0" borderId="0">
      <alignment horizontal="left" wrapText="1"/>
    </xf>
    <xf numFmtId="0" fontId="97" fillId="0" borderId="16">
      <alignment horizontal="left"/>
    </xf>
    <xf numFmtId="0" fontId="97" fillId="0" borderId="16">
      <alignment horizontal="left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97" fillId="0" borderId="16">
      <alignment horizontal="left"/>
    </xf>
    <xf numFmtId="0" fontId="97" fillId="0" borderId="16">
      <alignment horizontal="left"/>
    </xf>
    <xf numFmtId="171" fontId="64" fillId="0" borderId="0">
      <alignment horizontal="left" wrapText="1"/>
    </xf>
    <xf numFmtId="14" fontId="56" fillId="78" borderId="37">
      <alignment horizontal="center" vertical="center" wrapText="1"/>
    </xf>
    <xf numFmtId="0" fontId="84" fillId="0" borderId="0" applyNumberFormat="0" applyFill="0" applyBorder="0" applyAlignment="0" applyProtection="0"/>
    <xf numFmtId="0" fontId="98" fillId="0" borderId="38" applyNumberFormat="0" applyFill="0" applyAlignment="0" applyProtection="0"/>
    <xf numFmtId="0" fontId="98" fillId="0" borderId="38" applyNumberFormat="0" applyFill="0" applyAlignment="0" applyProtection="0"/>
    <xf numFmtId="0" fontId="44" fillId="0" borderId="25" applyNumberFormat="0" applyFill="0" applyAlignment="0" applyProtection="0"/>
    <xf numFmtId="0" fontId="99" fillId="0" borderId="39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99" fillId="0" borderId="39" applyNumberFormat="0" applyFill="0" applyAlignment="0" applyProtection="0"/>
    <xf numFmtId="0" fontId="44" fillId="0" borderId="25" applyNumberFormat="0" applyFill="0" applyAlignment="0" applyProtection="0"/>
    <xf numFmtId="0" fontId="99" fillId="0" borderId="39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00" fillId="0" borderId="0" applyNumberFormat="0" applyFill="0" applyBorder="0" applyAlignment="0" applyProtection="0"/>
    <xf numFmtId="171" fontId="64" fillId="0" borderId="0">
      <alignment horizontal="left" wrapText="1"/>
    </xf>
    <xf numFmtId="0" fontId="99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9" applyNumberFormat="0" applyFill="0" applyAlignment="0" applyProtection="0"/>
    <xf numFmtId="0" fontId="44" fillId="0" borderId="25" applyNumberFormat="0" applyFill="0" applyAlignment="0" applyProtection="0"/>
    <xf numFmtId="0" fontId="84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01" fillId="0" borderId="40" applyNumberFormat="0" applyFill="0" applyAlignment="0" applyProtection="0"/>
    <xf numFmtId="0" fontId="45" fillId="0" borderId="26" applyNumberFormat="0" applyFill="0" applyAlignment="0" applyProtection="0"/>
    <xf numFmtId="0" fontId="102" fillId="0" borderId="41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02" fillId="0" borderId="41" applyNumberFormat="0" applyFill="0" applyAlignment="0" applyProtection="0"/>
    <xf numFmtId="0" fontId="45" fillId="0" borderId="26" applyNumberFormat="0" applyFill="0" applyAlignment="0" applyProtection="0"/>
    <xf numFmtId="0" fontId="102" fillId="0" borderId="41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59" fillId="0" borderId="0" applyNumberFormat="0" applyFill="0" applyBorder="0" applyAlignment="0" applyProtection="0"/>
    <xf numFmtId="171" fontId="64" fillId="0" borderId="0">
      <alignment horizontal="left" wrapText="1"/>
    </xf>
    <xf numFmtId="0" fontId="102" fillId="0" borderId="41" applyNumberFormat="0" applyFill="0" applyAlignment="0" applyProtection="0"/>
    <xf numFmtId="0" fontId="59" fillId="0" borderId="0" applyNumberFormat="0" applyFill="0" applyBorder="0" applyAlignment="0" applyProtection="0"/>
    <xf numFmtId="0" fontId="102" fillId="0" borderId="41" applyNumberFormat="0" applyFill="0" applyAlignment="0" applyProtection="0"/>
    <xf numFmtId="0" fontId="45" fillId="0" borderId="26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46" fillId="0" borderId="27" applyNumberFormat="0" applyFill="0" applyAlignment="0" applyProtection="0"/>
    <xf numFmtId="0" fontId="104" fillId="0" borderId="43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105" fillId="0" borderId="0"/>
    <xf numFmtId="38" fontId="105" fillId="0" borderId="0"/>
    <xf numFmtId="38" fontId="105" fillId="0" borderId="0"/>
    <xf numFmtId="38" fontId="105" fillId="0" borderId="0"/>
    <xf numFmtId="171" fontId="64" fillId="0" borderId="0">
      <alignment horizontal="left" wrapText="1"/>
    </xf>
    <xf numFmtId="0" fontId="105" fillId="0" borderId="0"/>
    <xf numFmtId="0" fontId="105" fillId="0" borderId="0"/>
    <xf numFmtId="0" fontId="105" fillId="0" borderId="0"/>
    <xf numFmtId="38" fontId="105" fillId="0" borderId="0"/>
    <xf numFmtId="38" fontId="105" fillId="0" borderId="0"/>
    <xf numFmtId="38" fontId="105" fillId="0" borderId="0"/>
    <xf numFmtId="40" fontId="105" fillId="0" borderId="0"/>
    <xf numFmtId="40" fontId="105" fillId="0" borderId="0"/>
    <xf numFmtId="40" fontId="105" fillId="0" borderId="0"/>
    <xf numFmtId="40" fontId="105" fillId="0" borderId="0"/>
    <xf numFmtId="171" fontId="64" fillId="0" borderId="0">
      <alignment horizontal="left" wrapText="1"/>
    </xf>
    <xf numFmtId="0" fontId="105" fillId="0" borderId="0"/>
    <xf numFmtId="0" fontId="105" fillId="0" borderId="0"/>
    <xf numFmtId="0" fontId="105" fillId="0" borderId="0"/>
    <xf numFmtId="40" fontId="105" fillId="0" borderId="0"/>
    <xf numFmtId="40" fontId="105" fillId="0" borderId="0"/>
    <xf numFmtId="40" fontId="105" fillId="0" borderId="0"/>
    <xf numFmtId="0" fontId="58" fillId="0" borderId="0" applyNumberFormat="0" applyFill="0" applyBorder="0" applyAlignment="0" applyProtection="0">
      <alignment vertical="top"/>
      <protection locked="0"/>
    </xf>
    <xf numFmtId="171" fontId="64" fillId="0" borderId="0">
      <alignment horizontal="left" wrapText="1"/>
    </xf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71" fontId="64" fillId="0" borderId="0">
      <alignment horizontal="left" wrapText="1"/>
    </xf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171" fontId="64" fillId="0" borderId="0">
      <alignment horizontal="left" wrapText="1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49" fillId="9" borderId="28" applyNumberFormat="0" applyAlignment="0" applyProtection="0"/>
    <xf numFmtId="0" fontId="49" fillId="48" borderId="28" applyNumberFormat="0" applyAlignment="0" applyProtection="0"/>
    <xf numFmtId="0" fontId="106" fillId="45" borderId="35" applyNumberFormat="0" applyAlignment="0" applyProtection="0"/>
    <xf numFmtId="171" fontId="64" fillId="0" borderId="0">
      <alignment horizontal="left" wrapText="1"/>
    </xf>
    <xf numFmtId="0" fontId="106" fillId="45" borderId="35" applyNumberFormat="0" applyAlignment="0" applyProtection="0"/>
    <xf numFmtId="0" fontId="49" fillId="9" borderId="28" applyNumberFormat="0" applyAlignment="0" applyProtection="0"/>
    <xf numFmtId="0" fontId="49" fillId="48" borderId="28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41" fontId="55" fillId="79" borderId="44">
      <alignment horizontal="left"/>
      <protection locked="0"/>
    </xf>
    <xf numFmtId="171" fontId="64" fillId="0" borderId="0">
      <alignment horizontal="left" wrapText="1"/>
    </xf>
    <xf numFmtId="41" fontId="55" fillId="79" borderId="44">
      <alignment horizontal="left"/>
      <protection locked="0"/>
    </xf>
    <xf numFmtId="10" fontId="55" fillId="79" borderId="44">
      <alignment horizontal="right"/>
      <protection locked="0"/>
    </xf>
    <xf numFmtId="171" fontId="64" fillId="0" borderId="0">
      <alignment horizontal="left" wrapText="1"/>
    </xf>
    <xf numFmtId="10" fontId="55" fillId="79" borderId="44">
      <alignment horizontal="right"/>
      <protection locked="0"/>
    </xf>
    <xf numFmtId="171" fontId="64" fillId="0" borderId="0">
      <alignment horizontal="left" wrapText="1"/>
    </xf>
    <xf numFmtId="41" fontId="55" fillId="79" borderId="44">
      <alignment horizontal="left"/>
      <protection locked="0"/>
    </xf>
    <xf numFmtId="0" fontId="96" fillId="0" borderId="45"/>
    <xf numFmtId="0" fontId="59" fillId="37" borderId="0"/>
    <xf numFmtId="0" fontId="59" fillId="37" borderId="0"/>
    <xf numFmtId="0" fontId="59" fillId="37" borderId="0"/>
    <xf numFmtId="0" fontId="59" fillId="37" borderId="0"/>
    <xf numFmtId="171" fontId="64" fillId="0" borderId="0">
      <alignment horizontal="left" wrapText="1"/>
    </xf>
    <xf numFmtId="3" fontId="107" fillId="0" borderId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3" fontId="107" fillId="0" borderId="0" applyFill="0" applyBorder="0" applyAlignment="0" applyProtection="0"/>
    <xf numFmtId="3" fontId="107" fillId="0" borderId="0" applyFill="0" applyBorder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52" fillId="0" borderId="30" applyNumberFormat="0" applyFill="0" applyAlignment="0" applyProtection="0"/>
    <xf numFmtId="0" fontId="109" fillId="0" borderId="47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171" fontId="64" fillId="0" borderId="0">
      <alignment horizontal="left" wrapText="1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8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171" fontId="64" fillId="0" borderId="0">
      <alignment horizontal="left" wrapText="1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44" fontId="56" fillId="0" borderId="49" applyNumberFormat="0" applyFont="0" applyAlignment="0">
      <alignment horizont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61" fillId="8" borderId="0" applyNumberFormat="0" applyBorder="0" applyAlignment="0" applyProtection="0"/>
    <xf numFmtId="0" fontId="111" fillId="8" borderId="0" applyNumberForma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12" fillId="4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37" fontId="113" fillId="0" borderId="0"/>
    <xf numFmtId="37" fontId="113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37" fontId="113" fillId="0" borderId="0"/>
    <xf numFmtId="192" fontId="114" fillId="0" borderId="0"/>
    <xf numFmtId="193" fontId="16" fillId="0" borderId="0"/>
    <xf numFmtId="193" fontId="16" fillId="0" borderId="0"/>
    <xf numFmtId="171" fontId="64" fillId="0" borderId="0">
      <alignment horizontal="left" wrapText="1"/>
    </xf>
    <xf numFmtId="193" fontId="16" fillId="0" borderId="0"/>
    <xf numFmtId="193" fontId="16" fillId="0" borderId="0"/>
    <xf numFmtId="193" fontId="16" fillId="0" borderId="0"/>
    <xf numFmtId="193" fontId="16" fillId="0" borderId="0"/>
    <xf numFmtId="171" fontId="64" fillId="0" borderId="0">
      <alignment horizontal="left" wrapText="1"/>
    </xf>
    <xf numFmtId="193" fontId="16" fillId="0" borderId="0"/>
    <xf numFmtId="193" fontId="16" fillId="0" borderId="0"/>
    <xf numFmtId="193" fontId="16" fillId="0" borderId="0"/>
    <xf numFmtId="193" fontId="16" fillId="0" borderId="0"/>
    <xf numFmtId="171" fontId="64" fillId="0" borderId="0">
      <alignment horizontal="left" wrapText="1"/>
    </xf>
    <xf numFmtId="193" fontId="16" fillId="0" borderId="0"/>
    <xf numFmtId="193" fontId="16" fillId="0" borderId="0"/>
    <xf numFmtId="194" fontId="64" fillId="0" borderId="0"/>
    <xf numFmtId="194" fontId="64" fillId="0" borderId="0"/>
    <xf numFmtId="192" fontId="114" fillId="0" borderId="0"/>
    <xf numFmtId="0" fontId="16" fillId="0" borderId="0"/>
    <xf numFmtId="192" fontId="114" fillId="0" borderId="0"/>
    <xf numFmtId="195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94" fontId="64" fillId="0" borderId="0"/>
    <xf numFmtId="196" fontId="16" fillId="0" borderId="0"/>
    <xf numFmtId="197" fontId="78" fillId="0" borderId="0"/>
    <xf numFmtId="177" fontId="16" fillId="0" borderId="0">
      <alignment horizontal="left" wrapText="1"/>
    </xf>
    <xf numFmtId="177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6" fillId="0" borderId="0" applyFill="0" applyBorder="0" applyAlignment="0" applyProtection="0"/>
    <xf numFmtId="0" fontId="4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193" fontId="64" fillId="0" borderId="0">
      <alignment horizontal="left" wrapText="1"/>
    </xf>
    <xf numFmtId="0" fontId="69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193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16" fillId="0" borderId="0"/>
    <xf numFmtId="0" fontId="4" fillId="0" borderId="0"/>
    <xf numFmtId="193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16" fillId="0" borderId="0"/>
    <xf numFmtId="193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0" fontId="16" fillId="0" borderId="0"/>
    <xf numFmtId="193" fontId="64" fillId="0" borderId="0">
      <alignment horizontal="left" wrapText="1"/>
    </xf>
    <xf numFmtId="171" fontId="16" fillId="0" borderId="0">
      <alignment horizontal="left" wrapText="1"/>
    </xf>
    <xf numFmtId="193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93" fontId="64" fillId="0" borderId="0">
      <alignment horizontal="left" wrapText="1"/>
    </xf>
    <xf numFmtId="193" fontId="64" fillId="0" borderId="0">
      <alignment horizontal="left" wrapText="1"/>
    </xf>
    <xf numFmtId="193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93" fontId="64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15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16" fillId="0" borderId="0"/>
    <xf numFmtId="0" fontId="69" fillId="0" borderId="0"/>
    <xf numFmtId="0" fontId="69" fillId="0" borderId="0"/>
    <xf numFmtId="0" fontId="69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/>
    <xf numFmtId="0" fontId="77" fillId="0" borderId="0"/>
    <xf numFmtId="171" fontId="64" fillId="0" borderId="0">
      <alignment horizontal="left" wrapText="1"/>
    </xf>
    <xf numFmtId="0" fontId="69" fillId="0" borderId="0"/>
    <xf numFmtId="0" fontId="69" fillId="0" borderId="0"/>
    <xf numFmtId="0" fontId="77" fillId="0" borderId="0"/>
    <xf numFmtId="0" fontId="69" fillId="0" borderId="0"/>
    <xf numFmtId="0" fontId="69" fillId="0" borderId="0"/>
    <xf numFmtId="0" fontId="77" fillId="0" borderId="0"/>
    <xf numFmtId="0" fontId="69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98" fontId="16" fillId="0" borderId="0">
      <alignment horizontal="left" wrapText="1"/>
    </xf>
    <xf numFmtId="198" fontId="16" fillId="0" borderId="0">
      <alignment horizontal="left" wrapText="1"/>
    </xf>
    <xf numFmtId="171" fontId="64" fillId="0" borderId="0">
      <alignment horizontal="left" wrapText="1"/>
    </xf>
    <xf numFmtId="198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98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6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69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4" fillId="0" borderId="0"/>
    <xf numFmtId="200" fontId="64" fillId="0" borderId="0">
      <alignment horizontal="left" wrapText="1"/>
    </xf>
    <xf numFmtId="0" fontId="16" fillId="0" borderId="0"/>
    <xf numFmtId="0" fontId="16" fillId="0" borderId="0"/>
    <xf numFmtId="171" fontId="64" fillId="0" borderId="0">
      <alignment horizontal="left" wrapText="1"/>
    </xf>
    <xf numFmtId="174" fontId="64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176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0" fontId="69" fillId="0" borderId="0"/>
    <xf numFmtId="167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171" fontId="16" fillId="0" borderId="0">
      <alignment horizontal="left" wrapText="1"/>
    </xf>
    <xf numFmtId="0" fontId="89" fillId="0" borderId="0"/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39" fontId="116" fillId="0" borderId="0" applyNumberFormat="0" applyFill="0" applyBorder="0" applyAlignment="0" applyProtection="0"/>
    <xf numFmtId="39" fontId="116" fillId="0" borderId="0" applyNumberForma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39" fontId="116" fillId="0" borderId="0" applyNumberForma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39" fontId="116" fillId="0" borderId="0" applyNumberFormat="0" applyFill="0" applyBorder="0" applyAlignment="0" applyProtection="0"/>
    <xf numFmtId="171" fontId="64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77" fillId="0" borderId="0"/>
    <xf numFmtId="0" fontId="77" fillId="0" borderId="0"/>
    <xf numFmtId="0" fontId="77" fillId="0" borderId="0"/>
    <xf numFmtId="0" fontId="77" fillId="0" borderId="0"/>
    <xf numFmtId="171" fontId="64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4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16" fillId="0" borderId="0"/>
    <xf numFmtId="171" fontId="64" fillId="0" borderId="0">
      <alignment horizontal="left" wrapText="1"/>
    </xf>
    <xf numFmtId="174" fontId="64" fillId="0" borderId="0">
      <alignment horizontal="left" wrapText="1"/>
    </xf>
    <xf numFmtId="0" fontId="16" fillId="0" borderId="0"/>
    <xf numFmtId="0" fontId="16" fillId="0" borderId="0"/>
    <xf numFmtId="201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69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171" fontId="16" fillId="0" borderId="0">
      <alignment horizontal="left" wrapText="1"/>
    </xf>
    <xf numFmtId="0" fontId="77" fillId="0" borderId="0"/>
    <xf numFmtId="171" fontId="16" fillId="0" borderId="0">
      <alignment horizontal="left" wrapText="1"/>
    </xf>
    <xf numFmtId="171" fontId="64" fillId="0" borderId="0">
      <alignment horizontal="left" wrapText="1"/>
    </xf>
    <xf numFmtId="0" fontId="77" fillId="0" borderId="0"/>
    <xf numFmtId="171" fontId="16" fillId="0" borderId="0">
      <alignment horizontal="left" wrapText="1"/>
    </xf>
    <xf numFmtId="0" fontId="77" fillId="0" borderId="0"/>
    <xf numFmtId="171" fontId="16" fillId="0" borderId="0">
      <alignment horizontal="left" wrapText="1"/>
    </xf>
    <xf numFmtId="171" fontId="64" fillId="0" borderId="0">
      <alignment horizontal="left" wrapText="1"/>
    </xf>
    <xf numFmtId="0" fontId="7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69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4" fontId="64" fillId="0" borderId="0">
      <alignment horizontal="left" wrapText="1"/>
    </xf>
    <xf numFmtId="174" fontId="64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69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0" fontId="16" fillId="0" borderId="0"/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69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15" fillId="0" borderId="0"/>
    <xf numFmtId="202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69" fillId="0" borderId="0"/>
    <xf numFmtId="0" fontId="16" fillId="0" borderId="0"/>
    <xf numFmtId="0" fontId="16" fillId="0" borderId="0"/>
    <xf numFmtId="171" fontId="64" fillId="0" borderId="0">
      <alignment horizontal="left" wrapText="1"/>
    </xf>
    <xf numFmtId="171" fontId="64" fillId="0" borderId="0">
      <alignment horizontal="left" wrapText="1"/>
    </xf>
    <xf numFmtId="0" fontId="4" fillId="0" borderId="0"/>
    <xf numFmtId="0" fontId="4" fillId="0" borderId="0"/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16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16" fillId="43" borderId="50" applyNumberFormat="0" applyFont="0" applyAlignment="0" applyProtection="0"/>
    <xf numFmtId="171" fontId="64" fillId="0" borderId="0">
      <alignment horizontal="left" wrapText="1"/>
    </xf>
    <xf numFmtId="0" fontId="16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4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171" fontId="64" fillId="0" borderId="0">
      <alignment horizontal="left" wrapTex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171" fontId="64" fillId="0" borderId="0">
      <alignment horizontal="left" wrapTex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12" borderId="32" applyNumberFormat="0" applyFont="0" applyAlignment="0" applyProtection="0"/>
    <xf numFmtId="0" fontId="69" fillId="12" borderId="32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171" fontId="64" fillId="0" borderId="0">
      <alignment horizontal="left" wrapText="1"/>
    </xf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50" fillId="10" borderId="29" applyNumberFormat="0" applyAlignment="0" applyProtection="0"/>
    <xf numFmtId="0" fontId="50" fillId="73" borderId="29" applyNumberFormat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17" fillId="73" borderId="51" applyNumberFormat="0" applyAlignment="0" applyProtection="0"/>
    <xf numFmtId="0" fontId="50" fillId="73" borderId="29" applyNumberFormat="0" applyAlignment="0" applyProtection="0"/>
    <xf numFmtId="0" fontId="50" fillId="73" borderId="29" applyNumberFormat="0" applyAlignment="0" applyProtection="0"/>
    <xf numFmtId="0" fontId="80" fillId="0" borderId="0"/>
    <xf numFmtId="0" fontId="80" fillId="0" borderId="0"/>
    <xf numFmtId="0" fontId="80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1" fillId="0" borderId="0"/>
    <xf numFmtId="0" fontId="83" fillId="0" borderId="0"/>
    <xf numFmtId="172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0" fontId="16" fillId="0" borderId="44"/>
    <xf numFmtId="9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90" fillId="0" borderId="0" applyFont="0" applyFill="0" applyBorder="0" applyAlignment="0" applyProtection="0"/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0" fontId="16" fillId="0" borderId="44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9" fontId="77" fillId="0" borderId="0" applyFont="0" applyFill="0" applyBorder="0" applyAlignment="0" applyProtection="0"/>
    <xf numFmtId="10" fontId="16" fillId="0" borderId="44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0" fontId="16" fillId="0" borderId="44"/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4" fillId="0" borderId="0" applyFont="0" applyFill="0" applyBorder="0" applyAlignment="0" applyProtection="0"/>
    <xf numFmtId="10" fontId="16" fillId="0" borderId="44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6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44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0" borderId="44"/>
    <xf numFmtId="9" fontId="7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9" fontId="77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9" fontId="77" fillId="0" borderId="0" applyFont="0" applyFill="0" applyBorder="0" applyAlignment="0" applyProtection="0"/>
    <xf numFmtId="10" fontId="16" fillId="0" borderId="44"/>
    <xf numFmtId="9" fontId="77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9" fontId="77" fillId="0" borderId="0" applyFont="0" applyFill="0" applyBorder="0" applyAlignment="0" applyProtection="0"/>
    <xf numFmtId="10" fontId="16" fillId="0" borderId="44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0" borderId="44"/>
    <xf numFmtId="10" fontId="16" fillId="0" borderId="44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44"/>
    <xf numFmtId="171" fontId="64" fillId="0" borderId="0">
      <alignment horizontal="left" wrapText="1"/>
    </xf>
    <xf numFmtId="10" fontId="16" fillId="0" borderId="44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0" fontId="16" fillId="0" borderId="44"/>
    <xf numFmtId="10" fontId="16" fillId="0" borderId="44"/>
    <xf numFmtId="10" fontId="16" fillId="0" borderId="44"/>
    <xf numFmtId="10" fontId="16" fillId="0" borderId="44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64" fillId="0" borderId="0">
      <alignment horizontal="left" wrapText="1"/>
    </xf>
    <xf numFmtId="9" fontId="7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4" fillId="0" borderId="0">
      <alignment horizontal="left" wrapText="1"/>
    </xf>
    <xf numFmtId="9" fontId="76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6" fillId="0" borderId="44"/>
    <xf numFmtId="10" fontId="16" fillId="0" borderId="44"/>
    <xf numFmtId="10" fontId="16" fillId="0" borderId="44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4" fillId="0" borderId="0">
      <alignment horizontal="left" wrapText="1"/>
    </xf>
    <xf numFmtId="9" fontId="6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10" fontId="16" fillId="0" borderId="44"/>
    <xf numFmtId="41" fontId="16" fillId="80" borderId="44"/>
    <xf numFmtId="41" fontId="16" fillId="80" borderId="44"/>
    <xf numFmtId="171" fontId="64" fillId="0" borderId="0">
      <alignment horizontal="left" wrapText="1"/>
    </xf>
    <xf numFmtId="41" fontId="16" fillId="80" borderId="44"/>
    <xf numFmtId="41" fontId="16" fillId="80" borderId="44"/>
    <xf numFmtId="171" fontId="64" fillId="0" borderId="0">
      <alignment horizontal="left" wrapText="1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" fontId="77" fillId="0" borderId="0" applyFont="0" applyFill="0" applyBorder="0" applyAlignment="0" applyProtection="0"/>
    <xf numFmtId="0" fontId="118" fillId="0" borderId="37">
      <alignment horizontal="center"/>
    </xf>
    <xf numFmtId="0" fontId="118" fillId="0" borderId="37">
      <alignment horizontal="center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18" fillId="0" borderId="37">
      <alignment horizontal="center"/>
    </xf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3" fontId="77" fillId="0" borderId="0" applyFont="0" applyFill="0" applyBorder="0" applyAlignment="0" applyProtection="0"/>
    <xf numFmtId="0" fontId="77" fillId="81" borderId="0" applyNumberFormat="0" applyFont="0" applyBorder="0" applyAlignment="0" applyProtection="0"/>
    <xf numFmtId="0" fontId="77" fillId="81" borderId="0" applyNumberFormat="0" applyFont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77" fillId="81" borderId="0" applyNumberFormat="0" applyFont="0" applyBorder="0" applyAlignment="0" applyProtection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3" fontId="119" fillId="0" borderId="0" applyFill="0" applyBorder="0" applyAlignment="0" applyProtection="0"/>
    <xf numFmtId="0" fontId="120" fillId="0" borderId="0"/>
    <xf numFmtId="0" fontId="121" fillId="0" borderId="0"/>
    <xf numFmtId="0" fontId="121" fillId="0" borderId="0"/>
    <xf numFmtId="0" fontId="120" fillId="0" borderId="0"/>
    <xf numFmtId="0" fontId="121" fillId="0" borderId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42" fontId="16" fillId="71" borderId="0"/>
    <xf numFmtId="0" fontId="81" fillId="82" borderId="0"/>
    <xf numFmtId="0" fontId="122" fillId="82" borderId="45"/>
    <xf numFmtId="0" fontId="123" fillId="83" borderId="52"/>
    <xf numFmtId="0" fontId="124" fillId="82" borderId="53"/>
    <xf numFmtId="42" fontId="16" fillId="71" borderId="0"/>
    <xf numFmtId="171" fontId="64" fillId="0" borderId="0">
      <alignment horizontal="left" wrapText="1"/>
    </xf>
    <xf numFmtId="42" fontId="16" fillId="71" borderId="0"/>
    <xf numFmtId="171" fontId="64" fillId="0" borderId="0">
      <alignment horizontal="left" wrapText="1"/>
    </xf>
    <xf numFmtId="42" fontId="16" fillId="71" borderId="0"/>
    <xf numFmtId="42" fontId="16" fillId="71" borderId="0"/>
    <xf numFmtId="42" fontId="16" fillId="71" borderId="54">
      <alignment vertical="center"/>
    </xf>
    <xf numFmtId="42" fontId="16" fillId="71" borderId="54">
      <alignment vertical="center"/>
    </xf>
    <xf numFmtId="171" fontId="64" fillId="0" borderId="0">
      <alignment horizontal="left" wrapText="1"/>
    </xf>
    <xf numFmtId="42" fontId="16" fillId="71" borderId="54">
      <alignment vertical="center"/>
    </xf>
    <xf numFmtId="171" fontId="64" fillId="0" borderId="0">
      <alignment horizontal="left" wrapText="1"/>
    </xf>
    <xf numFmtId="42" fontId="16" fillId="71" borderId="54">
      <alignment vertical="center"/>
    </xf>
    <xf numFmtId="171" fontId="64" fillId="0" borderId="0">
      <alignment horizontal="left" wrapText="1"/>
    </xf>
    <xf numFmtId="0" fontId="56" fillId="71" borderId="11" applyNumberFormat="0">
      <alignment horizontal="center" vertical="center" wrapText="1"/>
    </xf>
    <xf numFmtId="0" fontId="56" fillId="71" borderId="11" applyNumberFormat="0">
      <alignment horizontal="center" vertical="center" wrapText="1"/>
    </xf>
    <xf numFmtId="0" fontId="56" fillId="71" borderId="11" applyNumberFormat="0">
      <alignment horizontal="center" vertical="center" wrapText="1"/>
    </xf>
    <xf numFmtId="171" fontId="64" fillId="0" borderId="0">
      <alignment horizontal="left" wrapText="1"/>
    </xf>
    <xf numFmtId="10" fontId="16" fillId="71" borderId="0"/>
    <xf numFmtId="10" fontId="16" fillId="71" borderId="0"/>
    <xf numFmtId="10" fontId="16" fillId="71" borderId="0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71" borderId="0"/>
    <xf numFmtId="10" fontId="16" fillId="71" borderId="0"/>
    <xf numFmtId="171" fontId="64" fillId="0" borderId="0">
      <alignment horizontal="left" wrapText="1"/>
    </xf>
    <xf numFmtId="10" fontId="16" fillId="71" borderId="0"/>
    <xf numFmtId="171" fontId="64" fillId="0" borderId="0">
      <alignment horizontal="left" wrapText="1"/>
    </xf>
    <xf numFmtId="10" fontId="16" fillId="71" borderId="0"/>
    <xf numFmtId="171" fontId="64" fillId="0" borderId="0">
      <alignment horizontal="left" wrapText="1"/>
    </xf>
    <xf numFmtId="10" fontId="16" fillId="71" borderId="0"/>
    <xf numFmtId="171" fontId="64" fillId="0" borderId="0">
      <alignment horizontal="left" wrapText="1"/>
    </xf>
    <xf numFmtId="171" fontId="64" fillId="0" borderId="0">
      <alignment horizontal="left" wrapText="1"/>
    </xf>
    <xf numFmtId="10" fontId="16" fillId="71" borderId="0"/>
    <xf numFmtId="10" fontId="16" fillId="71" borderId="0"/>
    <xf numFmtId="10" fontId="16" fillId="71" borderId="0"/>
    <xf numFmtId="202" fontId="16" fillId="71" borderId="0"/>
    <xf numFmtId="202" fontId="16" fillId="71" borderId="0"/>
    <xf numFmtId="202" fontId="16" fillId="71" borderId="0"/>
    <xf numFmtId="171" fontId="64" fillId="0" borderId="0">
      <alignment horizontal="left" wrapText="1"/>
    </xf>
    <xf numFmtId="171" fontId="64" fillId="0" borderId="0">
      <alignment horizontal="left" wrapText="1"/>
    </xf>
    <xf numFmtId="202" fontId="16" fillId="71" borderId="0"/>
    <xf numFmtId="202" fontId="16" fillId="71" borderId="0"/>
    <xf numFmtId="171" fontId="64" fillId="0" borderId="0">
      <alignment horizontal="left" wrapText="1"/>
    </xf>
    <xf numFmtId="202" fontId="16" fillId="71" borderId="0"/>
    <xf numFmtId="171" fontId="64" fillId="0" borderId="0">
      <alignment horizontal="left" wrapText="1"/>
    </xf>
    <xf numFmtId="202" fontId="16" fillId="71" borderId="0"/>
    <xf numFmtId="171" fontId="64" fillId="0" borderId="0">
      <alignment horizontal="left" wrapText="1"/>
    </xf>
    <xf numFmtId="202" fontId="16" fillId="71" borderId="0"/>
    <xf numFmtId="171" fontId="64" fillId="0" borderId="0">
      <alignment horizontal="left" wrapText="1"/>
    </xf>
    <xf numFmtId="171" fontId="64" fillId="0" borderId="0">
      <alignment horizontal="left" wrapText="1"/>
    </xf>
    <xf numFmtId="202" fontId="16" fillId="71" borderId="0"/>
    <xf numFmtId="202" fontId="16" fillId="71" borderId="0"/>
    <xf numFmtId="202" fontId="16" fillId="71" borderId="0"/>
    <xf numFmtId="42" fontId="16" fillId="71" borderId="0"/>
    <xf numFmtId="169" fontId="105" fillId="0" borderId="0" applyBorder="0" applyAlignment="0"/>
    <xf numFmtId="169" fontId="105" fillId="0" borderId="0" applyBorder="0" applyAlignment="0"/>
    <xf numFmtId="169" fontId="105" fillId="0" borderId="0" applyBorder="0" applyAlignment="0"/>
    <xf numFmtId="42" fontId="16" fillId="71" borderId="5">
      <alignment horizontal="left"/>
    </xf>
    <xf numFmtId="42" fontId="16" fillId="71" borderId="5">
      <alignment horizontal="left"/>
    </xf>
    <xf numFmtId="171" fontId="64" fillId="0" borderId="0">
      <alignment horizontal="left" wrapText="1"/>
    </xf>
    <xf numFmtId="42" fontId="16" fillId="71" borderId="5">
      <alignment horizontal="left"/>
    </xf>
    <xf numFmtId="171" fontId="64" fillId="0" borderId="0">
      <alignment horizontal="left" wrapText="1"/>
    </xf>
    <xf numFmtId="42" fontId="16" fillId="71" borderId="5">
      <alignment horizontal="left"/>
    </xf>
    <xf numFmtId="171" fontId="64" fillId="0" borderId="0">
      <alignment horizontal="left" wrapText="1"/>
    </xf>
    <xf numFmtId="202" fontId="125" fillId="71" borderId="5">
      <alignment horizontal="left"/>
    </xf>
    <xf numFmtId="171" fontId="64" fillId="0" borderId="0">
      <alignment horizontal="left" wrapText="1"/>
    </xf>
    <xf numFmtId="202" fontId="125" fillId="71" borderId="5">
      <alignment horizontal="left"/>
    </xf>
    <xf numFmtId="169" fontId="105" fillId="0" borderId="0" applyBorder="0" applyAlignment="0"/>
    <xf numFmtId="14" fontId="64" fillId="0" borderId="0" applyNumberFormat="0" applyFill="0" applyBorder="0" applyAlignment="0" applyProtection="0">
      <alignment horizontal="left"/>
    </xf>
    <xf numFmtId="14" fontId="64" fillId="0" borderId="0" applyNumberFormat="0" applyFill="0" applyBorder="0" applyAlignment="0" applyProtection="0">
      <alignment horizontal="left"/>
    </xf>
    <xf numFmtId="203" fontId="16" fillId="0" borderId="0" applyFont="0" applyFill="0" applyAlignment="0">
      <alignment horizontal="right"/>
    </xf>
    <xf numFmtId="203" fontId="16" fillId="0" borderId="0" applyFont="0" applyFill="0" applyAlignment="0">
      <alignment horizontal="right"/>
    </xf>
    <xf numFmtId="203" fontId="16" fillId="0" borderId="0" applyFont="0" applyFill="0" applyAlignment="0">
      <alignment horizontal="right"/>
    </xf>
    <xf numFmtId="171" fontId="64" fillId="0" borderId="0">
      <alignment horizontal="left" wrapText="1"/>
    </xf>
    <xf numFmtId="171" fontId="64" fillId="0" borderId="0">
      <alignment horizontal="left" wrapText="1"/>
    </xf>
    <xf numFmtId="203" fontId="16" fillId="0" borderId="0" applyFont="0" applyFill="0" applyAlignment="0">
      <alignment horizontal="right"/>
    </xf>
    <xf numFmtId="203" fontId="16" fillId="0" borderId="0" applyFont="0" applyFill="0" applyAlignment="0">
      <alignment horizontal="right"/>
    </xf>
    <xf numFmtId="171" fontId="64" fillId="0" borderId="0">
      <alignment horizontal="left" wrapText="1"/>
    </xf>
    <xf numFmtId="203" fontId="16" fillId="0" borderId="0" applyFont="0" applyFill="0" applyAlignment="0">
      <alignment horizontal="right"/>
    </xf>
    <xf numFmtId="171" fontId="64" fillId="0" borderId="0">
      <alignment horizontal="left" wrapText="1"/>
    </xf>
    <xf numFmtId="203" fontId="16" fillId="0" borderId="0" applyFont="0" applyFill="0" applyAlignment="0">
      <alignment horizontal="right"/>
    </xf>
    <xf numFmtId="171" fontId="64" fillId="0" borderId="0">
      <alignment horizontal="left" wrapText="1"/>
    </xf>
    <xf numFmtId="203" fontId="16" fillId="0" borderId="0" applyFont="0" applyFill="0" applyAlignment="0">
      <alignment horizontal="right"/>
    </xf>
    <xf numFmtId="171" fontId="64" fillId="0" borderId="0">
      <alignment horizontal="left" wrapText="1"/>
    </xf>
    <xf numFmtId="171" fontId="64" fillId="0" borderId="0">
      <alignment horizontal="left" wrapText="1"/>
    </xf>
    <xf numFmtId="203" fontId="16" fillId="0" borderId="0" applyFont="0" applyFill="0" applyAlignment="0">
      <alignment horizontal="right"/>
    </xf>
    <xf numFmtId="203" fontId="16" fillId="0" borderId="0" applyFont="0" applyFill="0" applyAlignment="0">
      <alignment horizontal="right"/>
    </xf>
    <xf numFmtId="4" fontId="126" fillId="79" borderId="51" applyNumberFormat="0" applyProtection="0">
      <alignment vertical="center"/>
    </xf>
    <xf numFmtId="171" fontId="64" fillId="0" borderId="0">
      <alignment horizontal="left" wrapText="1"/>
    </xf>
    <xf numFmtId="4" fontId="126" fillId="79" borderId="51" applyNumberFormat="0" applyProtection="0">
      <alignment vertical="center"/>
    </xf>
    <xf numFmtId="4" fontId="127" fillId="79" borderId="51" applyNumberFormat="0" applyProtection="0">
      <alignment vertical="center"/>
    </xf>
    <xf numFmtId="171" fontId="64" fillId="0" borderId="0">
      <alignment horizontal="left" wrapText="1"/>
    </xf>
    <xf numFmtId="4" fontId="127" fillId="79" borderId="51" applyNumberFormat="0" applyProtection="0">
      <alignment vertical="center"/>
    </xf>
    <xf numFmtId="4" fontId="126" fillId="79" borderId="51" applyNumberFormat="0" applyProtection="0">
      <alignment horizontal="left" vertical="center" indent="1"/>
    </xf>
    <xf numFmtId="171" fontId="64" fillId="0" borderId="0">
      <alignment horizontal="left" wrapTex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171" fontId="64" fillId="0" borderId="0">
      <alignment horizontal="left" wrapText="1"/>
    </xf>
    <xf numFmtId="4" fontId="126" fillId="7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85" borderId="0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86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86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87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88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89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90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91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92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93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94" borderId="51" applyNumberFormat="0" applyProtection="0">
      <alignment horizontal="right" vertical="center"/>
    </xf>
    <xf numFmtId="4" fontId="128" fillId="95" borderId="51" applyNumberFormat="0" applyProtection="0">
      <alignment horizontal="left" vertical="center" indent="1"/>
    </xf>
    <xf numFmtId="4" fontId="128" fillId="96" borderId="0" applyNumberFormat="0" applyProtection="0">
      <alignment horizontal="left" vertical="center" indent="1"/>
    </xf>
    <xf numFmtId="4" fontId="128" fillId="96" borderId="0" applyNumberFormat="0" applyProtection="0">
      <alignment horizontal="left" vertical="center" indent="1"/>
    </xf>
    <xf numFmtId="4" fontId="128" fillId="95" borderId="51" applyNumberFormat="0" applyProtection="0">
      <alignment horizontal="left" vertical="center" indent="1"/>
    </xf>
    <xf numFmtId="4" fontId="126" fillId="97" borderId="55" applyNumberFormat="0" applyProtection="0">
      <alignment horizontal="left" vertical="center" indent="1"/>
    </xf>
    <xf numFmtId="4" fontId="126" fillId="97" borderId="0" applyNumberFormat="0" applyProtection="0">
      <alignment horizontal="left" vertical="center" indent="1"/>
    </xf>
    <xf numFmtId="4" fontId="126" fillId="97" borderId="0" applyNumberFormat="0" applyProtection="0">
      <alignment horizontal="left" vertical="center" indent="1"/>
    </xf>
    <xf numFmtId="4" fontId="129" fillId="98" borderId="0" applyNumberFormat="0" applyProtection="0">
      <alignment horizontal="left" vertical="center" indent="1"/>
    </xf>
    <xf numFmtId="4" fontId="129" fillId="98" borderId="0" applyNumberFormat="0" applyProtection="0">
      <alignment horizontal="left" vertical="center" indent="1"/>
    </xf>
    <xf numFmtId="4" fontId="129" fillId="98" borderId="0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30" fillId="0" borderId="0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30" fillId="0" borderId="0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99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99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99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73" borderId="17" applyNumberFormat="0">
      <protection locked="0"/>
    </xf>
    <xf numFmtId="0" fontId="16" fillId="73" borderId="17" applyNumberFormat="0">
      <protection locked="0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05" fillId="68" borderId="56" applyBorder="0"/>
    <xf numFmtId="4" fontId="126" fillId="101" borderId="51" applyNumberFormat="0" applyProtection="0">
      <alignment vertical="center"/>
    </xf>
    <xf numFmtId="171" fontId="64" fillId="0" borderId="0">
      <alignment horizontal="left" wrapText="1"/>
    </xf>
    <xf numFmtId="4" fontId="126" fillId="101" borderId="51" applyNumberFormat="0" applyProtection="0">
      <alignment vertical="center"/>
    </xf>
    <xf numFmtId="4" fontId="127" fillId="101" borderId="51" applyNumberFormat="0" applyProtection="0">
      <alignment vertical="center"/>
    </xf>
    <xf numFmtId="171" fontId="64" fillId="0" borderId="0">
      <alignment horizontal="left" wrapText="1"/>
    </xf>
    <xf numFmtId="4" fontId="127" fillId="101" borderId="51" applyNumberFormat="0" applyProtection="0">
      <alignment vertical="center"/>
    </xf>
    <xf numFmtId="4" fontId="126" fillId="101" borderId="51" applyNumberFormat="0" applyProtection="0">
      <alignment horizontal="left" vertical="center" indent="1"/>
    </xf>
    <xf numFmtId="171" fontId="64" fillId="0" borderId="0">
      <alignment horizontal="left" wrapTex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171" fontId="64" fillId="0" borderId="0">
      <alignment horizontal="left" wrapText="1"/>
    </xf>
    <xf numFmtId="4" fontId="126" fillId="101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171" fontId="64" fillId="0" borderId="0">
      <alignment horizontal="left" wrapText="1"/>
    </xf>
    <xf numFmtId="4" fontId="126" fillId="97" borderId="51" applyNumberFormat="0" applyProtection="0">
      <alignment horizontal="right" vertical="center"/>
    </xf>
    <xf numFmtId="4" fontId="127" fillId="97" borderId="51" applyNumberFormat="0" applyProtection="0">
      <alignment horizontal="right" vertical="center"/>
    </xf>
    <xf numFmtId="171" fontId="64" fillId="0" borderId="0">
      <alignment horizontal="left" wrapText="1"/>
    </xf>
    <xf numFmtId="4" fontId="127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171" fontId="64" fillId="0" borderId="0">
      <alignment horizontal="left" wrapText="1"/>
    </xf>
    <xf numFmtId="171" fontId="64" fillId="0" borderId="0">
      <alignment horizontal="left" wrapTex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31" fillId="0" borderId="0"/>
    <xf numFmtId="0" fontId="131" fillId="0" borderId="0"/>
    <xf numFmtId="0" fontId="132" fillId="0" borderId="0" applyNumberFormat="0" applyProtection="0">
      <alignment horizontal="left" indent="5"/>
    </xf>
    <xf numFmtId="0" fontId="59" fillId="102" borderId="17"/>
    <xf numFmtId="4" fontId="133" fillId="97" borderId="51" applyNumberFormat="0" applyProtection="0">
      <alignment horizontal="right" vertical="center"/>
    </xf>
    <xf numFmtId="171" fontId="64" fillId="0" borderId="0">
      <alignment horizontal="left" wrapText="1"/>
    </xf>
    <xf numFmtId="4" fontId="133" fillId="97" borderId="51" applyNumberFormat="0" applyProtection="0">
      <alignment horizontal="right" vertical="center"/>
    </xf>
    <xf numFmtId="39" fontId="16" fillId="103" borderId="0"/>
    <xf numFmtId="39" fontId="16" fillId="103" borderId="0"/>
    <xf numFmtId="39" fontId="16" fillId="103" borderId="0"/>
    <xf numFmtId="171" fontId="64" fillId="0" borderId="0">
      <alignment horizontal="left" wrapText="1"/>
    </xf>
    <xf numFmtId="171" fontId="64" fillId="0" borderId="0">
      <alignment horizontal="left" wrapText="1"/>
    </xf>
    <xf numFmtId="39" fontId="16" fillId="103" borderId="0"/>
    <xf numFmtId="39" fontId="16" fillId="103" borderId="0"/>
    <xf numFmtId="171" fontId="64" fillId="0" borderId="0">
      <alignment horizontal="left" wrapText="1"/>
    </xf>
    <xf numFmtId="39" fontId="16" fillId="103" borderId="0"/>
    <xf numFmtId="171" fontId="64" fillId="0" borderId="0">
      <alignment horizontal="left" wrapText="1"/>
    </xf>
    <xf numFmtId="39" fontId="16" fillId="103" borderId="0"/>
    <xf numFmtId="171" fontId="64" fillId="0" borderId="0">
      <alignment horizontal="left" wrapText="1"/>
    </xf>
    <xf numFmtId="39" fontId="16" fillId="103" borderId="0"/>
    <xf numFmtId="171" fontId="64" fillId="0" borderId="0">
      <alignment horizontal="left" wrapText="1"/>
    </xf>
    <xf numFmtId="171" fontId="64" fillId="0" borderId="0">
      <alignment horizontal="left" wrapText="1"/>
    </xf>
    <xf numFmtId="39" fontId="16" fillId="103" borderId="0"/>
    <xf numFmtId="39" fontId="16" fillId="103" borderId="0"/>
    <xf numFmtId="39" fontId="16" fillId="103" borderId="0"/>
    <xf numFmtId="0" fontId="134" fillId="0" borderId="0" applyNumberFormat="0" applyFill="0" applyBorder="0" applyAlignment="0" applyProtection="0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38" fontId="59" fillId="0" borderId="57"/>
    <xf numFmtId="171" fontId="64" fillId="0" borderId="0">
      <alignment horizontal="left" wrapText="1"/>
    </xf>
    <xf numFmtId="38" fontId="59" fillId="0" borderId="57"/>
    <xf numFmtId="0" fontId="59" fillId="0" borderId="57"/>
    <xf numFmtId="38" fontId="59" fillId="0" borderId="57"/>
    <xf numFmtId="38" fontId="59" fillId="0" borderId="57"/>
    <xf numFmtId="38" fontId="59" fillId="0" borderId="57"/>
    <xf numFmtId="38" fontId="105" fillId="0" borderId="5"/>
    <xf numFmtId="38" fontId="105" fillId="0" borderId="5"/>
    <xf numFmtId="38" fontId="105" fillId="0" borderId="5"/>
    <xf numFmtId="38" fontId="105" fillId="0" borderId="5"/>
    <xf numFmtId="171" fontId="64" fillId="0" borderId="0">
      <alignment horizontal="left" wrapText="1"/>
    </xf>
    <xf numFmtId="0" fontId="105" fillId="0" borderId="5"/>
    <xf numFmtId="0" fontId="105" fillId="0" borderId="5"/>
    <xf numFmtId="0" fontId="105" fillId="0" borderId="5"/>
    <xf numFmtId="38" fontId="105" fillId="0" borderId="5"/>
    <xf numFmtId="38" fontId="105" fillId="0" borderId="5"/>
    <xf numFmtId="38" fontId="105" fillId="0" borderId="5"/>
    <xf numFmtId="38" fontId="105" fillId="0" borderId="5"/>
    <xf numFmtId="39" fontId="64" fillId="104" borderId="0"/>
    <xf numFmtId="39" fontId="64" fillId="104" borderId="0"/>
    <xf numFmtId="171" fontId="16" fillId="0" borderId="0">
      <alignment horizontal="left" wrapText="1"/>
    </xf>
    <xf numFmtId="175" fontId="16" fillId="0" borderId="0">
      <alignment horizontal="left" wrapText="1"/>
    </xf>
    <xf numFmtId="198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7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202" fontId="16" fillId="0" borderId="0">
      <alignment horizontal="left" wrapText="1"/>
    </xf>
    <xf numFmtId="202" fontId="16" fillId="0" borderId="0">
      <alignment horizontal="left" wrapText="1"/>
    </xf>
    <xf numFmtId="202" fontId="16" fillId="0" borderId="0">
      <alignment horizontal="left" wrapText="1"/>
    </xf>
    <xf numFmtId="172" fontId="16" fillId="0" borderId="0">
      <alignment horizontal="left" wrapText="1"/>
    </xf>
    <xf numFmtId="202" fontId="16" fillId="0" borderId="0">
      <alignment horizontal="left" wrapText="1"/>
    </xf>
    <xf numFmtId="202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64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6" fontId="16" fillId="0" borderId="0">
      <alignment horizontal="left" wrapText="1"/>
    </xf>
    <xf numFmtId="176" fontId="16" fillId="0" borderId="0">
      <alignment horizontal="left" wrapText="1"/>
    </xf>
    <xf numFmtId="171" fontId="64" fillId="0" borderId="0">
      <alignment horizontal="left" wrapText="1"/>
    </xf>
    <xf numFmtId="171" fontId="64" fillId="0" borderId="0">
      <alignment horizontal="left" wrapText="1"/>
    </xf>
    <xf numFmtId="176" fontId="16" fillId="0" borderId="0">
      <alignment horizontal="left" wrapText="1"/>
    </xf>
    <xf numFmtId="175" fontId="16" fillId="0" borderId="0">
      <alignment horizontal="left" wrapText="1"/>
    </xf>
    <xf numFmtId="175" fontId="16" fillId="0" borderId="0">
      <alignment horizontal="left" wrapText="1"/>
    </xf>
    <xf numFmtId="171" fontId="64" fillId="0" borderId="0">
      <alignment horizontal="left" wrapText="1"/>
    </xf>
    <xf numFmtId="199" fontId="16" fillId="0" borderId="0">
      <alignment horizontal="left" wrapText="1"/>
    </xf>
    <xf numFmtId="199" fontId="16" fillId="0" borderId="0">
      <alignment horizontal="left" wrapText="1"/>
    </xf>
    <xf numFmtId="199" fontId="16" fillId="0" borderId="0">
      <alignment horizontal="left" wrapText="1"/>
    </xf>
    <xf numFmtId="199" fontId="16" fillId="0" borderId="0">
      <alignment horizontal="left" wrapText="1"/>
    </xf>
    <xf numFmtId="199" fontId="16" fillId="0" borderId="0">
      <alignment horizontal="left" wrapText="1"/>
    </xf>
    <xf numFmtId="172" fontId="16" fillId="0" borderId="0">
      <alignment horizontal="left" wrapText="1"/>
    </xf>
    <xf numFmtId="172" fontId="16" fillId="0" borderId="0">
      <alignment horizontal="left" wrapText="1"/>
    </xf>
    <xf numFmtId="199" fontId="16" fillId="0" borderId="0">
      <alignment horizontal="left" wrapText="1"/>
    </xf>
    <xf numFmtId="171" fontId="16" fillId="0" borderId="0">
      <alignment horizontal="left" wrapText="1"/>
    </xf>
    <xf numFmtId="172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26" fillId="0" borderId="0" applyNumberFormat="0" applyBorder="0" applyAlignment="0"/>
    <xf numFmtId="0" fontId="135" fillId="0" borderId="0" applyNumberFormat="0" applyBorder="0" applyAlignment="0"/>
    <xf numFmtId="0" fontId="128" fillId="0" borderId="0" applyNumberFormat="0" applyBorder="0" applyAlignment="0"/>
    <xf numFmtId="0" fontId="136" fillId="0" borderId="0"/>
    <xf numFmtId="0" fontId="96" fillId="0" borderId="53"/>
    <xf numFmtId="40" fontId="137" fillId="0" borderId="0" applyBorder="0">
      <alignment horizontal="right"/>
    </xf>
    <xf numFmtId="41" fontId="138" fillId="71" borderId="0">
      <alignment horizontal="left"/>
    </xf>
    <xf numFmtId="40" fontId="137" fillId="0" borderId="0" applyBorder="0">
      <alignment horizontal="right"/>
    </xf>
    <xf numFmtId="41" fontId="138" fillId="71" borderId="0">
      <alignment horizontal="left"/>
    </xf>
    <xf numFmtId="40" fontId="137" fillId="0" borderId="0" applyBorder="0">
      <alignment horizontal="right"/>
    </xf>
    <xf numFmtId="41" fontId="138" fillId="71" borderId="0">
      <alignment horizontal="left"/>
    </xf>
    <xf numFmtId="0" fontId="139" fillId="0" borderId="0"/>
    <xf numFmtId="0" fontId="16" fillId="0" borderId="0" applyNumberFormat="0" applyBorder="0" applyAlignment="0"/>
    <xf numFmtId="0" fontId="140" fillId="0" borderId="0" applyFill="0" applyBorder="0" applyProtection="0">
      <alignment horizontal="left" vertical="top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81" fillId="0" borderId="0"/>
    <xf numFmtId="0" fontId="122" fillId="82" borderId="0"/>
    <xf numFmtId="165" fontId="142" fillId="71" borderId="0">
      <alignment horizontal="left" vertical="center"/>
    </xf>
    <xf numFmtId="165" fontId="143" fillId="0" borderId="0">
      <alignment horizontal="left" vertical="center"/>
    </xf>
    <xf numFmtId="165" fontId="143" fillId="0" borderId="0">
      <alignment horizontal="left" vertical="center"/>
    </xf>
    <xf numFmtId="0" fontId="56" fillId="71" borderId="0">
      <alignment horizontal="left" wrapText="1"/>
    </xf>
    <xf numFmtId="0" fontId="56" fillId="71" borderId="0">
      <alignment horizontal="left" wrapText="1"/>
    </xf>
    <xf numFmtId="0" fontId="56" fillId="71" borderId="0">
      <alignment horizontal="left" wrapText="1"/>
    </xf>
    <xf numFmtId="171" fontId="64" fillId="0" borderId="0">
      <alignment horizontal="left" wrapText="1"/>
    </xf>
    <xf numFmtId="0" fontId="144" fillId="0" borderId="0">
      <alignment horizontal="left" vertical="center"/>
    </xf>
    <xf numFmtId="0" fontId="144" fillId="0" borderId="0">
      <alignment horizontal="left" vertical="center"/>
    </xf>
    <xf numFmtId="0" fontId="84" fillId="0" borderId="58" applyNumberFormat="0" applyFon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17" fillId="0" borderId="33" applyNumberFormat="0" applyFill="0" applyAlignment="0" applyProtection="0"/>
    <xf numFmtId="0" fontId="17" fillId="0" borderId="60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0" fontId="17" fillId="0" borderId="60" applyNumberFormat="0" applyFill="0" applyAlignment="0" applyProtection="0"/>
    <xf numFmtId="0" fontId="17" fillId="0" borderId="33" applyNumberFormat="0" applyFill="0" applyAlignment="0" applyProtection="0"/>
    <xf numFmtId="0" fontId="17" fillId="0" borderId="60" applyNumberFormat="0" applyFill="0" applyAlignment="0" applyProtection="0"/>
    <xf numFmtId="171" fontId="64" fillId="0" borderId="0">
      <alignment horizontal="left" wrapText="1"/>
    </xf>
    <xf numFmtId="171" fontId="64" fillId="0" borderId="0">
      <alignment horizontal="left" wrapText="1"/>
    </xf>
    <xf numFmtId="41" fontId="56" fillId="71" borderId="0">
      <alignment horizontal="left"/>
    </xf>
    <xf numFmtId="171" fontId="64" fillId="0" borderId="0">
      <alignment horizontal="left" wrapText="1"/>
    </xf>
    <xf numFmtId="171" fontId="64" fillId="0" borderId="0">
      <alignment horizontal="left" wrapText="1"/>
    </xf>
    <xf numFmtId="41" fontId="56" fillId="71" borderId="0">
      <alignment horizontal="left"/>
    </xf>
    <xf numFmtId="0" fontId="17" fillId="0" borderId="60" applyNumberFormat="0" applyFill="0" applyAlignment="0" applyProtection="0"/>
    <xf numFmtId="0" fontId="17" fillId="0" borderId="33" applyNumberFormat="0" applyFill="0" applyAlignment="0" applyProtection="0"/>
    <xf numFmtId="0" fontId="82" fillId="0" borderId="61"/>
    <xf numFmtId="0" fontId="83" fillId="0" borderId="61"/>
    <xf numFmtId="0" fontId="83" fillId="0" borderId="61"/>
    <xf numFmtId="0" fontId="82" fillId="0" borderId="61"/>
    <xf numFmtId="0" fontId="83" fillId="0" borderId="61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64" fillId="0" borderId="0">
      <alignment horizontal="left" wrapText="1"/>
    </xf>
    <xf numFmtId="0" fontId="2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6" fillId="71" borderId="11" applyNumberFormat="0">
      <alignment horizontal="center" vertical="center" wrapText="1"/>
    </xf>
    <xf numFmtId="0" fontId="16" fillId="0" borderId="0">
      <alignment readingOrder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readingOrder="1"/>
    </xf>
    <xf numFmtId="0" fontId="16" fillId="0" borderId="0">
      <alignment readingOrder="1"/>
    </xf>
    <xf numFmtId="43" fontId="16" fillId="0" borderId="0" applyFont="0" applyFill="0" applyBorder="0" applyAlignment="0" applyProtection="0"/>
    <xf numFmtId="3" fontId="15" fillId="0" borderId="0"/>
    <xf numFmtId="9" fontId="16" fillId="0" borderId="0" applyFont="0" applyFill="0" applyBorder="0" applyAlignment="0" applyProtection="0"/>
    <xf numFmtId="0" fontId="16" fillId="92" borderId="0" applyNumberFormat="0" applyFont="0" applyFill="0" applyBorder="0" applyAlignment="0" applyProtection="0"/>
    <xf numFmtId="169" fontId="79" fillId="79" borderId="0" applyFont="0" applyFill="0" applyBorder="0" applyAlignment="0" applyProtection="0">
      <alignment wrapText="1"/>
    </xf>
    <xf numFmtId="3" fontId="15" fillId="0" borderId="0"/>
    <xf numFmtId="0" fontId="16" fillId="0" borderId="0">
      <alignment readingOrder="1"/>
    </xf>
    <xf numFmtId="38" fontId="147" fillId="0" borderId="0" applyNumberFormat="0" applyFont="0" applyFill="0" applyBorder="0">
      <alignment horizontal="left" indent="4"/>
      <protection locked="0"/>
    </xf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6" fillId="0" borderId="0"/>
    <xf numFmtId="0" fontId="79" fillId="0" borderId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45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  <xf numFmtId="0" fontId="63" fillId="0" borderId="0"/>
    <xf numFmtId="0" fontId="149" fillId="80" borderId="0"/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73" borderId="17" applyNumberFormat="0">
      <protection locked="0"/>
    </xf>
    <xf numFmtId="0" fontId="16" fillId="73" borderId="17" applyNumberFormat="0">
      <protection locked="0"/>
    </xf>
    <xf numFmtId="0" fontId="59" fillId="102" borderId="17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0" fontId="59" fillId="71" borderId="62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28" fillId="95" borderId="51" applyNumberFormat="0" applyProtection="0">
      <alignment horizontal="left" vertical="center" indent="1"/>
    </xf>
    <xf numFmtId="38" fontId="105" fillId="0" borderId="5"/>
    <xf numFmtId="38" fontId="105" fillId="0" borderId="5"/>
    <xf numFmtId="4" fontId="128" fillId="95" borderId="51" applyNumberFormat="0" applyProtection="0">
      <alignment horizontal="left" vertical="center" indent="1"/>
    </xf>
    <xf numFmtId="4" fontId="126" fillId="94" borderId="51" applyNumberFormat="0" applyProtection="0">
      <alignment horizontal="right" vertical="center"/>
    </xf>
    <xf numFmtId="38" fontId="105" fillId="0" borderId="5"/>
    <xf numFmtId="4" fontId="126" fillId="94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38" fontId="105" fillId="0" borderId="5"/>
    <xf numFmtId="4" fontId="126" fillId="93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4" fontId="126" fillId="90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4" fontId="126" fillId="89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4" fontId="126" fillId="88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7" fillId="79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7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7" fillId="97" borderId="51" applyNumberFormat="0" applyProtection="0">
      <alignment horizontal="right" vertical="center"/>
    </xf>
    <xf numFmtId="202" fontId="125" fillId="71" borderId="5">
      <alignment horizontal="left"/>
    </xf>
    <xf numFmtId="4" fontId="133" fillId="97" borderId="51" applyNumberFormat="0" applyProtection="0">
      <alignment horizontal="right" vertical="center"/>
    </xf>
    <xf numFmtId="202" fontId="125" fillId="71" borderId="5">
      <alignment horizontal="left"/>
    </xf>
    <xf numFmtId="42" fontId="16" fillId="71" borderId="5">
      <alignment horizontal="left"/>
    </xf>
    <xf numFmtId="4" fontId="133" fillId="97" borderId="51" applyNumberFormat="0" applyProtection="0">
      <alignment horizontal="right" vertical="center"/>
    </xf>
    <xf numFmtId="42" fontId="16" fillId="71" borderId="5">
      <alignment horizontal="left"/>
    </xf>
    <xf numFmtId="0" fontId="59" fillId="102" borderId="17"/>
    <xf numFmtId="42" fontId="16" fillId="71" borderId="5">
      <alignment horizontal="left"/>
    </xf>
    <xf numFmtId="42" fontId="16" fillId="71" borderId="5">
      <alignment horizontal="left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101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7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7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7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101" borderId="51" applyNumberFormat="0" applyProtection="0">
      <alignment horizontal="left" vertical="center" indent="1"/>
    </xf>
    <xf numFmtId="0" fontId="16" fillId="73" borderId="17" applyNumberFormat="0">
      <protection locked="0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0" fontId="16" fillId="73" borderId="17" applyNumberFormat="0">
      <protection locked="0"/>
    </xf>
    <xf numFmtId="4" fontId="127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7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0" fontId="124" fillId="82" borderId="53"/>
    <xf numFmtId="0" fontId="123" fillId="83" borderId="52"/>
    <xf numFmtId="0" fontId="105" fillId="68" borderId="56" applyBorder="0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73" borderId="17" applyNumberFormat="0">
      <protection locked="0"/>
    </xf>
    <xf numFmtId="0" fontId="16" fillId="73" borderId="17" applyNumberFormat="0">
      <protection locked="0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73" borderId="17" applyNumberFormat="0">
      <protection locked="0"/>
    </xf>
    <xf numFmtId="0" fontId="16" fillId="37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73" borderId="17" applyNumberFormat="0">
      <protection locked="0"/>
    </xf>
    <xf numFmtId="0" fontId="16" fillId="84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4" fontId="128" fillId="95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28" fillId="95" borderId="51" applyNumberFormat="0" applyProtection="0">
      <alignment horizontal="left" vertical="center" indent="1"/>
    </xf>
    <xf numFmtId="4" fontId="126" fillId="94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4" fontId="126" fillId="94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4" fontId="126" fillId="93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4" fontId="126" fillId="90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4" fontId="126" fillId="88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4" fontId="126" fillId="86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7" fillId="79" borderId="51" applyNumberFormat="0" applyProtection="0">
      <alignment vertical="center"/>
    </xf>
    <xf numFmtId="38" fontId="105" fillId="0" borderId="5"/>
    <xf numFmtId="4" fontId="127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0" fontId="16" fillId="99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4" fontId="126" fillId="99" borderId="51" applyNumberFormat="0" applyProtection="0">
      <alignment horizontal="left" vertical="center" indent="1"/>
    </xf>
    <xf numFmtId="38" fontId="105" fillId="0" borderId="5"/>
    <xf numFmtId="4" fontId="126" fillId="99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38" fontId="105" fillId="0" borderId="5"/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05" fillId="0" borderId="5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05" fillId="0" borderId="5"/>
    <xf numFmtId="0" fontId="105" fillId="0" borderId="5"/>
    <xf numFmtId="38" fontId="105" fillId="0" borderId="5"/>
    <xf numFmtId="38" fontId="105" fillId="0" borderId="5"/>
    <xf numFmtId="38" fontId="105" fillId="0" borderId="5"/>
    <xf numFmtId="202" fontId="125" fillId="71" borderId="5">
      <alignment horizontal="left"/>
    </xf>
    <xf numFmtId="4" fontId="128" fillId="95" borderId="51" applyNumberFormat="0" applyProtection="0">
      <alignment horizontal="left" vertical="center" indent="1"/>
    </xf>
    <xf numFmtId="38" fontId="105" fillId="0" borderId="5"/>
    <xf numFmtId="42" fontId="16" fillId="71" borderId="5">
      <alignment horizontal="left"/>
    </xf>
    <xf numFmtId="42" fontId="16" fillId="71" borderId="5">
      <alignment horizontal="left"/>
    </xf>
    <xf numFmtId="4" fontId="128" fillId="95" borderId="51" applyNumberFormat="0" applyProtection="0">
      <alignment horizontal="left" vertical="center" indent="1"/>
    </xf>
    <xf numFmtId="42" fontId="16" fillId="71" borderId="5">
      <alignment horizontal="left"/>
    </xf>
    <xf numFmtId="42" fontId="16" fillId="71" borderId="5">
      <alignment horizontal="left"/>
    </xf>
    <xf numFmtId="4" fontId="126" fillId="94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7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0" fontId="124" fillId="82" borderId="53"/>
    <xf numFmtId="0" fontId="123" fillId="83" borderId="52"/>
    <xf numFmtId="4" fontId="133" fillId="97" borderId="51" applyNumberFormat="0" applyProtection="0">
      <alignment horizontal="right" vertical="center"/>
    </xf>
    <xf numFmtId="4" fontId="133" fillId="97" borderId="51" applyNumberFormat="0" applyProtection="0">
      <alignment horizontal="right" vertical="center"/>
    </xf>
    <xf numFmtId="202" fontId="125" fillId="71" borderId="5">
      <alignment horizontal="left"/>
    </xf>
    <xf numFmtId="0" fontId="59" fillId="102" borderId="17"/>
    <xf numFmtId="202" fontId="125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7" fillId="97" borderId="51" applyNumberFormat="0" applyProtection="0">
      <alignment horizontal="right" vertical="center"/>
    </xf>
    <xf numFmtId="4" fontId="127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7" fillId="101" borderId="51" applyNumberFormat="0" applyProtection="0">
      <alignment vertical="center"/>
    </xf>
    <xf numFmtId="4" fontId="127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4" fontId="126" fillId="101" borderId="51" applyNumberFormat="0" applyProtection="0">
      <alignment vertical="center"/>
    </xf>
    <xf numFmtId="0" fontId="16" fillId="73" borderId="17" applyNumberFormat="0">
      <protection locked="0"/>
    </xf>
    <xf numFmtId="0" fontId="16" fillId="73" borderId="17" applyNumberFormat="0">
      <protection locked="0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8" fillId="95" borderId="51" applyNumberFormat="0" applyProtection="0">
      <alignment horizontal="left" vertical="center" indent="1"/>
    </xf>
    <xf numFmtId="4" fontId="126" fillId="94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17" fillId="73" borderId="51" applyNumberFormat="0" applyAlignment="0" applyProtection="0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6" fillId="84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4" fontId="126" fillId="79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4" fontId="126" fillId="79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4" fontId="126" fillId="79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4" fontId="127" fillId="79" borderId="51" applyNumberFormat="0" applyProtection="0">
      <alignment vertical="center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4" fontId="127" fillId="79" borderId="51" applyNumberFormat="0" applyProtection="0">
      <alignment vertical="center"/>
    </xf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4" fillId="43" borderId="50" applyNumberFormat="0" applyFont="0" applyAlignment="0" applyProtection="0"/>
    <xf numFmtId="4" fontId="126" fillId="79" borderId="51" applyNumberFormat="0" applyProtection="0">
      <alignment vertical="center"/>
    </xf>
    <xf numFmtId="0" fontId="16" fillId="43" borderId="50" applyNumberFormat="0" applyFont="0" applyAlignment="0" applyProtection="0"/>
    <xf numFmtId="0" fontId="16" fillId="43" borderId="50" applyNumberFormat="0" applyFont="0" applyAlignment="0" applyProtection="0"/>
    <xf numFmtId="0" fontId="16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202" fontId="125" fillId="71" borderId="5">
      <alignment horizontal="left"/>
    </xf>
    <xf numFmtId="202" fontId="125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0" fontId="117" fillId="73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4" fillId="43" borderId="50" applyNumberFormat="0" applyFont="0" applyAlignment="0" applyProtection="0"/>
    <xf numFmtId="0" fontId="16" fillId="43" borderId="50" applyNumberFormat="0" applyFont="0" applyAlignment="0" applyProtection="0"/>
    <xf numFmtId="0" fontId="16" fillId="43" borderId="50" applyNumberFormat="0" applyFont="0" applyAlignment="0" applyProtection="0"/>
    <xf numFmtId="0" fontId="16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17" fillId="73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62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0" fontId="106" fillId="45" borderId="35" applyNumberFormat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0" fontId="106" fillId="45" borderId="3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3" borderId="51" applyNumberFormat="0" applyAlignment="0" applyProtection="0"/>
    <xf numFmtId="0" fontId="69" fillId="43" borderId="50" applyNumberFormat="0" applyFont="0" applyAlignment="0" applyProtection="0"/>
    <xf numFmtId="0" fontId="16" fillId="43" borderId="50" applyNumberFormat="0" applyFont="0" applyAlignment="0" applyProtection="0"/>
    <xf numFmtId="0" fontId="64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9" fontId="4" fillId="0" borderId="0" applyFont="0" applyFill="0" applyBorder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9" fontId="4" fillId="0" borderId="0" applyFont="0" applyFill="0" applyBorder="0" applyAlignment="0" applyProtection="0"/>
    <xf numFmtId="0" fontId="117" fillId="72" borderId="51" applyNumberFormat="0" applyAlignment="0" applyProtection="0"/>
    <xf numFmtId="0" fontId="117" fillId="72" borderId="51" applyNumberFormat="0" applyAlignment="0" applyProtection="0"/>
    <xf numFmtId="0" fontId="117" fillId="73" borderId="5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3" fillId="83" borderId="52"/>
    <xf numFmtId="0" fontId="124" fillId="82" borderId="53"/>
    <xf numFmtId="4" fontId="126" fillId="97" borderId="55" applyNumberFormat="0" applyProtection="0">
      <alignment horizontal="left" vertical="center" indent="1"/>
    </xf>
    <xf numFmtId="4" fontId="126" fillId="97" borderId="55" applyNumberFormat="0" applyProtection="0">
      <alignment horizontal="left" vertical="center" indent="1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202" fontId="125" fillId="71" borderId="5">
      <alignment horizontal="left"/>
    </xf>
    <xf numFmtId="202" fontId="125" fillId="71" borderId="5">
      <alignment horizontal="left"/>
    </xf>
    <xf numFmtId="4" fontId="126" fillId="79" borderId="51" applyNumberFormat="0" applyProtection="0">
      <alignment vertical="center"/>
    </xf>
    <xf numFmtId="4" fontId="126" fillId="79" borderId="51" applyNumberFormat="0" applyProtection="0">
      <alignment vertical="center"/>
    </xf>
    <xf numFmtId="4" fontId="127" fillId="79" borderId="51" applyNumberFormat="0" applyProtection="0">
      <alignment vertical="center"/>
    </xf>
    <xf numFmtId="4" fontId="127" fillId="79" borderId="51" applyNumberFormat="0" applyProtection="0">
      <alignment vertical="center"/>
    </xf>
    <xf numFmtId="4" fontId="126" fillId="79" borderId="51" applyNumberFormat="0" applyProtection="0">
      <alignment horizontal="left" vertical="center" indent="1"/>
    </xf>
    <xf numFmtId="4" fontId="126" fillId="97" borderId="55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05" fillId="68" borderId="56" applyBorder="0"/>
    <xf numFmtId="0" fontId="105" fillId="68" borderId="56" applyBorder="0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86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0" fontId="123" fillId="83" borderId="52"/>
    <xf numFmtId="0" fontId="124" fillId="82" borderId="53"/>
    <xf numFmtId="4" fontId="126" fillId="88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7" borderId="55" applyNumberFormat="0" applyProtection="0">
      <alignment horizontal="left" vertical="center" indent="1"/>
    </xf>
    <xf numFmtId="4" fontId="126" fillId="92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4" fontId="128" fillId="95" borderId="51" applyNumberFormat="0" applyProtection="0">
      <alignment horizontal="left" vertical="center" indent="1"/>
    </xf>
    <xf numFmtId="4" fontId="128" fillId="95" borderId="51" applyNumberFormat="0" applyProtection="0">
      <alignment horizontal="left" vertical="center" indent="1"/>
    </xf>
    <xf numFmtId="4" fontId="126" fillId="97" borderId="55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05" fillId="68" borderId="56" applyBorder="0"/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42" fontId="16" fillId="71" borderId="5">
      <alignment horizontal="left"/>
    </xf>
    <xf numFmtId="0" fontId="16" fillId="99" borderId="51" applyNumberFormat="0" applyProtection="0">
      <alignment horizontal="left" vertical="center" indent="1"/>
    </xf>
    <xf numFmtId="202" fontId="125" fillId="71" borderId="5">
      <alignment horizontal="left"/>
    </xf>
    <xf numFmtId="0" fontId="16" fillId="99" borderId="51" applyNumberFormat="0" applyProtection="0">
      <alignment horizontal="left" vertical="center" indent="1"/>
    </xf>
    <xf numFmtId="202" fontId="125" fillId="71" borderId="5">
      <alignment horizontal="left"/>
    </xf>
    <xf numFmtId="0" fontId="16" fillId="99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05" fillId="68" borderId="56" applyBorder="0"/>
    <xf numFmtId="4" fontId="126" fillId="79" borderId="51" applyNumberFormat="0" applyProtection="0">
      <alignment vertical="center"/>
    </xf>
    <xf numFmtId="0" fontId="16" fillId="37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4" fontId="127" fillId="79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7" fillId="79" borderId="51" applyNumberFormat="0" applyProtection="0">
      <alignment vertical="center"/>
    </xf>
    <xf numFmtId="4" fontId="126" fillId="7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73" borderId="17" applyNumberFormat="0">
      <protection locked="0"/>
    </xf>
    <xf numFmtId="0" fontId="16" fillId="73" borderId="17" applyNumberFormat="0">
      <protection locked="0"/>
    </xf>
    <xf numFmtId="4" fontId="126" fillId="7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86" borderId="51" applyNumberFormat="0" applyProtection="0">
      <alignment horizontal="right" vertical="center"/>
    </xf>
    <xf numFmtId="4" fontId="126" fillId="86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7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4" fontId="126" fillId="88" borderId="51" applyNumberFormat="0" applyProtection="0">
      <alignment horizontal="right" vertical="center"/>
    </xf>
    <xf numFmtId="4" fontId="126" fillId="89" borderId="51" applyNumberFormat="0" applyProtection="0">
      <alignment horizontal="right" vertical="center"/>
    </xf>
    <xf numFmtId="0" fontId="105" fillId="68" borderId="56" applyBorder="0"/>
    <xf numFmtId="4" fontId="126" fillId="89" borderId="51" applyNumberFormat="0" applyProtection="0">
      <alignment horizontal="right" vertical="center"/>
    </xf>
    <xf numFmtId="4" fontId="126" fillId="90" borderId="51" applyNumberFormat="0" applyProtection="0">
      <alignment horizontal="right" vertical="center"/>
    </xf>
    <xf numFmtId="4" fontId="126" fillId="101" borderId="51" applyNumberFormat="0" applyProtection="0">
      <alignment vertical="center"/>
    </xf>
    <xf numFmtId="4" fontId="126" fillId="90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1" borderId="51" applyNumberFormat="0" applyProtection="0">
      <alignment horizontal="right" vertical="center"/>
    </xf>
    <xf numFmtId="4" fontId="126" fillId="92" borderId="51" applyNumberFormat="0" applyProtection="0">
      <alignment horizontal="right" vertical="center"/>
    </xf>
    <xf numFmtId="4" fontId="126" fillId="101" borderId="51" applyNumberFormat="0" applyProtection="0">
      <alignment vertical="center"/>
    </xf>
    <xf numFmtId="4" fontId="126" fillId="92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7" fillId="101" borderId="51" applyNumberFormat="0" applyProtection="0">
      <alignment vertical="center"/>
    </xf>
    <xf numFmtId="4" fontId="126" fillId="93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4" fontId="127" fillId="101" borderId="51" applyNumberFormat="0" applyProtection="0">
      <alignment vertical="center"/>
    </xf>
    <xf numFmtId="4" fontId="126" fillId="94" borderId="51" applyNumberFormat="0" applyProtection="0">
      <alignment horizontal="right" vertical="center"/>
    </xf>
    <xf numFmtId="4" fontId="128" fillId="95" borderId="51" applyNumberFormat="0" applyProtection="0">
      <alignment horizontal="left" vertical="center" indent="1"/>
    </xf>
    <xf numFmtId="4" fontId="128" fillId="95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59" fillId="102" borderId="17"/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7" fillId="97" borderId="51" applyNumberFormat="0" applyProtection="0">
      <alignment horizontal="right" vertical="center"/>
    </xf>
    <xf numFmtId="4" fontId="12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27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17" fillId="0" borderId="60" applyNumberFormat="0" applyFill="0" applyAlignment="0" applyProtection="0"/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7" fillId="0" borderId="60" applyNumberFormat="0" applyFill="0" applyAlignment="0" applyProtection="0"/>
    <xf numFmtId="0" fontId="16" fillId="99" borderId="51" applyNumberFormat="0" applyProtection="0">
      <alignment horizontal="left" vertical="center" indent="1"/>
    </xf>
    <xf numFmtId="0" fontId="17" fillId="0" borderId="60" applyNumberFormat="0" applyFill="0" applyAlignment="0" applyProtection="0"/>
    <xf numFmtId="0" fontId="16" fillId="99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7" fillId="0" borderId="60" applyNumberFormat="0" applyFill="0" applyAlignment="0" applyProtection="0"/>
    <xf numFmtId="0" fontId="16" fillId="100" borderId="51" applyNumberFormat="0" applyProtection="0">
      <alignment horizontal="left" vertical="center" indent="1"/>
    </xf>
    <xf numFmtId="10" fontId="59" fillId="71" borderId="17" applyNumberFormat="0" applyBorder="0" applyAlignment="0" applyProtection="0"/>
    <xf numFmtId="4" fontId="126" fillId="86" borderId="51" applyNumberFormat="0" applyProtection="0">
      <alignment horizontal="right" vertical="center"/>
    </xf>
    <xf numFmtId="0" fontId="69" fillId="43" borderId="50" applyNumberFormat="0" applyFon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84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10" fontId="59" fillId="71" borderId="62" applyNumberFormat="0" applyBorder="0" applyAlignment="0" applyProtection="0"/>
    <xf numFmtId="0" fontId="69" fillId="43" borderId="50" applyNumberFormat="0" applyFont="0" applyAlignment="0" applyProtection="0"/>
    <xf numFmtId="0" fontId="69" fillId="43" borderId="50" applyNumberFormat="0" applyFont="0" applyAlignment="0" applyProtection="0"/>
    <xf numFmtId="0" fontId="16" fillId="84" borderId="51" applyNumberFormat="0" applyProtection="0">
      <alignment horizontal="left" vertical="center" indent="1"/>
    </xf>
    <xf numFmtId="0" fontId="16" fillId="43" borderId="50" applyNumberFormat="0" applyFont="0" applyAlignment="0" applyProtection="0"/>
    <xf numFmtId="0" fontId="73" fillId="72" borderId="35" applyNumberForma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4" fontId="126" fillId="79" borderId="51" applyNumberFormat="0" applyProtection="0">
      <alignment horizontal="left" vertical="center" indent="1"/>
    </xf>
    <xf numFmtId="4" fontId="126" fillId="7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05" fillId="0" borderId="5"/>
    <xf numFmtId="0" fontId="105" fillId="0" borderId="5"/>
    <xf numFmtId="0" fontId="105" fillId="0" borderId="5"/>
    <xf numFmtId="38" fontId="105" fillId="0" borderId="5"/>
    <xf numFmtId="38" fontId="105" fillId="0" borderId="5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38" fontId="105" fillId="0" borderId="5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7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0" fontId="59" fillId="102" borderId="17"/>
    <xf numFmtId="4" fontId="12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33" fillId="97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4" fontId="133" fillId="97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73" borderId="17" applyNumberFormat="0">
      <protection locked="0"/>
    </xf>
    <xf numFmtId="0" fontId="16" fillId="73" borderId="17" applyNumberFormat="0">
      <protection locked="0"/>
    </xf>
    <xf numFmtId="0" fontId="16" fillId="73" borderId="62" applyNumberFormat="0">
      <protection locked="0"/>
    </xf>
    <xf numFmtId="4" fontId="126" fillId="101" borderId="51" applyNumberFormat="0" applyProtection="0">
      <alignment vertical="center"/>
    </xf>
    <xf numFmtId="0" fontId="16" fillId="73" borderId="62" applyNumberFormat="0">
      <protection locked="0"/>
    </xf>
    <xf numFmtId="4" fontId="126" fillId="101" borderId="51" applyNumberFormat="0" applyProtection="0">
      <alignment vertical="center"/>
    </xf>
    <xf numFmtId="4" fontId="127" fillId="101" borderId="51" applyNumberFormat="0" applyProtection="0">
      <alignment vertical="center"/>
    </xf>
    <xf numFmtId="4" fontId="127" fillId="101" borderId="51" applyNumberFormat="0" applyProtection="0">
      <alignment vertical="center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7" fillId="97" borderId="51" applyNumberFormat="0" applyProtection="0">
      <alignment horizontal="right" vertical="center"/>
    </xf>
    <xf numFmtId="4" fontId="127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59" fillId="102" borderId="17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59" fillId="102" borderId="17"/>
    <xf numFmtId="4" fontId="133" fillId="97" borderId="51" applyNumberFormat="0" applyProtection="0">
      <alignment horizontal="right" vertical="center"/>
    </xf>
    <xf numFmtId="38" fontId="105" fillId="0" borderId="5"/>
    <xf numFmtId="4" fontId="133" fillId="97" borderId="51" applyNumberFormat="0" applyProtection="0">
      <alignment horizontal="right" vertical="center"/>
    </xf>
    <xf numFmtId="38" fontId="105" fillId="0" borderId="5"/>
    <xf numFmtId="38" fontId="105" fillId="0" borderId="5"/>
    <xf numFmtId="0" fontId="105" fillId="0" borderId="5"/>
    <xf numFmtId="0" fontId="105" fillId="0" borderId="5"/>
    <xf numFmtId="0" fontId="96" fillId="0" borderId="53"/>
    <xf numFmtId="0" fontId="105" fillId="0" borderId="5"/>
    <xf numFmtId="38" fontId="105" fillId="0" borderId="5"/>
    <xf numFmtId="38" fontId="105" fillId="0" borderId="5"/>
    <xf numFmtId="38" fontId="105" fillId="0" borderId="5"/>
    <xf numFmtId="0" fontId="92" fillId="0" borderId="59" applyNumberFormat="0" applyFill="0" applyAlignment="0" applyProtection="0"/>
    <xf numFmtId="38" fontId="105" fillId="0" borderId="5"/>
    <xf numFmtId="38" fontId="105" fillId="0" borderId="5"/>
    <xf numFmtId="38" fontId="105" fillId="0" borderId="5"/>
    <xf numFmtId="38" fontId="105" fillId="0" borderId="5"/>
    <xf numFmtId="0" fontId="92" fillId="0" borderId="59" applyNumberFormat="0" applyFill="0" applyAlignment="0" applyProtection="0"/>
    <xf numFmtId="0" fontId="105" fillId="0" borderId="5"/>
    <xf numFmtId="0" fontId="105" fillId="0" borderId="5"/>
    <xf numFmtId="0" fontId="105" fillId="0" borderId="5"/>
    <xf numFmtId="38" fontId="105" fillId="0" borderId="5"/>
    <xf numFmtId="38" fontId="105" fillId="0" borderId="5"/>
    <xf numFmtId="38" fontId="105" fillId="0" borderId="5"/>
    <xf numFmtId="0" fontId="92" fillId="0" borderId="59" applyNumberFormat="0" applyFill="0" applyAlignment="0" applyProtection="0"/>
    <xf numFmtId="0" fontId="59" fillId="102" borderId="62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69" fillId="43" borderId="50" applyNumberFormat="0" applyFont="0" applyAlignment="0" applyProtection="0"/>
    <xf numFmtId="4" fontId="128" fillId="95" borderId="51" applyNumberFormat="0" applyProtection="0">
      <alignment horizontal="left" vertical="center" indent="1"/>
    </xf>
    <xf numFmtId="4" fontId="126" fillId="79" borderId="51" applyNumberFormat="0" applyProtection="0">
      <alignment vertical="center"/>
    </xf>
    <xf numFmtId="0" fontId="96" fillId="0" borderId="53"/>
    <xf numFmtId="0" fontId="73" fillId="72" borderId="35" applyNumberFormat="0" applyAlignment="0" applyProtection="0"/>
    <xf numFmtId="0" fontId="73" fillId="72" borderId="35" applyNumberFormat="0" applyAlignment="0" applyProtection="0"/>
    <xf numFmtId="0" fontId="69" fillId="43" borderId="50" applyNumberFormat="0" applyFont="0" applyAlignment="0" applyProtection="0"/>
    <xf numFmtId="0" fontId="117" fillId="72" borderId="51" applyNumberFormat="0" applyAlignment="0" applyProtection="0"/>
    <xf numFmtId="4" fontId="127" fillId="97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202" fontId="125" fillId="71" borderId="5">
      <alignment horizontal="left"/>
    </xf>
    <xf numFmtId="4" fontId="126" fillId="79" borderId="51" applyNumberFormat="0" applyProtection="0">
      <alignment horizontal="left" vertical="center" indent="1"/>
    </xf>
    <xf numFmtId="4" fontId="127" fillId="79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117" fillId="73" borderId="51" applyNumberFormat="0" applyAlignment="0" applyProtection="0"/>
    <xf numFmtId="0" fontId="16" fillId="100" borderId="51" applyNumberFormat="0" applyProtection="0">
      <alignment horizontal="left" vertical="center" indent="1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93" borderId="51" applyNumberFormat="0" applyProtection="0">
      <alignment horizontal="right" vertical="center"/>
    </xf>
    <xf numFmtId="0" fontId="16" fillId="99" borderId="51" applyNumberFormat="0" applyProtection="0">
      <alignment horizontal="left" vertical="center" indent="1"/>
    </xf>
    <xf numFmtId="4" fontId="126" fillId="99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10" fontId="59" fillId="71" borderId="17" applyNumberFormat="0" applyBorder="0" applyAlignment="0" applyProtection="0"/>
    <xf numFmtId="0" fontId="16" fillId="84" borderId="51" applyNumberFormat="0" applyProtection="0">
      <alignment horizontal="left" vertical="center" indent="1"/>
    </xf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42" fontId="16" fillId="71" borderId="5">
      <alignment horizontal="left"/>
    </xf>
    <xf numFmtId="0" fontId="117" fillId="72" borderId="51" applyNumberFormat="0" applyAlignment="0" applyProtection="0"/>
    <xf numFmtId="0" fontId="16" fillId="84" borderId="51" applyNumberFormat="0" applyProtection="0">
      <alignment horizontal="left" vertical="center" indent="1"/>
    </xf>
    <xf numFmtId="0" fontId="117" fillId="72" borderId="51" applyNumberFormat="0" applyAlignment="0" applyProtection="0"/>
    <xf numFmtId="10" fontId="59" fillId="71" borderId="62" applyNumberFormat="0" applyBorder="0" applyAlignment="0" applyProtection="0"/>
    <xf numFmtId="38" fontId="105" fillId="0" borderId="5"/>
    <xf numFmtId="0" fontId="16" fillId="37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100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73" borderId="62" applyNumberFormat="0">
      <protection locked="0"/>
    </xf>
    <xf numFmtId="0" fontId="16" fillId="73" borderId="62" applyNumberFormat="0">
      <protection locked="0"/>
    </xf>
    <xf numFmtId="0" fontId="16" fillId="84" borderId="51" applyNumberFormat="0" applyProtection="0">
      <alignment horizontal="left" vertical="center" indent="1"/>
    </xf>
    <xf numFmtId="0" fontId="105" fillId="68" borderId="56" applyBorder="0"/>
    <xf numFmtId="4" fontId="126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vertical="center"/>
    </xf>
    <xf numFmtId="4" fontId="127" fillId="101" borderId="51" applyNumberFormat="0" applyProtection="0">
      <alignment vertical="center"/>
    </xf>
    <xf numFmtId="0" fontId="16" fillId="84" borderId="51" applyNumberFormat="0" applyProtection="0">
      <alignment horizontal="left" vertical="center" indent="1"/>
    </xf>
    <xf numFmtId="4" fontId="127" fillId="101" borderId="51" applyNumberFormat="0" applyProtection="0">
      <alignment vertical="center"/>
    </xf>
    <xf numFmtId="4" fontId="126" fillId="101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4" fontId="127" fillId="97" borderId="51" applyNumberFormat="0" applyProtection="0">
      <alignment horizontal="right" vertical="center"/>
    </xf>
    <xf numFmtId="4" fontId="127" fillId="97" borderId="51" applyNumberFormat="0" applyProtection="0">
      <alignment horizontal="right" vertical="center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16" fillId="84" borderId="51" applyNumberFormat="0" applyProtection="0">
      <alignment horizontal="left" vertical="center" indent="1"/>
    </xf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59" fillId="102" borderId="62"/>
    <xf numFmtId="0" fontId="17" fillId="0" borderId="60" applyNumberFormat="0" applyFill="0" applyAlignment="0" applyProtection="0"/>
    <xf numFmtId="4" fontId="133" fillId="97" borderId="51" applyNumberFormat="0" applyProtection="0">
      <alignment horizontal="right" vertical="center"/>
    </xf>
    <xf numFmtId="4" fontId="133" fillId="97" borderId="51" applyNumberFormat="0" applyProtection="0">
      <alignment horizontal="right" vertical="center"/>
    </xf>
    <xf numFmtId="0" fontId="17" fillId="0" borderId="60" applyNumberFormat="0" applyFill="0" applyAlignment="0" applyProtection="0"/>
    <xf numFmtId="4" fontId="133" fillId="97" borderId="51" applyNumberFormat="0" applyProtection="0">
      <alignment horizontal="right" vertical="center"/>
    </xf>
    <xf numFmtId="0" fontId="17" fillId="0" borderId="60" applyNumberFormat="0" applyFill="0" applyAlignment="0" applyProtection="0"/>
    <xf numFmtId="4" fontId="133" fillId="97" borderId="51" applyNumberFormat="0" applyProtection="0">
      <alignment horizontal="right" vertical="center"/>
    </xf>
    <xf numFmtId="0" fontId="17" fillId="0" borderId="60" applyNumberFormat="0" applyFill="0" applyAlignment="0" applyProtection="0"/>
    <xf numFmtId="0" fontId="117" fillId="72" borderId="51" applyNumberFormat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37" borderId="51" applyNumberFormat="0" applyProtection="0">
      <alignment horizontal="left" vertical="center" indent="1"/>
    </xf>
    <xf numFmtId="0" fontId="16" fillId="37" borderId="51" applyNumberFormat="0" applyProtection="0">
      <alignment horizontal="left" vertical="center" indent="1"/>
    </xf>
    <xf numFmtId="4" fontId="126" fillId="101" borderId="51" applyNumberFormat="0" applyProtection="0">
      <alignment horizontal="left" vertical="center" indent="1"/>
    </xf>
    <xf numFmtId="0" fontId="16" fillId="43" borderId="50" applyNumberFormat="0" applyFon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84" borderId="51" applyNumberFormat="0" applyProtection="0">
      <alignment horizontal="left" vertical="center" indent="1"/>
    </xf>
    <xf numFmtId="4" fontId="127" fillId="97" borderId="51" applyNumberFormat="0" applyProtection="0">
      <alignment horizontal="right" vertical="center"/>
    </xf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38" fontId="105" fillId="0" borderId="5"/>
    <xf numFmtId="38" fontId="105" fillId="0" borderId="5"/>
    <xf numFmtId="38" fontId="105" fillId="0" borderId="5"/>
    <xf numFmtId="38" fontId="105" fillId="0" borderId="5"/>
    <xf numFmtId="0" fontId="105" fillId="0" borderId="5"/>
    <xf numFmtId="0" fontId="105" fillId="0" borderId="5"/>
    <xf numFmtId="0" fontId="105" fillId="0" borderId="5"/>
    <xf numFmtId="38" fontId="105" fillId="0" borderId="5"/>
    <xf numFmtId="38" fontId="105" fillId="0" borderId="5"/>
    <xf numFmtId="38" fontId="105" fillId="0" borderId="5"/>
    <xf numFmtId="0" fontId="17" fillId="0" borderId="60" applyNumberFormat="0" applyFill="0" applyAlignment="0" applyProtection="0"/>
    <xf numFmtId="0" fontId="16" fillId="43" borderId="50" applyNumberFormat="0" applyFont="0" applyAlignment="0" applyProtection="0"/>
    <xf numFmtId="0" fontId="96" fillId="0" borderId="53"/>
    <xf numFmtId="0" fontId="16" fillId="43" borderId="50" applyNumberFormat="0" applyFont="0" applyAlignment="0" applyProtection="0"/>
    <xf numFmtId="0" fontId="16" fillId="43" borderId="50" applyNumberFormat="0" applyFont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7" fillId="0" borderId="60" applyNumberFormat="0" applyFill="0" applyAlignment="0" applyProtection="0"/>
    <xf numFmtId="10" fontId="59" fillId="71" borderId="17" applyNumberFormat="0" applyBorder="0" applyAlignment="0" applyProtection="0"/>
    <xf numFmtId="4" fontId="126" fillId="94" borderId="51" applyNumberFormat="0" applyProtection="0">
      <alignment horizontal="right" vertical="center"/>
    </xf>
    <xf numFmtId="0" fontId="73" fillId="72" borderId="35" applyNumberFormat="0" applyAlignment="0" applyProtection="0"/>
    <xf numFmtId="0" fontId="73" fillId="72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84" borderId="51" applyNumberFormat="0" applyProtection="0">
      <alignment horizontal="left" vertical="center" indent="1"/>
    </xf>
    <xf numFmtId="4" fontId="126" fillId="97" borderId="51" applyNumberFormat="0" applyProtection="0">
      <alignment horizontal="right" vertical="center"/>
    </xf>
    <xf numFmtId="0" fontId="117" fillId="72" borderId="51" applyNumberFormat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4" fontId="126" fillId="101" borderId="51" applyNumberFormat="0" applyProtection="0">
      <alignment horizontal="left" vertical="center" indent="1"/>
    </xf>
    <xf numFmtId="4" fontId="126" fillId="93" borderId="51" applyNumberFormat="0" applyProtection="0">
      <alignment horizontal="right" vertical="center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99" borderId="51" applyNumberFormat="0" applyProtection="0">
      <alignment horizontal="left" vertical="center" indent="1"/>
    </xf>
    <xf numFmtId="0" fontId="69" fillId="43" borderId="50" applyNumberFormat="0" applyFont="0" applyAlignment="0" applyProtection="0"/>
    <xf numFmtId="0" fontId="64" fillId="43" borderId="50" applyNumberFormat="0" applyFont="0" applyAlignment="0" applyProtection="0"/>
    <xf numFmtId="38" fontId="105" fillId="0" borderId="5"/>
    <xf numFmtId="38" fontId="105" fillId="0" borderId="5"/>
    <xf numFmtId="38" fontId="105" fillId="0" borderId="5"/>
    <xf numFmtId="38" fontId="105" fillId="0" borderId="5"/>
    <xf numFmtId="0" fontId="105" fillId="0" borderId="5"/>
    <xf numFmtId="0" fontId="105" fillId="0" borderId="5"/>
    <xf numFmtId="0" fontId="105" fillId="0" borderId="5"/>
    <xf numFmtId="38" fontId="105" fillId="0" borderId="5"/>
    <xf numFmtId="38" fontId="105" fillId="0" borderId="5"/>
    <xf numFmtId="38" fontId="105" fillId="0" borderId="5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6" fillId="99" borderId="51" applyNumberFormat="0" applyProtection="0">
      <alignment horizontal="left" vertical="center" indent="1"/>
    </xf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10" fontId="59" fillId="71" borderId="17" applyNumberFormat="0" applyBorder="0" applyAlignment="0" applyProtection="0"/>
    <xf numFmtId="0" fontId="96" fillId="0" borderId="53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17" fillId="0" borderId="60" applyNumberFormat="0" applyFill="0" applyAlignment="0" applyProtection="0"/>
    <xf numFmtId="0" fontId="73" fillId="72" borderId="35" applyNumberFormat="0" applyAlignment="0" applyProtection="0"/>
    <xf numFmtId="0" fontId="73" fillId="72" borderId="35" applyNumberFormat="0" applyAlignment="0" applyProtection="0"/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97" fillId="0" borderId="16">
      <alignment horizontal="left"/>
    </xf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0" fontId="106" fillId="45" borderId="35" applyNumberFormat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4" fillId="0" borderId="0">
      <alignment readingOrder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>
      <alignment readingOrder="1"/>
    </xf>
    <xf numFmtId="0" fontId="54" fillId="0" borderId="0">
      <alignment readingOrder="1"/>
    </xf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0" fillId="0" borderId="0">
      <alignment readingOrder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7" fillId="0" borderId="66">
      <alignment horizontal="left"/>
    </xf>
    <xf numFmtId="0" fontId="97" fillId="0" borderId="66">
      <alignment horizontal="left"/>
    </xf>
    <xf numFmtId="0" fontId="97" fillId="0" borderId="66">
      <alignment horizontal="left"/>
    </xf>
    <xf numFmtId="0" fontId="97" fillId="0" borderId="66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14" fillId="0" borderId="0" xfId="0" applyFont="1"/>
    <xf numFmtId="0" fontId="17" fillId="0" borderId="0" xfId="0" applyFont="1"/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6" xfId="0" applyFont="1" applyFill="1" applyBorder="1"/>
    <xf numFmtId="0" fontId="18" fillId="0" borderId="7" xfId="0" applyFont="1" applyFill="1" applyBorder="1"/>
    <xf numFmtId="0" fontId="18" fillId="0" borderId="8" xfId="0" applyFont="1" applyFill="1" applyBorder="1"/>
    <xf numFmtId="0" fontId="18" fillId="0" borderId="0" xfId="0" applyFont="1" applyFill="1" applyBorder="1"/>
    <xf numFmtId="0" fontId="18" fillId="0" borderId="9" xfId="4" applyFont="1" applyFill="1" applyBorder="1" applyAlignment="1">
      <alignment horizontal="center"/>
    </xf>
    <xf numFmtId="0" fontId="18" fillId="0" borderId="10" xfId="4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1" xfId="4" applyFont="1" applyFill="1" applyBorder="1" applyAlignment="1">
      <alignment horizontal="center"/>
    </xf>
    <xf numFmtId="0" fontId="18" fillId="0" borderId="12" xfId="4" applyFont="1" applyFill="1" applyBorder="1" applyAlignment="1">
      <alignment horizontal="center"/>
    </xf>
    <xf numFmtId="0" fontId="18" fillId="0" borderId="14" xfId="4" applyFont="1" applyFill="1" applyBorder="1" applyAlignment="1">
      <alignment horizontal="center"/>
    </xf>
    <xf numFmtId="0" fontId="18" fillId="0" borderId="15" xfId="4" applyFont="1" applyFill="1" applyBorder="1" applyAlignment="1">
      <alignment horizontal="center" wrapText="1"/>
    </xf>
    <xf numFmtId="0" fontId="18" fillId="0" borderId="16" xfId="4" applyFont="1" applyFill="1" applyBorder="1" applyAlignment="1">
      <alignment horizontal="center"/>
    </xf>
    <xf numFmtId="0" fontId="18" fillId="0" borderId="17" xfId="4" applyFont="1" applyFill="1" applyBorder="1" applyAlignment="1">
      <alignment horizontal="center"/>
    </xf>
    <xf numFmtId="0" fontId="18" fillId="0" borderId="18" xfId="4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9" fillId="0" borderId="0" xfId="0" applyFont="1" applyFill="1" applyBorder="1"/>
    <xf numFmtId="10" fontId="18" fillId="0" borderId="9" xfId="0" applyNumberFormat="1" applyFont="1" applyFill="1" applyBorder="1"/>
    <xf numFmtId="49" fontId="17" fillId="0" borderId="10" xfId="0" applyNumberFormat="1" applyFont="1" applyBorder="1" applyAlignment="1">
      <alignment horizontal="center"/>
    </xf>
    <xf numFmtId="167" fontId="20" fillId="0" borderId="19" xfId="2" applyNumberFormat="1" applyFont="1" applyFill="1" applyBorder="1"/>
    <xf numFmtId="37" fontId="18" fillId="0" borderId="9" xfId="5" applyNumberFormat="1" applyFont="1" applyFill="1" applyBorder="1"/>
    <xf numFmtId="0" fontId="18" fillId="0" borderId="9" xfId="0" applyFont="1" applyFill="1" applyBorder="1"/>
    <xf numFmtId="37" fontId="18" fillId="0" borderId="9" xfId="6" applyNumberFormat="1" applyFont="1" applyFill="1" applyBorder="1"/>
    <xf numFmtId="0" fontId="18" fillId="0" borderId="0" xfId="0" applyFont="1" applyFill="1"/>
    <xf numFmtId="168" fontId="18" fillId="0" borderId="9" xfId="0" applyNumberFormat="1" applyFont="1" applyFill="1" applyBorder="1"/>
    <xf numFmtId="167" fontId="18" fillId="0" borderId="13" xfId="0" applyNumberFormat="1" applyFont="1" applyFill="1" applyBorder="1"/>
    <xf numFmtId="167" fontId="18" fillId="0" borderId="12" xfId="0" applyNumberFormat="1" applyFont="1" applyFill="1" applyBorder="1"/>
    <xf numFmtId="0" fontId="18" fillId="0" borderId="12" xfId="0" applyFont="1" applyFill="1" applyBorder="1"/>
    <xf numFmtId="0" fontId="18" fillId="0" borderId="0" xfId="0" applyFont="1" applyFill="1" applyBorder="1" applyAlignment="1">
      <alignment horizontal="center"/>
    </xf>
    <xf numFmtId="167" fontId="22" fillId="0" borderId="0" xfId="2" applyNumberFormat="1" applyFont="1"/>
    <xf numFmtId="172" fontId="14" fillId="0" borderId="0" xfId="3" applyNumberFormat="1" applyFont="1"/>
    <xf numFmtId="44" fontId="14" fillId="0" borderId="0" xfId="2" applyFont="1"/>
    <xf numFmtId="49" fontId="17" fillId="0" borderId="0" xfId="0" applyNumberFormat="1" applyFont="1" applyBorder="1" applyAlignment="1">
      <alignment horizontal="center"/>
    </xf>
    <xf numFmtId="37" fontId="14" fillId="0" borderId="0" xfId="0" applyNumberFormat="1" applyFont="1"/>
    <xf numFmtId="44" fontId="14" fillId="0" borderId="0" xfId="0" applyNumberFormat="1" applyFont="1"/>
    <xf numFmtId="0" fontId="14" fillId="3" borderId="0" xfId="0" applyFont="1" applyFill="1"/>
    <xf numFmtId="0" fontId="23" fillId="3" borderId="0" xfId="0" applyFont="1" applyFill="1" applyAlignment="1">
      <alignment horizontal="right"/>
    </xf>
    <xf numFmtId="164" fontId="23" fillId="3" borderId="0" xfId="0" applyNumberFormat="1" applyFont="1" applyFill="1"/>
    <xf numFmtId="165" fontId="14" fillId="0" borderId="0" xfId="0" applyNumberFormat="1" applyFont="1"/>
    <xf numFmtId="5" fontId="14" fillId="0" borderId="0" xfId="1" applyNumberFormat="1" applyFont="1"/>
    <xf numFmtId="166" fontId="14" fillId="0" borderId="0" xfId="1" applyNumberFormat="1" applyFont="1"/>
    <xf numFmtId="166" fontId="14" fillId="0" borderId="0" xfId="0" applyNumberFormat="1" applyFont="1"/>
    <xf numFmtId="5" fontId="14" fillId="0" borderId="0" xfId="0" applyNumberFormat="1" applyFont="1"/>
    <xf numFmtId="0" fontId="17" fillId="2" borderId="1" xfId="0" applyFont="1" applyFill="1" applyBorder="1"/>
    <xf numFmtId="0" fontId="17" fillId="2" borderId="2" xfId="0" applyFont="1" applyFill="1" applyBorder="1"/>
    <xf numFmtId="5" fontId="17" fillId="2" borderId="3" xfId="0" applyNumberFormat="1" applyFont="1" applyFill="1" applyBorder="1"/>
    <xf numFmtId="0" fontId="17" fillId="0" borderId="0" xfId="0" applyFont="1" applyFill="1" applyBorder="1"/>
    <xf numFmtId="5" fontId="17" fillId="0" borderId="0" xfId="0" applyNumberFormat="1" applyFont="1" applyFill="1" applyBorder="1"/>
    <xf numFmtId="10" fontId="17" fillId="0" borderId="0" xfId="3" applyNumberFormat="1" applyFont="1" applyFill="1" applyBorder="1"/>
    <xf numFmtId="0" fontId="20" fillId="0" borderId="0" xfId="0" applyFont="1"/>
    <xf numFmtId="17" fontId="14" fillId="0" borderId="0" xfId="0" applyNumberFormat="1" applyFont="1" applyAlignment="1">
      <alignment horizontal="center"/>
    </xf>
    <xf numFmtId="169" fontId="14" fillId="0" borderId="0" xfId="0" applyNumberFormat="1" applyFont="1" applyFill="1"/>
    <xf numFmtId="169" fontId="14" fillId="0" borderId="5" xfId="0" applyNumberFormat="1" applyFont="1" applyBorder="1"/>
    <xf numFmtId="169" fontId="14" fillId="0" borderId="0" xfId="0" applyNumberFormat="1" applyFont="1"/>
    <xf numFmtId="173" fontId="14" fillId="0" borderId="0" xfId="0" applyNumberFormat="1" applyFont="1"/>
    <xf numFmtId="10" fontId="14" fillId="0" borderId="0" xfId="0" applyNumberFormat="1" applyFont="1"/>
    <xf numFmtId="167" fontId="14" fillId="0" borderId="0" xfId="2" applyNumberFormat="1" applyFont="1"/>
    <xf numFmtId="167" fontId="14" fillId="0" borderId="0" xfId="0" applyNumberFormat="1" applyFont="1"/>
    <xf numFmtId="167" fontId="14" fillId="0" borderId="11" xfId="2" applyNumberFormat="1" applyFont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/>
    <xf numFmtId="167" fontId="18" fillId="0" borderId="9" xfId="2" applyNumberFormat="1" applyFont="1" applyFill="1" applyBorder="1"/>
    <xf numFmtId="44" fontId="18" fillId="0" borderId="9" xfId="2" applyFont="1" applyFill="1" applyBorder="1"/>
    <xf numFmtId="0" fontId="24" fillId="0" borderId="0" xfId="0" applyFont="1" applyAlignment="1">
      <alignment horizontal="right"/>
    </xf>
    <xf numFmtId="167" fontId="24" fillId="0" borderId="0" xfId="2" applyNumberFormat="1" applyFont="1" applyFill="1"/>
    <xf numFmtId="167" fontId="24" fillId="0" borderId="0" xfId="2" applyNumberFormat="1" applyFont="1" applyAlignment="1">
      <alignment horizontal="right"/>
    </xf>
    <xf numFmtId="167" fontId="24" fillId="0" borderId="0" xfId="0" applyNumberFormat="1" applyFont="1" applyFill="1" applyBorder="1"/>
    <xf numFmtId="167" fontId="24" fillId="0" borderId="11" xfId="0" applyNumberFormat="1" applyFont="1" applyFill="1" applyBorder="1"/>
    <xf numFmtId="167" fontId="24" fillId="0" borderId="0" xfId="0" applyNumberFormat="1" applyFont="1" applyFill="1"/>
    <xf numFmtId="0" fontId="24" fillId="0" borderId="0" xfId="0" applyFont="1"/>
    <xf numFmtId="0" fontId="24" fillId="0" borderId="0" xfId="0" applyFont="1" applyFill="1"/>
    <xf numFmtId="0" fontId="25" fillId="0" borderId="22" xfId="0" applyFont="1" applyFill="1" applyBorder="1"/>
    <xf numFmtId="0" fontId="13" fillId="0" borderId="0" xfId="0" applyFont="1"/>
    <xf numFmtId="170" fontId="21" fillId="0" borderId="0" xfId="0" applyNumberFormat="1" applyFont="1" applyAlignment="1">
      <alignment readingOrder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 indent="1" readingOrder="1"/>
    </xf>
    <xf numFmtId="0" fontId="18" fillId="0" borderId="0" xfId="0" applyFont="1" applyFill="1" applyAlignment="1">
      <alignment horizontal="left" indent="1" readingOrder="1"/>
    </xf>
    <xf numFmtId="0" fontId="18" fillId="0" borderId="0" xfId="0" applyFont="1" applyBorder="1" applyAlignment="1">
      <alignment horizontal="left" indent="1" readingOrder="1"/>
    </xf>
    <xf numFmtId="0" fontId="18" fillId="0" borderId="0" xfId="0" applyFont="1" applyFill="1" applyBorder="1" applyAlignment="1">
      <alignment horizontal="left" indent="1" readingOrder="1"/>
    </xf>
    <xf numFmtId="0" fontId="18" fillId="0" borderId="0" xfId="0" applyFont="1"/>
    <xf numFmtId="169" fontId="13" fillId="0" borderId="0" xfId="0" applyNumberFormat="1" applyFont="1"/>
    <xf numFmtId="169" fontId="18" fillId="0" borderId="0" xfId="0" applyNumberFormat="1" applyFont="1"/>
    <xf numFmtId="9" fontId="13" fillId="0" borderId="0" xfId="3" applyFont="1"/>
    <xf numFmtId="171" fontId="21" fillId="0" borderId="0" xfId="5" applyNumberFormat="1" applyFont="1"/>
    <xf numFmtId="14" fontId="21" fillId="0" borderId="0" xfId="5" applyNumberFormat="1" applyFont="1"/>
    <xf numFmtId="0" fontId="21" fillId="0" borderId="0" xfId="5" applyFont="1"/>
    <xf numFmtId="171" fontId="18" fillId="0" borderId="0" xfId="5" applyNumberFormat="1" applyFont="1"/>
    <xf numFmtId="0" fontId="18" fillId="0" borderId="0" xfId="5" applyFont="1"/>
    <xf numFmtId="171" fontId="18" fillId="0" borderId="16" xfId="5" applyNumberFormat="1" applyFont="1" applyBorder="1"/>
    <xf numFmtId="0" fontId="27" fillId="0" borderId="0" xfId="5" applyFont="1"/>
    <xf numFmtId="4" fontId="28" fillId="0" borderId="0" xfId="5" applyNumberFormat="1" applyFont="1" applyAlignment="1">
      <alignment horizontal="left"/>
    </xf>
    <xf numFmtId="44" fontId="14" fillId="0" borderId="0" xfId="0" applyNumberFormat="1" applyFont="1" applyFill="1"/>
    <xf numFmtId="44" fontId="18" fillId="0" borderId="0" xfId="2" applyFont="1"/>
    <xf numFmtId="168" fontId="14" fillId="0" borderId="0" xfId="2" applyNumberFormat="1" applyFont="1"/>
    <xf numFmtId="168" fontId="18" fillId="0" borderId="0" xfId="2" applyNumberFormat="1" applyFont="1"/>
    <xf numFmtId="0" fontId="23" fillId="0" borderId="0" xfId="0" applyFont="1"/>
    <xf numFmtId="0" fontId="23" fillId="0" borderId="0" xfId="5" applyFont="1"/>
    <xf numFmtId="0" fontId="29" fillId="0" borderId="0" xfId="0" applyFont="1"/>
    <xf numFmtId="0" fontId="29" fillId="0" borderId="0" xfId="5" applyFont="1"/>
    <xf numFmtId="0" fontId="29" fillId="0" borderId="0" xfId="0" applyFont="1" applyFill="1"/>
    <xf numFmtId="172" fontId="12" fillId="0" borderId="0" xfId="3" applyNumberFormat="1" applyFont="1"/>
    <xf numFmtId="0" fontId="25" fillId="0" borderId="20" xfId="0" applyFont="1" applyFill="1" applyBorder="1" applyAlignment="1">
      <alignment vertical="center"/>
    </xf>
    <xf numFmtId="0" fontId="11" fillId="0" borderId="0" xfId="0" applyFont="1" applyFill="1" applyBorder="1"/>
    <xf numFmtId="0" fontId="14" fillId="4" borderId="11" xfId="0" applyFont="1" applyFill="1" applyBorder="1"/>
    <xf numFmtId="165" fontId="14" fillId="4" borderId="11" xfId="0" applyNumberFormat="1" applyFont="1" applyFill="1" applyBorder="1"/>
    <xf numFmtId="5" fontId="14" fillId="4" borderId="11" xfId="1" applyNumberFormat="1" applyFont="1" applyFill="1" applyBorder="1"/>
    <xf numFmtId="166" fontId="14" fillId="4" borderId="11" xfId="1" applyNumberFormat="1" applyFont="1" applyFill="1" applyBorder="1"/>
    <xf numFmtId="0" fontId="14" fillId="4" borderId="4" xfId="0" applyFont="1" applyFill="1" applyBorder="1"/>
    <xf numFmtId="0" fontId="14" fillId="4" borderId="5" xfId="0" applyFont="1" applyFill="1" applyBorder="1"/>
    <xf numFmtId="165" fontId="14" fillId="4" borderId="5" xfId="0" applyNumberFormat="1" applyFont="1" applyFill="1" applyBorder="1"/>
    <xf numFmtId="5" fontId="14" fillId="4" borderId="5" xfId="1" applyNumberFormat="1" applyFont="1" applyFill="1" applyBorder="1"/>
    <xf numFmtId="166" fontId="14" fillId="4" borderId="5" xfId="1" applyNumberFormat="1" applyFont="1" applyFill="1" applyBorder="1"/>
    <xf numFmtId="166" fontId="14" fillId="4" borderId="7" xfId="1" applyNumberFormat="1" applyFont="1" applyFill="1" applyBorder="1"/>
    <xf numFmtId="166" fontId="14" fillId="4" borderId="14" xfId="1" applyNumberFormat="1" applyFont="1" applyFill="1" applyBorder="1"/>
    <xf numFmtId="169" fontId="14" fillId="4" borderId="11" xfId="1" applyNumberFormat="1" applyFont="1" applyFill="1" applyBorder="1"/>
    <xf numFmtId="169" fontId="13" fillId="0" borderId="0" xfId="1" applyNumberFormat="1" applyFont="1"/>
    <xf numFmtId="169" fontId="22" fillId="0" borderId="0" xfId="1" applyNumberFormat="1" applyFont="1" applyFill="1"/>
    <xf numFmtId="169" fontId="22" fillId="0" borderId="0" xfId="0" applyNumberFormat="1" applyFont="1" applyFill="1"/>
    <xf numFmtId="2" fontId="13" fillId="0" borderId="0" xfId="0" applyNumberFormat="1" applyFont="1"/>
    <xf numFmtId="3" fontId="22" fillId="0" borderId="0" xfId="4" applyNumberFormat="1" applyFont="1" applyFill="1"/>
    <xf numFmtId="0" fontId="25" fillId="0" borderId="0" xfId="0" applyFont="1" applyFill="1" applyBorder="1" applyAlignment="1">
      <alignment vertical="center" wrapText="1"/>
    </xf>
    <xf numFmtId="168" fontId="21" fillId="0" borderId="17" xfId="2" applyNumberFormat="1" applyFont="1" applyFill="1" applyBorder="1"/>
    <xf numFmtId="168" fontId="22" fillId="0" borderId="9" xfId="0" applyNumberFormat="1" applyFont="1" applyFill="1" applyBorder="1"/>
    <xf numFmtId="0" fontId="14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/>
    <xf numFmtId="44" fontId="30" fillId="0" borderId="0" xfId="2" applyFont="1"/>
    <xf numFmtId="168" fontId="30" fillId="0" borderId="0" xfId="2" applyNumberFormat="1" applyFont="1"/>
    <xf numFmtId="0" fontId="30" fillId="0" borderId="0" xfId="0" applyFont="1" applyAlignment="1">
      <alignment horizontal="center" vertical="center"/>
    </xf>
    <xf numFmtId="16" fontId="30" fillId="0" borderId="0" xfId="0" quotePrefix="1" applyNumberFormat="1" applyFont="1" applyAlignment="1">
      <alignment horizontal="center"/>
    </xf>
    <xf numFmtId="172" fontId="30" fillId="0" borderId="0" xfId="0" applyNumberFormat="1" applyFont="1"/>
    <xf numFmtId="0" fontId="30" fillId="0" borderId="0" xfId="0" quotePrefix="1" applyFont="1" applyAlignment="1">
      <alignment horizontal="center"/>
    </xf>
    <xf numFmtId="0" fontId="31" fillId="0" borderId="0" xfId="0" applyFont="1"/>
    <xf numFmtId="172" fontId="31" fillId="0" borderId="0" xfId="0" applyNumberFormat="1" applyFont="1"/>
    <xf numFmtId="10" fontId="18" fillId="0" borderId="0" xfId="5" applyNumberFormat="1" applyFont="1" applyFill="1"/>
    <xf numFmtId="171" fontId="22" fillId="0" borderId="0" xfId="0" applyNumberFormat="1" applyFont="1" applyFill="1"/>
    <xf numFmtId="0" fontId="14" fillId="0" borderId="0" xfId="0" applyFont="1" applyAlignment="1">
      <alignment horizontal="center"/>
    </xf>
    <xf numFmtId="5" fontId="17" fillId="0" borderId="3" xfId="0" applyNumberFormat="1" applyFont="1" applyFill="1" applyBorder="1"/>
    <xf numFmtId="174" fontId="25" fillId="0" borderId="23" xfId="0" applyNumberFormat="1" applyFont="1" applyFill="1" applyBorder="1"/>
    <xf numFmtId="0" fontId="10" fillId="3" borderId="0" xfId="0" applyFont="1" applyFill="1"/>
    <xf numFmtId="10" fontId="18" fillId="0" borderId="9" xfId="3" applyNumberFormat="1" applyFont="1" applyFill="1" applyBorder="1"/>
    <xf numFmtId="0" fontId="34" fillId="0" borderId="0" xfId="0" applyFont="1"/>
    <xf numFmtId="0" fontId="34" fillId="0" borderId="0" xfId="0" applyFont="1" applyAlignment="1">
      <alignment wrapText="1"/>
    </xf>
    <xf numFmtId="0" fontId="34" fillId="0" borderId="8" xfId="0" applyFont="1" applyBorder="1"/>
    <xf numFmtId="44" fontId="34" fillId="0" borderId="0" xfId="0" applyNumberFormat="1" applyFont="1" applyBorder="1"/>
    <xf numFmtId="0" fontId="34" fillId="0" borderId="0" xfId="0" applyFont="1" applyBorder="1"/>
    <xf numFmtId="44" fontId="34" fillId="0" borderId="10" xfId="0" applyNumberFormat="1" applyFont="1" applyBorder="1"/>
    <xf numFmtId="168" fontId="34" fillId="0" borderId="0" xfId="2" applyNumberFormat="1" applyFont="1" applyBorder="1"/>
    <xf numFmtId="168" fontId="34" fillId="0" borderId="10" xfId="2" applyNumberFormat="1" applyFont="1" applyBorder="1"/>
    <xf numFmtId="0" fontId="34" fillId="0" borderId="13" xfId="0" applyFont="1" applyBorder="1"/>
    <xf numFmtId="168" fontId="34" fillId="0" borderId="11" xfId="2" applyNumberFormat="1" applyFont="1" applyBorder="1"/>
    <xf numFmtId="168" fontId="34" fillId="0" borderId="14" xfId="2" applyNumberFormat="1" applyFont="1" applyBorder="1"/>
    <xf numFmtId="0" fontId="34" fillId="0" borderId="5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vertical="center" wrapText="1"/>
    </xf>
    <xf numFmtId="10" fontId="14" fillId="0" borderId="0" xfId="3" applyNumberFormat="1" applyFont="1"/>
    <xf numFmtId="175" fontId="26" fillId="0" borderId="21" xfId="3" applyNumberFormat="1" applyFont="1" applyFill="1" applyBorder="1"/>
    <xf numFmtId="171" fontId="14" fillId="0" borderId="0" xfId="0" applyNumberFormat="1" applyFont="1" applyFill="1"/>
    <xf numFmtId="171" fontId="28" fillId="0" borderId="24" xfId="5" applyNumberFormat="1" applyFont="1" applyFill="1" applyBorder="1"/>
    <xf numFmtId="171" fontId="21" fillId="0" borderId="0" xfId="5" applyNumberFormat="1" applyFont="1" applyFill="1"/>
    <xf numFmtId="10" fontId="14" fillId="0" borderId="11" xfId="0" applyNumberFormat="1" applyFont="1" applyFill="1" applyBorder="1"/>
    <xf numFmtId="0" fontId="34" fillId="5" borderId="15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8" xfId="0" quotePrefix="1" applyFont="1" applyFill="1" applyBorder="1" applyAlignment="1">
      <alignment horizontal="center"/>
    </xf>
    <xf numFmtId="0" fontId="34" fillId="5" borderId="0" xfId="0" applyFont="1" applyFill="1" applyBorder="1"/>
    <xf numFmtId="0" fontId="34" fillId="5" borderId="8" xfId="0" applyFont="1" applyFill="1" applyBorder="1" applyAlignment="1">
      <alignment horizontal="center"/>
    </xf>
    <xf numFmtId="0" fontId="35" fillId="5" borderId="15" xfId="0" applyFont="1" applyFill="1" applyBorder="1"/>
    <xf numFmtId="0" fontId="36" fillId="5" borderId="16" xfId="0" applyFont="1" applyFill="1" applyBorder="1"/>
    <xf numFmtId="0" fontId="24" fillId="0" borderId="8" xfId="0" applyFont="1" applyBorder="1"/>
    <xf numFmtId="167" fontId="24" fillId="0" borderId="8" xfId="0" applyNumberFormat="1" applyFont="1" applyBorder="1"/>
    <xf numFmtId="0" fontId="24" fillId="0" borderId="0" xfId="0" applyFont="1" applyBorder="1"/>
    <xf numFmtId="167" fontId="24" fillId="0" borderId="0" xfId="2" applyNumberFormat="1" applyFont="1"/>
    <xf numFmtId="44" fontId="24" fillId="0" borderId="0" xfId="2" applyFont="1"/>
    <xf numFmtId="168" fontId="24" fillId="0" borderId="0" xfId="2" applyNumberFormat="1" applyFont="1"/>
    <xf numFmtId="0" fontId="37" fillId="0" borderId="0" xfId="0" applyFont="1" applyAlignment="1">
      <alignment horizontal="center"/>
    </xf>
    <xf numFmtId="0" fontId="37" fillId="0" borderId="0" xfId="0" applyFont="1"/>
    <xf numFmtId="0" fontId="24" fillId="0" borderId="11" xfId="0" applyFont="1" applyBorder="1"/>
    <xf numFmtId="167" fontId="38" fillId="0" borderId="0" xfId="2" applyNumberFormat="1" applyFont="1" applyFill="1"/>
    <xf numFmtId="167" fontId="24" fillId="0" borderId="11" xfId="2" applyNumberFormat="1" applyFont="1" applyFill="1" applyBorder="1"/>
    <xf numFmtId="167" fontId="24" fillId="0" borderId="14" xfId="0" applyNumberFormat="1" applyFont="1" applyFill="1" applyBorder="1"/>
    <xf numFmtId="167" fontId="24" fillId="0" borderId="11" xfId="2" applyNumberFormat="1" applyFont="1" applyBorder="1"/>
    <xf numFmtId="167" fontId="24" fillId="0" borderId="0" xfId="2" applyNumberFormat="1" applyFont="1" applyBorder="1"/>
    <xf numFmtId="167" fontId="24" fillId="0" borderId="0" xfId="0" applyNumberFormat="1" applyFont="1"/>
    <xf numFmtId="0" fontId="39" fillId="0" borderId="0" xfId="0" applyFont="1"/>
    <xf numFmtId="0" fontId="40" fillId="0" borderId="0" xfId="0" applyFont="1"/>
    <xf numFmtId="14" fontId="24" fillId="0" borderId="0" xfId="0" applyNumberFormat="1" applyFont="1"/>
    <xf numFmtId="0" fontId="9" fillId="0" borderId="0" xfId="0" applyFont="1"/>
    <xf numFmtId="171" fontId="14" fillId="0" borderId="0" xfId="0" applyNumberFormat="1" applyFont="1"/>
    <xf numFmtId="7" fontId="14" fillId="0" borderId="0" xfId="0" applyNumberFormat="1" applyFont="1" applyFill="1"/>
    <xf numFmtId="0" fontId="7" fillId="0" borderId="0" xfId="0" applyFont="1"/>
    <xf numFmtId="44" fontId="14" fillId="0" borderId="0" xfId="2" applyNumberFormat="1" applyFont="1"/>
    <xf numFmtId="167" fontId="41" fillId="0" borderId="0" xfId="2" applyNumberFormat="1" applyFont="1" applyFill="1"/>
    <xf numFmtId="167" fontId="41" fillId="0" borderId="0" xfId="2" applyNumberFormat="1" applyFont="1" applyFill="1" applyBorder="1"/>
    <xf numFmtId="0" fontId="6" fillId="0" borderId="0" xfId="0" applyFont="1"/>
    <xf numFmtId="0" fontId="43" fillId="0" borderId="0" xfId="0" applyFont="1" applyFill="1" applyBorder="1"/>
    <xf numFmtId="0" fontId="5" fillId="0" borderId="0" xfId="0" applyFont="1" applyAlignment="1"/>
    <xf numFmtId="167" fontId="38" fillId="0" borderId="11" xfId="2" applyNumberFormat="1" applyFont="1" applyFill="1" applyBorder="1"/>
    <xf numFmtId="0" fontId="14" fillId="0" borderId="0" xfId="0" applyFont="1" applyFill="1" applyAlignment="1">
      <alignment horizontal="center"/>
    </xf>
    <xf numFmtId="0" fontId="4" fillId="0" borderId="0" xfId="0" applyFont="1"/>
    <xf numFmtId="10" fontId="20" fillId="0" borderId="0" xfId="0" applyNumberFormat="1" applyFont="1" applyFill="1" applyBorder="1"/>
    <xf numFmtId="3" fontId="13" fillId="0" borderId="0" xfId="0" applyNumberFormat="1" applyFont="1"/>
    <xf numFmtId="0" fontId="3" fillId="4" borderId="13" xfId="0" applyFont="1" applyFill="1" applyBorder="1"/>
    <xf numFmtId="0" fontId="3" fillId="0" borderId="0" xfId="0" applyFont="1"/>
    <xf numFmtId="0" fontId="14" fillId="4" borderId="0" xfId="0" applyFont="1" applyFill="1" applyBorder="1"/>
    <xf numFmtId="165" fontId="14" fillId="4" borderId="0" xfId="0" applyNumberFormat="1" applyFont="1" applyFill="1" applyBorder="1"/>
    <xf numFmtId="5" fontId="14" fillId="4" borderId="0" xfId="1" applyNumberFormat="1" applyFont="1" applyFill="1" applyBorder="1"/>
    <xf numFmtId="166" fontId="14" fillId="4" borderId="0" xfId="1" applyNumberFormat="1" applyFont="1" applyFill="1" applyBorder="1"/>
    <xf numFmtId="0" fontId="8" fillId="4" borderId="63" xfId="0" applyFont="1" applyFill="1" applyBorder="1"/>
    <xf numFmtId="0" fontId="14" fillId="4" borderId="64" xfId="0" applyFont="1" applyFill="1" applyBorder="1"/>
    <xf numFmtId="165" fontId="14" fillId="4" borderId="64" xfId="0" applyNumberFormat="1" applyFont="1" applyFill="1" applyBorder="1"/>
    <xf numFmtId="5" fontId="14" fillId="4" borderId="64" xfId="1" applyNumberFormat="1" applyFont="1" applyFill="1" applyBorder="1"/>
    <xf numFmtId="166" fontId="14" fillId="4" borderId="64" xfId="1" applyNumberFormat="1" applyFont="1" applyFill="1" applyBorder="1"/>
    <xf numFmtId="166" fontId="14" fillId="4" borderId="65" xfId="1" applyNumberFormat="1" applyFont="1" applyFill="1" applyBorder="1"/>
    <xf numFmtId="166" fontId="14" fillId="4" borderId="10" xfId="1" applyNumberFormat="1" applyFont="1" applyFill="1" applyBorder="1"/>
    <xf numFmtId="0" fontId="3" fillId="4" borderId="8" xfId="0" applyFont="1" applyFill="1" applyBorder="1"/>
    <xf numFmtId="172" fontId="36" fillId="5" borderId="18" xfId="0" applyNumberFormat="1" applyFont="1" applyFill="1" applyBorder="1"/>
    <xf numFmtId="172" fontId="34" fillId="5" borderId="10" xfId="3" applyNumberFormat="1" applyFont="1" applyFill="1" applyBorder="1"/>
    <xf numFmtId="0" fontId="2" fillId="0" borderId="0" xfId="0" applyFont="1"/>
    <xf numFmtId="166" fontId="10" fillId="4" borderId="0" xfId="0" applyNumberFormat="1" applyFont="1" applyFill="1" applyBorder="1" applyAlignment="1">
      <alignment horizontal="center"/>
    </xf>
    <xf numFmtId="166" fontId="14" fillId="4" borderId="0" xfId="0" applyNumberFormat="1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</cellXfs>
  <cellStyles count="1249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3"/>
  <sheetViews>
    <sheetView tabSelected="1" zoomScaleNormal="100" workbookViewId="0">
      <selection activeCell="N1" sqref="N1"/>
    </sheetView>
  </sheetViews>
  <sheetFormatPr defaultColWidth="9.140625" defaultRowHeight="15"/>
  <cols>
    <col min="1" max="1" width="9.140625" style="1"/>
    <col min="2" max="2" width="36.42578125" style="1" customWidth="1"/>
    <col min="3" max="3" width="17.85546875" style="1" customWidth="1"/>
    <col min="4" max="9" width="17" style="1" customWidth="1"/>
    <col min="10" max="10" width="4.85546875" style="1" customWidth="1"/>
    <col min="11" max="12" width="9.140625" style="1"/>
    <col min="13" max="13" width="10.570312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>
      <c r="C1" s="2" t="s">
        <v>3</v>
      </c>
      <c r="D1" s="2"/>
    </row>
    <row r="3" spans="1:10">
      <c r="A3" s="3"/>
      <c r="B3" s="4"/>
      <c r="C3" s="5"/>
      <c r="D3" s="5"/>
      <c r="E3" s="5"/>
      <c r="F3" s="5"/>
      <c r="G3" s="5"/>
      <c r="H3" s="5"/>
      <c r="I3" s="5"/>
      <c r="J3" s="6"/>
    </row>
    <row r="4" spans="1:10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1"/>
    </row>
    <row r="5" spans="1:10">
      <c r="A5" s="7"/>
      <c r="B5" s="12" t="s">
        <v>11</v>
      </c>
      <c r="C5" s="13" t="s">
        <v>12</v>
      </c>
      <c r="D5" s="13" t="s">
        <v>121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/>
    </row>
    <row r="6" spans="1:10">
      <c r="A6" s="15" t="s">
        <v>18</v>
      </c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7" t="s">
        <v>24</v>
      </c>
      <c r="H6" s="17" t="s">
        <v>25</v>
      </c>
      <c r="I6" s="17" t="s">
        <v>26</v>
      </c>
      <c r="J6" s="18" t="s">
        <v>27</v>
      </c>
    </row>
    <row r="7" spans="1:10">
      <c r="A7" s="19">
        <v>1</v>
      </c>
      <c r="B7" s="20" t="s">
        <v>28</v>
      </c>
      <c r="C7" s="9"/>
      <c r="D7" s="9"/>
      <c r="E7" s="9"/>
      <c r="F7" s="9"/>
      <c r="G7" s="9"/>
      <c r="H7" s="9"/>
      <c r="I7" s="9"/>
      <c r="J7" s="10"/>
    </row>
    <row r="8" spans="1:10" ht="15.75" thickBot="1">
      <c r="A8" s="19">
        <f>A7+1</f>
        <v>2</v>
      </c>
      <c r="B8" s="8" t="s">
        <v>29</v>
      </c>
      <c r="C8" s="21">
        <f>SUM(D8:I8)</f>
        <v>1</v>
      </c>
      <c r="D8" s="147">
        <v>0.42299999999999999</v>
      </c>
      <c r="E8" s="147">
        <v>0.1103</v>
      </c>
      <c r="F8" s="147">
        <v>0.24299999999999999</v>
      </c>
      <c r="G8" s="147">
        <v>0.19439999999999999</v>
      </c>
      <c r="H8" s="147">
        <v>2.5999999999999999E-2</v>
      </c>
      <c r="I8" s="147">
        <v>3.3E-3</v>
      </c>
      <c r="J8" s="22" t="s">
        <v>30</v>
      </c>
    </row>
    <row r="9" spans="1:10" ht="15.75" thickBot="1">
      <c r="A9" s="19">
        <f t="shared" ref="A9:A19" si="0">A8+1</f>
        <v>3</v>
      </c>
      <c r="B9" s="8" t="s">
        <v>153</v>
      </c>
      <c r="C9" s="23">
        <v>-895469.61093922285</v>
      </c>
      <c r="D9" s="67">
        <f>$C$9*D8</f>
        <v>-378783.64542729128</v>
      </c>
      <c r="E9" s="67">
        <f t="shared" ref="E9:I9" si="1">$C$9*E8</f>
        <v>-98770.298086596275</v>
      </c>
      <c r="F9" s="67">
        <f t="shared" si="1"/>
        <v>-217599.11545823116</v>
      </c>
      <c r="G9" s="67">
        <f t="shared" si="1"/>
        <v>-174079.29236658491</v>
      </c>
      <c r="H9" s="67">
        <f t="shared" si="1"/>
        <v>-23282.209884419794</v>
      </c>
      <c r="I9" s="67">
        <f t="shared" si="1"/>
        <v>-2955.0497160994355</v>
      </c>
      <c r="J9" s="11"/>
    </row>
    <row r="10" spans="1:10">
      <c r="A10" s="19">
        <f t="shared" si="0"/>
        <v>4</v>
      </c>
      <c r="B10" s="8" t="s">
        <v>31</v>
      </c>
      <c r="C10" s="24">
        <f>SUM(D10:I10)</f>
        <v>5698817207.4116001</v>
      </c>
      <c r="D10" s="24">
        <f>'kWh Forecast'!R18</f>
        <v>2451720094.2000537</v>
      </c>
      <c r="E10" s="24">
        <f>'kWh Forecast'!R19</f>
        <v>650906955.00185931</v>
      </c>
      <c r="F10" s="24">
        <f>'kWh Forecast'!R20</f>
        <v>1351505644.3277459</v>
      </c>
      <c r="G10" s="24">
        <f>'kWh Forecast'!R21</f>
        <v>1082492036</v>
      </c>
      <c r="H10" s="24">
        <f>'kWh Forecast'!R22</f>
        <v>145556922.95590186</v>
      </c>
      <c r="I10" s="24">
        <f>'kWh Forecast'!R23</f>
        <v>16635554.926038519</v>
      </c>
      <c r="J10" s="22" t="s">
        <v>32</v>
      </c>
    </row>
    <row r="11" spans="1:10">
      <c r="A11" s="19">
        <f t="shared" si="0"/>
        <v>5</v>
      </c>
      <c r="B11" s="8" t="s">
        <v>33</v>
      </c>
      <c r="C11" s="25"/>
      <c r="D11" s="127">
        <f>D9/D10</f>
        <v>-1.5449710035144964E-4</v>
      </c>
      <c r="E11" s="127">
        <f t="shared" ref="E11:I11" si="2">E9/E10</f>
        <v>-1.5174257599738527E-4</v>
      </c>
      <c r="F11" s="127">
        <f t="shared" si="2"/>
        <v>-1.610049624072916E-4</v>
      </c>
      <c r="G11" s="127">
        <f t="shared" si="2"/>
        <v>-1.6081346243417989E-4</v>
      </c>
      <c r="H11" s="127">
        <f t="shared" si="2"/>
        <v>-1.5995261105837891E-4</v>
      </c>
      <c r="I11" s="127">
        <f t="shared" si="2"/>
        <v>-1.7763457421393825E-4</v>
      </c>
      <c r="J11" s="11"/>
    </row>
    <row r="12" spans="1:10">
      <c r="A12" s="19">
        <f t="shared" si="0"/>
        <v>6</v>
      </c>
      <c r="B12" s="8" t="s">
        <v>34</v>
      </c>
      <c r="C12" s="26">
        <f>SUM(D12:I12)</f>
        <v>3142953.704167387</v>
      </c>
      <c r="D12" s="26">
        <f>'kWh Forecast'!R44</f>
        <v>2683058</v>
      </c>
      <c r="E12" s="26">
        <f>'kWh Forecast'!R45</f>
        <v>407127</v>
      </c>
      <c r="F12" s="26">
        <f>'kWh Forecast'!R46</f>
        <v>22439.652703271735</v>
      </c>
      <c r="G12" s="26">
        <f>'kWh Forecast'!R47</f>
        <v>276</v>
      </c>
      <c r="H12" s="26">
        <f>'kWh Forecast'!R48</f>
        <v>30053.051464115353</v>
      </c>
      <c r="I12" s="26"/>
      <c r="J12" s="22"/>
    </row>
    <row r="13" spans="1:10">
      <c r="A13" s="19">
        <f t="shared" si="0"/>
        <v>7</v>
      </c>
      <c r="B13" s="8" t="s">
        <v>35</v>
      </c>
      <c r="C13" s="25"/>
      <c r="D13" s="68">
        <f>(D10/D12)*D11</f>
        <v>-0.14117609288628544</v>
      </c>
      <c r="E13" s="68">
        <f>(E10/E12)*E11</f>
        <v>-0.24260316335344073</v>
      </c>
      <c r="F13" s="68">
        <f>(F10/F12)*F11</f>
        <v>-9.6970803575094937</v>
      </c>
      <c r="G13" s="68">
        <f>(G10/G12)*G11</f>
        <v>-630.72207379197425</v>
      </c>
      <c r="H13" s="68">
        <f>(H10/H12)*H11</f>
        <v>-0.77470369064584887</v>
      </c>
      <c r="I13" s="68"/>
      <c r="J13" s="11"/>
    </row>
    <row r="14" spans="1:10">
      <c r="A14" s="19">
        <f t="shared" si="0"/>
        <v>8</v>
      </c>
      <c r="B14" s="8" t="s">
        <v>36</v>
      </c>
      <c r="C14" s="25"/>
      <c r="D14" s="68">
        <f>(D10/(D12/12))*D11</f>
        <v>-1.6941131146354254</v>
      </c>
      <c r="E14" s="68">
        <f>(E10/(E12/12))*E11</f>
        <v>-2.911237960241289</v>
      </c>
      <c r="F14" s="68">
        <f>(F10/(F12/12))*F11</f>
        <v>-116.3649642901139</v>
      </c>
      <c r="G14" s="68">
        <f>(G10/(G12/12))*G11</f>
        <v>-7568.664885503691</v>
      </c>
      <c r="H14" s="68">
        <f>(H10/(H12/12))*H11</f>
        <v>-9.2964442877501856</v>
      </c>
      <c r="I14" s="68"/>
      <c r="J14" s="11"/>
    </row>
    <row r="15" spans="1:10">
      <c r="A15" s="19">
        <f t="shared" si="0"/>
        <v>9</v>
      </c>
      <c r="B15" s="27"/>
      <c r="C15" s="7"/>
      <c r="D15" s="25"/>
      <c r="E15" s="25"/>
      <c r="F15" s="25"/>
      <c r="G15" s="25"/>
      <c r="H15" s="25"/>
      <c r="I15" s="25"/>
      <c r="J15" s="25"/>
    </row>
    <row r="16" spans="1:10">
      <c r="A16" s="19">
        <f t="shared" si="0"/>
        <v>10</v>
      </c>
      <c r="B16" s="27" t="s">
        <v>37</v>
      </c>
      <c r="C16" s="7"/>
      <c r="D16" s="28">
        <f>D11</f>
        <v>-1.5449710035144964E-4</v>
      </c>
      <c r="E16" s="28">
        <f t="shared" ref="E16:I16" si="3">E11</f>
        <v>-1.5174257599738527E-4</v>
      </c>
      <c r="F16" s="28">
        <f t="shared" si="3"/>
        <v>-1.610049624072916E-4</v>
      </c>
      <c r="G16" s="28">
        <f t="shared" si="3"/>
        <v>-1.6081346243417989E-4</v>
      </c>
      <c r="H16" s="28">
        <f t="shared" si="3"/>
        <v>-1.5995261105837891E-4</v>
      </c>
      <c r="I16" s="28">
        <f t="shared" si="3"/>
        <v>-1.7763457421393825E-4</v>
      </c>
      <c r="J16" s="25"/>
    </row>
    <row r="17" spans="1:10">
      <c r="A17" s="19">
        <f t="shared" si="0"/>
        <v>11</v>
      </c>
      <c r="B17" s="27" t="s">
        <v>38</v>
      </c>
      <c r="C17" s="7"/>
      <c r="D17" s="128">
        <v>-3.238901837782357E-4</v>
      </c>
      <c r="E17" s="128">
        <v>-3.1996381793419632E-4</v>
      </c>
      <c r="F17" s="128">
        <v>-3.2092324649055342E-4</v>
      </c>
      <c r="G17" s="128">
        <v>-3.149860006015196E-4</v>
      </c>
      <c r="H17" s="128">
        <v>-3.3297880196372703E-4</v>
      </c>
      <c r="I17" s="128">
        <v>-3.4700735892392534E-4</v>
      </c>
      <c r="J17" s="25"/>
    </row>
    <row r="18" spans="1:10">
      <c r="A18" s="19">
        <f t="shared" si="0"/>
        <v>12</v>
      </c>
      <c r="B18" s="27" t="s">
        <v>39</v>
      </c>
      <c r="C18" s="7"/>
      <c r="D18" s="28">
        <f t="shared" ref="D18:I18" si="4">D16-D17</f>
        <v>1.6939308342678606E-4</v>
      </c>
      <c r="E18" s="28">
        <f t="shared" si="4"/>
        <v>1.6822124193681105E-4</v>
      </c>
      <c r="F18" s="28">
        <f t="shared" si="4"/>
        <v>1.5991828408326182E-4</v>
      </c>
      <c r="G18" s="28">
        <f t="shared" si="4"/>
        <v>1.5417253816733971E-4</v>
      </c>
      <c r="H18" s="28">
        <f t="shared" si="4"/>
        <v>1.7302619090534812E-4</v>
      </c>
      <c r="I18" s="28">
        <f t="shared" si="4"/>
        <v>1.6937278470998708E-4</v>
      </c>
      <c r="J18" s="25"/>
    </row>
    <row r="19" spans="1:10">
      <c r="A19" s="65">
        <f t="shared" si="0"/>
        <v>13</v>
      </c>
      <c r="B19" s="66" t="s">
        <v>40</v>
      </c>
      <c r="C19" s="29">
        <f>SUM(D19:I19)</f>
        <v>935824.58131944784</v>
      </c>
      <c r="D19" s="30">
        <f>D18*D10</f>
        <v>415304.42645595747</v>
      </c>
      <c r="E19" s="30">
        <f t="shared" ref="E19:I19" si="5">E18*E10</f>
        <v>109496.37635572076</v>
      </c>
      <c r="F19" s="30">
        <f t="shared" si="5"/>
        <v>216130.46356973628</v>
      </c>
      <c r="G19" s="30">
        <f t="shared" si="5"/>
        <v>166890.54473605126</v>
      </c>
      <c r="H19" s="30">
        <f t="shared" si="5"/>
        <v>25185.159938962923</v>
      </c>
      <c r="I19" s="30">
        <f t="shared" si="5"/>
        <v>2817.6102630190871</v>
      </c>
      <c r="J19" s="31"/>
    </row>
    <row r="20" spans="1:10">
      <c r="A20" s="19"/>
      <c r="B20" s="27"/>
      <c r="C20" s="27"/>
      <c r="D20" s="27"/>
      <c r="E20" s="27"/>
      <c r="F20" s="27"/>
      <c r="G20" s="27"/>
      <c r="H20" s="27"/>
      <c r="I20" s="27"/>
      <c r="J20" s="27"/>
    </row>
    <row r="21" spans="1:10">
      <c r="A21" s="32"/>
      <c r="B21" s="27"/>
      <c r="C21" s="27"/>
      <c r="D21" s="27"/>
      <c r="E21" s="27"/>
      <c r="F21" s="27"/>
      <c r="G21" s="27"/>
      <c r="H21" s="27"/>
      <c r="I21" s="27"/>
      <c r="J21" s="27"/>
    </row>
    <row r="22" spans="1:10">
      <c r="B22" s="8" t="s">
        <v>61</v>
      </c>
      <c r="C22" s="33">
        <f>SUM(D22:I22)</f>
        <v>541348000</v>
      </c>
      <c r="D22" s="33">
        <v>231769000</v>
      </c>
      <c r="E22" s="33">
        <v>81585000</v>
      </c>
      <c r="F22" s="33">
        <v>139799000</v>
      </c>
      <c r="G22" s="33">
        <v>68523000</v>
      </c>
      <c r="H22" s="33">
        <v>12809000</v>
      </c>
      <c r="I22" s="33">
        <v>6863000</v>
      </c>
      <c r="J22" s="27"/>
    </row>
    <row r="23" spans="1:10">
      <c r="B23" s="8" t="s">
        <v>62</v>
      </c>
      <c r="C23" s="34">
        <f t="shared" ref="C23:I23" si="6">C19/C22</f>
        <v>1.7286931536081187E-3</v>
      </c>
      <c r="D23" s="34">
        <f>D19/D22</f>
        <v>1.7918894522388994E-3</v>
      </c>
      <c r="E23" s="34">
        <f t="shared" si="6"/>
        <v>1.3421140694456182E-3</v>
      </c>
      <c r="F23" s="34">
        <f t="shared" si="6"/>
        <v>1.5460086522059262E-3</v>
      </c>
      <c r="G23" s="34">
        <f t="shared" si="6"/>
        <v>2.4355405445770219E-3</v>
      </c>
      <c r="H23" s="34">
        <f t="shared" si="6"/>
        <v>1.9662081301399736E-3</v>
      </c>
      <c r="I23" s="162">
        <f t="shared" si="6"/>
        <v>4.1055081786668906E-4</v>
      </c>
    </row>
    <row r="25" spans="1:10">
      <c r="B25" s="225" t="s">
        <v>177</v>
      </c>
      <c r="D25" s="198">
        <f>ROUND((ROUND(D16,5)-ROUND(D17,5))*914,2)</f>
        <v>0.16</v>
      </c>
    </row>
    <row r="26" spans="1:10">
      <c r="B26" s="1" t="s">
        <v>63</v>
      </c>
      <c r="D26" s="106">
        <f>D25/C42</f>
        <v>1.7817371937639199E-3</v>
      </c>
    </row>
    <row r="28" spans="1:10">
      <c r="F28" s="38"/>
    </row>
    <row r="29" spans="1:10">
      <c r="A29" s="36" t="s">
        <v>30</v>
      </c>
      <c r="B29" s="8" t="s">
        <v>162</v>
      </c>
      <c r="C29" s="63"/>
    </row>
    <row r="30" spans="1:10">
      <c r="A30" s="36"/>
      <c r="B30" s="8" t="s">
        <v>119</v>
      </c>
      <c r="C30" s="63"/>
      <c r="G30" s="103"/>
    </row>
    <row r="31" spans="1:10">
      <c r="A31" s="36" t="s">
        <v>32</v>
      </c>
      <c r="B31" s="8" t="s">
        <v>173</v>
      </c>
      <c r="C31" s="63"/>
      <c r="G31" s="37"/>
    </row>
    <row r="32" spans="1:10">
      <c r="A32" s="36"/>
    </row>
    <row r="38" spans="2:16" ht="30">
      <c r="B38" s="101" t="s">
        <v>104</v>
      </c>
      <c r="M38" s="130" t="s">
        <v>125</v>
      </c>
      <c r="N38" s="131" t="s">
        <v>126</v>
      </c>
      <c r="O38" s="131" t="s">
        <v>127</v>
      </c>
      <c r="P38" s="130" t="s">
        <v>128</v>
      </c>
    </row>
    <row r="39" spans="2:16">
      <c r="B39" s="1" t="s">
        <v>105</v>
      </c>
      <c r="C39" s="35">
        <v>9</v>
      </c>
      <c r="M39" s="132" t="s">
        <v>105</v>
      </c>
      <c r="N39" s="133">
        <v>8.5</v>
      </c>
      <c r="O39" s="133">
        <v>0</v>
      </c>
      <c r="P39" s="133">
        <v>8.5</v>
      </c>
    </row>
    <row r="40" spans="2:16">
      <c r="B40" s="1" t="s">
        <v>106</v>
      </c>
      <c r="C40" s="99">
        <v>8.7599999999999997E-2</v>
      </c>
      <c r="M40" s="132" t="s">
        <v>129</v>
      </c>
      <c r="N40" s="134">
        <f>C40</f>
        <v>8.7599999999999997E-2</v>
      </c>
      <c r="O40" s="134">
        <f>D18</f>
        <v>1.6939308342678606E-4</v>
      </c>
      <c r="P40" s="134">
        <f>N40+O40</f>
        <v>8.776939308342678E-2</v>
      </c>
    </row>
    <row r="41" spans="2:16">
      <c r="B41" s="1" t="s">
        <v>107</v>
      </c>
      <c r="C41" s="99">
        <v>9.4E-2</v>
      </c>
      <c r="M41" s="132" t="s">
        <v>130</v>
      </c>
      <c r="N41" s="134">
        <f>C41</f>
        <v>9.4E-2</v>
      </c>
      <c r="O41" s="134">
        <f>D18</f>
        <v>1.6939308342678606E-4</v>
      </c>
      <c r="P41" s="134">
        <f>N41+O41</f>
        <v>9.4169393083426783E-2</v>
      </c>
    </row>
    <row r="42" spans="2:16">
      <c r="B42" s="197" t="s">
        <v>163</v>
      </c>
      <c r="C42" s="35">
        <f>C39+ROUND((800*C40),2)+ROUND(((914-800)*C41),2)</f>
        <v>89.8</v>
      </c>
      <c r="M42" s="132" t="s">
        <v>131</v>
      </c>
      <c r="N42" s="134">
        <v>0.10836</v>
      </c>
      <c r="O42" s="134">
        <f>O41</f>
        <v>1.6939308342678606E-4</v>
      </c>
      <c r="P42" s="134">
        <f>O42+N42</f>
        <v>0.10852939308342678</v>
      </c>
    </row>
    <row r="43" spans="2:16">
      <c r="M43" s="132"/>
      <c r="N43" s="132"/>
      <c r="O43" s="132"/>
      <c r="P43" s="132"/>
    </row>
    <row r="44" spans="2:16">
      <c r="B44" s="210" t="s">
        <v>176</v>
      </c>
      <c r="C44" s="97">
        <f>D25</f>
        <v>0.16</v>
      </c>
      <c r="M44" s="132"/>
      <c r="N44" s="132"/>
      <c r="O44" s="132"/>
      <c r="P44" s="132"/>
    </row>
    <row r="45" spans="2:16" ht="30">
      <c r="M45" s="130" t="s">
        <v>132</v>
      </c>
      <c r="N45" s="135" t="s">
        <v>138</v>
      </c>
      <c r="O45" s="130" t="s">
        <v>146</v>
      </c>
      <c r="P45" s="132"/>
    </row>
    <row r="46" spans="2:16">
      <c r="B46" s="1" t="s">
        <v>118</v>
      </c>
      <c r="C46" s="38">
        <f>SUM(C42:C45)</f>
        <v>89.96</v>
      </c>
      <c r="M46" s="136" t="s">
        <v>133</v>
      </c>
      <c r="N46" s="132" t="s">
        <v>139</v>
      </c>
      <c r="O46" s="137">
        <f>D23</f>
        <v>1.7918894522388994E-3</v>
      </c>
      <c r="P46" s="132"/>
    </row>
    <row r="47" spans="2:16">
      <c r="M47" s="138" t="s">
        <v>134</v>
      </c>
      <c r="N47" s="132" t="s">
        <v>140</v>
      </c>
      <c r="O47" s="137">
        <f>E23</f>
        <v>1.3421140694456182E-3</v>
      </c>
      <c r="P47" s="132"/>
    </row>
    <row r="48" spans="2:16">
      <c r="M48" s="138" t="s">
        <v>135</v>
      </c>
      <c r="N48" s="132" t="s">
        <v>141</v>
      </c>
      <c r="O48" s="137">
        <f>F23</f>
        <v>1.5460086522059262E-3</v>
      </c>
      <c r="P48" s="132"/>
    </row>
    <row r="49" spans="13:16">
      <c r="M49" s="138" t="s">
        <v>136</v>
      </c>
      <c r="N49" s="132" t="s">
        <v>143</v>
      </c>
      <c r="O49" s="137">
        <f>G23</f>
        <v>2.4355405445770219E-3</v>
      </c>
      <c r="P49" s="132"/>
    </row>
    <row r="50" spans="13:16">
      <c r="M50" s="138" t="s">
        <v>137</v>
      </c>
      <c r="N50" s="132" t="s">
        <v>142</v>
      </c>
      <c r="O50" s="137">
        <f>H23</f>
        <v>1.9662081301399736E-3</v>
      </c>
      <c r="P50" s="132"/>
    </row>
    <row r="51" spans="13:16">
      <c r="M51" s="138" t="s">
        <v>144</v>
      </c>
      <c r="N51" s="132" t="s">
        <v>145</v>
      </c>
      <c r="O51" s="137">
        <f>I23</f>
        <v>4.1055081786668906E-4</v>
      </c>
      <c r="P51" s="132"/>
    </row>
    <row r="52" spans="13:16">
      <c r="M52" s="132"/>
      <c r="N52" s="139" t="s">
        <v>147</v>
      </c>
      <c r="O52" s="140">
        <f>C23</f>
        <v>1.7286931536081187E-3</v>
      </c>
      <c r="P52" s="132"/>
    </row>
    <row r="53" spans="13:16">
      <c r="M53" s="132"/>
      <c r="N53" s="132"/>
      <c r="O53" s="132"/>
      <c r="P53" s="132"/>
    </row>
  </sheetData>
  <pageMargins left="0.7" right="0.7" top="0.75" bottom="0.75" header="0.3" footer="0.3"/>
  <pageSetup scale="71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1048576"/>
  <sheetViews>
    <sheetView tabSelected="1" workbookViewId="0">
      <selection activeCell="N1" sqref="N1"/>
    </sheetView>
  </sheetViews>
  <sheetFormatPr defaultColWidth="9.140625" defaultRowHeight="15"/>
  <cols>
    <col min="1" max="1" width="9.140625" style="1"/>
    <col min="2" max="2" width="20.7109375" style="1" customWidth="1"/>
    <col min="3" max="4" width="10.28515625" style="1" customWidth="1"/>
    <col min="5" max="5" width="14" style="1" bestFit="1" customWidth="1"/>
    <col min="6" max="9" width="10.85546875" style="1" customWidth="1"/>
    <col min="10" max="16384" width="9.140625" style="1"/>
  </cols>
  <sheetData>
    <row r="1" spans="2:10">
      <c r="C1" s="226" t="s">
        <v>120</v>
      </c>
      <c r="D1" s="227"/>
      <c r="E1" s="227"/>
      <c r="F1" s="227"/>
      <c r="G1" s="227"/>
      <c r="H1" s="227"/>
    </row>
    <row r="3" spans="2:10">
      <c r="C3" s="39"/>
      <c r="D3" s="39"/>
      <c r="E3" s="39"/>
      <c r="F3" s="146"/>
      <c r="G3" s="146"/>
      <c r="H3" s="146"/>
      <c r="I3" s="146"/>
      <c r="J3" s="210"/>
    </row>
    <row r="4" spans="2:10">
      <c r="C4" s="40" t="s">
        <v>1</v>
      </c>
      <c r="D4" s="40" t="s">
        <v>2</v>
      </c>
      <c r="E4" s="40" t="s">
        <v>0</v>
      </c>
      <c r="F4" s="41">
        <v>44256</v>
      </c>
      <c r="G4" s="41">
        <v>44287</v>
      </c>
      <c r="H4" s="41">
        <v>44317</v>
      </c>
      <c r="I4" s="41">
        <v>44348</v>
      </c>
    </row>
    <row r="6" spans="2:10">
      <c r="B6" s="215" t="s">
        <v>160</v>
      </c>
      <c r="C6" s="216"/>
      <c r="D6" s="217"/>
      <c r="E6" s="218"/>
      <c r="F6" s="219"/>
      <c r="G6" s="219"/>
      <c r="H6" s="219"/>
      <c r="I6" s="220"/>
    </row>
    <row r="7" spans="2:10">
      <c r="B7" s="209" t="s">
        <v>174</v>
      </c>
      <c r="C7" s="120"/>
      <c r="D7" s="110"/>
      <c r="E7" s="111"/>
      <c r="F7" s="112"/>
      <c r="G7" s="112"/>
      <c r="H7" s="112"/>
      <c r="I7" s="119"/>
    </row>
    <row r="8" spans="2:10" ht="15.75" thickBot="1">
      <c r="E8" s="46"/>
    </row>
    <row r="9" spans="2:10" ht="15.75" thickBot="1">
      <c r="B9" s="47" t="s">
        <v>64</v>
      </c>
      <c r="C9" s="48"/>
      <c r="D9" s="48"/>
      <c r="E9" s="49">
        <v>-1414803</v>
      </c>
      <c r="F9" s="42"/>
      <c r="G9" s="42"/>
    </row>
    <row r="10" spans="2:10">
      <c r="B10" s="50"/>
      <c r="C10" s="50"/>
      <c r="D10" s="50"/>
      <c r="E10" s="51"/>
      <c r="F10" s="143"/>
      <c r="G10" s="143"/>
      <c r="H10" s="143"/>
      <c r="I10" s="143"/>
    </row>
    <row r="11" spans="2:10">
      <c r="B11" s="50" t="s">
        <v>65</v>
      </c>
      <c r="C11" s="50"/>
      <c r="D11" s="50"/>
      <c r="E11" s="51"/>
      <c r="F11" s="167">
        <v>0.6573</v>
      </c>
      <c r="G11" s="167">
        <v>0.6573</v>
      </c>
      <c r="H11" s="167">
        <v>0.6573</v>
      </c>
      <c r="I11" s="167">
        <v>0.6573</v>
      </c>
    </row>
    <row r="12" spans="2:10">
      <c r="B12" s="50"/>
      <c r="C12" s="108"/>
      <c r="D12" s="126"/>
      <c r="E12" s="52"/>
      <c r="F12" s="45">
        <v>302394.8088</v>
      </c>
      <c r="G12" s="45">
        <v>174491.45910000001</v>
      </c>
      <c r="H12" s="45">
        <v>245095.33859999999</v>
      </c>
      <c r="I12" s="45">
        <v>207968.40539999999</v>
      </c>
    </row>
    <row r="13" spans="2:10">
      <c r="B13" s="50"/>
      <c r="C13" s="50"/>
      <c r="D13" s="50"/>
      <c r="E13" s="52"/>
    </row>
    <row r="14" spans="2:10">
      <c r="B14" s="50" t="s">
        <v>66</v>
      </c>
      <c r="C14" s="50"/>
      <c r="D14" s="205" t="s">
        <v>149</v>
      </c>
      <c r="E14" s="207">
        <v>0.6573</v>
      </c>
      <c r="F14" s="45">
        <f>-F12</f>
        <v>-302394.8088</v>
      </c>
      <c r="G14" s="45">
        <f>-G12</f>
        <v>-174491.45910000001</v>
      </c>
      <c r="H14" s="45">
        <f>-H12</f>
        <v>-245095.33859999999</v>
      </c>
      <c r="I14" s="45">
        <f>-I12</f>
        <v>-207968.40539999999</v>
      </c>
    </row>
    <row r="15" spans="2:10">
      <c r="B15" s="50"/>
      <c r="C15" s="50"/>
      <c r="D15" s="50"/>
      <c r="E15" s="51"/>
    </row>
    <row r="16" spans="2:10">
      <c r="B16" s="1" t="s">
        <v>41</v>
      </c>
      <c r="C16" s="203"/>
      <c r="D16" s="203" t="s">
        <v>156</v>
      </c>
      <c r="E16" s="142">
        <f>'CF WA Elec'!E21</f>
        <v>0.95563100000000001</v>
      </c>
      <c r="F16" s="164">
        <f>E16</f>
        <v>0.95563100000000001</v>
      </c>
      <c r="G16" s="164">
        <f>F16</f>
        <v>0.95563100000000001</v>
      </c>
      <c r="H16" s="164">
        <f>G16</f>
        <v>0.95563100000000001</v>
      </c>
      <c r="I16" s="63">
        <f>H16</f>
        <v>0.95563100000000001</v>
      </c>
    </row>
    <row r="17" spans="2:9" ht="15.75" thickBot="1"/>
    <row r="18" spans="2:9" ht="15.75" thickBot="1">
      <c r="B18" s="47" t="s">
        <v>42</v>
      </c>
      <c r="C18" s="48"/>
      <c r="D18" s="48"/>
      <c r="E18" s="49">
        <f>SUM(F18:I18)</f>
        <v>-973126.66908042959</v>
      </c>
      <c r="F18" s="144">
        <f>F14/F16</f>
        <v>-316434.70000449964</v>
      </c>
      <c r="G18" s="144">
        <f t="shared" ref="G18:I18" si="0">G14/G16</f>
        <v>-182592.92457025778</v>
      </c>
      <c r="H18" s="144">
        <f t="shared" si="0"/>
        <v>-256474.8722048573</v>
      </c>
      <c r="I18" s="144">
        <f t="shared" si="0"/>
        <v>-217624.17230081485</v>
      </c>
    </row>
    <row r="20" spans="2:9">
      <c r="E20" s="35"/>
    </row>
    <row r="23" spans="2:9">
      <c r="D23" s="206"/>
    </row>
    <row r="24" spans="2:9">
      <c r="D24" s="206"/>
    </row>
    <row r="28" spans="2:9">
      <c r="G28" s="103"/>
    </row>
    <row r="36" spans="2:3">
      <c r="B36" s="101"/>
    </row>
    <row r="37" spans="2:3">
      <c r="C37" s="35"/>
    </row>
    <row r="38" spans="2:3">
      <c r="C38" s="99"/>
    </row>
    <row r="39" spans="2:3">
      <c r="C39" s="99"/>
    </row>
    <row r="1048576" spans="4:4">
      <c r="D1048576" s="143"/>
    </row>
  </sheetData>
  <mergeCells count="1">
    <mergeCell ref="C1:H1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Q32"/>
  <sheetViews>
    <sheetView tabSelected="1" workbookViewId="0">
      <selection activeCell="N1" sqref="N1"/>
    </sheetView>
  </sheetViews>
  <sheetFormatPr defaultColWidth="9.140625" defaultRowHeight="15"/>
  <cols>
    <col min="1" max="1" width="9.140625" style="1"/>
    <col min="2" max="2" width="17.85546875" style="1" customWidth="1"/>
    <col min="3" max="4" width="10.28515625" style="1" customWidth="1"/>
    <col min="5" max="5" width="14" style="1" bestFit="1" customWidth="1"/>
    <col min="6" max="17" width="10.85546875" style="1" customWidth="1"/>
    <col min="18" max="16384" width="9.140625" style="1"/>
  </cols>
  <sheetData>
    <row r="1" spans="2:17">
      <c r="D1" s="226" t="s">
        <v>120</v>
      </c>
      <c r="E1" s="227"/>
      <c r="F1" s="227"/>
      <c r="G1" s="227"/>
      <c r="H1" s="227"/>
      <c r="I1" s="227"/>
    </row>
    <row r="3" spans="2:17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>
      <c r="C4" s="40"/>
      <c r="D4" s="40"/>
      <c r="E4" s="40" t="s">
        <v>0</v>
      </c>
      <c r="F4" s="41">
        <v>44378</v>
      </c>
      <c r="G4" s="41">
        <v>44409</v>
      </c>
      <c r="H4" s="41">
        <v>44440</v>
      </c>
      <c r="I4" s="41">
        <v>44470</v>
      </c>
      <c r="J4" s="41">
        <v>44501</v>
      </c>
      <c r="K4" s="41">
        <v>44531</v>
      </c>
      <c r="L4" s="41">
        <v>44562</v>
      </c>
      <c r="M4" s="41">
        <v>44593</v>
      </c>
      <c r="N4" s="41">
        <v>44621</v>
      </c>
      <c r="O4" s="41">
        <v>44652</v>
      </c>
      <c r="P4" s="41">
        <v>44682</v>
      </c>
      <c r="Q4" s="41">
        <v>44713</v>
      </c>
    </row>
    <row r="6" spans="2:17">
      <c r="B6" s="113" t="s">
        <v>160</v>
      </c>
      <c r="C6" s="114"/>
      <c r="D6" s="115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17">
      <c r="B7" s="222" t="s">
        <v>161</v>
      </c>
      <c r="C7" s="211"/>
      <c r="D7" s="212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21"/>
    </row>
    <row r="8" spans="2:17">
      <c r="B8" s="209" t="s">
        <v>174</v>
      </c>
      <c r="C8" s="109"/>
      <c r="D8" s="110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9"/>
    </row>
    <row r="9" spans="2:17" ht="15.75" thickBot="1"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2:17" ht="15.75" thickBot="1">
      <c r="B10" s="47" t="s">
        <v>64</v>
      </c>
      <c r="C10" s="48"/>
      <c r="D10" s="48"/>
      <c r="E10" s="49">
        <v>-1012502</v>
      </c>
    </row>
    <row r="11" spans="2:17">
      <c r="B11" s="50"/>
      <c r="C11" s="50"/>
      <c r="D11" s="50"/>
      <c r="E11" s="51"/>
    </row>
    <row r="12" spans="2:17" ht="17.25">
      <c r="B12" s="50" t="s">
        <v>166</v>
      </c>
      <c r="C12" s="126" t="s">
        <v>148</v>
      </c>
      <c r="D12" s="201"/>
      <c r="E12" s="52">
        <v>0.6573</v>
      </c>
      <c r="F12" s="45">
        <v>131371.92180000001</v>
      </c>
      <c r="G12" s="45">
        <v>75793.920299999998</v>
      </c>
      <c r="H12" s="45">
        <v>93404.959199999998</v>
      </c>
      <c r="I12" s="45">
        <v>158962.74660000001</v>
      </c>
      <c r="J12" s="45">
        <v>187908.26670000001</v>
      </c>
      <c r="K12" s="45">
        <v>4929.75</v>
      </c>
      <c r="L12" s="45">
        <v>13146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</row>
    <row r="13" spans="2:17">
      <c r="B13" s="50"/>
      <c r="C13" s="50"/>
      <c r="D13" s="50"/>
      <c r="E13" s="52"/>
    </row>
    <row r="14" spans="2:17">
      <c r="B14" s="50" t="s">
        <v>66</v>
      </c>
      <c r="C14" s="50"/>
      <c r="D14" s="50"/>
      <c r="E14" s="51">
        <f>E10*E12</f>
        <v>-665517.56460000004</v>
      </c>
      <c r="G14" s="63"/>
      <c r="H14" s="63"/>
      <c r="I14" s="63"/>
      <c r="J14" s="63"/>
    </row>
    <row r="15" spans="2:17">
      <c r="B15" s="50"/>
      <c r="C15" s="50"/>
      <c r="D15" s="50"/>
      <c r="E15" s="51"/>
      <c r="G15" s="63"/>
      <c r="H15" s="63"/>
      <c r="I15" s="63"/>
      <c r="J15" s="64"/>
    </row>
    <row r="16" spans="2:17">
      <c r="B16" s="1" t="s">
        <v>89</v>
      </c>
      <c r="C16" s="50"/>
      <c r="D16" s="50"/>
      <c r="E16" s="51">
        <f>-'Forecast Balance'!H8</f>
        <v>-173655.41246246384</v>
      </c>
      <c r="G16" s="63"/>
      <c r="H16" s="196"/>
      <c r="I16" s="63"/>
      <c r="J16" s="64"/>
    </row>
    <row r="17" spans="2:10">
      <c r="B17" s="50"/>
      <c r="C17" s="50"/>
      <c r="D17" s="50"/>
      <c r="E17" s="51"/>
      <c r="G17" s="63"/>
      <c r="H17" s="63"/>
      <c r="I17" s="63"/>
      <c r="J17" s="64"/>
    </row>
    <row r="18" spans="2:10">
      <c r="B18" s="50" t="s">
        <v>94</v>
      </c>
      <c r="C18" s="50"/>
      <c r="D18" s="50"/>
      <c r="E18" s="51">
        <f>E14+E16</f>
        <v>-839172.97706246388</v>
      </c>
      <c r="G18" s="63"/>
      <c r="H18" s="63"/>
      <c r="I18" s="63"/>
      <c r="J18" s="64"/>
    </row>
    <row r="19" spans="2:10">
      <c r="B19" s="50"/>
      <c r="C19" s="50"/>
      <c r="D19" s="50"/>
      <c r="E19" s="51"/>
      <c r="G19" s="105"/>
      <c r="H19" s="63"/>
      <c r="I19" s="63"/>
      <c r="J19" s="64"/>
    </row>
    <row r="20" spans="2:10">
      <c r="B20" s="50" t="s">
        <v>95</v>
      </c>
      <c r="C20" s="50"/>
      <c r="D20" s="50"/>
      <c r="E20" s="51">
        <f>-'Forecast Balance'!B19</f>
        <v>-16565.542708996847</v>
      </c>
      <c r="G20" s="63"/>
      <c r="H20" s="63"/>
      <c r="I20" s="63"/>
      <c r="J20" s="64"/>
    </row>
    <row r="21" spans="2:10">
      <c r="B21" s="50"/>
      <c r="C21" s="50"/>
      <c r="D21" s="50"/>
      <c r="E21" s="51"/>
      <c r="G21" s="63"/>
      <c r="H21" s="63"/>
      <c r="I21" s="63"/>
      <c r="J21" s="63"/>
    </row>
    <row r="22" spans="2:10">
      <c r="B22" s="50" t="s">
        <v>96</v>
      </c>
      <c r="C22" s="50"/>
      <c r="D22" s="50"/>
      <c r="E22" s="51">
        <f>E18+E20</f>
        <v>-855738.51977146068</v>
      </c>
    </row>
    <row r="23" spans="2:10">
      <c r="B23" s="50"/>
      <c r="C23" s="50"/>
      <c r="D23" s="50"/>
      <c r="E23" s="51"/>
    </row>
    <row r="24" spans="2:10">
      <c r="B24" s="1" t="s">
        <v>41</v>
      </c>
      <c r="D24" s="126" t="s">
        <v>158</v>
      </c>
      <c r="E24" s="142">
        <f>'CF WA Elec'!E21</f>
        <v>0.95563100000000001</v>
      </c>
    </row>
    <row r="25" spans="2:10" ht="15.75" thickBot="1"/>
    <row r="26" spans="2:10" ht="15.75" thickBot="1">
      <c r="B26" s="47" t="s">
        <v>42</v>
      </c>
      <c r="C26" s="48"/>
      <c r="D26" s="48"/>
      <c r="E26" s="49">
        <f>E22/E24</f>
        <v>-895469.61093922309</v>
      </c>
    </row>
    <row r="27" spans="2:10">
      <c r="B27" s="101"/>
    </row>
    <row r="28" spans="2:10">
      <c r="C28" s="35"/>
    </row>
    <row r="29" spans="2:10">
      <c r="C29" s="99"/>
    </row>
    <row r="30" spans="2:10" ht="17.25">
      <c r="B30" s="202" t="s">
        <v>167</v>
      </c>
      <c r="C30" s="99"/>
    </row>
    <row r="32" spans="2:10">
      <c r="H32" s="2"/>
    </row>
  </sheetData>
  <mergeCells count="1">
    <mergeCell ref="D1:I1"/>
  </mergeCells>
  <pageMargins left="0.7" right="0.7" top="0.75" bottom="0.75" header="0.3" footer="0.3"/>
  <pageSetup scale="6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V42"/>
  <sheetViews>
    <sheetView tabSelected="1" zoomScaleNormal="100" workbookViewId="0">
      <selection activeCell="N1" sqref="N1"/>
    </sheetView>
  </sheetViews>
  <sheetFormatPr defaultColWidth="9.140625" defaultRowHeight="12.75"/>
  <cols>
    <col min="1" max="1" width="41.85546875" style="75" bestFit="1" customWidth="1"/>
    <col min="2" max="2" width="13.42578125" style="75" bestFit="1" customWidth="1"/>
    <col min="3" max="3" width="13.85546875" style="75" customWidth="1"/>
    <col min="4" max="4" width="11.28515625" style="75" bestFit="1" customWidth="1"/>
    <col min="5" max="11" width="10.5703125" style="75" customWidth="1"/>
    <col min="12" max="12" width="10.42578125" style="75" bestFit="1" customWidth="1"/>
    <col min="13" max="17" width="10.5703125" style="75" customWidth="1"/>
    <col min="18" max="18" width="10.7109375" style="75" bestFit="1" customWidth="1"/>
    <col min="19" max="20" width="12.28515625" style="75" customWidth="1"/>
    <col min="21" max="21" width="11.85546875" style="75" bestFit="1" customWidth="1"/>
    <col min="22" max="22" width="11.28515625" style="75" customWidth="1"/>
    <col min="23" max="16384" width="9.140625" style="75"/>
  </cols>
  <sheetData>
    <row r="1" spans="1:22">
      <c r="B1" s="75">
        <v>2020</v>
      </c>
      <c r="C1" s="75">
        <v>2021</v>
      </c>
      <c r="D1" s="75">
        <v>2021</v>
      </c>
      <c r="E1" s="75">
        <v>2021</v>
      </c>
      <c r="F1" s="75">
        <v>2021</v>
      </c>
      <c r="G1" s="75">
        <v>2021</v>
      </c>
      <c r="H1" s="75">
        <v>2021</v>
      </c>
      <c r="I1" s="182" t="s">
        <v>102</v>
      </c>
      <c r="J1" s="75">
        <v>2021</v>
      </c>
      <c r="K1" s="75">
        <v>2021</v>
      </c>
      <c r="L1" s="75">
        <v>2021</v>
      </c>
      <c r="M1" s="75">
        <v>2021</v>
      </c>
      <c r="N1" s="75">
        <v>2021</v>
      </c>
      <c r="O1" s="183" t="s">
        <v>102</v>
      </c>
      <c r="P1" s="75">
        <v>2022</v>
      </c>
      <c r="Q1" s="75">
        <v>2022</v>
      </c>
      <c r="R1" s="75">
        <v>2022</v>
      </c>
      <c r="S1" s="75">
        <v>2022</v>
      </c>
      <c r="T1" s="75">
        <v>2022</v>
      </c>
    </row>
    <row r="2" spans="1:22">
      <c r="A2" s="184"/>
      <c r="B2" s="184" t="s">
        <v>76</v>
      </c>
      <c r="C2" s="184" t="s">
        <v>77</v>
      </c>
      <c r="D2" s="184" t="s">
        <v>78</v>
      </c>
      <c r="E2" s="184" t="s">
        <v>67</v>
      </c>
      <c r="F2" s="184" t="s">
        <v>68</v>
      </c>
      <c r="G2" s="184" t="s">
        <v>69</v>
      </c>
      <c r="H2" s="184" t="s">
        <v>70</v>
      </c>
      <c r="I2" s="184" t="s">
        <v>71</v>
      </c>
      <c r="J2" s="184" t="s">
        <v>72</v>
      </c>
      <c r="K2" s="184" t="s">
        <v>73</v>
      </c>
      <c r="L2" s="184" t="s">
        <v>74</v>
      </c>
      <c r="M2" s="184" t="s">
        <v>75</v>
      </c>
      <c r="N2" s="184" t="s">
        <v>76</v>
      </c>
      <c r="O2" s="184" t="s">
        <v>77</v>
      </c>
      <c r="P2" s="184" t="s">
        <v>78</v>
      </c>
      <c r="Q2" s="184" t="s">
        <v>67</v>
      </c>
      <c r="R2" s="184" t="s">
        <v>68</v>
      </c>
      <c r="S2" s="184" t="s">
        <v>69</v>
      </c>
      <c r="T2" s="184" t="s">
        <v>70</v>
      </c>
      <c r="U2" s="176"/>
    </row>
    <row r="3" spans="1:22">
      <c r="A3" s="75" t="s">
        <v>100</v>
      </c>
      <c r="B3" s="70">
        <v>0</v>
      </c>
      <c r="C3" s="185">
        <v>-159385</v>
      </c>
      <c r="D3" s="185">
        <v>-152444</v>
      </c>
      <c r="E3" s="199">
        <f>'Forecasted Revenue'!D39</f>
        <v>-147412.75739694791</v>
      </c>
      <c r="F3" s="199">
        <f>'Forecasted Revenue'!E39</f>
        <v>-129177.75383253752</v>
      </c>
      <c r="G3" s="199">
        <f>'Forecasted Revenue'!F39</f>
        <v>-126729.24623034353</v>
      </c>
      <c r="H3" s="199">
        <f>'Forecasted Revenue'!G39</f>
        <v>-128301.45571486883</v>
      </c>
      <c r="I3" s="199">
        <f>'Forecasted Revenue'!H39</f>
        <v>-73145.143137764389</v>
      </c>
      <c r="J3" s="199">
        <f>'Forecasted Revenue'!I39</f>
        <v>-73179.303393932671</v>
      </c>
      <c r="K3" s="199">
        <f>'Forecasted Revenue'!J39</f>
        <v>-62311.481434929679</v>
      </c>
      <c r="L3" s="199">
        <f>'Forecasted Revenue'!K39</f>
        <v>-66665.251987779498</v>
      </c>
      <c r="M3" s="199">
        <f>'Forecasted Revenue'!L39</f>
        <v>-74332.491441015256</v>
      </c>
      <c r="N3" s="199">
        <f>'Forecasted Revenue'!M39</f>
        <v>-85623.813916031242</v>
      </c>
      <c r="O3" s="199">
        <f>'Forecasted Revenue'!N39</f>
        <v>-85041.321233176292</v>
      </c>
      <c r="P3" s="199">
        <f>'Forecasted Revenue'!O39</f>
        <v>-72782.370710893592</v>
      </c>
      <c r="Q3" s="199">
        <f>'Forecasted Revenue'!P39</f>
        <v>-72439.937199802036</v>
      </c>
      <c r="R3" s="199">
        <f>'Forecasted Revenue'!Q39</f>
        <v>-63830.432967588808</v>
      </c>
      <c r="S3" s="199">
        <f>'Forecasted Revenue'!R39</f>
        <v>-62756.197201659597</v>
      </c>
      <c r="T3" s="199">
        <f>'Forecasted Revenue'!S39</f>
        <v>-63630.775146887405</v>
      </c>
      <c r="U3" s="176"/>
      <c r="V3" s="185">
        <f>SUM(I3:U3)</f>
        <v>-855738.51977146044</v>
      </c>
    </row>
    <row r="4" spans="1:22">
      <c r="A4" s="75" t="s">
        <v>90</v>
      </c>
      <c r="B4" s="70">
        <v>0</v>
      </c>
      <c r="C4" s="185">
        <v>313849</v>
      </c>
      <c r="D4" s="185">
        <v>171252</v>
      </c>
      <c r="E4" s="199">
        <f>-'3-2021 thru 6-2021 RECs'!F14</f>
        <v>302394.8088</v>
      </c>
      <c r="F4" s="199">
        <f>-'3-2021 thru 6-2021 RECs'!G14</f>
        <v>174491.45910000001</v>
      </c>
      <c r="G4" s="199">
        <f>-'3-2021 thru 6-2021 RECs'!H14</f>
        <v>245095.33859999999</v>
      </c>
      <c r="H4" s="199">
        <f>-'3-2021 thru 6-2021 RECs'!I14</f>
        <v>207968.40539999999</v>
      </c>
      <c r="I4" s="200">
        <f>'7-2021 thru 6-2022 RECs'!F12</f>
        <v>131371.92180000001</v>
      </c>
      <c r="J4" s="200">
        <f>'7-2021 thru 6-2022 RECs'!G12</f>
        <v>75793.920299999998</v>
      </c>
      <c r="K4" s="200">
        <f>'7-2021 thru 6-2022 RECs'!H12</f>
        <v>93404.959199999998</v>
      </c>
      <c r="L4" s="200">
        <f>'7-2021 thru 6-2022 RECs'!I12</f>
        <v>158962.74660000001</v>
      </c>
      <c r="M4" s="200">
        <f>'7-2021 thru 6-2022 RECs'!J12</f>
        <v>187908.26670000001</v>
      </c>
      <c r="N4" s="200">
        <f>'7-2021 thru 6-2022 RECs'!K12</f>
        <v>4929.75</v>
      </c>
      <c r="O4" s="200">
        <f>'7-2021 thru 6-2022 RECs'!L12</f>
        <v>13146</v>
      </c>
      <c r="P4" s="200">
        <f>'7-2021 thru 6-2022 RECs'!M12</f>
        <v>0</v>
      </c>
      <c r="Q4" s="200">
        <f>'7-2021 thru 6-2022 RECs'!N12</f>
        <v>0</v>
      </c>
      <c r="R4" s="200">
        <f>'7-2021 thru 6-2022 RECs'!O12</f>
        <v>0</v>
      </c>
      <c r="S4" s="200">
        <f>'7-2021 thru 6-2022 RECs'!P12</f>
        <v>0</v>
      </c>
      <c r="T4" s="200">
        <f>'7-2021 thru 6-2022 RECs'!Q12</f>
        <v>0</v>
      </c>
      <c r="U4" s="176"/>
      <c r="V4" s="185">
        <f>SUM(I4:U4)</f>
        <v>665517.56460000004</v>
      </c>
    </row>
    <row r="5" spans="1:22">
      <c r="A5" s="75" t="s">
        <v>79</v>
      </c>
      <c r="B5" s="186">
        <v>0</v>
      </c>
      <c r="C5" s="186">
        <f>C3+C4</f>
        <v>154464</v>
      </c>
      <c r="D5" s="186">
        <f>D3+D4</f>
        <v>18808</v>
      </c>
      <c r="E5" s="186">
        <f>E3+E4</f>
        <v>154982.05140305209</v>
      </c>
      <c r="F5" s="186">
        <f t="shared" ref="F5:T5" si="0">F3+F4</f>
        <v>45313.705267462487</v>
      </c>
      <c r="G5" s="186">
        <f>G3+G4</f>
        <v>118366.09236965646</v>
      </c>
      <c r="H5" s="186">
        <f>H3+H4</f>
        <v>79666.949685131156</v>
      </c>
      <c r="I5" s="186">
        <f>I3+I4</f>
        <v>58226.778662235622</v>
      </c>
      <c r="J5" s="186">
        <f t="shared" si="0"/>
        <v>2614.6169060673274</v>
      </c>
      <c r="K5" s="186">
        <f t="shared" si="0"/>
        <v>31093.477765070318</v>
      </c>
      <c r="L5" s="186">
        <f t="shared" si="0"/>
        <v>92297.494612220515</v>
      </c>
      <c r="M5" s="186">
        <f t="shared" si="0"/>
        <v>113575.77525898475</v>
      </c>
      <c r="N5" s="186">
        <f t="shared" si="0"/>
        <v>-80694.063916031242</v>
      </c>
      <c r="O5" s="186">
        <f t="shared" si="0"/>
        <v>-71895.321233176292</v>
      </c>
      <c r="P5" s="186">
        <f t="shared" si="0"/>
        <v>-72782.370710893592</v>
      </c>
      <c r="Q5" s="186">
        <f t="shared" si="0"/>
        <v>-72439.937199802036</v>
      </c>
      <c r="R5" s="186">
        <f t="shared" si="0"/>
        <v>-63830.432967588808</v>
      </c>
      <c r="S5" s="186">
        <f t="shared" si="0"/>
        <v>-62756.197201659597</v>
      </c>
      <c r="T5" s="187">
        <f t="shared" si="0"/>
        <v>-63630.775146887405</v>
      </c>
      <c r="U5" s="176"/>
      <c r="V5" s="185"/>
    </row>
    <row r="6" spans="1:22">
      <c r="A6" s="75" t="s">
        <v>101</v>
      </c>
      <c r="B6" s="70">
        <v>0</v>
      </c>
      <c r="C6" s="70">
        <f>B8+C5</f>
        <v>-240366.79999999993</v>
      </c>
      <c r="D6" s="70">
        <f>C6+D5</f>
        <v>-221558.79999999993</v>
      </c>
      <c r="E6" s="70">
        <f>D6+E5</f>
        <v>-66576.748596947844</v>
      </c>
      <c r="F6" s="70">
        <f>E6+F5</f>
        <v>-21263.043329485357</v>
      </c>
      <c r="G6" s="70">
        <f>F6+G5</f>
        <v>97103.049040171099</v>
      </c>
      <c r="H6" s="70">
        <f>G6+H5</f>
        <v>176769.99872530226</v>
      </c>
      <c r="I6" s="70">
        <f>H8+I5</f>
        <v>231882.19112469946</v>
      </c>
      <c r="J6" s="70">
        <f>I6+J5</f>
        <v>234496.80803076678</v>
      </c>
      <c r="K6" s="70">
        <f>J6+K5</f>
        <v>265590.28579583712</v>
      </c>
      <c r="L6" s="70">
        <f>K6+L5</f>
        <v>357887.78040805762</v>
      </c>
      <c r="M6" s="70">
        <f>L6+M5</f>
        <v>471463.55566704238</v>
      </c>
      <c r="N6" s="70">
        <f>M6+N5</f>
        <v>390769.49175101111</v>
      </c>
      <c r="O6" s="70">
        <f>N8+O5</f>
        <v>329096.5614083581</v>
      </c>
      <c r="P6" s="70">
        <f>O6+P5</f>
        <v>256314.19069746451</v>
      </c>
      <c r="Q6" s="70">
        <f>P6+Q5</f>
        <v>183874.25349766249</v>
      </c>
      <c r="R6" s="70">
        <f>Q6+R5</f>
        <v>120043.82053007369</v>
      </c>
      <c r="S6" s="70">
        <f>R6+S5</f>
        <v>57287.623328414091</v>
      </c>
      <c r="T6" s="70">
        <f>S6+T5</f>
        <v>-6343.1518184733141</v>
      </c>
      <c r="U6" s="176"/>
      <c r="V6" s="185"/>
    </row>
    <row r="7" spans="1:22">
      <c r="A7" s="75" t="s">
        <v>93</v>
      </c>
      <c r="B7" s="188">
        <v>0</v>
      </c>
      <c r="C7" s="186">
        <f>(B8+(0.5*C5))*$B$25</f>
        <v>-1761.0853459999998</v>
      </c>
      <c r="D7" s="186">
        <f>(C6+(0.5*D5))*$B$25</f>
        <v>-1280.6887259999996</v>
      </c>
      <c r="E7" s="186">
        <f>(D6+(0.5*E5))*$B$25</f>
        <v>-798.85580848503787</v>
      </c>
      <c r="F7" s="186">
        <f>(E6+(0.5*F5))*$B$25</f>
        <v>-243.53582311603608</v>
      </c>
      <c r="G7" s="186">
        <f>(F6+(0.5*G5))*$B$25</f>
        <v>210.26641583287625</v>
      </c>
      <c r="H7" s="186">
        <f>(G6+(0.5*H5))*$B$25</f>
        <v>759.313024929775</v>
      </c>
      <c r="I7" s="186">
        <f>(H8+(0.5*I5))*$B$25</f>
        <v>1124.3530059454101</v>
      </c>
      <c r="J7" s="186">
        <f>(I6+(0.5*J5))*$B$25</f>
        <v>1293.0357751585302</v>
      </c>
      <c r="K7" s="186">
        <f>(J6+(0.5*K5))*$B$25</f>
        <v>1386.4914676342594</v>
      </c>
      <c r="L7" s="186">
        <f>(K6+(0.5*L5))*$B$25</f>
        <v>1728.5929385502984</v>
      </c>
      <c r="M7" s="186">
        <f>(L6+(0.5*M5))*$B$25</f>
        <v>2299.3765792682148</v>
      </c>
      <c r="N7" s="186">
        <f>(M6+(0.5*N5))*$B$25</f>
        <v>2390.5411239665536</v>
      </c>
      <c r="O7" s="186">
        <f>(N8+(0.5*O5))*$B$25</f>
        <v>2024.1702111283271</v>
      </c>
      <c r="P7" s="186">
        <f>(O6+(0.5*P5))*$B$25</f>
        <v>1623.0513102133932</v>
      </c>
      <c r="Q7" s="186">
        <f>(P6+(0.5*Q5))*$B$25</f>
        <v>1220.4224615309897</v>
      </c>
      <c r="R7" s="186">
        <f>(Q6+(0.5*R5))*$B$25</f>
        <v>842.61286024189849</v>
      </c>
      <c r="S7" s="186">
        <f>(R6+(0.5*S5))*$B$25</f>
        <v>491.65142809765734</v>
      </c>
      <c r="T7" s="186">
        <f>(S6+(0.5*T5))*$B$25</f>
        <v>141.24354726131082</v>
      </c>
      <c r="U7" s="177"/>
      <c r="V7" s="185">
        <f>SUM(I7:U7)</f>
        <v>16565.542708996847</v>
      </c>
    </row>
    <row r="8" spans="1:22">
      <c r="A8" s="75" t="s">
        <v>103</v>
      </c>
      <c r="B8" s="70">
        <f>-B12</f>
        <v>-394830.79999999993</v>
      </c>
      <c r="C8" s="70">
        <f>C6+C7</f>
        <v>-242127.88534599994</v>
      </c>
      <c r="D8" s="70">
        <f>D6+D7+C7</f>
        <v>-224600.57407199993</v>
      </c>
      <c r="E8" s="70">
        <f>E6+E7+D7+C7</f>
        <v>-70417.378477432881</v>
      </c>
      <c r="F8" s="70">
        <f>F6+F7+E7+D7+C7</f>
        <v>-25347.20903308643</v>
      </c>
      <c r="G8" s="70">
        <f>G6+G7+F7+E7+D7+C7</f>
        <v>93229.149752402911</v>
      </c>
      <c r="H8" s="70">
        <f>H6+H7+G7+F7+E7+D7+C7</f>
        <v>173655.41246246384</v>
      </c>
      <c r="I8" s="70">
        <f>I6+I7</f>
        <v>233006.54413064488</v>
      </c>
      <c r="J8" s="70">
        <f>J6+J7+I7</f>
        <v>236914.19681187073</v>
      </c>
      <c r="K8" s="70">
        <f>K6+K7+J7+I7</f>
        <v>269394.16604457534</v>
      </c>
      <c r="L8" s="70">
        <f>L6+L7+K7+J7+I7</f>
        <v>363420.25359534612</v>
      </c>
      <c r="M8" s="70">
        <f>M6+M7+L7+K7+J7+I7</f>
        <v>479295.40543359908</v>
      </c>
      <c r="N8" s="70">
        <f>N6+N7+M7+L7+K7+J7+I7</f>
        <v>400991.88264153438</v>
      </c>
      <c r="O8" s="70">
        <f>O6+O7</f>
        <v>331120.73161948641</v>
      </c>
      <c r="P8" s="70">
        <f>P6+P7+O7</f>
        <v>259961.41221880625</v>
      </c>
      <c r="Q8" s="70">
        <f>Q6+Q7+P7+O7</f>
        <v>188741.8974805352</v>
      </c>
      <c r="R8" s="70">
        <f>R6+R7+Q7+P7+O7</f>
        <v>125754.07737318831</v>
      </c>
      <c r="S8" s="70">
        <f>S6+S7+R7+Q7+P7+O7</f>
        <v>63489.531599626353</v>
      </c>
      <c r="T8" s="70">
        <f>T6+T7+S7+R7+Q7+P7+O7</f>
        <v>2.6193447411060333E-10</v>
      </c>
      <c r="U8" s="178" t="s">
        <v>97</v>
      </c>
    </row>
    <row r="9" spans="1:22">
      <c r="B9" s="179"/>
      <c r="C9" s="179"/>
      <c r="D9" s="179"/>
      <c r="E9" s="189"/>
      <c r="F9" s="189"/>
      <c r="G9" s="189"/>
      <c r="H9" s="179"/>
      <c r="I9" s="179"/>
      <c r="J9" s="179"/>
      <c r="K9" s="179"/>
      <c r="L9" s="179"/>
      <c r="M9" s="179"/>
      <c r="N9" s="179"/>
      <c r="O9" s="179"/>
      <c r="P9" s="179"/>
      <c r="Q9" s="189"/>
      <c r="R9" s="178"/>
      <c r="S9" s="178"/>
    </row>
    <row r="10" spans="1:22">
      <c r="A10" s="75" t="s">
        <v>171</v>
      </c>
      <c r="B10" s="185">
        <v>-479145.39</v>
      </c>
      <c r="C10" s="179"/>
      <c r="D10" s="179"/>
      <c r="E10" s="189"/>
      <c r="F10" s="189"/>
      <c r="G10" s="18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22">
      <c r="A11" s="75" t="s">
        <v>154</v>
      </c>
      <c r="B11" s="204">
        <v>873976.19</v>
      </c>
      <c r="C11" s="179"/>
      <c r="D11" s="179"/>
      <c r="E11" s="189"/>
      <c r="F11" s="189"/>
      <c r="G11" s="18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2">
      <c r="A12" s="75" t="s">
        <v>155</v>
      </c>
      <c r="B12" s="190">
        <f>SUM(B10:B11)</f>
        <v>394830.79999999993</v>
      </c>
      <c r="C12" s="179"/>
      <c r="D12" s="179"/>
      <c r="E12" s="189"/>
      <c r="F12" s="189"/>
      <c r="G12" s="189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22">
      <c r="C13" s="179"/>
      <c r="D13" s="179"/>
      <c r="E13" s="189"/>
      <c r="F13" s="189"/>
      <c r="G13" s="18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2">
      <c r="A14" s="69"/>
      <c r="B14" s="179"/>
      <c r="C14" s="179"/>
      <c r="D14" s="179"/>
      <c r="E14" s="189"/>
      <c r="F14" s="189"/>
      <c r="G14" s="189"/>
      <c r="L14" s="190"/>
      <c r="M14" s="190"/>
      <c r="N14" s="190"/>
      <c r="O14" s="190"/>
      <c r="P14" s="190"/>
    </row>
    <row r="15" spans="1:22">
      <c r="A15" s="69"/>
      <c r="B15" s="70"/>
      <c r="C15" s="179"/>
      <c r="D15" s="179"/>
      <c r="E15" s="189"/>
      <c r="F15" s="189"/>
      <c r="G15" s="189"/>
      <c r="M15" s="190"/>
    </row>
    <row r="16" spans="1:22">
      <c r="A16" s="69" t="s">
        <v>168</v>
      </c>
      <c r="B16" s="70">
        <f>H8</f>
        <v>173655.41246246384</v>
      </c>
      <c r="C16" s="179"/>
      <c r="D16" s="179"/>
      <c r="E16" s="189"/>
      <c r="F16" s="189"/>
      <c r="G16" s="189"/>
    </row>
    <row r="17" spans="1:7">
      <c r="A17" s="71" t="s">
        <v>169</v>
      </c>
      <c r="B17" s="72">
        <f>SUM(I4:T4)</f>
        <v>665517.56460000004</v>
      </c>
      <c r="C17" s="179"/>
      <c r="D17" s="179"/>
      <c r="E17" s="189"/>
      <c r="F17" s="189"/>
      <c r="G17" s="189"/>
    </row>
    <row r="18" spans="1:7">
      <c r="A18" s="71" t="s">
        <v>170</v>
      </c>
      <c r="B18" s="72">
        <f>SUM(I3:T3)</f>
        <v>-855738.51977146044</v>
      </c>
    </row>
    <row r="19" spans="1:7">
      <c r="A19" s="71" t="s">
        <v>80</v>
      </c>
      <c r="B19" s="73">
        <f>SUM(I7:T7)</f>
        <v>16565.542708996847</v>
      </c>
    </row>
    <row r="20" spans="1:7">
      <c r="A20" s="69" t="s">
        <v>175</v>
      </c>
      <c r="B20" s="74">
        <f>B16+B17+B19+B18</f>
        <v>0</v>
      </c>
      <c r="C20" s="76"/>
    </row>
    <row r="21" spans="1:7">
      <c r="A21" s="69"/>
      <c r="B21" s="74"/>
      <c r="C21" s="76"/>
    </row>
    <row r="22" spans="1:7">
      <c r="B22" s="76" t="s">
        <v>156</v>
      </c>
      <c r="C22" s="76"/>
    </row>
    <row r="23" spans="1:7" ht="13.5" thickBot="1">
      <c r="B23" s="193">
        <v>43922</v>
      </c>
      <c r="C23" s="76"/>
    </row>
    <row r="24" spans="1:7">
      <c r="A24" s="107" t="s">
        <v>91</v>
      </c>
      <c r="B24" s="163">
        <v>6.6540000000000002E-2</v>
      </c>
      <c r="C24" s="76"/>
    </row>
    <row r="25" spans="1:7" ht="13.5" thickBot="1">
      <c r="A25" s="77" t="s">
        <v>92</v>
      </c>
      <c r="B25" s="145">
        <f>B24/12</f>
        <v>5.5450000000000004E-3</v>
      </c>
      <c r="C25" s="76"/>
    </row>
    <row r="31" spans="1:7">
      <c r="G31" s="191"/>
    </row>
    <row r="39" spans="2:3">
      <c r="B39" s="192"/>
    </row>
    <row r="40" spans="2:3">
      <c r="C40" s="180"/>
    </row>
    <row r="41" spans="2:3">
      <c r="C41" s="181"/>
    </row>
    <row r="42" spans="2:3">
      <c r="C42" s="181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3"/>
  <sheetViews>
    <sheetView tabSelected="1" zoomScaleNormal="100" workbookViewId="0">
      <selection activeCell="N1" sqref="N1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53" t="s">
        <v>110</v>
      </c>
      <c r="B1" s="53"/>
    </row>
    <row r="4" spans="1:20">
      <c r="A4" s="1" t="s">
        <v>81</v>
      </c>
      <c r="D4" s="54">
        <v>44270</v>
      </c>
      <c r="E4" s="54">
        <v>44301</v>
      </c>
      <c r="F4" s="54">
        <v>44331</v>
      </c>
      <c r="G4" s="54">
        <v>44362</v>
      </c>
      <c r="H4" s="54">
        <v>44392</v>
      </c>
      <c r="I4" s="54">
        <v>44423</v>
      </c>
      <c r="J4" s="54">
        <v>44454</v>
      </c>
      <c r="K4" s="54">
        <v>44484</v>
      </c>
      <c r="L4" s="54">
        <v>44515</v>
      </c>
      <c r="M4" s="54">
        <v>44545</v>
      </c>
      <c r="N4" s="54">
        <v>44576</v>
      </c>
      <c r="O4" s="54">
        <v>44607</v>
      </c>
      <c r="P4" s="54">
        <v>44635</v>
      </c>
      <c r="Q4" s="54">
        <v>44666</v>
      </c>
      <c r="R4" s="54">
        <v>44696</v>
      </c>
      <c r="S4" s="54">
        <v>44727</v>
      </c>
    </row>
    <row r="5" spans="1:20">
      <c r="B5" s="1" t="s">
        <v>123</v>
      </c>
      <c r="D5" s="55">
        <f>'kWh Forecast'!B18</f>
        <v>225860774.84466338</v>
      </c>
      <c r="E5" s="55">
        <f>'kWh Forecast'!C18</f>
        <v>170557104.67976519</v>
      </c>
      <c r="F5" s="55">
        <f>'kWh Forecast'!D18</f>
        <v>152880840.4500348</v>
      </c>
      <c r="G5" s="55">
        <f>'kWh Forecast'!E18</f>
        <v>151858700.63576174</v>
      </c>
      <c r="H5" s="55">
        <f>'kWh Forecast'!F18</f>
        <v>189596314.094271</v>
      </c>
      <c r="I5" s="55">
        <f>'kWh Forecast'!G18</f>
        <v>187240829.57188159</v>
      </c>
      <c r="J5" s="55">
        <f>'kWh Forecast'!H18</f>
        <v>151586145.4972893</v>
      </c>
      <c r="K5" s="55">
        <f>'kWh Forecast'!I18</f>
        <v>177162600.19704229</v>
      </c>
      <c r="L5" s="55">
        <f>'kWh Forecast'!J18</f>
        <v>229806274.63419777</v>
      </c>
      <c r="M5" s="55">
        <f>'kWh Forecast'!K18</f>
        <v>290814454.24304652</v>
      </c>
      <c r="N5" s="55">
        <f>'kWh Forecast'!L18</f>
        <v>287033818.90916049</v>
      </c>
      <c r="O5" s="55">
        <f>'kWh Forecast'!M18</f>
        <v>231639149.02490339</v>
      </c>
      <c r="P5" s="55">
        <f>'kWh Forecast'!N18</f>
        <v>222030514.19658169</v>
      </c>
      <c r="Q5" s="55">
        <f>'kWh Forecast'!O18</f>
        <v>174568506.39534679</v>
      </c>
      <c r="R5" s="55">
        <f>'kWh Forecast'!P18</f>
        <v>156809392.13419688</v>
      </c>
      <c r="S5" s="55">
        <f>'kWh Forecast'!Q18</f>
        <v>153432095.30213636</v>
      </c>
      <c r="T5" s="57">
        <f>SUM(D5:S5)</f>
        <v>3152877514.8102789</v>
      </c>
    </row>
    <row r="6" spans="1:20">
      <c r="B6" s="1" t="s">
        <v>83</v>
      </c>
      <c r="D6" s="55">
        <f>'kWh Forecast'!B19</f>
        <v>54994599.566696033</v>
      </c>
      <c r="E6" s="55">
        <f>'kWh Forecast'!C19</f>
        <v>48000367.44611492</v>
      </c>
      <c r="F6" s="55">
        <f>'kWh Forecast'!D19</f>
        <v>47044590.173645183</v>
      </c>
      <c r="G6" s="55">
        <f>'kWh Forecast'!E19</f>
        <v>47482776.780516349</v>
      </c>
      <c r="H6" s="55">
        <f>'kWh Forecast'!F19</f>
        <v>56365548.971605361</v>
      </c>
      <c r="I6" s="55">
        <f>'kWh Forecast'!G19</f>
        <v>56288593.43603383</v>
      </c>
      <c r="J6" s="55">
        <f>'kWh Forecast'!H19</f>
        <v>46710339.851424292</v>
      </c>
      <c r="K6" s="55">
        <f>'kWh Forecast'!I19</f>
        <v>50451087.809285425</v>
      </c>
      <c r="L6" s="55">
        <f>'kWh Forecast'!J19</f>
        <v>56306995.464305744</v>
      </c>
      <c r="M6" s="55">
        <f>'kWh Forecast'!K19</f>
        <v>65172858.384595364</v>
      </c>
      <c r="N6" s="55">
        <f>'kWh Forecast'!L19</f>
        <v>64923243.003303848</v>
      </c>
      <c r="O6" s="55">
        <f>'kWh Forecast'!M19</f>
        <v>55118263.093839556</v>
      </c>
      <c r="P6" s="55">
        <f>'kWh Forecast'!N19</f>
        <v>56037870.957688257</v>
      </c>
      <c r="Q6" s="55">
        <f>'kWh Forecast'!O19</f>
        <v>48080603.614911266</v>
      </c>
      <c r="R6" s="55">
        <f>'kWh Forecast'!P19</f>
        <v>47284399.763988391</v>
      </c>
      <c r="S6" s="55">
        <f>'kWh Forecast'!Q19</f>
        <v>48167150.650877915</v>
      </c>
      <c r="T6" s="57">
        <f t="shared" ref="T6:T10" si="0">SUM(D6:S6)</f>
        <v>848429288.96883178</v>
      </c>
    </row>
    <row r="7" spans="1:20">
      <c r="B7" s="1" t="s">
        <v>84</v>
      </c>
      <c r="D7" s="55">
        <f>'kWh Forecast'!B20</f>
        <v>110319888.43338907</v>
      </c>
      <c r="E7" s="55">
        <f>'kWh Forecast'!C20</f>
        <v>104699606.66228111</v>
      </c>
      <c r="F7" s="55">
        <f>'kWh Forecast'!D20</f>
        <v>108013472.95897274</v>
      </c>
      <c r="G7" s="55">
        <f>'kWh Forecast'!E20</f>
        <v>108289463.91553457</v>
      </c>
      <c r="H7" s="55">
        <f>'kWh Forecast'!F20</f>
        <v>122712747.48556823</v>
      </c>
      <c r="I7" s="55">
        <f>'kWh Forecast'!G20</f>
        <v>120967998.70838225</v>
      </c>
      <c r="J7" s="55">
        <f>'kWh Forecast'!H20</f>
        <v>105156356.00243106</v>
      </c>
      <c r="K7" s="55">
        <f>'kWh Forecast'!I20</f>
        <v>113042838.79165047</v>
      </c>
      <c r="L7" s="55">
        <f>'kWh Forecast'!J20</f>
        <v>113358892.72965515</v>
      </c>
      <c r="M7" s="55">
        <f>'kWh Forecast'!K20</f>
        <v>120980030.78240837</v>
      </c>
      <c r="N7" s="55">
        <f>'kWh Forecast'!L20</f>
        <v>119487923.20852429</v>
      </c>
      <c r="O7" s="55">
        <f>'kWh Forecast'!M20</f>
        <v>104450049.86879253</v>
      </c>
      <c r="P7" s="55">
        <f>'kWh Forecast'!N20</f>
        <v>111333015.86538589</v>
      </c>
      <c r="Q7" s="55">
        <f>'kWh Forecast'!O20</f>
        <v>103360490.89036104</v>
      </c>
      <c r="R7" s="55">
        <f>'kWh Forecast'!P20</f>
        <v>107457327.36495677</v>
      </c>
      <c r="S7" s="55">
        <f>'kWh Forecast'!Q20</f>
        <v>109197972.62962973</v>
      </c>
      <c r="T7" s="57">
        <f t="shared" si="0"/>
        <v>1782828076.2979236</v>
      </c>
    </row>
    <row r="8" spans="1:20">
      <c r="B8" s="1" t="s">
        <v>85</v>
      </c>
      <c r="D8" s="55">
        <f>'kWh Forecast'!B21</f>
        <v>82356668</v>
      </c>
      <c r="E8" s="55">
        <f>'kWh Forecast'!C21</f>
        <v>88224328</v>
      </c>
      <c r="F8" s="55">
        <f>'kWh Forecast'!D21</f>
        <v>89240917</v>
      </c>
      <c r="G8" s="55">
        <f>'kWh Forecast'!E21</f>
        <v>89287625</v>
      </c>
      <c r="H8" s="55">
        <f>'kWh Forecast'!F21</f>
        <v>89688749</v>
      </c>
      <c r="I8" s="55">
        <f>'kWh Forecast'!G21</f>
        <v>93566562</v>
      </c>
      <c r="J8" s="55">
        <f>'kWh Forecast'!H21</f>
        <v>91074647</v>
      </c>
      <c r="K8" s="55">
        <f>'kWh Forecast'!I21</f>
        <v>91093486</v>
      </c>
      <c r="L8" s="55">
        <f>'kWh Forecast'!J21</f>
        <v>89827168</v>
      </c>
      <c r="M8" s="55">
        <f>'kWh Forecast'!K21</f>
        <v>89249549</v>
      </c>
      <c r="N8" s="55">
        <f>'kWh Forecast'!L21</f>
        <v>90805368</v>
      </c>
      <c r="O8" s="55">
        <f>'kWh Forecast'!M21</f>
        <v>89087363</v>
      </c>
      <c r="P8" s="55">
        <f>'kWh Forecast'!N21</f>
        <v>87528062</v>
      </c>
      <c r="Q8" s="55">
        <f>'kWh Forecast'!O21</f>
        <v>89785501</v>
      </c>
      <c r="R8" s="55">
        <f>'kWh Forecast'!P21</f>
        <v>90024233</v>
      </c>
      <c r="S8" s="55">
        <f>'kWh Forecast'!Q21</f>
        <v>90761348</v>
      </c>
      <c r="T8" s="57">
        <f t="shared" si="0"/>
        <v>1431601574</v>
      </c>
    </row>
    <row r="9" spans="1:20">
      <c r="B9" s="1" t="s">
        <v>86</v>
      </c>
      <c r="D9" s="55">
        <f>'kWh Forecast'!B22</f>
        <v>5032239.0026299292</v>
      </c>
      <c r="E9" s="55">
        <f>'kWh Forecast'!C22</f>
        <v>8120747.2828397956</v>
      </c>
      <c r="F9" s="55">
        <f>'kWh Forecast'!D22</f>
        <v>14366315.915713344</v>
      </c>
      <c r="G9" s="55">
        <f>'kWh Forecast'!E22</f>
        <v>19566847.12808704</v>
      </c>
      <c r="H9" s="55">
        <f>'kWh Forecast'!F22</f>
        <v>26667748.408434946</v>
      </c>
      <c r="I9" s="55">
        <f>'kWh Forecast'!G22</f>
        <v>27104330.280521967</v>
      </c>
      <c r="J9" s="55">
        <f>'kWh Forecast'!H22</f>
        <v>17937486.964677379</v>
      </c>
      <c r="K9" s="55">
        <f>'kWh Forecast'!I22</f>
        <v>10247527.628291458</v>
      </c>
      <c r="L9" s="55">
        <f>'kWh Forecast'!J22</f>
        <v>4964922.6281851232</v>
      </c>
      <c r="M9" s="55">
        <f>'kWh Forecast'!K22</f>
        <v>4332939.9837402739</v>
      </c>
      <c r="N9" s="55">
        <f>'kWh Forecast'!L22</f>
        <v>4377351.6557682129</v>
      </c>
      <c r="O9" s="55">
        <f>'kWh Forecast'!M22</f>
        <v>3920851.7539948951</v>
      </c>
      <c r="P9" s="55">
        <f>'kWh Forecast'!N22</f>
        <v>4712200.2243074393</v>
      </c>
      <c r="Q9" s="55">
        <f>'kWh Forecast'!O22</f>
        <v>7547046.8108501574</v>
      </c>
      <c r="R9" s="55">
        <f>'kWh Forecast'!P22</f>
        <v>14046468.040796032</v>
      </c>
      <c r="S9" s="55">
        <f>'kWh Forecast'!Q22</f>
        <v>19698048.576334</v>
      </c>
      <c r="T9" s="57">
        <f t="shared" si="0"/>
        <v>192643072.28517199</v>
      </c>
    </row>
    <row r="10" spans="1:20">
      <c r="B10" s="1" t="s">
        <v>87</v>
      </c>
      <c r="D10" s="55">
        <f>'kWh Forecast'!B23</f>
        <v>1399314.8078236957</v>
      </c>
      <c r="E10" s="55">
        <f>'kWh Forecast'!C23</f>
        <v>1386695.2821545592</v>
      </c>
      <c r="F10" s="55">
        <f>'kWh Forecast'!D23</f>
        <v>1402381.5127699389</v>
      </c>
      <c r="G10" s="55">
        <f>'kWh Forecast'!E23</f>
        <v>1405585.6879302119</v>
      </c>
      <c r="H10" s="55">
        <f>'kWh Forecast'!F23</f>
        <v>1407213.1440066181</v>
      </c>
      <c r="I10" s="55">
        <f>'kWh Forecast'!G23</f>
        <v>1400545.008188003</v>
      </c>
      <c r="J10" s="55">
        <f>'kWh Forecast'!H23</f>
        <v>1413588.4096203367</v>
      </c>
      <c r="K10" s="55">
        <f>'kWh Forecast'!I23</f>
        <v>1379977.9986984204</v>
      </c>
      <c r="L10" s="55">
        <f>'kWh Forecast'!J23</f>
        <v>1374671.6461341218</v>
      </c>
      <c r="M10" s="55">
        <f>'kWh Forecast'!K23</f>
        <v>1439899.9322647429</v>
      </c>
      <c r="N10" s="55">
        <f>'kWh Forecast'!L23</f>
        <v>1413855.2135353007</v>
      </c>
      <c r="O10" s="55">
        <f>'kWh Forecast'!M23</f>
        <v>1349094.4765235721</v>
      </c>
      <c r="P10" s="55">
        <f>'kWh Forecast'!N23</f>
        <v>1363826.128704312</v>
      </c>
      <c r="Q10" s="55">
        <f>'kWh Forecast'!O23</f>
        <v>1353198.8971562153</v>
      </c>
      <c r="R10" s="55">
        <f>'kWh Forecast'!P23</f>
        <v>1369167.0480555198</v>
      </c>
      <c r="S10" s="55">
        <f>'kWh Forecast'!Q23</f>
        <v>1370517.0231513553</v>
      </c>
      <c r="T10" s="57">
        <f t="shared" si="0"/>
        <v>22229532.216716927</v>
      </c>
    </row>
    <row r="11" spans="1:20">
      <c r="A11" s="1" t="s">
        <v>88</v>
      </c>
      <c r="D11" s="56">
        <f>SUM(D5:D10)</f>
        <v>479963484.65520215</v>
      </c>
      <c r="E11" s="56">
        <f>SUM(E5:E10)</f>
        <v>420988849.35315555</v>
      </c>
      <c r="F11" s="56">
        <f>SUM(F5:F10)</f>
        <v>412948518.01113605</v>
      </c>
      <c r="G11" s="56">
        <f t="shared" ref="G11:S11" si="1">SUM(G5:G10)</f>
        <v>417890999.14782995</v>
      </c>
      <c r="H11" s="56">
        <f t="shared" si="1"/>
        <v>486438321.10388613</v>
      </c>
      <c r="I11" s="56">
        <f t="shared" si="1"/>
        <v>486568859.00500768</v>
      </c>
      <c r="J11" s="56">
        <f t="shared" si="1"/>
        <v>413878563.72544241</v>
      </c>
      <c r="K11" s="56">
        <f t="shared" si="1"/>
        <v>443377518.42496806</v>
      </c>
      <c r="L11" s="56">
        <f t="shared" si="1"/>
        <v>495638925.10247791</v>
      </c>
      <c r="M11" s="56">
        <f t="shared" si="1"/>
        <v>571989732.32605529</v>
      </c>
      <c r="N11" s="56">
        <f t="shared" si="1"/>
        <v>568041559.99029207</v>
      </c>
      <c r="O11" s="56">
        <f t="shared" si="1"/>
        <v>485564771.21805394</v>
      </c>
      <c r="P11" s="56">
        <f t="shared" si="1"/>
        <v>483005489.37266755</v>
      </c>
      <c r="Q11" s="56">
        <f t="shared" si="1"/>
        <v>424695347.60862547</v>
      </c>
      <c r="R11" s="56">
        <f t="shared" si="1"/>
        <v>416990987.35199356</v>
      </c>
      <c r="S11" s="56">
        <f t="shared" si="1"/>
        <v>422627132.18212932</v>
      </c>
      <c r="T11" s="57">
        <f>SUM(T5:T10)</f>
        <v>7430609058.5789223</v>
      </c>
    </row>
    <row r="12" spans="1:20">
      <c r="D12" s="57"/>
      <c r="E12" s="57"/>
      <c r="F12" s="57"/>
      <c r="G12" s="57"/>
      <c r="H12" s="57">
        <f>H11-'kWh Forecast'!F24</f>
        <v>0</v>
      </c>
      <c r="I12" s="57">
        <f>I11-'kWh Forecast'!G24</f>
        <v>0</v>
      </c>
      <c r="J12" s="57">
        <f>J11-'kWh Forecast'!H24</f>
        <v>0</v>
      </c>
      <c r="K12" s="57">
        <f>K11-'kWh Forecast'!I24</f>
        <v>0</v>
      </c>
      <c r="L12" s="57">
        <f>L11-'kWh Forecast'!J24</f>
        <v>0</v>
      </c>
      <c r="M12" s="57">
        <f>M11-'kWh Forecast'!K24</f>
        <v>0</v>
      </c>
      <c r="N12" s="57">
        <f>N11-'kWh Forecast'!L24</f>
        <v>0</v>
      </c>
      <c r="O12" s="57">
        <f>O11-'kWh Forecast'!M24</f>
        <v>0</v>
      </c>
      <c r="P12" s="57">
        <f>P11-'kWh Forecast'!N24</f>
        <v>0</v>
      </c>
      <c r="Q12" s="57">
        <f>Q11-'kWh Forecast'!O24</f>
        <v>0</v>
      </c>
      <c r="R12" s="57">
        <f>R11-'kWh Forecast'!P24</f>
        <v>0</v>
      </c>
      <c r="S12" s="57">
        <f>S11-'kWh Forecast'!Q24</f>
        <v>0</v>
      </c>
    </row>
    <row r="14" spans="1:20">
      <c r="A14" s="1" t="s">
        <v>99</v>
      </c>
      <c r="D14" s="228" t="s">
        <v>150</v>
      </c>
      <c r="E14" s="229"/>
      <c r="F14" s="229"/>
      <c r="G14" s="230"/>
      <c r="H14" s="228" t="s">
        <v>151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</row>
    <row r="15" spans="1:20">
      <c r="B15" s="1" t="s">
        <v>123</v>
      </c>
      <c r="D15" s="58">
        <f>'Rate Design'!$D$17</f>
        <v>-3.238901837782357E-4</v>
      </c>
      <c r="E15" s="58">
        <f>'Rate Design'!$D$17</f>
        <v>-3.238901837782357E-4</v>
      </c>
      <c r="F15" s="58">
        <f>'Rate Design'!$D$17</f>
        <v>-3.238901837782357E-4</v>
      </c>
      <c r="G15" s="58">
        <f>'Rate Design'!$D$17</f>
        <v>-3.238901837782357E-4</v>
      </c>
      <c r="H15" s="58">
        <f>'Rate Design'!$D$16</f>
        <v>-1.5449710035144964E-4</v>
      </c>
      <c r="I15" s="58">
        <f>'Rate Design'!$D$16</f>
        <v>-1.5449710035144964E-4</v>
      </c>
      <c r="J15" s="58">
        <f>'Rate Design'!$D$16</f>
        <v>-1.5449710035144964E-4</v>
      </c>
      <c r="K15" s="58">
        <f>'Rate Design'!$D$16</f>
        <v>-1.5449710035144964E-4</v>
      </c>
      <c r="L15" s="58">
        <f>'Rate Design'!$D$16</f>
        <v>-1.5449710035144964E-4</v>
      </c>
      <c r="M15" s="58">
        <f>'Rate Design'!$D$16</f>
        <v>-1.5449710035144964E-4</v>
      </c>
      <c r="N15" s="58">
        <f>'Rate Design'!$D$16</f>
        <v>-1.5449710035144964E-4</v>
      </c>
      <c r="O15" s="58">
        <f>'Rate Design'!$D$16</f>
        <v>-1.5449710035144964E-4</v>
      </c>
      <c r="P15" s="58">
        <f>'Rate Design'!$D$16</f>
        <v>-1.5449710035144964E-4</v>
      </c>
      <c r="Q15" s="58">
        <f>'Rate Design'!$D$16</f>
        <v>-1.5449710035144964E-4</v>
      </c>
      <c r="R15" s="58">
        <f>'Rate Design'!$D$16</f>
        <v>-1.5449710035144964E-4</v>
      </c>
      <c r="S15" s="58">
        <f>'Rate Design'!$D$16</f>
        <v>-1.5449710035144964E-4</v>
      </c>
    </row>
    <row r="16" spans="1:20">
      <c r="B16" s="1" t="s">
        <v>83</v>
      </c>
      <c r="D16" s="58">
        <f>'Rate Design'!$E$17</f>
        <v>-3.1996381793419632E-4</v>
      </c>
      <c r="E16" s="58">
        <f>'Rate Design'!$E$17</f>
        <v>-3.1996381793419632E-4</v>
      </c>
      <c r="F16" s="58">
        <f>'Rate Design'!$E$17</f>
        <v>-3.1996381793419632E-4</v>
      </c>
      <c r="G16" s="58">
        <f>'Rate Design'!$E$17</f>
        <v>-3.1996381793419632E-4</v>
      </c>
      <c r="H16" s="58">
        <f>'Rate Design'!$E$16</f>
        <v>-1.5174257599738527E-4</v>
      </c>
      <c r="I16" s="58">
        <f>'Rate Design'!$E$16</f>
        <v>-1.5174257599738527E-4</v>
      </c>
      <c r="J16" s="58">
        <f>'Rate Design'!$E$16</f>
        <v>-1.5174257599738527E-4</v>
      </c>
      <c r="K16" s="58">
        <f>'Rate Design'!$E$16</f>
        <v>-1.5174257599738527E-4</v>
      </c>
      <c r="L16" s="58">
        <f>'Rate Design'!$E$16</f>
        <v>-1.5174257599738527E-4</v>
      </c>
      <c r="M16" s="58">
        <f>'Rate Design'!$E$16</f>
        <v>-1.5174257599738527E-4</v>
      </c>
      <c r="N16" s="58">
        <f>'Rate Design'!$E$16</f>
        <v>-1.5174257599738527E-4</v>
      </c>
      <c r="O16" s="58">
        <f>'Rate Design'!$E$16</f>
        <v>-1.5174257599738527E-4</v>
      </c>
      <c r="P16" s="58">
        <f>'Rate Design'!$E$16</f>
        <v>-1.5174257599738527E-4</v>
      </c>
      <c r="Q16" s="58">
        <f>'Rate Design'!$E$16</f>
        <v>-1.5174257599738527E-4</v>
      </c>
      <c r="R16" s="58">
        <f>'Rate Design'!$E$16</f>
        <v>-1.5174257599738527E-4</v>
      </c>
      <c r="S16" s="58">
        <f>'Rate Design'!$E$16</f>
        <v>-1.5174257599738527E-4</v>
      </c>
    </row>
    <row r="17" spans="1:21">
      <c r="B17" s="1" t="s">
        <v>84</v>
      </c>
      <c r="D17" s="58">
        <f>'Rate Design'!$F$17</f>
        <v>-3.2092324649055342E-4</v>
      </c>
      <c r="E17" s="58">
        <f>'Rate Design'!$F$17</f>
        <v>-3.2092324649055342E-4</v>
      </c>
      <c r="F17" s="58">
        <f>'Rate Design'!$F$17</f>
        <v>-3.2092324649055342E-4</v>
      </c>
      <c r="G17" s="58">
        <f>'Rate Design'!$F$17</f>
        <v>-3.2092324649055342E-4</v>
      </c>
      <c r="H17" s="58">
        <f>'Rate Design'!$F$16</f>
        <v>-1.610049624072916E-4</v>
      </c>
      <c r="I17" s="58">
        <f>'Rate Design'!$F$16</f>
        <v>-1.610049624072916E-4</v>
      </c>
      <c r="J17" s="58">
        <f>'Rate Design'!$F$16</f>
        <v>-1.610049624072916E-4</v>
      </c>
      <c r="K17" s="58">
        <f>'Rate Design'!$F$16</f>
        <v>-1.610049624072916E-4</v>
      </c>
      <c r="L17" s="58">
        <f>'Rate Design'!$F$16</f>
        <v>-1.610049624072916E-4</v>
      </c>
      <c r="M17" s="58">
        <f>'Rate Design'!$F$16</f>
        <v>-1.610049624072916E-4</v>
      </c>
      <c r="N17" s="58">
        <f>'Rate Design'!$F$16</f>
        <v>-1.610049624072916E-4</v>
      </c>
      <c r="O17" s="58">
        <f>'Rate Design'!$F$16</f>
        <v>-1.610049624072916E-4</v>
      </c>
      <c r="P17" s="58">
        <f>'Rate Design'!$F$16</f>
        <v>-1.610049624072916E-4</v>
      </c>
      <c r="Q17" s="58">
        <f>'Rate Design'!$F$16</f>
        <v>-1.610049624072916E-4</v>
      </c>
      <c r="R17" s="58">
        <f>'Rate Design'!$F$16</f>
        <v>-1.610049624072916E-4</v>
      </c>
      <c r="S17" s="58">
        <f>'Rate Design'!$F$16</f>
        <v>-1.610049624072916E-4</v>
      </c>
    </row>
    <row r="18" spans="1:21">
      <c r="B18" s="1" t="s">
        <v>85</v>
      </c>
      <c r="D18" s="58">
        <f>'Rate Design'!$G$17</f>
        <v>-3.149860006015196E-4</v>
      </c>
      <c r="E18" s="58">
        <f>'Rate Design'!$G$17</f>
        <v>-3.149860006015196E-4</v>
      </c>
      <c r="F18" s="58">
        <f>'Rate Design'!$G$17</f>
        <v>-3.149860006015196E-4</v>
      </c>
      <c r="G18" s="58">
        <f>'Rate Design'!$G$17</f>
        <v>-3.149860006015196E-4</v>
      </c>
      <c r="H18" s="58">
        <f>'Rate Design'!$G$16</f>
        <v>-1.6081346243417989E-4</v>
      </c>
      <c r="I18" s="58">
        <f>'Rate Design'!$G$16</f>
        <v>-1.6081346243417989E-4</v>
      </c>
      <c r="J18" s="58">
        <f>'Rate Design'!$G$16</f>
        <v>-1.6081346243417989E-4</v>
      </c>
      <c r="K18" s="58">
        <f>'Rate Design'!$G$16</f>
        <v>-1.6081346243417989E-4</v>
      </c>
      <c r="L18" s="58">
        <f>'Rate Design'!$G$16</f>
        <v>-1.6081346243417989E-4</v>
      </c>
      <c r="M18" s="58">
        <f>'Rate Design'!$G$16</f>
        <v>-1.6081346243417989E-4</v>
      </c>
      <c r="N18" s="58">
        <f>'Rate Design'!$G$16</f>
        <v>-1.6081346243417989E-4</v>
      </c>
      <c r="O18" s="58">
        <f>'Rate Design'!$G$16</f>
        <v>-1.6081346243417989E-4</v>
      </c>
      <c r="P18" s="58">
        <f>'Rate Design'!$G$16</f>
        <v>-1.6081346243417989E-4</v>
      </c>
      <c r="Q18" s="58">
        <f>'Rate Design'!$G$16</f>
        <v>-1.6081346243417989E-4</v>
      </c>
      <c r="R18" s="58">
        <f>'Rate Design'!$G$16</f>
        <v>-1.6081346243417989E-4</v>
      </c>
      <c r="S18" s="58">
        <f>'Rate Design'!$G$16</f>
        <v>-1.6081346243417989E-4</v>
      </c>
    </row>
    <row r="19" spans="1:21">
      <c r="B19" s="1" t="s">
        <v>86</v>
      </c>
      <c r="D19" s="58">
        <f>'Rate Design'!$H$17</f>
        <v>-3.3297880196372703E-4</v>
      </c>
      <c r="E19" s="58">
        <f>'Rate Design'!$H$17</f>
        <v>-3.3297880196372703E-4</v>
      </c>
      <c r="F19" s="58">
        <f>'Rate Design'!$H$17</f>
        <v>-3.3297880196372703E-4</v>
      </c>
      <c r="G19" s="58">
        <f>'Rate Design'!$H$17</f>
        <v>-3.3297880196372703E-4</v>
      </c>
      <c r="H19" s="58">
        <f>'Rate Design'!$H$16</f>
        <v>-1.5995261105837891E-4</v>
      </c>
      <c r="I19" s="58">
        <f>'Rate Design'!$H$16</f>
        <v>-1.5995261105837891E-4</v>
      </c>
      <c r="J19" s="58">
        <f>'Rate Design'!$H$16</f>
        <v>-1.5995261105837891E-4</v>
      </c>
      <c r="K19" s="58">
        <f>'Rate Design'!$H$16</f>
        <v>-1.5995261105837891E-4</v>
      </c>
      <c r="L19" s="58">
        <f>'Rate Design'!$H$16</f>
        <v>-1.5995261105837891E-4</v>
      </c>
      <c r="M19" s="58">
        <f>'Rate Design'!$H$16</f>
        <v>-1.5995261105837891E-4</v>
      </c>
      <c r="N19" s="58">
        <f>'Rate Design'!$H$16</f>
        <v>-1.5995261105837891E-4</v>
      </c>
      <c r="O19" s="58">
        <f>'Rate Design'!$H$16</f>
        <v>-1.5995261105837891E-4</v>
      </c>
      <c r="P19" s="58">
        <f>'Rate Design'!$H$16</f>
        <v>-1.5995261105837891E-4</v>
      </c>
      <c r="Q19" s="58">
        <f>'Rate Design'!$H$16</f>
        <v>-1.5995261105837891E-4</v>
      </c>
      <c r="R19" s="58">
        <f>'Rate Design'!$H$16</f>
        <v>-1.5995261105837891E-4</v>
      </c>
      <c r="S19" s="58">
        <f>'Rate Design'!$H$16</f>
        <v>-1.5995261105837891E-4</v>
      </c>
    </row>
    <row r="20" spans="1:21">
      <c r="B20" s="1" t="s">
        <v>87</v>
      </c>
      <c r="D20" s="58">
        <f>'Rate Design'!$I$17</f>
        <v>-3.4700735892392534E-4</v>
      </c>
      <c r="E20" s="58">
        <f>'Rate Design'!$I$17</f>
        <v>-3.4700735892392534E-4</v>
      </c>
      <c r="F20" s="58">
        <f>'Rate Design'!$I$17</f>
        <v>-3.4700735892392534E-4</v>
      </c>
      <c r="G20" s="58">
        <f>'Rate Design'!$I$17</f>
        <v>-3.4700735892392534E-4</v>
      </c>
      <c r="H20" s="58">
        <f>'Rate Design'!$I$16</f>
        <v>-1.7763457421393825E-4</v>
      </c>
      <c r="I20" s="58">
        <f>'Rate Design'!$I$16</f>
        <v>-1.7763457421393825E-4</v>
      </c>
      <c r="J20" s="58">
        <f>'Rate Design'!$I$16</f>
        <v>-1.7763457421393825E-4</v>
      </c>
      <c r="K20" s="58">
        <f>'Rate Design'!$I$16</f>
        <v>-1.7763457421393825E-4</v>
      </c>
      <c r="L20" s="58">
        <f>'Rate Design'!$I$16</f>
        <v>-1.7763457421393825E-4</v>
      </c>
      <c r="M20" s="58">
        <f>'Rate Design'!$I$16</f>
        <v>-1.7763457421393825E-4</v>
      </c>
      <c r="N20" s="58">
        <f>'Rate Design'!$I$16</f>
        <v>-1.7763457421393825E-4</v>
      </c>
      <c r="O20" s="58">
        <f>'Rate Design'!$I$16</f>
        <v>-1.7763457421393825E-4</v>
      </c>
      <c r="P20" s="58">
        <f>'Rate Design'!$I$16</f>
        <v>-1.7763457421393825E-4</v>
      </c>
      <c r="Q20" s="58">
        <f>'Rate Design'!$I$16</f>
        <v>-1.7763457421393825E-4</v>
      </c>
      <c r="R20" s="58">
        <f>'Rate Design'!$I$16</f>
        <v>-1.7763457421393825E-4</v>
      </c>
      <c r="S20" s="58">
        <f>'Rate Design'!$I$16</f>
        <v>-1.7763457421393825E-4</v>
      </c>
    </row>
    <row r="21" spans="1:21"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3" spans="1:21">
      <c r="A23" s="1" t="s">
        <v>98</v>
      </c>
      <c r="D23" s="54">
        <f>D4</f>
        <v>44270</v>
      </c>
      <c r="E23" s="54">
        <f t="shared" ref="E23:S23" si="2">E4</f>
        <v>44301</v>
      </c>
      <c r="F23" s="54">
        <f t="shared" si="2"/>
        <v>44331</v>
      </c>
      <c r="G23" s="54">
        <f t="shared" si="2"/>
        <v>44362</v>
      </c>
      <c r="H23" s="54">
        <f t="shared" si="2"/>
        <v>44392</v>
      </c>
      <c r="I23" s="54">
        <f t="shared" si="2"/>
        <v>44423</v>
      </c>
      <c r="J23" s="54">
        <f t="shared" si="2"/>
        <v>44454</v>
      </c>
      <c r="K23" s="54">
        <f t="shared" si="2"/>
        <v>44484</v>
      </c>
      <c r="L23" s="54">
        <f t="shared" si="2"/>
        <v>44515</v>
      </c>
      <c r="M23" s="54">
        <f t="shared" si="2"/>
        <v>44545</v>
      </c>
      <c r="N23" s="54">
        <f t="shared" si="2"/>
        <v>44576</v>
      </c>
      <c r="O23" s="54">
        <f t="shared" si="2"/>
        <v>44607</v>
      </c>
      <c r="P23" s="54">
        <f t="shared" si="2"/>
        <v>44635</v>
      </c>
      <c r="Q23" s="54">
        <f t="shared" si="2"/>
        <v>44666</v>
      </c>
      <c r="R23" s="54">
        <f t="shared" si="2"/>
        <v>44696</v>
      </c>
      <c r="S23" s="54">
        <f t="shared" si="2"/>
        <v>44727</v>
      </c>
    </row>
    <row r="24" spans="1:21">
      <c r="B24" s="1" t="s">
        <v>82</v>
      </c>
      <c r="D24" s="60">
        <f>D5*D15</f>
        <v>-73154.087872732736</v>
      </c>
      <c r="E24" s="60">
        <f>E5*E15</f>
        <v>-55241.771979412937</v>
      </c>
      <c r="F24" s="60">
        <f>F5*F15</f>
        <v>-49516.603509532899</v>
      </c>
      <c r="G24" s="60">
        <f t="shared" ref="G24:S28" si="3">G5*G15</f>
        <v>-49185.542457240947</v>
      </c>
      <c r="H24" s="60">
        <f t="shared" si="3"/>
        <v>-29292.080764887553</v>
      </c>
      <c r="I24" s="60">
        <f t="shared" si="3"/>
        <v>-28928.165236255671</v>
      </c>
      <c r="J24" s="60">
        <f t="shared" si="3"/>
        <v>-23419.61993278415</v>
      </c>
      <c r="K24" s="60">
        <f t="shared" si="3"/>
        <v>-27371.108021166194</v>
      </c>
      <c r="L24" s="60">
        <f t="shared" si="3"/>
        <v>-35504.40307355245</v>
      </c>
      <c r="M24" s="60">
        <f t="shared" si="3"/>
        <v>-44929.989920840017</v>
      </c>
      <c r="N24" s="60">
        <f t="shared" si="3"/>
        <v>-44345.892724268393</v>
      </c>
      <c r="O24" s="60">
        <f t="shared" si="3"/>
        <v>-35787.576852224898</v>
      </c>
      <c r="P24" s="60">
        <f t="shared" si="3"/>
        <v>-34303.070632913244</v>
      </c>
      <c r="Q24" s="60">
        <f t="shared" si="3"/>
        <v>-26970.328050764572</v>
      </c>
      <c r="R24" s="60">
        <f t="shared" si="3"/>
        <v>-24226.596392606833</v>
      </c>
      <c r="S24" s="60">
        <f t="shared" si="3"/>
        <v>-23704.813825027348</v>
      </c>
    </row>
    <row r="25" spans="1:21">
      <c r="B25" s="1" t="s">
        <v>83</v>
      </c>
      <c r="D25" s="60">
        <f>D6*D16</f>
        <v>-17596.282043122363</v>
      </c>
      <c r="E25" s="60">
        <f t="shared" ref="E25:F28" si="4">E6*E16</f>
        <v>-15358.380830303238</v>
      </c>
      <c r="F25" s="60">
        <f t="shared" si="4"/>
        <v>-15052.566685109088</v>
      </c>
      <c r="G25" s="60">
        <f t="shared" si="3"/>
        <v>-15192.770544811217</v>
      </c>
      <c r="H25" s="60">
        <f t="shared" si="3"/>
        <v>-8553.0535984581675</v>
      </c>
      <c r="I25" s="60">
        <f t="shared" si="3"/>
        <v>-8541.3761672532855</v>
      </c>
      <c r="J25" s="60">
        <f t="shared" si="3"/>
        <v>-7087.9472947684444</v>
      </c>
      <c r="K25" s="60">
        <f t="shared" si="3"/>
        <v>-7655.5780260512511</v>
      </c>
      <c r="L25" s="60">
        <f t="shared" si="3"/>
        <v>-8544.1685384268421</v>
      </c>
      <c r="M25" s="60">
        <f t="shared" si="3"/>
        <v>-9889.4974163912902</v>
      </c>
      <c r="N25" s="60">
        <f t="shared" si="3"/>
        <v>-9851.6201354255463</v>
      </c>
      <c r="O25" s="60">
        <f t="shared" si="3"/>
        <v>-8363.7872263608242</v>
      </c>
      <c r="P25" s="60">
        <f t="shared" si="3"/>
        <v>-8503.3308925286801</v>
      </c>
      <c r="Q25" s="60">
        <f t="shared" si="3"/>
        <v>-7295.8746480358295</v>
      </c>
      <c r="R25" s="60">
        <f t="shared" si="3"/>
        <v>-7175.0566246777544</v>
      </c>
      <c r="S25" s="60">
        <f t="shared" si="3"/>
        <v>-7309.0075182183473</v>
      </c>
    </row>
    <row r="26" spans="1:21">
      <c r="B26" s="1" t="s">
        <v>84</v>
      </c>
      <c r="D26" s="60">
        <f>D7*D17</f>
        <v>-35404.216748518877</v>
      </c>
      <c r="E26" s="60">
        <f t="shared" si="4"/>
        <v>-33600.537676343229</v>
      </c>
      <c r="F26" s="60">
        <f t="shared" si="4"/>
        <v>-34664.034406713137</v>
      </c>
      <c r="G26" s="60">
        <f t="shared" si="3"/>
        <v>-34752.60632049499</v>
      </c>
      <c r="H26" s="60">
        <f t="shared" si="3"/>
        <v>-19757.36129580938</v>
      </c>
      <c r="I26" s="60">
        <f t="shared" si="3"/>
        <v>-19476.448084528383</v>
      </c>
      <c r="J26" s="60">
        <f t="shared" si="3"/>
        <v>-16930.695145059188</v>
      </c>
      <c r="K26" s="60">
        <f t="shared" si="3"/>
        <v>-18200.458010063208</v>
      </c>
      <c r="L26" s="60">
        <f t="shared" si="3"/>
        <v>-18251.344262470328</v>
      </c>
      <c r="M26" s="60">
        <f t="shared" si="3"/>
        <v>-19478.38530815464</v>
      </c>
      <c r="N26" s="60">
        <f t="shared" si="3"/>
        <v>-19238.1485843138</v>
      </c>
      <c r="O26" s="60">
        <f t="shared" si="3"/>
        <v>-16816.976352564674</v>
      </c>
      <c r="P26" s="60">
        <f t="shared" si="3"/>
        <v>-17925.168034096856</v>
      </c>
      <c r="Q26" s="60">
        <f t="shared" si="3"/>
        <v>-16641.551950201785</v>
      </c>
      <c r="R26" s="60">
        <f t="shared" si="3"/>
        <v>-17301.162952782892</v>
      </c>
      <c r="S26" s="60">
        <f t="shared" si="3"/>
        <v>-17581.415478185991</v>
      </c>
    </row>
    <row r="27" spans="1:21">
      <c r="B27" s="1" t="s">
        <v>85</v>
      </c>
      <c r="D27" s="60">
        <f>D8*D18</f>
        <v>-25941.19747618715</v>
      </c>
      <c r="E27" s="60">
        <f t="shared" si="4"/>
        <v>-27789.428232476665</v>
      </c>
      <c r="F27" s="60">
        <f t="shared" si="4"/>
        <v>-28109.639535842161</v>
      </c>
      <c r="G27" s="60">
        <f t="shared" si="3"/>
        <v>-28124.351901958256</v>
      </c>
      <c r="H27" s="60">
        <f t="shared" si="3"/>
        <v>-14423.158268080089</v>
      </c>
      <c r="I27" s="60">
        <f t="shared" si="3"/>
        <v>-15046.762803282363</v>
      </c>
      <c r="J27" s="60">
        <f t="shared" si="3"/>
        <v>-14646.029324040694</v>
      </c>
      <c r="K27" s="60">
        <f t="shared" si="3"/>
        <v>-14649.058888859492</v>
      </c>
      <c r="L27" s="60">
        <f t="shared" si="3"/>
        <v>-14445.417906736766</v>
      </c>
      <c r="M27" s="60">
        <f t="shared" si="3"/>
        <v>-14352.528995378998</v>
      </c>
      <c r="N27" s="60">
        <f t="shared" si="3"/>
        <v>-14602.725635689882</v>
      </c>
      <c r="O27" s="60">
        <f t="shared" si="3"/>
        <v>-14326.447303160647</v>
      </c>
      <c r="P27" s="60">
        <f t="shared" si="3"/>
        <v>-14075.690710373568</v>
      </c>
      <c r="Q27" s="60">
        <f t="shared" si="3"/>
        <v>-14438.717292197522</v>
      </c>
      <c r="R27" s="60">
        <f t="shared" si="3"/>
        <v>-14477.108611711357</v>
      </c>
      <c r="S27" s="60">
        <f t="shared" si="3"/>
        <v>-14595.646627073527</v>
      </c>
    </row>
    <row r="28" spans="1:21">
      <c r="B28" s="1" t="s">
        <v>86</v>
      </c>
      <c r="D28" s="60">
        <f>D9*D19</f>
        <v>-1675.6289142908545</v>
      </c>
      <c r="E28" s="60">
        <f t="shared" si="4"/>
        <v>-2704.0367012901866</v>
      </c>
      <c r="F28" s="60">
        <f t="shared" si="4"/>
        <v>-4783.6786622466534</v>
      </c>
      <c r="G28" s="60">
        <f t="shared" si="3"/>
        <v>-6515.3453149178158</v>
      </c>
      <c r="H28" s="60">
        <f t="shared" si="3"/>
        <v>-4265.5759889770979</v>
      </c>
      <c r="I28" s="60">
        <f t="shared" si="3"/>
        <v>-4335.4083993581726</v>
      </c>
      <c r="J28" s="60">
        <f t="shared" si="3"/>
        <v>-2869.1478758257822</v>
      </c>
      <c r="K28" s="60">
        <f t="shared" si="3"/>
        <v>-1639.1188010380956</v>
      </c>
      <c r="L28" s="60">
        <f t="shared" si="3"/>
        <v>-794.15233808103937</v>
      </c>
      <c r="M28" s="60">
        <f t="shared" si="3"/>
        <v>-693.0650639585067</v>
      </c>
      <c r="N28" s="60">
        <f t="shared" si="3"/>
        <v>-700.16882686084386</v>
      </c>
      <c r="O28" s="60">
        <f t="shared" si="3"/>
        <v>-627.15047562430823</v>
      </c>
      <c r="P28" s="60">
        <f t="shared" si="3"/>
        <v>-753.72872970785363</v>
      </c>
      <c r="Q28" s="60">
        <f t="shared" si="3"/>
        <v>-1207.1698431752941</v>
      </c>
      <c r="R28" s="60">
        <f t="shared" si="3"/>
        <v>-2246.7692392733975</v>
      </c>
      <c r="S28" s="60">
        <f t="shared" si="3"/>
        <v>-3150.7543025394066</v>
      </c>
    </row>
    <row r="29" spans="1:21">
      <c r="B29" s="1" t="s">
        <v>87</v>
      </c>
      <c r="D29" s="60">
        <f>D10*D20</f>
        <v>-485.5725357660408</v>
      </c>
      <c r="E29" s="60">
        <f t="shared" ref="E29:S29" si="5">E10*E20</f>
        <v>-481.19346749272103</v>
      </c>
      <c r="F29" s="60">
        <f t="shared" si="5"/>
        <v>-486.63670495003555</v>
      </c>
      <c r="G29" s="60">
        <f t="shared" si="5"/>
        <v>-487.74857730993153</v>
      </c>
      <c r="H29" s="60">
        <f t="shared" si="5"/>
        <v>-249.96970766387298</v>
      </c>
      <c r="I29" s="60">
        <f t="shared" si="5"/>
        <v>-248.78521619693257</v>
      </c>
      <c r="J29" s="60">
        <f t="shared" si="5"/>
        <v>-251.10217525666664</v>
      </c>
      <c r="K29" s="60">
        <f t="shared" si="5"/>
        <v>-245.13180422339653</v>
      </c>
      <c r="L29" s="60">
        <f t="shared" si="5"/>
        <v>-244.18921254500833</v>
      </c>
      <c r="M29" s="60">
        <f t="shared" si="5"/>
        <v>-255.77601137852614</v>
      </c>
      <c r="N29" s="60">
        <f t="shared" si="5"/>
        <v>-251.14956885649988</v>
      </c>
      <c r="O29" s="60">
        <f t="shared" si="5"/>
        <v>-239.64582291164064</v>
      </c>
      <c r="P29" s="60">
        <f t="shared" si="5"/>
        <v>-242.26267367423421</v>
      </c>
      <c r="Q29" s="60">
        <f t="shared" si="5"/>
        <v>-240.37490992311513</v>
      </c>
      <c r="R29" s="60">
        <f t="shared" si="5"/>
        <v>-243.211405609097</v>
      </c>
      <c r="S29" s="60">
        <f t="shared" si="5"/>
        <v>-243.45120786044515</v>
      </c>
    </row>
    <row r="30" spans="1:21">
      <c r="B30" s="1" t="s">
        <v>0</v>
      </c>
      <c r="D30" s="60">
        <f t="shared" ref="D30:S30" si="6">SUM(D24:D29)</f>
        <v>-154256.98559061802</v>
      </c>
      <c r="E30" s="60">
        <f t="shared" si="6"/>
        <v>-135175.34888731901</v>
      </c>
      <c r="F30" s="60">
        <f t="shared" si="6"/>
        <v>-132613.15950439399</v>
      </c>
      <c r="G30" s="60">
        <f t="shared" si="6"/>
        <v>-134258.36511673316</v>
      </c>
      <c r="H30" s="60">
        <f t="shared" si="6"/>
        <v>-76541.199623876164</v>
      </c>
      <c r="I30" s="60">
        <f t="shared" si="6"/>
        <v>-76576.945906874811</v>
      </c>
      <c r="J30" s="60">
        <f t="shared" si="6"/>
        <v>-65204.541747734926</v>
      </c>
      <c r="K30" s="60">
        <f t="shared" si="6"/>
        <v>-69760.453551401632</v>
      </c>
      <c r="L30" s="60">
        <f t="shared" si="6"/>
        <v>-77783.675331812439</v>
      </c>
      <c r="M30" s="60">
        <f t="shared" si="6"/>
        <v>-89599.242716101959</v>
      </c>
      <c r="N30" s="60">
        <f t="shared" si="6"/>
        <v>-88989.705475414972</v>
      </c>
      <c r="O30" s="60">
        <f t="shared" si="6"/>
        <v>-76161.584032846993</v>
      </c>
      <c r="P30" s="60">
        <f t="shared" si="6"/>
        <v>-75803.25167329445</v>
      </c>
      <c r="Q30" s="60">
        <f t="shared" si="6"/>
        <v>-66794.016694298116</v>
      </c>
      <c r="R30" s="60">
        <f t="shared" si="6"/>
        <v>-65669.905226661329</v>
      </c>
      <c r="S30" s="60">
        <f t="shared" si="6"/>
        <v>-66585.088958905064</v>
      </c>
      <c r="U30" s="61">
        <f>SUM(H30:S30)-'7-2021 thru 6-2022 RECs'!E26</f>
        <v>0</v>
      </c>
    </row>
    <row r="31" spans="1:21">
      <c r="B31" s="194"/>
      <c r="C31" s="195"/>
      <c r="D31" s="194"/>
    </row>
    <row r="32" spans="1:21" ht="36" customHeight="1">
      <c r="A32" s="1" t="s">
        <v>124</v>
      </c>
      <c r="B32" s="129"/>
      <c r="C32" s="164">
        <f>'CF WA Elec'!E21</f>
        <v>0.95563100000000001</v>
      </c>
      <c r="D32" s="54">
        <f>D4</f>
        <v>44270</v>
      </c>
      <c r="E32" s="54">
        <f t="shared" ref="E32:R32" si="7">E4</f>
        <v>44301</v>
      </c>
      <c r="F32" s="54">
        <f t="shared" si="7"/>
        <v>44331</v>
      </c>
      <c r="G32" s="54">
        <f t="shared" si="7"/>
        <v>44362</v>
      </c>
      <c r="H32" s="54">
        <f t="shared" si="7"/>
        <v>44392</v>
      </c>
      <c r="I32" s="54">
        <f t="shared" si="7"/>
        <v>44423</v>
      </c>
      <c r="J32" s="54">
        <f t="shared" si="7"/>
        <v>44454</v>
      </c>
      <c r="K32" s="54">
        <f t="shared" si="7"/>
        <v>44484</v>
      </c>
      <c r="L32" s="54">
        <f t="shared" si="7"/>
        <v>44515</v>
      </c>
      <c r="M32" s="54">
        <f t="shared" si="7"/>
        <v>44545</v>
      </c>
      <c r="N32" s="54">
        <f t="shared" si="7"/>
        <v>44576</v>
      </c>
      <c r="O32" s="54">
        <f t="shared" si="7"/>
        <v>44607</v>
      </c>
      <c r="P32" s="54">
        <f t="shared" si="7"/>
        <v>44635</v>
      </c>
      <c r="Q32" s="54">
        <f t="shared" si="7"/>
        <v>44666</v>
      </c>
      <c r="R32" s="54">
        <f t="shared" si="7"/>
        <v>44696</v>
      </c>
      <c r="S32" s="54">
        <f>S4</f>
        <v>44727</v>
      </c>
    </row>
    <row r="33" spans="2:21">
      <c r="B33" s="1" t="s">
        <v>82</v>
      </c>
      <c r="D33" s="60">
        <f>D24*$C$32</f>
        <v>-69908.314147907455</v>
      </c>
      <c r="E33" s="60">
        <f>E24*$C$32</f>
        <v>-52790.749798458368</v>
      </c>
      <c r="F33" s="60">
        <f>F24*$C$32</f>
        <v>-47319.601328418437</v>
      </c>
      <c r="G33" s="60">
        <f t="shared" ref="G33:S38" si="8">G24*$C$32</f>
        <v>-47003.229123955622</v>
      </c>
      <c r="H33" s="60">
        <f>H24*$C$32</f>
        <v>-27992.420433430256</v>
      </c>
      <c r="I33" s="60">
        <f t="shared" si="8"/>
        <v>-27644.651472888243</v>
      </c>
      <c r="J33" s="60">
        <f t="shared" si="8"/>
        <v>-22380.514815986451</v>
      </c>
      <c r="K33" s="60">
        <f t="shared" si="8"/>
        <v>-26156.679329375071</v>
      </c>
      <c r="L33" s="60">
        <f t="shared" si="8"/>
        <v>-33929.108213582003</v>
      </c>
      <c r="M33" s="60">
        <f t="shared" si="8"/>
        <v>-42936.491198042269</v>
      </c>
      <c r="N33" s="60">
        <f t="shared" si="8"/>
        <v>-42378.309809985331</v>
      </c>
      <c r="O33" s="60">
        <f t="shared" si="8"/>
        <v>-34199.717854868533</v>
      </c>
      <c r="P33" s="60">
        <f t="shared" si="8"/>
        <v>-32781.07769200152</v>
      </c>
      <c r="Q33" s="60">
        <f t="shared" si="8"/>
        <v>-25773.681565480198</v>
      </c>
      <c r="R33" s="60">
        <f t="shared" si="8"/>
        <v>-23151.68653726326</v>
      </c>
      <c r="S33" s="60">
        <f t="shared" si="8"/>
        <v>-22653.05494042471</v>
      </c>
    </row>
    <row r="34" spans="2:21">
      <c r="B34" s="1" t="s">
        <v>83</v>
      </c>
      <c r="D34" s="60">
        <f t="shared" ref="D34" si="9">D25*$C$32</f>
        <v>-16815.552605151068</v>
      </c>
      <c r="E34" s="60">
        <f t="shared" ref="E34:F38" si="10">E25*$C$32</f>
        <v>-14676.944831243514</v>
      </c>
      <c r="F34" s="60">
        <f t="shared" si="10"/>
        <v>-14384.699353857482</v>
      </c>
      <c r="G34" s="60">
        <f t="shared" si="8"/>
        <v>-14518.682508508489</v>
      </c>
      <c r="H34" s="60">
        <f t="shared" si="8"/>
        <v>-8173.5631633481771</v>
      </c>
      <c r="I34" s="60">
        <f t="shared" si="8"/>
        <v>-8162.4038480884246</v>
      </c>
      <c r="J34" s="60">
        <f t="shared" si="8"/>
        <v>-6773.4621612468636</v>
      </c>
      <c r="K34" s="60">
        <f t="shared" si="8"/>
        <v>-7315.907684613383</v>
      </c>
      <c r="L34" s="60">
        <f t="shared" si="8"/>
        <v>-8165.0723245453819</v>
      </c>
      <c r="M34" s="60">
        <f t="shared" si="8"/>
        <v>-9450.7103055234256</v>
      </c>
      <c r="N34" s="60">
        <f t="shared" si="8"/>
        <v>-9414.5136016368506</v>
      </c>
      <c r="O34" s="60">
        <f t="shared" si="8"/>
        <v>-7992.6943509144212</v>
      </c>
      <c r="P34" s="60">
        <f t="shared" si="8"/>
        <v>-8126.0466041580748</v>
      </c>
      <c r="Q34" s="60">
        <f t="shared" si="8"/>
        <v>-6972.1639857771279</v>
      </c>
      <c r="R34" s="60">
        <f t="shared" si="8"/>
        <v>-6856.7065372974275</v>
      </c>
      <c r="S34" s="60">
        <f t="shared" si="8"/>
        <v>-6984.7141636425176</v>
      </c>
    </row>
    <row r="35" spans="2:21">
      <c r="B35" s="1" t="s">
        <v>84</v>
      </c>
      <c r="D35" s="60">
        <f t="shared" ref="D35" si="11">D26*$C$32</f>
        <v>-33833.367055603841</v>
      </c>
      <c r="E35" s="60">
        <f t="shared" si="10"/>
        <v>-32109.715420181557</v>
      </c>
      <c r="F35" s="60">
        <f t="shared" si="10"/>
        <v>-33126.025864121679</v>
      </c>
      <c r="G35" s="60">
        <f t="shared" si="8"/>
        <v>-33210.667930660951</v>
      </c>
      <c r="H35" s="60">
        <f t="shared" si="8"/>
        <v>-18880.746932475613</v>
      </c>
      <c r="I35" s="60">
        <f t="shared" si="8"/>
        <v>-18612.297559465944</v>
      </c>
      <c r="J35" s="60">
        <f t="shared" si="8"/>
        <v>-16179.497132168057</v>
      </c>
      <c r="K35" s="60">
        <f t="shared" si="8"/>
        <v>-17392.921888614714</v>
      </c>
      <c r="L35" s="60">
        <f t="shared" si="8"/>
        <v>-17441.55036888878</v>
      </c>
      <c r="M35" s="60">
        <f t="shared" si="8"/>
        <v>-18614.148830417129</v>
      </c>
      <c r="N35" s="60">
        <f t="shared" si="8"/>
        <v>-18384.57116977638</v>
      </c>
      <c r="O35" s="60">
        <f t="shared" si="8"/>
        <v>-16070.823928777732</v>
      </c>
      <c r="P35" s="60">
        <f t="shared" si="8"/>
        <v>-17129.846253592012</v>
      </c>
      <c r="Q35" s="60">
        <f t="shared" si="8"/>
        <v>-15903.182931723282</v>
      </c>
      <c r="R35" s="60">
        <f t="shared" si="8"/>
        <v>-16533.527653730867</v>
      </c>
      <c r="S35" s="60">
        <f t="shared" si="8"/>
        <v>-16801.345654834357</v>
      </c>
    </row>
    <row r="36" spans="2:21">
      <c r="B36" s="1" t="s">
        <v>85</v>
      </c>
      <c r="D36" s="60">
        <f t="shared" ref="D36" si="12">D27*$C$32</f>
        <v>-24790.212485366203</v>
      </c>
      <c r="E36" s="60">
        <f t="shared" si="10"/>
        <v>-26556.439091229906</v>
      </c>
      <c r="F36" s="60">
        <f t="shared" si="10"/>
        <v>-26862.442939276381</v>
      </c>
      <c r="G36" s="60">
        <f t="shared" si="8"/>
        <v>-26876.502532420272</v>
      </c>
      <c r="H36" s="60">
        <f t="shared" si="8"/>
        <v>-13783.217158883645</v>
      </c>
      <c r="I36" s="60">
        <f t="shared" si="8"/>
        <v>-14379.152984463528</v>
      </c>
      <c r="J36" s="60">
        <f t="shared" si="8"/>
        <v>-13996.199648962333</v>
      </c>
      <c r="K36" s="60">
        <f t="shared" si="8"/>
        <v>-13999.094795019686</v>
      </c>
      <c r="L36" s="60">
        <f t="shared" si="8"/>
        <v>-13804.489159632762</v>
      </c>
      <c r="M36" s="60">
        <f t="shared" si="8"/>
        <v>-13715.721636383027</v>
      </c>
      <c r="N36" s="60">
        <f t="shared" si="8"/>
        <v>-13954.817301959958</v>
      </c>
      <c r="O36" s="60">
        <f t="shared" si="8"/>
        <v>-13690.797162766712</v>
      </c>
      <c r="P36" s="60">
        <f t="shared" si="8"/>
        <v>-13451.166389245003</v>
      </c>
      <c r="Q36" s="60">
        <f t="shared" si="8"/>
        <v>-13798.08584466001</v>
      </c>
      <c r="R36" s="60">
        <f t="shared" si="8"/>
        <v>-13834.773779718336</v>
      </c>
      <c r="S36" s="60">
        <f t="shared" si="8"/>
        <v>-13948.052381876902</v>
      </c>
    </row>
    <row r="37" spans="2:21">
      <c r="B37" s="1" t="s">
        <v>86</v>
      </c>
      <c r="D37" s="60">
        <f t="shared" ref="D37" si="13">D28*$C$32</f>
        <v>-1601.2829349926835</v>
      </c>
      <c r="E37" s="60">
        <f t="shared" si="10"/>
        <v>-2584.0612968906421</v>
      </c>
      <c r="F37" s="60">
        <f t="shared" si="10"/>
        <v>-4571.431623681432</v>
      </c>
      <c r="G37" s="60">
        <f t="shared" si="8"/>
        <v>-6226.2659586402269</v>
      </c>
      <c r="H37" s="60">
        <f t="shared" si="8"/>
        <v>-4076.3166479221732</v>
      </c>
      <c r="I37" s="60">
        <f t="shared" si="8"/>
        <v>-4143.0506640870499</v>
      </c>
      <c r="J37" s="60">
        <f t="shared" si="8"/>
        <v>-2741.846653723268</v>
      </c>
      <c r="K37" s="60">
        <f t="shared" si="8"/>
        <v>-1566.3927389548364</v>
      </c>
      <c r="L37" s="60">
        <f t="shared" si="8"/>
        <v>-758.91659299272169</v>
      </c>
      <c r="M37" s="60">
        <f t="shared" si="8"/>
        <v>-662.31446013573168</v>
      </c>
      <c r="N37" s="60">
        <f t="shared" si="8"/>
        <v>-669.10303618185515</v>
      </c>
      <c r="O37" s="60">
        <f t="shared" si="8"/>
        <v>-599.32443617133333</v>
      </c>
      <c r="P37" s="60">
        <f t="shared" si="8"/>
        <v>-720.28653969944583</v>
      </c>
      <c r="Q37" s="60">
        <f t="shared" si="8"/>
        <v>-1153.6089244034495</v>
      </c>
      <c r="R37" s="60">
        <f t="shared" si="8"/>
        <v>-2147.0823348960762</v>
      </c>
      <c r="S37" s="60">
        <f t="shared" si="8"/>
        <v>-3010.9584848900358</v>
      </c>
    </row>
    <row r="38" spans="2:21">
      <c r="B38" s="101" t="s">
        <v>87</v>
      </c>
      <c r="D38" s="62">
        <f t="shared" ref="D38" si="14">D29*$C$32</f>
        <v>-464.02816792663737</v>
      </c>
      <c r="E38" s="62">
        <f t="shared" si="10"/>
        <v>-459.84339453353647</v>
      </c>
      <c r="F38" s="62">
        <f t="shared" si="10"/>
        <v>-465.04512098810744</v>
      </c>
      <c r="G38" s="62">
        <f t="shared" si="8"/>
        <v>-466.10766068326717</v>
      </c>
      <c r="H38" s="62">
        <f t="shared" si="8"/>
        <v>-238.8788017045346</v>
      </c>
      <c r="I38" s="62">
        <f t="shared" si="8"/>
        <v>-237.74686493949088</v>
      </c>
      <c r="J38" s="62">
        <f t="shared" si="8"/>
        <v>-239.96102284270361</v>
      </c>
      <c r="K38" s="62">
        <f t="shared" si="8"/>
        <v>-234.25555120180866</v>
      </c>
      <c r="L38" s="62">
        <f t="shared" si="8"/>
        <v>-233.35478137359885</v>
      </c>
      <c r="M38" s="62">
        <f t="shared" si="8"/>
        <v>-244.42748552967231</v>
      </c>
      <c r="N38" s="62">
        <f t="shared" si="8"/>
        <v>-240.00631363590585</v>
      </c>
      <c r="O38" s="62">
        <f t="shared" si="8"/>
        <v>-229.01297739487404</v>
      </c>
      <c r="P38" s="62">
        <f t="shared" si="8"/>
        <v>-231.51372110598211</v>
      </c>
      <c r="Q38" s="62">
        <f t="shared" si="8"/>
        <v>-229.70971554473644</v>
      </c>
      <c r="R38" s="62">
        <f t="shared" si="8"/>
        <v>-232.42035875362697</v>
      </c>
      <c r="S38" s="62">
        <f t="shared" si="8"/>
        <v>-232.64952121888507</v>
      </c>
    </row>
    <row r="39" spans="2:21">
      <c r="B39" s="1" t="s">
        <v>0</v>
      </c>
      <c r="C39" s="35"/>
      <c r="D39" s="61">
        <f>SUM(D33:D38)</f>
        <v>-147412.75739694791</v>
      </c>
      <c r="E39" s="61">
        <f>SUM(E33:E38)</f>
        <v>-129177.75383253752</v>
      </c>
      <c r="F39" s="61">
        <f>SUM(F33:F38)</f>
        <v>-126729.24623034353</v>
      </c>
      <c r="G39" s="61">
        <f t="shared" ref="G39:S39" si="15">SUM(G33:G38)</f>
        <v>-128301.45571486883</v>
      </c>
      <c r="H39" s="61">
        <f t="shared" si="15"/>
        <v>-73145.143137764389</v>
      </c>
      <c r="I39" s="61">
        <f t="shared" si="15"/>
        <v>-73179.303393932671</v>
      </c>
      <c r="J39" s="61">
        <f t="shared" si="15"/>
        <v>-62311.481434929679</v>
      </c>
      <c r="K39" s="61">
        <f t="shared" si="15"/>
        <v>-66665.251987779498</v>
      </c>
      <c r="L39" s="61">
        <f t="shared" si="15"/>
        <v>-74332.491441015256</v>
      </c>
      <c r="M39" s="61">
        <f t="shared" si="15"/>
        <v>-85623.813916031242</v>
      </c>
      <c r="N39" s="61">
        <f t="shared" si="15"/>
        <v>-85041.321233176292</v>
      </c>
      <c r="O39" s="61">
        <f t="shared" si="15"/>
        <v>-72782.370710893592</v>
      </c>
      <c r="P39" s="61">
        <f t="shared" si="15"/>
        <v>-72439.937199802036</v>
      </c>
      <c r="Q39" s="61">
        <f t="shared" si="15"/>
        <v>-63830.432967588808</v>
      </c>
      <c r="R39" s="61">
        <f t="shared" si="15"/>
        <v>-62756.197201659597</v>
      </c>
      <c r="S39" s="61">
        <f t="shared" si="15"/>
        <v>-63630.775146887405</v>
      </c>
      <c r="U39" s="61">
        <f>SUM(H39:S39)-'7-2021 thru 6-2022 RECs'!E22</f>
        <v>0</v>
      </c>
    </row>
    <row r="40" spans="2:21">
      <c r="C40" s="99"/>
    </row>
    <row r="41" spans="2:21">
      <c r="C41" s="9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3" spans="2:21"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</sheetData>
  <mergeCells count="2">
    <mergeCell ref="D14:G14"/>
    <mergeCell ref="H14:S14"/>
  </mergeCells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98"/>
  <sheetViews>
    <sheetView tabSelected="1" zoomScale="115" zoomScaleNormal="115" workbookViewId="0">
      <selection activeCell="N1" sqref="N1"/>
    </sheetView>
  </sheetViews>
  <sheetFormatPr defaultColWidth="9.140625" defaultRowHeight="15"/>
  <cols>
    <col min="1" max="1" width="16.5703125" style="78" customWidth="1"/>
    <col min="2" max="2" width="19" style="78" bestFit="1" customWidth="1"/>
    <col min="3" max="4" width="15.140625" style="78" bestFit="1" customWidth="1"/>
    <col min="5" max="5" width="15" style="78" customWidth="1"/>
    <col min="6" max="9" width="12.5703125" style="78" bestFit="1" customWidth="1"/>
    <col min="10" max="12" width="14.28515625" style="78" customWidth="1"/>
    <col min="13" max="17" width="12.5703125" style="78" bestFit="1" customWidth="1"/>
    <col min="18" max="18" width="15.5703125" style="78" customWidth="1"/>
    <col min="19" max="19" width="9.28515625" style="78" bestFit="1" customWidth="1"/>
    <col min="20" max="20" width="14.5703125" style="78" customWidth="1"/>
    <col min="21" max="16384" width="9.140625" style="78"/>
  </cols>
  <sheetData>
    <row r="1" spans="1:20">
      <c r="A1" s="206" t="s">
        <v>172</v>
      </c>
    </row>
    <row r="3" spans="1:20">
      <c r="A3" s="2" t="s">
        <v>55</v>
      </c>
    </row>
    <row r="4" spans="1:20">
      <c r="A4" s="78" t="s">
        <v>108</v>
      </c>
    </row>
    <row r="6" spans="1:20">
      <c r="B6" s="79">
        <v>44270</v>
      </c>
      <c r="C6" s="79">
        <v>44301</v>
      </c>
      <c r="D6" s="79">
        <v>44331</v>
      </c>
      <c r="E6" s="79">
        <v>44362</v>
      </c>
      <c r="F6" s="79">
        <v>44393</v>
      </c>
      <c r="G6" s="79">
        <v>44424</v>
      </c>
      <c r="H6" s="79">
        <v>44455</v>
      </c>
      <c r="I6" s="79">
        <v>44485</v>
      </c>
      <c r="J6" s="79">
        <v>44516</v>
      </c>
      <c r="K6" s="79">
        <v>43815</v>
      </c>
      <c r="L6" s="79">
        <v>44577</v>
      </c>
      <c r="M6" s="79">
        <v>44608</v>
      </c>
      <c r="N6" s="79">
        <v>44636</v>
      </c>
      <c r="O6" s="79">
        <v>44667</v>
      </c>
      <c r="P6" s="79">
        <v>44697</v>
      </c>
      <c r="Q6" s="79">
        <v>44728</v>
      </c>
      <c r="R6" s="80" t="s">
        <v>0</v>
      </c>
    </row>
    <row r="7" spans="1:20">
      <c r="A7" s="81" t="s">
        <v>122</v>
      </c>
      <c r="B7" s="125">
        <v>225860774.84466338</v>
      </c>
      <c r="C7" s="125">
        <v>170557104.67976519</v>
      </c>
      <c r="D7" s="125">
        <v>152880840.4500348</v>
      </c>
      <c r="E7" s="125">
        <v>151858700.63576174</v>
      </c>
      <c r="F7" s="125">
        <v>189596314.094271</v>
      </c>
      <c r="G7" s="125">
        <v>187240829.57188159</v>
      </c>
      <c r="H7" s="125">
        <v>151586145.4972893</v>
      </c>
      <c r="I7" s="125">
        <v>177162600.19704229</v>
      </c>
      <c r="J7" s="125">
        <v>229806274.63419777</v>
      </c>
      <c r="K7" s="125">
        <v>290814454.24304652</v>
      </c>
      <c r="L7" s="125">
        <v>287033818.90916049</v>
      </c>
      <c r="M7" s="125">
        <v>231639149.02490339</v>
      </c>
      <c r="N7" s="125">
        <v>222030514.19658169</v>
      </c>
      <c r="O7" s="125">
        <v>174568506.39534679</v>
      </c>
      <c r="P7" s="125">
        <v>156809392.13419688</v>
      </c>
      <c r="Q7" s="125">
        <v>153432095.30213636</v>
      </c>
      <c r="R7" s="123">
        <f>SUM(F7:Q7)</f>
        <v>2451720094.2000537</v>
      </c>
      <c r="T7" s="121"/>
    </row>
    <row r="8" spans="1:20">
      <c r="A8" s="81" t="s">
        <v>44</v>
      </c>
      <c r="B8" s="125">
        <v>49041087.129419513</v>
      </c>
      <c r="C8" s="125">
        <v>43408102.108882315</v>
      </c>
      <c r="D8" s="125">
        <v>43004949.708608344</v>
      </c>
      <c r="E8" s="125">
        <v>43651087.943075262</v>
      </c>
      <c r="F8" s="125">
        <v>52015347.434936859</v>
      </c>
      <c r="G8" s="125">
        <v>52005776.600354612</v>
      </c>
      <c r="H8" s="125">
        <v>42831165.48133567</v>
      </c>
      <c r="I8" s="125">
        <v>45779039.671375297</v>
      </c>
      <c r="J8" s="125">
        <v>50526169.776108786</v>
      </c>
      <c r="K8" s="125">
        <v>57991726.069194697</v>
      </c>
      <c r="L8" s="125">
        <v>57599784.909025609</v>
      </c>
      <c r="M8" s="125">
        <v>48928027.050466336</v>
      </c>
      <c r="N8" s="125">
        <v>50047463.016374536</v>
      </c>
      <c r="O8" s="125">
        <v>43391829.886362694</v>
      </c>
      <c r="P8" s="125">
        <v>43059545.833102703</v>
      </c>
      <c r="Q8" s="125">
        <v>44127768.575284034</v>
      </c>
      <c r="R8" s="123">
        <f t="shared" ref="R8:R26" si="0">SUM(F8:Q8)</f>
        <v>588303644.3039217</v>
      </c>
      <c r="T8" s="121"/>
    </row>
    <row r="9" spans="1:20">
      <c r="A9" s="81" t="s">
        <v>45</v>
      </c>
      <c r="B9" s="125">
        <v>5953512.4372765226</v>
      </c>
      <c r="C9" s="125">
        <v>4592265.3372326028</v>
      </c>
      <c r="D9" s="125">
        <v>4039640.4650368406</v>
      </c>
      <c r="E9" s="125">
        <v>3831688.8374410896</v>
      </c>
      <c r="F9" s="125">
        <v>4350201.5366685018</v>
      </c>
      <c r="G9" s="125">
        <v>4282816.8356792144</v>
      </c>
      <c r="H9" s="125">
        <v>3879174.3700886201</v>
      </c>
      <c r="I9" s="125">
        <v>4672048.1379101295</v>
      </c>
      <c r="J9" s="125">
        <v>5780825.6881969543</v>
      </c>
      <c r="K9" s="125">
        <v>7181132.3154006703</v>
      </c>
      <c r="L9" s="125">
        <v>7323458.0942782415</v>
      </c>
      <c r="M9" s="125">
        <v>6190236.0433732178</v>
      </c>
      <c r="N9" s="125">
        <v>5990407.9413137184</v>
      </c>
      <c r="O9" s="125">
        <v>4688773.7285485687</v>
      </c>
      <c r="P9" s="125">
        <v>4224853.9308856847</v>
      </c>
      <c r="Q9" s="125">
        <v>4039382.0755938804</v>
      </c>
      <c r="R9" s="123">
        <f t="shared" si="0"/>
        <v>62603310.697937414</v>
      </c>
      <c r="T9" s="121"/>
    </row>
    <row r="10" spans="1:20">
      <c r="A10" s="81" t="s">
        <v>46</v>
      </c>
      <c r="B10" s="125">
        <v>107464233.32946669</v>
      </c>
      <c r="C10" s="125">
        <v>102389522.47915393</v>
      </c>
      <c r="D10" s="125">
        <v>105835912.77975275</v>
      </c>
      <c r="E10" s="125">
        <v>106150651.18756352</v>
      </c>
      <c r="F10" s="125">
        <v>120198314.27674446</v>
      </c>
      <c r="G10" s="125">
        <v>118460754.90724759</v>
      </c>
      <c r="H10" s="125">
        <v>102999344.06328651</v>
      </c>
      <c r="I10" s="125">
        <v>110621476.22844818</v>
      </c>
      <c r="J10" s="125">
        <v>110580847.04987001</v>
      </c>
      <c r="K10" s="125">
        <v>117674578.73374674</v>
      </c>
      <c r="L10" s="125">
        <v>116149834.37548079</v>
      </c>
      <c r="M10" s="125">
        <v>101621510.933796</v>
      </c>
      <c r="N10" s="125">
        <v>108537020.06124949</v>
      </c>
      <c r="O10" s="125">
        <v>101033827.91514575</v>
      </c>
      <c r="P10" s="125">
        <v>105234218.1168827</v>
      </c>
      <c r="Q10" s="125">
        <v>107007786.96874057</v>
      </c>
      <c r="R10" s="123">
        <f t="shared" si="0"/>
        <v>1320119513.6306388</v>
      </c>
      <c r="T10" s="121"/>
    </row>
    <row r="11" spans="1:20">
      <c r="A11" s="81" t="s">
        <v>47</v>
      </c>
      <c r="B11" s="125">
        <v>2855655.1039223839</v>
      </c>
      <c r="C11" s="125">
        <v>2310084.1831271732</v>
      </c>
      <c r="D11" s="125">
        <v>2177560.1792199928</v>
      </c>
      <c r="E11" s="125">
        <v>2138812.7279710541</v>
      </c>
      <c r="F11" s="125">
        <v>2514433.2088237768</v>
      </c>
      <c r="G11" s="125">
        <v>2507243.801134665</v>
      </c>
      <c r="H11" s="125">
        <v>2157011.9391445532</v>
      </c>
      <c r="I11" s="125">
        <v>2421362.5632022871</v>
      </c>
      <c r="J11" s="125">
        <v>2778045.6797851357</v>
      </c>
      <c r="K11" s="125">
        <v>3305452.0486616343</v>
      </c>
      <c r="L11" s="125">
        <v>3338088.8330435054</v>
      </c>
      <c r="M11" s="125">
        <v>2828538.9349965286</v>
      </c>
      <c r="N11" s="125">
        <v>2795995.804136401</v>
      </c>
      <c r="O11" s="125">
        <v>2326662.9752152856</v>
      </c>
      <c r="P11" s="125">
        <v>2223109.248074071</v>
      </c>
      <c r="Q11" s="125">
        <v>2190185.6608891692</v>
      </c>
      <c r="R11" s="123">
        <f t="shared" si="0"/>
        <v>31386130.697107017</v>
      </c>
      <c r="T11" s="121"/>
    </row>
    <row r="12" spans="1:20">
      <c r="A12" s="82" t="s">
        <v>48</v>
      </c>
      <c r="B12" s="125">
        <v>82356668</v>
      </c>
      <c r="C12" s="125">
        <v>88224328</v>
      </c>
      <c r="D12" s="125">
        <v>89240917</v>
      </c>
      <c r="E12" s="125">
        <v>89287625</v>
      </c>
      <c r="F12" s="125">
        <v>89688749</v>
      </c>
      <c r="G12" s="125">
        <v>93566562</v>
      </c>
      <c r="H12" s="125">
        <v>91074647</v>
      </c>
      <c r="I12" s="125">
        <v>91093486</v>
      </c>
      <c r="J12" s="125">
        <v>89827168</v>
      </c>
      <c r="K12" s="125">
        <v>89249549</v>
      </c>
      <c r="L12" s="125">
        <v>90805368</v>
      </c>
      <c r="M12" s="125">
        <v>89087363</v>
      </c>
      <c r="N12" s="125">
        <v>87528062</v>
      </c>
      <c r="O12" s="125">
        <v>89785501</v>
      </c>
      <c r="P12" s="125">
        <v>90024233</v>
      </c>
      <c r="Q12" s="125">
        <v>90761348</v>
      </c>
      <c r="R12" s="123">
        <f t="shared" si="0"/>
        <v>1082492036</v>
      </c>
      <c r="T12" s="121"/>
    </row>
    <row r="13" spans="1:20">
      <c r="A13" s="81" t="s">
        <v>49</v>
      </c>
      <c r="B13" s="122">
        <v>4745372.6722358763</v>
      </c>
      <c r="C13" s="122">
        <v>7683098.4095192626</v>
      </c>
      <c r="D13" s="122">
        <v>13629126.420084212</v>
      </c>
      <c r="E13" s="122">
        <v>18424108.720460445</v>
      </c>
      <c r="F13" s="122">
        <v>24932980.73149056</v>
      </c>
      <c r="G13" s="122">
        <v>25478152.961880162</v>
      </c>
      <c r="H13" s="122">
        <v>16950083.051624164</v>
      </c>
      <c r="I13" s="122">
        <v>9724234.4861729462</v>
      </c>
      <c r="J13" s="122">
        <v>4668964.9292593636</v>
      </c>
      <c r="K13" s="122">
        <v>4029803.8716715509</v>
      </c>
      <c r="L13" s="122">
        <v>4062266.2321504159</v>
      </c>
      <c r="M13" s="122">
        <v>3653491.9224315421</v>
      </c>
      <c r="N13" s="122">
        <v>4431367.2460511792</v>
      </c>
      <c r="O13" s="122">
        <v>7124314.4108952619</v>
      </c>
      <c r="P13" s="122">
        <v>13323069.184908528</v>
      </c>
      <c r="Q13" s="122">
        <v>18577138.719009586</v>
      </c>
      <c r="R13" s="123">
        <f t="shared" si="0"/>
        <v>136955867.74754524</v>
      </c>
      <c r="T13" s="121"/>
    </row>
    <row r="14" spans="1:20">
      <c r="A14" s="81" t="s">
        <v>50</v>
      </c>
      <c r="B14" s="122">
        <v>286866.33039405267</v>
      </c>
      <c r="C14" s="122">
        <v>437648.87332053302</v>
      </c>
      <c r="D14" s="122">
        <v>737189.49562913098</v>
      </c>
      <c r="E14" s="122">
        <v>1142738.4076265958</v>
      </c>
      <c r="F14" s="122">
        <v>1734767.6769443853</v>
      </c>
      <c r="G14" s="122">
        <v>1626177.318641803</v>
      </c>
      <c r="H14" s="122">
        <v>987403.91305321374</v>
      </c>
      <c r="I14" s="122">
        <v>523293.14211851213</v>
      </c>
      <c r="J14" s="122">
        <v>295957.69892576011</v>
      </c>
      <c r="K14" s="122">
        <v>303136.11206872331</v>
      </c>
      <c r="L14" s="122">
        <v>315085.42361779726</v>
      </c>
      <c r="M14" s="122">
        <v>267359.8315633529</v>
      </c>
      <c r="N14" s="122">
        <v>280832.97825626028</v>
      </c>
      <c r="O14" s="122">
        <v>422732.39995489543</v>
      </c>
      <c r="P14" s="122">
        <v>723398.85588750371</v>
      </c>
      <c r="Q14" s="122">
        <v>1120909.8573244123</v>
      </c>
      <c r="R14" s="123">
        <f t="shared" si="0"/>
        <v>8601055.2083566189</v>
      </c>
      <c r="T14" s="121"/>
    </row>
    <row r="15" spans="1:20">
      <c r="A15" s="83" t="s">
        <v>51</v>
      </c>
      <c r="B15" s="122">
        <v>1399314.8078236957</v>
      </c>
      <c r="C15" s="122">
        <v>1386695.2821545592</v>
      </c>
      <c r="D15" s="122">
        <v>1402381.5127699389</v>
      </c>
      <c r="E15" s="122">
        <v>1405585.6879302119</v>
      </c>
      <c r="F15" s="122">
        <v>1407213.1440066181</v>
      </c>
      <c r="G15" s="122">
        <v>1400545.008188003</v>
      </c>
      <c r="H15" s="122">
        <v>1413588.4096203367</v>
      </c>
      <c r="I15" s="122">
        <v>1379977.9986984204</v>
      </c>
      <c r="J15" s="122">
        <v>1374671.6461341218</v>
      </c>
      <c r="K15" s="122">
        <v>1439899.9322647429</v>
      </c>
      <c r="L15" s="122">
        <v>1413855.2135353007</v>
      </c>
      <c r="M15" s="122">
        <v>1349094.4765235721</v>
      </c>
      <c r="N15" s="122">
        <v>1363826.128704312</v>
      </c>
      <c r="O15" s="122">
        <v>1353198.8971562153</v>
      </c>
      <c r="P15" s="122">
        <v>1369167.0480555198</v>
      </c>
      <c r="Q15" s="122">
        <v>1370517.0231513553</v>
      </c>
      <c r="R15" s="123">
        <f t="shared" si="0"/>
        <v>16635554.926038519</v>
      </c>
      <c r="T15" s="121"/>
    </row>
    <row r="16" spans="1:20">
      <c r="A16" s="84" t="s">
        <v>0</v>
      </c>
      <c r="B16" s="87">
        <f>SUM(B7:B15)</f>
        <v>479963484.65520209</v>
      </c>
      <c r="C16" s="87">
        <f t="shared" ref="C16:R16" si="1">SUM(C7:C15)</f>
        <v>420988849.35315549</v>
      </c>
      <c r="D16" s="87">
        <f t="shared" si="1"/>
        <v>412948518.01113605</v>
      </c>
      <c r="E16" s="87">
        <f t="shared" si="1"/>
        <v>417890999.14782995</v>
      </c>
      <c r="F16" s="87">
        <f t="shared" si="1"/>
        <v>486438321.10388619</v>
      </c>
      <c r="G16" s="87">
        <f t="shared" si="1"/>
        <v>486568859.00500757</v>
      </c>
      <c r="H16" s="87">
        <f t="shared" si="1"/>
        <v>413878563.72544235</v>
      </c>
      <c r="I16" s="87">
        <f t="shared" si="1"/>
        <v>443377518.42496806</v>
      </c>
      <c r="J16" s="87">
        <f t="shared" si="1"/>
        <v>495638925.10247791</v>
      </c>
      <c r="K16" s="87">
        <f t="shared" si="1"/>
        <v>571989732.32605517</v>
      </c>
      <c r="L16" s="87">
        <f t="shared" si="1"/>
        <v>568041559.99029219</v>
      </c>
      <c r="M16" s="87">
        <f t="shared" si="1"/>
        <v>485564771.21805394</v>
      </c>
      <c r="N16" s="87">
        <f t="shared" si="1"/>
        <v>483005489.37266767</v>
      </c>
      <c r="O16" s="87">
        <f t="shared" si="1"/>
        <v>424695347.60862553</v>
      </c>
      <c r="P16" s="87">
        <f t="shared" si="1"/>
        <v>416990987.35199356</v>
      </c>
      <c r="Q16" s="87">
        <f t="shared" si="1"/>
        <v>422627132.18212932</v>
      </c>
      <c r="R16" s="87">
        <f t="shared" si="1"/>
        <v>5698817207.4116001</v>
      </c>
    </row>
    <row r="17" spans="1:19">
      <c r="A17" s="85"/>
      <c r="B17" s="85"/>
      <c r="F17" s="85"/>
      <c r="R17" s="86"/>
    </row>
    <row r="18" spans="1:19">
      <c r="A18" s="84" t="s">
        <v>122</v>
      </c>
      <c r="B18" s="87">
        <f>B7</f>
        <v>225860774.84466338</v>
      </c>
      <c r="C18" s="86">
        <f>C7</f>
        <v>170557104.67976519</v>
      </c>
      <c r="D18" s="86">
        <f>D7</f>
        <v>152880840.4500348</v>
      </c>
      <c r="E18" s="86">
        <f>E7</f>
        <v>151858700.63576174</v>
      </c>
      <c r="F18" s="87">
        <f t="shared" ref="F18:Q18" si="2">F7</f>
        <v>189596314.094271</v>
      </c>
      <c r="G18" s="86">
        <f t="shared" si="2"/>
        <v>187240829.57188159</v>
      </c>
      <c r="H18" s="86">
        <f t="shared" si="2"/>
        <v>151586145.4972893</v>
      </c>
      <c r="I18" s="86">
        <f t="shared" si="2"/>
        <v>177162600.19704229</v>
      </c>
      <c r="J18" s="86">
        <f t="shared" si="2"/>
        <v>229806274.63419777</v>
      </c>
      <c r="K18" s="86">
        <f t="shared" si="2"/>
        <v>290814454.24304652</v>
      </c>
      <c r="L18" s="86">
        <f t="shared" si="2"/>
        <v>287033818.90916049</v>
      </c>
      <c r="M18" s="86">
        <f t="shared" si="2"/>
        <v>231639149.02490339</v>
      </c>
      <c r="N18" s="86">
        <f t="shared" si="2"/>
        <v>222030514.19658169</v>
      </c>
      <c r="O18" s="86">
        <f t="shared" si="2"/>
        <v>174568506.39534679</v>
      </c>
      <c r="P18" s="86">
        <f t="shared" si="2"/>
        <v>156809392.13419688</v>
      </c>
      <c r="Q18" s="86">
        <f t="shared" si="2"/>
        <v>153432095.30213636</v>
      </c>
      <c r="R18" s="86">
        <f t="shared" si="0"/>
        <v>2451720094.2000537</v>
      </c>
      <c r="S18" s="88"/>
    </row>
    <row r="19" spans="1:19">
      <c r="A19" s="84" t="s">
        <v>52</v>
      </c>
      <c r="B19" s="87">
        <f>B8+B9</f>
        <v>54994599.566696033</v>
      </c>
      <c r="C19" s="86">
        <f>C8+C9</f>
        <v>48000367.44611492</v>
      </c>
      <c r="D19" s="86">
        <f>D8+D9</f>
        <v>47044590.173645183</v>
      </c>
      <c r="E19" s="86">
        <f>E8+E9</f>
        <v>47482776.780516349</v>
      </c>
      <c r="F19" s="87">
        <f t="shared" ref="F19:Q19" si="3">F8+F9</f>
        <v>56365548.971605361</v>
      </c>
      <c r="G19" s="86">
        <f t="shared" si="3"/>
        <v>56288593.43603383</v>
      </c>
      <c r="H19" s="86">
        <f t="shared" si="3"/>
        <v>46710339.851424292</v>
      </c>
      <c r="I19" s="86">
        <f t="shared" si="3"/>
        <v>50451087.809285425</v>
      </c>
      <c r="J19" s="86">
        <f t="shared" si="3"/>
        <v>56306995.464305744</v>
      </c>
      <c r="K19" s="86">
        <f t="shared" si="3"/>
        <v>65172858.384595364</v>
      </c>
      <c r="L19" s="86">
        <f t="shared" si="3"/>
        <v>64923243.003303848</v>
      </c>
      <c r="M19" s="86">
        <f t="shared" si="3"/>
        <v>55118263.093839556</v>
      </c>
      <c r="N19" s="86">
        <f t="shared" si="3"/>
        <v>56037870.957688257</v>
      </c>
      <c r="O19" s="86">
        <f t="shared" si="3"/>
        <v>48080603.614911266</v>
      </c>
      <c r="P19" s="86">
        <f t="shared" si="3"/>
        <v>47284399.763988391</v>
      </c>
      <c r="Q19" s="86">
        <f t="shared" si="3"/>
        <v>48167150.650877915</v>
      </c>
      <c r="R19" s="86">
        <f t="shared" si="0"/>
        <v>650906955.00185931</v>
      </c>
    </row>
    <row r="20" spans="1:19">
      <c r="A20" s="84" t="s">
        <v>53</v>
      </c>
      <c r="B20" s="87">
        <f>B10+B11</f>
        <v>110319888.43338907</v>
      </c>
      <c r="C20" s="86">
        <f>C10+C11</f>
        <v>104699606.66228111</v>
      </c>
      <c r="D20" s="86">
        <f>D10+D11</f>
        <v>108013472.95897274</v>
      </c>
      <c r="E20" s="86">
        <f>E10+E11</f>
        <v>108289463.91553457</v>
      </c>
      <c r="F20" s="87">
        <f t="shared" ref="F20:Q20" si="4">F10+F11</f>
        <v>122712747.48556823</v>
      </c>
      <c r="G20" s="86">
        <f t="shared" si="4"/>
        <v>120967998.70838225</v>
      </c>
      <c r="H20" s="86">
        <f t="shared" si="4"/>
        <v>105156356.00243106</v>
      </c>
      <c r="I20" s="86">
        <f t="shared" si="4"/>
        <v>113042838.79165047</v>
      </c>
      <c r="J20" s="86">
        <f t="shared" si="4"/>
        <v>113358892.72965515</v>
      </c>
      <c r="K20" s="86">
        <f t="shared" si="4"/>
        <v>120980030.78240837</v>
      </c>
      <c r="L20" s="86">
        <f t="shared" si="4"/>
        <v>119487923.20852429</v>
      </c>
      <c r="M20" s="86">
        <f t="shared" si="4"/>
        <v>104450049.86879253</v>
      </c>
      <c r="N20" s="86">
        <f t="shared" si="4"/>
        <v>111333015.86538589</v>
      </c>
      <c r="O20" s="86">
        <f t="shared" si="4"/>
        <v>103360490.89036104</v>
      </c>
      <c r="P20" s="86">
        <f t="shared" si="4"/>
        <v>107457327.36495677</v>
      </c>
      <c r="Q20" s="86">
        <f t="shared" si="4"/>
        <v>109197972.62962973</v>
      </c>
      <c r="R20" s="86">
        <f t="shared" si="0"/>
        <v>1351505644.3277459</v>
      </c>
    </row>
    <row r="21" spans="1:19">
      <c r="A21" s="84" t="s">
        <v>48</v>
      </c>
      <c r="B21" s="87">
        <f>B12</f>
        <v>82356668</v>
      </c>
      <c r="C21" s="86">
        <f>C12</f>
        <v>88224328</v>
      </c>
      <c r="D21" s="86">
        <f>D12</f>
        <v>89240917</v>
      </c>
      <c r="E21" s="86">
        <f>E12</f>
        <v>89287625</v>
      </c>
      <c r="F21" s="87">
        <f t="shared" ref="F21:Q21" si="5">F12</f>
        <v>89688749</v>
      </c>
      <c r="G21" s="86">
        <f t="shared" si="5"/>
        <v>93566562</v>
      </c>
      <c r="H21" s="86">
        <f t="shared" si="5"/>
        <v>91074647</v>
      </c>
      <c r="I21" s="86">
        <f t="shared" si="5"/>
        <v>91093486</v>
      </c>
      <c r="J21" s="86">
        <f t="shared" si="5"/>
        <v>89827168</v>
      </c>
      <c r="K21" s="86">
        <f t="shared" si="5"/>
        <v>89249549</v>
      </c>
      <c r="L21" s="86">
        <f t="shared" si="5"/>
        <v>90805368</v>
      </c>
      <c r="M21" s="86">
        <f t="shared" si="5"/>
        <v>89087363</v>
      </c>
      <c r="N21" s="86">
        <f t="shared" si="5"/>
        <v>87528062</v>
      </c>
      <c r="O21" s="86">
        <f t="shared" si="5"/>
        <v>89785501</v>
      </c>
      <c r="P21" s="86">
        <f t="shared" si="5"/>
        <v>90024233</v>
      </c>
      <c r="Q21" s="86">
        <f t="shared" si="5"/>
        <v>90761348</v>
      </c>
      <c r="R21" s="86">
        <f t="shared" si="0"/>
        <v>1082492036</v>
      </c>
    </row>
    <row r="22" spans="1:19">
      <c r="A22" s="84" t="s">
        <v>54</v>
      </c>
      <c r="B22" s="87">
        <f>B13+B14</f>
        <v>5032239.0026299292</v>
      </c>
      <c r="C22" s="86">
        <f>C13+C14</f>
        <v>8120747.2828397956</v>
      </c>
      <c r="D22" s="86">
        <f>D13+D14</f>
        <v>14366315.915713344</v>
      </c>
      <c r="E22" s="86">
        <f>E13+E14</f>
        <v>19566847.12808704</v>
      </c>
      <c r="F22" s="87">
        <f>F13+F14</f>
        <v>26667748.408434946</v>
      </c>
      <c r="G22" s="86">
        <f t="shared" ref="G22:Q22" si="6">G13+G14</f>
        <v>27104330.280521967</v>
      </c>
      <c r="H22" s="86">
        <f t="shared" si="6"/>
        <v>17937486.964677379</v>
      </c>
      <c r="I22" s="86">
        <f t="shared" si="6"/>
        <v>10247527.628291458</v>
      </c>
      <c r="J22" s="86">
        <f t="shared" si="6"/>
        <v>4964922.6281851232</v>
      </c>
      <c r="K22" s="86">
        <f t="shared" si="6"/>
        <v>4332939.9837402739</v>
      </c>
      <c r="L22" s="86">
        <f t="shared" si="6"/>
        <v>4377351.6557682129</v>
      </c>
      <c r="M22" s="86">
        <f t="shared" si="6"/>
        <v>3920851.7539948951</v>
      </c>
      <c r="N22" s="86">
        <f t="shared" si="6"/>
        <v>4712200.2243074393</v>
      </c>
      <c r="O22" s="86">
        <f t="shared" si="6"/>
        <v>7547046.8108501574</v>
      </c>
      <c r="P22" s="86">
        <f t="shared" si="6"/>
        <v>14046468.040796032</v>
      </c>
      <c r="Q22" s="86">
        <f t="shared" si="6"/>
        <v>19698048.576334</v>
      </c>
      <c r="R22" s="86">
        <f t="shared" si="0"/>
        <v>145556922.95590186</v>
      </c>
    </row>
    <row r="23" spans="1:19">
      <c r="A23" s="84" t="s">
        <v>51</v>
      </c>
      <c r="B23" s="87">
        <f>B15</f>
        <v>1399314.8078236957</v>
      </c>
      <c r="C23" s="86">
        <f>C15</f>
        <v>1386695.2821545592</v>
      </c>
      <c r="D23" s="86">
        <f>D15</f>
        <v>1402381.5127699389</v>
      </c>
      <c r="E23" s="86">
        <f>E15</f>
        <v>1405585.6879302119</v>
      </c>
      <c r="F23" s="87">
        <f>F15</f>
        <v>1407213.1440066181</v>
      </c>
      <c r="G23" s="86">
        <f t="shared" ref="G23:Q23" si="7">G15</f>
        <v>1400545.008188003</v>
      </c>
      <c r="H23" s="86">
        <f t="shared" si="7"/>
        <v>1413588.4096203367</v>
      </c>
      <c r="I23" s="86">
        <f t="shared" si="7"/>
        <v>1379977.9986984204</v>
      </c>
      <c r="J23" s="86">
        <f t="shared" si="7"/>
        <v>1374671.6461341218</v>
      </c>
      <c r="K23" s="86">
        <f t="shared" si="7"/>
        <v>1439899.9322647429</v>
      </c>
      <c r="L23" s="86">
        <f t="shared" si="7"/>
        <v>1413855.2135353007</v>
      </c>
      <c r="M23" s="86">
        <f t="shared" si="7"/>
        <v>1349094.4765235721</v>
      </c>
      <c r="N23" s="86">
        <f t="shared" si="7"/>
        <v>1363826.128704312</v>
      </c>
      <c r="O23" s="86">
        <f t="shared" si="7"/>
        <v>1353198.8971562153</v>
      </c>
      <c r="P23" s="86">
        <f t="shared" si="7"/>
        <v>1369167.0480555198</v>
      </c>
      <c r="Q23" s="86">
        <f t="shared" si="7"/>
        <v>1370517.0231513553</v>
      </c>
      <c r="R23" s="86">
        <f t="shared" si="0"/>
        <v>16635554.926038519</v>
      </c>
    </row>
    <row r="24" spans="1:19">
      <c r="A24" s="84" t="s">
        <v>0</v>
      </c>
      <c r="B24" s="87">
        <f>SUM(B18:B23)</f>
        <v>479963484.65520215</v>
      </c>
      <c r="C24" s="86">
        <f>SUM(C18:C23)</f>
        <v>420988849.35315555</v>
      </c>
      <c r="D24" s="86">
        <f>SUM(D18:D23)</f>
        <v>412948518.01113605</v>
      </c>
      <c r="E24" s="86">
        <f>SUM(E18:E23)</f>
        <v>417890999.14782995</v>
      </c>
      <c r="F24" s="87">
        <f>SUM(F18:F23)</f>
        <v>486438321.10388613</v>
      </c>
      <c r="G24" s="86">
        <f t="shared" ref="G24:R24" si="8">SUM(G18:G23)</f>
        <v>486568859.00500768</v>
      </c>
      <c r="H24" s="86">
        <f t="shared" si="8"/>
        <v>413878563.72544241</v>
      </c>
      <c r="I24" s="86">
        <f t="shared" si="8"/>
        <v>443377518.42496806</v>
      </c>
      <c r="J24" s="86">
        <f t="shared" si="8"/>
        <v>495638925.10247791</v>
      </c>
      <c r="K24" s="86">
        <f t="shared" si="8"/>
        <v>571989732.32605529</v>
      </c>
      <c r="L24" s="86">
        <f t="shared" si="8"/>
        <v>568041559.99029207</v>
      </c>
      <c r="M24" s="86">
        <f t="shared" si="8"/>
        <v>485564771.21805394</v>
      </c>
      <c r="N24" s="86">
        <f t="shared" si="8"/>
        <v>483005489.37266755</v>
      </c>
      <c r="O24" s="86">
        <f t="shared" si="8"/>
        <v>424695347.60862547</v>
      </c>
      <c r="P24" s="86">
        <f t="shared" si="8"/>
        <v>416990987.35199356</v>
      </c>
      <c r="Q24" s="86">
        <f t="shared" si="8"/>
        <v>422627132.18212932</v>
      </c>
      <c r="R24" s="86">
        <f t="shared" si="8"/>
        <v>5698817207.4116001</v>
      </c>
    </row>
    <row r="25" spans="1:19">
      <c r="A25" s="85"/>
      <c r="B25" s="85"/>
      <c r="F25" s="85"/>
      <c r="R25" s="86">
        <f t="shared" si="0"/>
        <v>0</v>
      </c>
    </row>
    <row r="26" spans="1:19">
      <c r="A26" s="84" t="s">
        <v>117</v>
      </c>
      <c r="B26" s="86">
        <f>SUM(B7:B15)-SUM(B18:B23)</f>
        <v>0</v>
      </c>
      <c r="C26" s="86">
        <f>SUM(C7:C15)-SUM(C18:C23)</f>
        <v>0</v>
      </c>
      <c r="D26" s="86">
        <f>SUM(D7:D15)-SUM(D18:D23)</f>
        <v>0</v>
      </c>
      <c r="E26" s="86">
        <f>SUM(E7:E15)-SUM(E18:E23)</f>
        <v>0</v>
      </c>
      <c r="F26" s="86">
        <f t="shared" ref="F26:Q26" si="9">SUM(F7:F15)-SUM(F18:F23)</f>
        <v>0</v>
      </c>
      <c r="G26" s="86">
        <f t="shared" si="9"/>
        <v>0</v>
      </c>
      <c r="H26" s="86">
        <f t="shared" si="9"/>
        <v>0</v>
      </c>
      <c r="I26" s="86">
        <f t="shared" si="9"/>
        <v>0</v>
      </c>
      <c r="J26" s="86">
        <f t="shared" si="9"/>
        <v>0</v>
      </c>
      <c r="K26" s="86">
        <f t="shared" si="9"/>
        <v>0</v>
      </c>
      <c r="L26" s="86">
        <f t="shared" si="9"/>
        <v>0</v>
      </c>
      <c r="M26" s="86">
        <f t="shared" si="9"/>
        <v>0</v>
      </c>
      <c r="N26" s="86">
        <f t="shared" si="9"/>
        <v>0</v>
      </c>
      <c r="O26" s="86">
        <f t="shared" si="9"/>
        <v>0</v>
      </c>
      <c r="P26" s="86">
        <f t="shared" si="9"/>
        <v>0</v>
      </c>
      <c r="Q26" s="86">
        <f t="shared" si="9"/>
        <v>0</v>
      </c>
      <c r="R26" s="86">
        <f t="shared" si="0"/>
        <v>0</v>
      </c>
    </row>
    <row r="29" spans="1:19">
      <c r="A29" s="2" t="s">
        <v>56</v>
      </c>
    </row>
    <row r="30" spans="1:19">
      <c r="A30" s="78" t="s">
        <v>109</v>
      </c>
      <c r="F30" s="103"/>
    </row>
    <row r="32" spans="1:19">
      <c r="B32" s="79">
        <f>B6</f>
        <v>44270</v>
      </c>
      <c r="C32" s="79">
        <f>C6</f>
        <v>44301</v>
      </c>
      <c r="D32" s="79">
        <f>D6</f>
        <v>44331</v>
      </c>
      <c r="E32" s="79">
        <f>E6</f>
        <v>44362</v>
      </c>
      <c r="F32" s="79">
        <f t="shared" ref="F32:Q32" si="10">F6</f>
        <v>44393</v>
      </c>
      <c r="G32" s="79">
        <f t="shared" si="10"/>
        <v>44424</v>
      </c>
      <c r="H32" s="79">
        <f t="shared" si="10"/>
        <v>44455</v>
      </c>
      <c r="I32" s="79">
        <f t="shared" si="10"/>
        <v>44485</v>
      </c>
      <c r="J32" s="79">
        <f t="shared" si="10"/>
        <v>44516</v>
      </c>
      <c r="K32" s="79">
        <f t="shared" si="10"/>
        <v>43815</v>
      </c>
      <c r="L32" s="79">
        <f t="shared" si="10"/>
        <v>44577</v>
      </c>
      <c r="M32" s="79">
        <f t="shared" si="10"/>
        <v>44608</v>
      </c>
      <c r="N32" s="79">
        <f t="shared" si="10"/>
        <v>44636</v>
      </c>
      <c r="O32" s="79">
        <f t="shared" si="10"/>
        <v>44667</v>
      </c>
      <c r="P32" s="79">
        <f t="shared" si="10"/>
        <v>44697</v>
      </c>
      <c r="Q32" s="79">
        <f t="shared" si="10"/>
        <v>44728</v>
      </c>
      <c r="R32" s="80" t="s">
        <v>0</v>
      </c>
    </row>
    <row r="33" spans="1:21">
      <c r="A33" s="81" t="s">
        <v>43</v>
      </c>
      <c r="B33" s="125">
        <v>222361</v>
      </c>
      <c r="C33" s="125">
        <v>222336</v>
      </c>
      <c r="D33" s="125">
        <v>222014</v>
      </c>
      <c r="E33" s="125">
        <v>221580</v>
      </c>
      <c r="F33" s="125">
        <v>221950</v>
      </c>
      <c r="G33" s="125">
        <v>222061</v>
      </c>
      <c r="H33" s="125">
        <v>222709</v>
      </c>
      <c r="I33" s="125">
        <v>223311</v>
      </c>
      <c r="J33" s="125">
        <v>223773</v>
      </c>
      <c r="K33" s="125">
        <v>224163</v>
      </c>
      <c r="L33" s="125">
        <v>224450</v>
      </c>
      <c r="M33" s="125">
        <v>224409</v>
      </c>
      <c r="N33" s="125">
        <v>224346</v>
      </c>
      <c r="O33" s="125">
        <v>224287</v>
      </c>
      <c r="P33" s="125">
        <v>223986</v>
      </c>
      <c r="Q33" s="125">
        <v>223613</v>
      </c>
      <c r="R33" s="123">
        <f>SUM(F33:Q33)</f>
        <v>2683058</v>
      </c>
      <c r="T33" s="121"/>
      <c r="U33" s="124"/>
    </row>
    <row r="34" spans="1:21">
      <c r="A34" s="81" t="s">
        <v>44</v>
      </c>
      <c r="B34" s="125">
        <v>23534.5</v>
      </c>
      <c r="C34" s="125">
        <v>23540.5</v>
      </c>
      <c r="D34" s="125">
        <v>23527.5</v>
      </c>
      <c r="E34" s="125">
        <v>23573.5</v>
      </c>
      <c r="F34" s="125">
        <v>23551.5</v>
      </c>
      <c r="G34" s="125">
        <v>23589.5</v>
      </c>
      <c r="H34" s="125">
        <v>23594.5</v>
      </c>
      <c r="I34" s="125">
        <v>23643.5</v>
      </c>
      <c r="J34" s="125">
        <v>23663.5</v>
      </c>
      <c r="K34" s="125">
        <v>23711.5</v>
      </c>
      <c r="L34" s="125">
        <v>23766.5</v>
      </c>
      <c r="M34" s="125">
        <v>23780.5</v>
      </c>
      <c r="N34" s="125">
        <v>23781.5</v>
      </c>
      <c r="O34" s="125">
        <v>23797.5</v>
      </c>
      <c r="P34" s="125">
        <v>23786.5</v>
      </c>
      <c r="Q34" s="125">
        <v>23826.5</v>
      </c>
      <c r="R34" s="123">
        <f t="shared" ref="R34:R41" si="11">SUM(F34:Q34)</f>
        <v>284493</v>
      </c>
      <c r="T34" s="121"/>
      <c r="U34" s="124"/>
    </row>
    <row r="35" spans="1:21">
      <c r="A35" s="81" t="s">
        <v>45</v>
      </c>
      <c r="B35" s="125">
        <v>10045</v>
      </c>
      <c r="C35" s="125">
        <v>10071</v>
      </c>
      <c r="D35" s="125">
        <v>10123</v>
      </c>
      <c r="E35" s="125">
        <v>10085</v>
      </c>
      <c r="F35" s="125">
        <v>10089</v>
      </c>
      <c r="G35" s="125">
        <v>10160</v>
      </c>
      <c r="H35" s="125">
        <v>10172</v>
      </c>
      <c r="I35" s="125">
        <v>10170</v>
      </c>
      <c r="J35" s="125">
        <v>10193</v>
      </c>
      <c r="K35" s="125">
        <v>10253</v>
      </c>
      <c r="L35" s="125">
        <v>10229</v>
      </c>
      <c r="M35" s="125">
        <v>10241</v>
      </c>
      <c r="N35" s="125">
        <v>10284</v>
      </c>
      <c r="O35" s="125">
        <v>10280</v>
      </c>
      <c r="P35" s="125">
        <v>10266</v>
      </c>
      <c r="Q35" s="125">
        <v>10297</v>
      </c>
      <c r="R35" s="123">
        <f t="shared" si="11"/>
        <v>122634</v>
      </c>
      <c r="T35" s="121"/>
      <c r="U35" s="124"/>
    </row>
    <row r="36" spans="1:21">
      <c r="A36" s="81" t="s">
        <v>46</v>
      </c>
      <c r="B36" s="125">
        <v>1833.2619166666668</v>
      </c>
      <c r="C36" s="125">
        <v>1826.8701097222224</v>
      </c>
      <c r="D36" s="125">
        <v>1822.8501771990741</v>
      </c>
      <c r="E36" s="125">
        <v>1825.7815336323304</v>
      </c>
      <c r="F36" s="125">
        <v>1821.6726697683578</v>
      </c>
      <c r="G36" s="125">
        <v>1821.4424255823878</v>
      </c>
      <c r="H36" s="125">
        <v>1821.0065527142533</v>
      </c>
      <c r="I36" s="125">
        <v>1825.938682107108</v>
      </c>
      <c r="J36" s="125">
        <v>1818.3358139493669</v>
      </c>
      <c r="K36" s="125">
        <v>1828.723465111814</v>
      </c>
      <c r="L36" s="125">
        <v>1828.283937204465</v>
      </c>
      <c r="M36" s="125">
        <v>1826.802490304837</v>
      </c>
      <c r="N36" s="125">
        <v>1823.0691394969067</v>
      </c>
      <c r="O36" s="125">
        <v>1822.2707747327604</v>
      </c>
      <c r="P36" s="125">
        <v>1821.674871816972</v>
      </c>
      <c r="Q36" s="125">
        <v>1822.5779130351298</v>
      </c>
      <c r="R36" s="123">
        <f t="shared" si="11"/>
        <v>21881.798735824359</v>
      </c>
      <c r="T36" s="121"/>
      <c r="U36" s="124"/>
    </row>
    <row r="37" spans="1:21">
      <c r="A37" s="81" t="s">
        <v>47</v>
      </c>
      <c r="B37" s="125">
        <v>46.842062114197525</v>
      </c>
      <c r="C37" s="125">
        <v>46.828900623713992</v>
      </c>
      <c r="D37" s="125">
        <v>46.647975675690155</v>
      </c>
      <c r="E37" s="125">
        <v>46.951973648664335</v>
      </c>
      <c r="F37" s="125">
        <v>46.447971452719692</v>
      </c>
      <c r="G37" s="125">
        <v>46.401969073779675</v>
      </c>
      <c r="H37" s="125">
        <v>46.352133163261307</v>
      </c>
      <c r="I37" s="125">
        <v>46.298144260199756</v>
      </c>
      <c r="J37" s="125">
        <v>46.239656281883065</v>
      </c>
      <c r="K37" s="125">
        <v>46.676294305373318</v>
      </c>
      <c r="L37" s="125">
        <v>46.642374386376652</v>
      </c>
      <c r="M37" s="125">
        <v>46.605049103759903</v>
      </c>
      <c r="N37" s="125">
        <v>46.577875340801626</v>
      </c>
      <c r="O37" s="125">
        <v>46.555859776351959</v>
      </c>
      <c r="P37" s="125">
        <v>46.533106372405122</v>
      </c>
      <c r="Q37" s="125">
        <v>46.523533930464701</v>
      </c>
      <c r="R37" s="123">
        <f t="shared" si="11"/>
        <v>557.85396744737682</v>
      </c>
      <c r="T37" s="121"/>
      <c r="U37" s="124"/>
    </row>
    <row r="38" spans="1:21">
      <c r="A38" s="82" t="s">
        <v>48</v>
      </c>
      <c r="B38" s="125">
        <v>23</v>
      </c>
      <c r="C38" s="125">
        <v>23</v>
      </c>
      <c r="D38" s="125">
        <v>23</v>
      </c>
      <c r="E38" s="125">
        <v>23</v>
      </c>
      <c r="F38" s="125">
        <v>23</v>
      </c>
      <c r="G38" s="125">
        <v>23</v>
      </c>
      <c r="H38" s="125">
        <v>23</v>
      </c>
      <c r="I38" s="125">
        <v>23</v>
      </c>
      <c r="J38" s="125">
        <v>23</v>
      </c>
      <c r="K38" s="125">
        <v>23</v>
      </c>
      <c r="L38" s="125">
        <v>23</v>
      </c>
      <c r="M38" s="125">
        <v>23</v>
      </c>
      <c r="N38" s="125">
        <v>23</v>
      </c>
      <c r="O38" s="125">
        <v>23</v>
      </c>
      <c r="P38" s="125">
        <v>23</v>
      </c>
      <c r="Q38" s="125">
        <v>23</v>
      </c>
      <c r="R38" s="123">
        <f t="shared" si="11"/>
        <v>276</v>
      </c>
      <c r="T38" s="121"/>
      <c r="U38" s="124"/>
    </row>
    <row r="39" spans="1:21">
      <c r="A39" s="81" t="s">
        <v>49</v>
      </c>
      <c r="B39" s="122">
        <v>1270.2504377314817</v>
      </c>
      <c r="C39" s="122">
        <v>1269.8921075424382</v>
      </c>
      <c r="D39" s="122">
        <v>1267.6981498376413</v>
      </c>
      <c r="E39" s="122">
        <v>1271.8355373241116</v>
      </c>
      <c r="F39" s="122">
        <v>1271.2981321011209</v>
      </c>
      <c r="G39" s="122">
        <v>1274.0844431095475</v>
      </c>
      <c r="H39" s="122">
        <v>1273.0232967020099</v>
      </c>
      <c r="I39" s="122">
        <v>1273.4947880938439</v>
      </c>
      <c r="J39" s="122">
        <v>1274.5680371016642</v>
      </c>
      <c r="K39" s="122">
        <v>1275.0593235268032</v>
      </c>
      <c r="L39" s="122">
        <v>1276.0259921540369</v>
      </c>
      <c r="M39" s="122">
        <v>1275.9470137224287</v>
      </c>
      <c r="N39" s="122">
        <v>1277.330338245594</v>
      </c>
      <c r="O39" s="122">
        <v>1277.7950299551035</v>
      </c>
      <c r="P39" s="122">
        <v>1278.7569651561589</v>
      </c>
      <c r="Q39" s="122">
        <v>1279.5022997660353</v>
      </c>
      <c r="R39" s="123">
        <f t="shared" si="11"/>
        <v>15306.885659634347</v>
      </c>
      <c r="T39" s="121"/>
      <c r="U39" s="124"/>
    </row>
    <row r="40" spans="1:21">
      <c r="A40" s="81" t="s">
        <v>50</v>
      </c>
      <c r="B40" s="122">
        <v>1226.091869212963</v>
      </c>
      <c r="C40" s="122">
        <v>1225.2661916473767</v>
      </c>
      <c r="D40" s="122">
        <v>1225.7883742846582</v>
      </c>
      <c r="E40" s="122">
        <v>1228.0207388083793</v>
      </c>
      <c r="F40" s="122">
        <v>1229.6891337090776</v>
      </c>
      <c r="G40" s="122">
        <v>1229.2465615181675</v>
      </c>
      <c r="H40" s="122">
        <v>1229.8504416446813</v>
      </c>
      <c r="I40" s="122">
        <v>1230.0879784484052</v>
      </c>
      <c r="J40" s="122">
        <v>1231.0119766524385</v>
      </c>
      <c r="K40" s="122">
        <v>1227.1796413734751</v>
      </c>
      <c r="L40" s="122">
        <v>1227.5487781545978</v>
      </c>
      <c r="M40" s="122">
        <v>1227.7837457785922</v>
      </c>
      <c r="N40" s="122">
        <v>1228.1304526027343</v>
      </c>
      <c r="O40" s="122">
        <v>1228.3003345518819</v>
      </c>
      <c r="P40" s="122">
        <v>1228.5531797939238</v>
      </c>
      <c r="Q40" s="122">
        <v>1228.7835802530294</v>
      </c>
      <c r="R40" s="123">
        <f t="shared" si="11"/>
        <v>14746.165804481006</v>
      </c>
      <c r="T40" s="121"/>
      <c r="U40" s="124"/>
    </row>
    <row r="41" spans="1:21">
      <c r="A41" s="83" t="s">
        <v>51</v>
      </c>
      <c r="B41" s="122">
        <v>451.11999999999989</v>
      </c>
      <c r="C41" s="122">
        <v>452.14999999999986</v>
      </c>
      <c r="D41" s="122">
        <v>453.17999999999984</v>
      </c>
      <c r="E41" s="122">
        <v>454.20999999999981</v>
      </c>
      <c r="F41" s="122">
        <v>455.23999999999978</v>
      </c>
      <c r="G41" s="122">
        <v>456.26999999999975</v>
      </c>
      <c r="H41" s="122">
        <v>457.29999999999973</v>
      </c>
      <c r="I41" s="122">
        <v>458.3299999999997</v>
      </c>
      <c r="J41" s="122">
        <v>459.35999999999967</v>
      </c>
      <c r="K41" s="122">
        <v>460.38999999999965</v>
      </c>
      <c r="L41" s="122">
        <v>461.41999999999962</v>
      </c>
      <c r="M41" s="122">
        <v>462.44999999999959</v>
      </c>
      <c r="N41" s="122">
        <v>463.47999999999956</v>
      </c>
      <c r="O41" s="122">
        <v>464.50999999999954</v>
      </c>
      <c r="P41" s="122">
        <v>465.53999999999951</v>
      </c>
      <c r="Q41" s="122">
        <v>466.56999999999948</v>
      </c>
      <c r="R41" s="123">
        <f t="shared" si="11"/>
        <v>5530.8599999999951</v>
      </c>
      <c r="T41" s="121"/>
      <c r="U41" s="124"/>
    </row>
    <row r="42" spans="1:21">
      <c r="A42" s="84" t="s">
        <v>0</v>
      </c>
      <c r="B42" s="87">
        <f>SUM(B33:B41)</f>
        <v>260791.06628572528</v>
      </c>
      <c r="C42" s="87">
        <f t="shared" ref="C42:R42" si="12">SUM(C33:C41)</f>
        <v>260791.50730953575</v>
      </c>
      <c r="D42" s="87">
        <f t="shared" si="12"/>
        <v>260503.66467699708</v>
      </c>
      <c r="E42" s="87">
        <f t="shared" si="12"/>
        <v>260088.29978341347</v>
      </c>
      <c r="F42" s="87">
        <f t="shared" si="12"/>
        <v>260437.84790703128</v>
      </c>
      <c r="G42" s="87">
        <f t="shared" si="12"/>
        <v>260660.94539928387</v>
      </c>
      <c r="H42" s="87">
        <f t="shared" si="12"/>
        <v>261326.03242422419</v>
      </c>
      <c r="I42" s="87">
        <f t="shared" si="12"/>
        <v>261981.64959290953</v>
      </c>
      <c r="J42" s="87">
        <f t="shared" si="12"/>
        <v>262482.01548398536</v>
      </c>
      <c r="K42" s="87">
        <f t="shared" si="12"/>
        <v>262988.52872431744</v>
      </c>
      <c r="L42" s="87">
        <f t="shared" si="12"/>
        <v>263308.42108189943</v>
      </c>
      <c r="M42" s="87">
        <f t="shared" si="12"/>
        <v>263293.08829890966</v>
      </c>
      <c r="N42" s="87">
        <f t="shared" si="12"/>
        <v>263273.08780568605</v>
      </c>
      <c r="O42" s="87">
        <f t="shared" si="12"/>
        <v>263226.93199901609</v>
      </c>
      <c r="P42" s="87">
        <f t="shared" si="12"/>
        <v>262902.55812313943</v>
      </c>
      <c r="Q42" s="87">
        <f t="shared" si="12"/>
        <v>262603.45732698467</v>
      </c>
      <c r="R42" s="87">
        <f t="shared" si="12"/>
        <v>3148484.5641673869</v>
      </c>
    </row>
    <row r="43" spans="1:21">
      <c r="A43" s="85"/>
      <c r="R43" s="86"/>
    </row>
    <row r="44" spans="1:21">
      <c r="A44" s="84" t="s">
        <v>43</v>
      </c>
      <c r="B44" s="86">
        <f>B33</f>
        <v>222361</v>
      </c>
      <c r="C44" s="86">
        <f>C33</f>
        <v>222336</v>
      </c>
      <c r="D44" s="86">
        <f>D33</f>
        <v>222014</v>
      </c>
      <c r="E44" s="86">
        <f>E33</f>
        <v>221580</v>
      </c>
      <c r="F44" s="86">
        <f t="shared" ref="F44:Q44" si="13">F33</f>
        <v>221950</v>
      </c>
      <c r="G44" s="86">
        <f t="shared" si="13"/>
        <v>222061</v>
      </c>
      <c r="H44" s="86">
        <f t="shared" si="13"/>
        <v>222709</v>
      </c>
      <c r="I44" s="86">
        <f t="shared" si="13"/>
        <v>223311</v>
      </c>
      <c r="J44" s="86">
        <f t="shared" si="13"/>
        <v>223773</v>
      </c>
      <c r="K44" s="86">
        <f t="shared" si="13"/>
        <v>224163</v>
      </c>
      <c r="L44" s="86">
        <f t="shared" si="13"/>
        <v>224450</v>
      </c>
      <c r="M44" s="86">
        <f t="shared" si="13"/>
        <v>224409</v>
      </c>
      <c r="N44" s="86">
        <f t="shared" si="13"/>
        <v>224346</v>
      </c>
      <c r="O44" s="86">
        <f t="shared" si="13"/>
        <v>224287</v>
      </c>
      <c r="P44" s="86">
        <f t="shared" si="13"/>
        <v>223986</v>
      </c>
      <c r="Q44" s="86">
        <f t="shared" si="13"/>
        <v>223613</v>
      </c>
      <c r="R44" s="86">
        <f t="shared" ref="R44:R49" si="14">SUM(F44:Q44)</f>
        <v>2683058</v>
      </c>
    </row>
    <row r="45" spans="1:21">
      <c r="A45" s="84" t="s">
        <v>52</v>
      </c>
      <c r="B45" s="86">
        <f>B34+B35</f>
        <v>33579.5</v>
      </c>
      <c r="C45" s="86">
        <f>C34+C35</f>
        <v>33611.5</v>
      </c>
      <c r="D45" s="86">
        <f>D34+D35</f>
        <v>33650.5</v>
      </c>
      <c r="E45" s="86">
        <f>E34+E35</f>
        <v>33658.5</v>
      </c>
      <c r="F45" s="86">
        <f t="shared" ref="F45:Q45" si="15">F34+F35</f>
        <v>33640.5</v>
      </c>
      <c r="G45" s="86">
        <f t="shared" si="15"/>
        <v>33749.5</v>
      </c>
      <c r="H45" s="86">
        <f t="shared" si="15"/>
        <v>33766.5</v>
      </c>
      <c r="I45" s="86">
        <f t="shared" si="15"/>
        <v>33813.5</v>
      </c>
      <c r="J45" s="86">
        <f t="shared" si="15"/>
        <v>33856.5</v>
      </c>
      <c r="K45" s="86">
        <f t="shared" si="15"/>
        <v>33964.5</v>
      </c>
      <c r="L45" s="86">
        <f t="shared" si="15"/>
        <v>33995.5</v>
      </c>
      <c r="M45" s="86">
        <f t="shared" si="15"/>
        <v>34021.5</v>
      </c>
      <c r="N45" s="86">
        <f t="shared" si="15"/>
        <v>34065.5</v>
      </c>
      <c r="O45" s="86">
        <f t="shared" si="15"/>
        <v>34077.5</v>
      </c>
      <c r="P45" s="86">
        <f t="shared" si="15"/>
        <v>34052.5</v>
      </c>
      <c r="Q45" s="86">
        <f t="shared" si="15"/>
        <v>34123.5</v>
      </c>
      <c r="R45" s="86">
        <f t="shared" si="14"/>
        <v>407127</v>
      </c>
    </row>
    <row r="46" spans="1:21">
      <c r="A46" s="84" t="s">
        <v>53</v>
      </c>
      <c r="B46" s="86">
        <f>B36+B37</f>
        <v>1880.1039787808643</v>
      </c>
      <c r="C46" s="86">
        <f>C36+C37</f>
        <v>1873.6990103459364</v>
      </c>
      <c r="D46" s="86">
        <f>D36+D37</f>
        <v>1869.4981528747642</v>
      </c>
      <c r="E46" s="86">
        <f>E36+E37</f>
        <v>1872.7335072809947</v>
      </c>
      <c r="F46" s="86">
        <f t="shared" ref="F46:Q46" si="16">F36+F37</f>
        <v>1868.1206412210774</v>
      </c>
      <c r="G46" s="86">
        <f t="shared" si="16"/>
        <v>1867.8443946561674</v>
      </c>
      <c r="H46" s="86">
        <f t="shared" si="16"/>
        <v>1867.3586858775145</v>
      </c>
      <c r="I46" s="86">
        <f t="shared" si="16"/>
        <v>1872.2368263673077</v>
      </c>
      <c r="J46" s="86">
        <f t="shared" si="16"/>
        <v>1864.5754702312499</v>
      </c>
      <c r="K46" s="86">
        <f t="shared" si="16"/>
        <v>1875.3997594171874</v>
      </c>
      <c r="L46" s="86">
        <f t="shared" si="16"/>
        <v>1874.9263115908416</v>
      </c>
      <c r="M46" s="86">
        <f t="shared" si="16"/>
        <v>1873.4075394085969</v>
      </c>
      <c r="N46" s="86">
        <f t="shared" si="16"/>
        <v>1869.6470148377084</v>
      </c>
      <c r="O46" s="86">
        <f t="shared" si="16"/>
        <v>1868.8266345091124</v>
      </c>
      <c r="P46" s="86">
        <f t="shared" si="16"/>
        <v>1868.2079781893772</v>
      </c>
      <c r="Q46" s="86">
        <f t="shared" si="16"/>
        <v>1869.1014469655945</v>
      </c>
      <c r="R46" s="86">
        <f t="shared" si="14"/>
        <v>22439.652703271735</v>
      </c>
    </row>
    <row r="47" spans="1:21">
      <c r="A47" s="84" t="s">
        <v>48</v>
      </c>
      <c r="B47" s="86">
        <f>B38</f>
        <v>23</v>
      </c>
      <c r="C47" s="86">
        <f>C38</f>
        <v>23</v>
      </c>
      <c r="D47" s="86">
        <f>D38</f>
        <v>23</v>
      </c>
      <c r="E47" s="86">
        <f>E38</f>
        <v>23</v>
      </c>
      <c r="F47" s="86">
        <f t="shared" ref="F47:Q47" si="17">F38</f>
        <v>23</v>
      </c>
      <c r="G47" s="86">
        <f t="shared" si="17"/>
        <v>23</v>
      </c>
      <c r="H47" s="86">
        <f t="shared" si="17"/>
        <v>23</v>
      </c>
      <c r="I47" s="86">
        <f t="shared" si="17"/>
        <v>23</v>
      </c>
      <c r="J47" s="86">
        <f t="shared" si="17"/>
        <v>23</v>
      </c>
      <c r="K47" s="86">
        <f t="shared" si="17"/>
        <v>23</v>
      </c>
      <c r="L47" s="86">
        <f t="shared" si="17"/>
        <v>23</v>
      </c>
      <c r="M47" s="86">
        <f t="shared" si="17"/>
        <v>23</v>
      </c>
      <c r="N47" s="86">
        <f t="shared" si="17"/>
        <v>23</v>
      </c>
      <c r="O47" s="86">
        <f t="shared" si="17"/>
        <v>23</v>
      </c>
      <c r="P47" s="86">
        <f t="shared" si="17"/>
        <v>23</v>
      </c>
      <c r="Q47" s="86">
        <f t="shared" si="17"/>
        <v>23</v>
      </c>
      <c r="R47" s="86">
        <f t="shared" si="14"/>
        <v>276</v>
      </c>
    </row>
    <row r="48" spans="1:21">
      <c r="A48" s="84" t="s">
        <v>54</v>
      </c>
      <c r="B48" s="86">
        <f>B39+B40</f>
        <v>2496.3423069444448</v>
      </c>
      <c r="C48" s="86">
        <f>C39+C40</f>
        <v>2495.1582991898149</v>
      </c>
      <c r="D48" s="86">
        <f>D39+D40</f>
        <v>2493.4865241222997</v>
      </c>
      <c r="E48" s="86">
        <f>E39+E40</f>
        <v>2499.8562761324911</v>
      </c>
      <c r="F48" s="86">
        <f>F39+F40</f>
        <v>2500.9872658101986</v>
      </c>
      <c r="G48" s="86">
        <f t="shared" ref="G48:Q48" si="18">G39+G40</f>
        <v>2503.3310046277147</v>
      </c>
      <c r="H48" s="86">
        <f t="shared" si="18"/>
        <v>2502.8737383466914</v>
      </c>
      <c r="I48" s="86">
        <f t="shared" si="18"/>
        <v>2503.5827665422494</v>
      </c>
      <c r="J48" s="86">
        <f t="shared" si="18"/>
        <v>2505.5800137541028</v>
      </c>
      <c r="K48" s="86">
        <f t="shared" si="18"/>
        <v>2502.238964900278</v>
      </c>
      <c r="L48" s="86">
        <f t="shared" si="18"/>
        <v>2503.5747703086345</v>
      </c>
      <c r="M48" s="86">
        <f t="shared" si="18"/>
        <v>2503.7307595010207</v>
      </c>
      <c r="N48" s="86">
        <f t="shared" si="18"/>
        <v>2505.4607908483285</v>
      </c>
      <c r="O48" s="86">
        <f t="shared" si="18"/>
        <v>2506.0953645069853</v>
      </c>
      <c r="P48" s="86">
        <f t="shared" si="18"/>
        <v>2507.3101449500828</v>
      </c>
      <c r="Q48" s="86">
        <f t="shared" si="18"/>
        <v>2508.2858800190647</v>
      </c>
      <c r="R48" s="86">
        <f t="shared" si="14"/>
        <v>30053.051464115353</v>
      </c>
    </row>
    <row r="49" spans="1:18">
      <c r="A49" s="84" t="s">
        <v>51</v>
      </c>
      <c r="B49" s="86">
        <f>B41</f>
        <v>451.11999999999989</v>
      </c>
      <c r="C49" s="86">
        <f>C41</f>
        <v>452.14999999999986</v>
      </c>
      <c r="D49" s="86">
        <f>D41</f>
        <v>453.17999999999984</v>
      </c>
      <c r="E49" s="86">
        <f>E41</f>
        <v>454.20999999999981</v>
      </c>
      <c r="F49" s="86">
        <f>F41</f>
        <v>455.23999999999978</v>
      </c>
      <c r="G49" s="86">
        <f t="shared" ref="G49:Q49" si="19">G41</f>
        <v>456.26999999999975</v>
      </c>
      <c r="H49" s="86">
        <f t="shared" si="19"/>
        <v>457.29999999999973</v>
      </c>
      <c r="I49" s="86">
        <f t="shared" si="19"/>
        <v>458.3299999999997</v>
      </c>
      <c r="J49" s="86">
        <f t="shared" si="19"/>
        <v>459.35999999999967</v>
      </c>
      <c r="K49" s="86">
        <f t="shared" si="19"/>
        <v>460.38999999999965</v>
      </c>
      <c r="L49" s="86">
        <f t="shared" si="19"/>
        <v>461.41999999999962</v>
      </c>
      <c r="M49" s="86">
        <f t="shared" si="19"/>
        <v>462.44999999999959</v>
      </c>
      <c r="N49" s="86">
        <f t="shared" si="19"/>
        <v>463.47999999999956</v>
      </c>
      <c r="O49" s="86">
        <f t="shared" si="19"/>
        <v>464.50999999999954</v>
      </c>
      <c r="P49" s="86">
        <f t="shared" si="19"/>
        <v>465.53999999999951</v>
      </c>
      <c r="Q49" s="86">
        <f t="shared" si="19"/>
        <v>466.56999999999948</v>
      </c>
      <c r="R49" s="86">
        <f t="shared" si="14"/>
        <v>5530.8599999999951</v>
      </c>
    </row>
    <row r="50" spans="1:18">
      <c r="A50" s="84" t="s">
        <v>0</v>
      </c>
      <c r="B50" s="86">
        <f>SUM(B44:B49)</f>
        <v>260791.0662857253</v>
      </c>
      <c r="C50" s="86">
        <f>SUM(C44:C49)</f>
        <v>260791.50730953575</v>
      </c>
      <c r="D50" s="86">
        <f>SUM(D44:D49)</f>
        <v>260503.66467699705</v>
      </c>
      <c r="E50" s="86">
        <f>SUM(E44:E49)</f>
        <v>260088.29978341347</v>
      </c>
      <c r="F50" s="86">
        <f t="shared" ref="F50:R50" si="20">SUM(F44:F49)</f>
        <v>260437.84790703128</v>
      </c>
      <c r="G50" s="86">
        <f t="shared" si="20"/>
        <v>260660.94539928387</v>
      </c>
      <c r="H50" s="86">
        <f t="shared" si="20"/>
        <v>261326.03242422419</v>
      </c>
      <c r="I50" s="86">
        <f t="shared" si="20"/>
        <v>261981.64959290953</v>
      </c>
      <c r="J50" s="86">
        <f t="shared" si="20"/>
        <v>262482.01548398536</v>
      </c>
      <c r="K50" s="86">
        <f t="shared" si="20"/>
        <v>262988.5287243175</v>
      </c>
      <c r="L50" s="86">
        <f t="shared" si="20"/>
        <v>263308.42108189949</v>
      </c>
      <c r="M50" s="86">
        <f t="shared" si="20"/>
        <v>263293.08829890966</v>
      </c>
      <c r="N50" s="86">
        <f t="shared" si="20"/>
        <v>263273.08780568599</v>
      </c>
      <c r="O50" s="86">
        <f t="shared" si="20"/>
        <v>263226.93199901609</v>
      </c>
      <c r="P50" s="86">
        <f t="shared" si="20"/>
        <v>262902.55812313943</v>
      </c>
      <c r="Q50" s="86">
        <f t="shared" si="20"/>
        <v>262603.45732698467</v>
      </c>
      <c r="R50" s="86">
        <f t="shared" si="20"/>
        <v>3148484.5641673869</v>
      </c>
    </row>
    <row r="51" spans="1:18">
      <c r="R51" s="86">
        <f>SUM(F51:Q51)</f>
        <v>0</v>
      </c>
    </row>
    <row r="52" spans="1:18">
      <c r="A52" s="84" t="s">
        <v>117</v>
      </c>
      <c r="B52" s="86">
        <f>SUM(B33:B41)-SUM(B44:B49)</f>
        <v>0</v>
      </c>
      <c r="C52" s="86">
        <f>SUM(C33:C41)-SUM(C44:C49)</f>
        <v>0</v>
      </c>
      <c r="D52" s="86">
        <f>SUM(D33:D41)-SUM(D44:D49)</f>
        <v>0</v>
      </c>
      <c r="E52" s="86">
        <f>SUM(E33:E41)-SUM(E44:E49)</f>
        <v>0</v>
      </c>
      <c r="F52" s="86">
        <f t="shared" ref="F52:Q52" si="21">SUM(F33:F41)-SUM(F44:F49)</f>
        <v>0</v>
      </c>
      <c r="G52" s="86">
        <f t="shared" si="21"/>
        <v>0</v>
      </c>
      <c r="H52" s="86">
        <f t="shared" si="21"/>
        <v>0</v>
      </c>
      <c r="I52" s="86">
        <f t="shared" si="21"/>
        <v>0</v>
      </c>
      <c r="J52" s="86">
        <f t="shared" si="21"/>
        <v>0</v>
      </c>
      <c r="K52" s="86">
        <f t="shared" si="21"/>
        <v>0</v>
      </c>
      <c r="L52" s="86">
        <f t="shared" si="21"/>
        <v>0</v>
      </c>
      <c r="M52" s="86">
        <f t="shared" si="21"/>
        <v>0</v>
      </c>
      <c r="N52" s="86">
        <f t="shared" si="21"/>
        <v>0</v>
      </c>
      <c r="O52" s="86">
        <f t="shared" si="21"/>
        <v>0</v>
      </c>
      <c r="P52" s="86">
        <f t="shared" si="21"/>
        <v>0</v>
      </c>
      <c r="Q52" s="86">
        <f t="shared" si="21"/>
        <v>0</v>
      </c>
      <c r="R52" s="86">
        <f>SUM(F52:Q52)</f>
        <v>0</v>
      </c>
    </row>
    <row r="54" spans="1:18"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</row>
    <row r="55" spans="1:18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</row>
    <row r="56" spans="1:18"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</row>
    <row r="58" spans="1:18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</row>
    <row r="59" spans="1:18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</row>
    <row r="60" spans="1:18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</row>
    <row r="61" spans="1:18"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</row>
    <row r="62" spans="1:18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</row>
    <row r="63" spans="1:18"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</row>
    <row r="64" spans="1:18"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</row>
    <row r="65" spans="2:17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</row>
    <row r="66" spans="2:17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</row>
    <row r="67" spans="2:17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</row>
    <row r="68" spans="2:17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</row>
    <row r="69" spans="2:17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</row>
    <row r="70" spans="2:17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</row>
    <row r="71" spans="2:17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</row>
    <row r="72" spans="2:17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</row>
    <row r="73" spans="2:17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</row>
    <row r="74" spans="2:17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</row>
    <row r="75" spans="2:17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</row>
    <row r="76" spans="2:17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2:17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2:17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</row>
    <row r="79" spans="2:17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</row>
    <row r="80" spans="2:17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2:17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2:17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</row>
    <row r="83" spans="2:17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</row>
    <row r="84" spans="2:17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</row>
    <row r="85" spans="2:17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</row>
    <row r="86" spans="2:17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</row>
    <row r="87" spans="2:17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</row>
    <row r="88" spans="2:17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</row>
    <row r="90" spans="2:17"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</row>
    <row r="91" spans="2:17"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</row>
    <row r="92" spans="2:17"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</row>
    <row r="93" spans="2:17"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</row>
    <row r="94" spans="2:17"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</row>
    <row r="95" spans="2:17"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</row>
    <row r="96" spans="2:17"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</row>
    <row r="97" spans="2:17"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</row>
    <row r="98" spans="2:17"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tabSelected="1" zoomScaleNormal="100" workbookViewId="0">
      <selection activeCell="N1" sqref="N1"/>
    </sheetView>
  </sheetViews>
  <sheetFormatPr defaultRowHeight="15"/>
  <cols>
    <col min="1" max="1" width="30.85546875" style="93" customWidth="1"/>
    <col min="2" max="2" width="9.140625" style="93" customWidth="1"/>
    <col min="3" max="3" width="9.7109375" style="93" customWidth="1"/>
    <col min="4" max="4" width="15.140625" style="93" customWidth="1"/>
    <col min="5" max="5" width="11.85546875" style="93" bestFit="1" customWidth="1"/>
    <col min="6" max="8" width="9.140625" style="93"/>
    <col min="9" max="9" width="9.42578125" style="93" customWidth="1"/>
    <col min="10" max="255" width="9.140625" style="93"/>
    <col min="256" max="256" width="30.85546875" style="93" customWidth="1"/>
    <col min="257" max="257" width="9.140625" style="93" customWidth="1"/>
    <col min="258" max="258" width="9.7109375" style="93" customWidth="1"/>
    <col min="259" max="259" width="15.140625" style="93" customWidth="1"/>
    <col min="260" max="260" width="12" style="93" customWidth="1"/>
    <col min="261" max="264" width="9.140625" style="93"/>
    <col min="265" max="265" width="9.42578125" style="93" customWidth="1"/>
    <col min="266" max="511" width="9.140625" style="93"/>
    <col min="512" max="512" width="30.85546875" style="93" customWidth="1"/>
    <col min="513" max="513" width="9.140625" style="93" customWidth="1"/>
    <col min="514" max="514" width="9.7109375" style="93" customWidth="1"/>
    <col min="515" max="515" width="15.140625" style="93" customWidth="1"/>
    <col min="516" max="516" width="12" style="93" customWidth="1"/>
    <col min="517" max="520" width="9.140625" style="93"/>
    <col min="521" max="521" width="9.42578125" style="93" customWidth="1"/>
    <col min="522" max="767" width="9.140625" style="93"/>
    <col min="768" max="768" width="30.85546875" style="93" customWidth="1"/>
    <col min="769" max="769" width="9.140625" style="93" customWidth="1"/>
    <col min="770" max="770" width="9.7109375" style="93" customWidth="1"/>
    <col min="771" max="771" width="15.140625" style="93" customWidth="1"/>
    <col min="772" max="772" width="12" style="93" customWidth="1"/>
    <col min="773" max="776" width="9.140625" style="93"/>
    <col min="777" max="777" width="9.42578125" style="93" customWidth="1"/>
    <col min="778" max="1023" width="9.140625" style="93"/>
    <col min="1024" max="1024" width="30.85546875" style="93" customWidth="1"/>
    <col min="1025" max="1025" width="9.140625" style="93" customWidth="1"/>
    <col min="1026" max="1026" width="9.7109375" style="93" customWidth="1"/>
    <col min="1027" max="1027" width="15.140625" style="93" customWidth="1"/>
    <col min="1028" max="1028" width="12" style="93" customWidth="1"/>
    <col min="1029" max="1032" width="9.140625" style="93"/>
    <col min="1033" max="1033" width="9.42578125" style="93" customWidth="1"/>
    <col min="1034" max="1279" width="9.140625" style="93"/>
    <col min="1280" max="1280" width="30.85546875" style="93" customWidth="1"/>
    <col min="1281" max="1281" width="9.140625" style="93" customWidth="1"/>
    <col min="1282" max="1282" width="9.7109375" style="93" customWidth="1"/>
    <col min="1283" max="1283" width="15.140625" style="93" customWidth="1"/>
    <col min="1284" max="1284" width="12" style="93" customWidth="1"/>
    <col min="1285" max="1288" width="9.140625" style="93"/>
    <col min="1289" max="1289" width="9.42578125" style="93" customWidth="1"/>
    <col min="1290" max="1535" width="9.140625" style="93"/>
    <col min="1536" max="1536" width="30.85546875" style="93" customWidth="1"/>
    <col min="1537" max="1537" width="9.140625" style="93" customWidth="1"/>
    <col min="1538" max="1538" width="9.7109375" style="93" customWidth="1"/>
    <col min="1539" max="1539" width="15.140625" style="93" customWidth="1"/>
    <col min="1540" max="1540" width="12" style="93" customWidth="1"/>
    <col min="1541" max="1544" width="9.140625" style="93"/>
    <col min="1545" max="1545" width="9.42578125" style="93" customWidth="1"/>
    <col min="1546" max="1791" width="9.140625" style="93"/>
    <col min="1792" max="1792" width="30.85546875" style="93" customWidth="1"/>
    <col min="1793" max="1793" width="9.140625" style="93" customWidth="1"/>
    <col min="1794" max="1794" width="9.7109375" style="93" customWidth="1"/>
    <col min="1795" max="1795" width="15.140625" style="93" customWidth="1"/>
    <col min="1796" max="1796" width="12" style="93" customWidth="1"/>
    <col min="1797" max="1800" width="9.140625" style="93"/>
    <col min="1801" max="1801" width="9.42578125" style="93" customWidth="1"/>
    <col min="1802" max="2047" width="9.140625" style="93"/>
    <col min="2048" max="2048" width="30.85546875" style="93" customWidth="1"/>
    <col min="2049" max="2049" width="9.140625" style="93" customWidth="1"/>
    <col min="2050" max="2050" width="9.7109375" style="93" customWidth="1"/>
    <col min="2051" max="2051" width="15.140625" style="93" customWidth="1"/>
    <col min="2052" max="2052" width="12" style="93" customWidth="1"/>
    <col min="2053" max="2056" width="9.140625" style="93"/>
    <col min="2057" max="2057" width="9.42578125" style="93" customWidth="1"/>
    <col min="2058" max="2303" width="9.140625" style="93"/>
    <col min="2304" max="2304" width="30.85546875" style="93" customWidth="1"/>
    <col min="2305" max="2305" width="9.140625" style="93" customWidth="1"/>
    <col min="2306" max="2306" width="9.7109375" style="93" customWidth="1"/>
    <col min="2307" max="2307" width="15.140625" style="93" customWidth="1"/>
    <col min="2308" max="2308" width="12" style="93" customWidth="1"/>
    <col min="2309" max="2312" width="9.140625" style="93"/>
    <col min="2313" max="2313" width="9.42578125" style="93" customWidth="1"/>
    <col min="2314" max="2559" width="9.140625" style="93"/>
    <col min="2560" max="2560" width="30.85546875" style="93" customWidth="1"/>
    <col min="2561" max="2561" width="9.140625" style="93" customWidth="1"/>
    <col min="2562" max="2562" width="9.7109375" style="93" customWidth="1"/>
    <col min="2563" max="2563" width="15.140625" style="93" customWidth="1"/>
    <col min="2564" max="2564" width="12" style="93" customWidth="1"/>
    <col min="2565" max="2568" width="9.140625" style="93"/>
    <col min="2569" max="2569" width="9.42578125" style="93" customWidth="1"/>
    <col min="2570" max="2815" width="9.140625" style="93"/>
    <col min="2816" max="2816" width="30.85546875" style="93" customWidth="1"/>
    <col min="2817" max="2817" width="9.140625" style="93" customWidth="1"/>
    <col min="2818" max="2818" width="9.7109375" style="93" customWidth="1"/>
    <col min="2819" max="2819" width="15.140625" style="93" customWidth="1"/>
    <col min="2820" max="2820" width="12" style="93" customWidth="1"/>
    <col min="2821" max="2824" width="9.140625" style="93"/>
    <col min="2825" max="2825" width="9.42578125" style="93" customWidth="1"/>
    <col min="2826" max="3071" width="9.140625" style="93"/>
    <col min="3072" max="3072" width="30.85546875" style="93" customWidth="1"/>
    <col min="3073" max="3073" width="9.140625" style="93" customWidth="1"/>
    <col min="3074" max="3074" width="9.7109375" style="93" customWidth="1"/>
    <col min="3075" max="3075" width="15.140625" style="93" customWidth="1"/>
    <col min="3076" max="3076" width="12" style="93" customWidth="1"/>
    <col min="3077" max="3080" width="9.140625" style="93"/>
    <col min="3081" max="3081" width="9.42578125" style="93" customWidth="1"/>
    <col min="3082" max="3327" width="9.140625" style="93"/>
    <col min="3328" max="3328" width="30.85546875" style="93" customWidth="1"/>
    <col min="3329" max="3329" width="9.140625" style="93" customWidth="1"/>
    <col min="3330" max="3330" width="9.7109375" style="93" customWidth="1"/>
    <col min="3331" max="3331" width="15.140625" style="93" customWidth="1"/>
    <col min="3332" max="3332" width="12" style="93" customWidth="1"/>
    <col min="3333" max="3336" width="9.140625" style="93"/>
    <col min="3337" max="3337" width="9.42578125" style="93" customWidth="1"/>
    <col min="3338" max="3583" width="9.140625" style="93"/>
    <col min="3584" max="3584" width="30.85546875" style="93" customWidth="1"/>
    <col min="3585" max="3585" width="9.140625" style="93" customWidth="1"/>
    <col min="3586" max="3586" width="9.7109375" style="93" customWidth="1"/>
    <col min="3587" max="3587" width="15.140625" style="93" customWidth="1"/>
    <col min="3588" max="3588" width="12" style="93" customWidth="1"/>
    <col min="3589" max="3592" width="9.140625" style="93"/>
    <col min="3593" max="3593" width="9.42578125" style="93" customWidth="1"/>
    <col min="3594" max="3839" width="9.140625" style="93"/>
    <col min="3840" max="3840" width="30.85546875" style="93" customWidth="1"/>
    <col min="3841" max="3841" width="9.140625" style="93" customWidth="1"/>
    <col min="3842" max="3842" width="9.7109375" style="93" customWidth="1"/>
    <col min="3843" max="3843" width="15.140625" style="93" customWidth="1"/>
    <col min="3844" max="3844" width="12" style="93" customWidth="1"/>
    <col min="3845" max="3848" width="9.140625" style="93"/>
    <col min="3849" max="3849" width="9.42578125" style="93" customWidth="1"/>
    <col min="3850" max="4095" width="9.140625" style="93"/>
    <col min="4096" max="4096" width="30.85546875" style="93" customWidth="1"/>
    <col min="4097" max="4097" width="9.140625" style="93" customWidth="1"/>
    <col min="4098" max="4098" width="9.7109375" style="93" customWidth="1"/>
    <col min="4099" max="4099" width="15.140625" style="93" customWidth="1"/>
    <col min="4100" max="4100" width="12" style="93" customWidth="1"/>
    <col min="4101" max="4104" width="9.140625" style="93"/>
    <col min="4105" max="4105" width="9.42578125" style="93" customWidth="1"/>
    <col min="4106" max="4351" width="9.140625" style="93"/>
    <col min="4352" max="4352" width="30.85546875" style="93" customWidth="1"/>
    <col min="4353" max="4353" width="9.140625" style="93" customWidth="1"/>
    <col min="4354" max="4354" width="9.7109375" style="93" customWidth="1"/>
    <col min="4355" max="4355" width="15.140625" style="93" customWidth="1"/>
    <col min="4356" max="4356" width="12" style="93" customWidth="1"/>
    <col min="4357" max="4360" width="9.140625" style="93"/>
    <col min="4361" max="4361" width="9.42578125" style="93" customWidth="1"/>
    <col min="4362" max="4607" width="9.140625" style="93"/>
    <col min="4608" max="4608" width="30.85546875" style="93" customWidth="1"/>
    <col min="4609" max="4609" width="9.140625" style="93" customWidth="1"/>
    <col min="4610" max="4610" width="9.7109375" style="93" customWidth="1"/>
    <col min="4611" max="4611" width="15.140625" style="93" customWidth="1"/>
    <col min="4612" max="4612" width="12" style="93" customWidth="1"/>
    <col min="4613" max="4616" width="9.140625" style="93"/>
    <col min="4617" max="4617" width="9.42578125" style="93" customWidth="1"/>
    <col min="4618" max="4863" width="9.140625" style="93"/>
    <col min="4864" max="4864" width="30.85546875" style="93" customWidth="1"/>
    <col min="4865" max="4865" width="9.140625" style="93" customWidth="1"/>
    <col min="4866" max="4866" width="9.7109375" style="93" customWidth="1"/>
    <col min="4867" max="4867" width="15.140625" style="93" customWidth="1"/>
    <col min="4868" max="4868" width="12" style="93" customWidth="1"/>
    <col min="4869" max="4872" width="9.140625" style="93"/>
    <col min="4873" max="4873" width="9.42578125" style="93" customWidth="1"/>
    <col min="4874" max="5119" width="9.140625" style="93"/>
    <col min="5120" max="5120" width="30.85546875" style="93" customWidth="1"/>
    <col min="5121" max="5121" width="9.140625" style="93" customWidth="1"/>
    <col min="5122" max="5122" width="9.7109375" style="93" customWidth="1"/>
    <col min="5123" max="5123" width="15.140625" style="93" customWidth="1"/>
    <col min="5124" max="5124" width="12" style="93" customWidth="1"/>
    <col min="5125" max="5128" width="9.140625" style="93"/>
    <col min="5129" max="5129" width="9.42578125" style="93" customWidth="1"/>
    <col min="5130" max="5375" width="9.140625" style="93"/>
    <col min="5376" max="5376" width="30.85546875" style="93" customWidth="1"/>
    <col min="5377" max="5377" width="9.140625" style="93" customWidth="1"/>
    <col min="5378" max="5378" width="9.7109375" style="93" customWidth="1"/>
    <col min="5379" max="5379" width="15.140625" style="93" customWidth="1"/>
    <col min="5380" max="5380" width="12" style="93" customWidth="1"/>
    <col min="5381" max="5384" width="9.140625" style="93"/>
    <col min="5385" max="5385" width="9.42578125" style="93" customWidth="1"/>
    <col min="5386" max="5631" width="9.140625" style="93"/>
    <col min="5632" max="5632" width="30.85546875" style="93" customWidth="1"/>
    <col min="5633" max="5633" width="9.140625" style="93" customWidth="1"/>
    <col min="5634" max="5634" width="9.7109375" style="93" customWidth="1"/>
    <col min="5635" max="5635" width="15.140625" style="93" customWidth="1"/>
    <col min="5636" max="5636" width="12" style="93" customWidth="1"/>
    <col min="5637" max="5640" width="9.140625" style="93"/>
    <col min="5641" max="5641" width="9.42578125" style="93" customWidth="1"/>
    <col min="5642" max="5887" width="9.140625" style="93"/>
    <col min="5888" max="5888" width="30.85546875" style="93" customWidth="1"/>
    <col min="5889" max="5889" width="9.140625" style="93" customWidth="1"/>
    <col min="5890" max="5890" width="9.7109375" style="93" customWidth="1"/>
    <col min="5891" max="5891" width="15.140625" style="93" customWidth="1"/>
    <col min="5892" max="5892" width="12" style="93" customWidth="1"/>
    <col min="5893" max="5896" width="9.140625" style="93"/>
    <col min="5897" max="5897" width="9.42578125" style="93" customWidth="1"/>
    <col min="5898" max="6143" width="9.140625" style="93"/>
    <col min="6144" max="6144" width="30.85546875" style="93" customWidth="1"/>
    <col min="6145" max="6145" width="9.140625" style="93" customWidth="1"/>
    <col min="6146" max="6146" width="9.7109375" style="93" customWidth="1"/>
    <col min="6147" max="6147" width="15.140625" style="93" customWidth="1"/>
    <col min="6148" max="6148" width="12" style="93" customWidth="1"/>
    <col min="6149" max="6152" width="9.140625" style="93"/>
    <col min="6153" max="6153" width="9.42578125" style="93" customWidth="1"/>
    <col min="6154" max="6399" width="9.140625" style="93"/>
    <col min="6400" max="6400" width="30.85546875" style="93" customWidth="1"/>
    <col min="6401" max="6401" width="9.140625" style="93" customWidth="1"/>
    <col min="6402" max="6402" width="9.7109375" style="93" customWidth="1"/>
    <col min="6403" max="6403" width="15.140625" style="93" customWidth="1"/>
    <col min="6404" max="6404" width="12" style="93" customWidth="1"/>
    <col min="6405" max="6408" width="9.140625" style="93"/>
    <col min="6409" max="6409" width="9.42578125" style="93" customWidth="1"/>
    <col min="6410" max="6655" width="9.140625" style="93"/>
    <col min="6656" max="6656" width="30.85546875" style="93" customWidth="1"/>
    <col min="6657" max="6657" width="9.140625" style="93" customWidth="1"/>
    <col min="6658" max="6658" width="9.7109375" style="93" customWidth="1"/>
    <col min="6659" max="6659" width="15.140625" style="93" customWidth="1"/>
    <col min="6660" max="6660" width="12" style="93" customWidth="1"/>
    <col min="6661" max="6664" width="9.140625" style="93"/>
    <col min="6665" max="6665" width="9.42578125" style="93" customWidth="1"/>
    <col min="6666" max="6911" width="9.140625" style="93"/>
    <col min="6912" max="6912" width="30.85546875" style="93" customWidth="1"/>
    <col min="6913" max="6913" width="9.140625" style="93" customWidth="1"/>
    <col min="6914" max="6914" width="9.7109375" style="93" customWidth="1"/>
    <col min="6915" max="6915" width="15.140625" style="93" customWidth="1"/>
    <col min="6916" max="6916" width="12" style="93" customWidth="1"/>
    <col min="6917" max="6920" width="9.140625" style="93"/>
    <col min="6921" max="6921" width="9.42578125" style="93" customWidth="1"/>
    <col min="6922" max="7167" width="9.140625" style="93"/>
    <col min="7168" max="7168" width="30.85546875" style="93" customWidth="1"/>
    <col min="7169" max="7169" width="9.140625" style="93" customWidth="1"/>
    <col min="7170" max="7170" width="9.7109375" style="93" customWidth="1"/>
    <col min="7171" max="7171" width="15.140625" style="93" customWidth="1"/>
    <col min="7172" max="7172" width="12" style="93" customWidth="1"/>
    <col min="7173" max="7176" width="9.140625" style="93"/>
    <col min="7177" max="7177" width="9.42578125" style="93" customWidth="1"/>
    <col min="7178" max="7423" width="9.140625" style="93"/>
    <col min="7424" max="7424" width="30.85546875" style="93" customWidth="1"/>
    <col min="7425" max="7425" width="9.140625" style="93" customWidth="1"/>
    <col min="7426" max="7426" width="9.7109375" style="93" customWidth="1"/>
    <col min="7427" max="7427" width="15.140625" style="93" customWidth="1"/>
    <col min="7428" max="7428" width="12" style="93" customWidth="1"/>
    <col min="7429" max="7432" width="9.140625" style="93"/>
    <col min="7433" max="7433" width="9.42578125" style="93" customWidth="1"/>
    <col min="7434" max="7679" width="9.140625" style="93"/>
    <col min="7680" max="7680" width="30.85546875" style="93" customWidth="1"/>
    <col min="7681" max="7681" width="9.140625" style="93" customWidth="1"/>
    <col min="7682" max="7682" width="9.7109375" style="93" customWidth="1"/>
    <col min="7683" max="7683" width="15.140625" style="93" customWidth="1"/>
    <col min="7684" max="7684" width="12" style="93" customWidth="1"/>
    <col min="7685" max="7688" width="9.140625" style="93"/>
    <col min="7689" max="7689" width="9.42578125" style="93" customWidth="1"/>
    <col min="7690" max="7935" width="9.140625" style="93"/>
    <col min="7936" max="7936" width="30.85546875" style="93" customWidth="1"/>
    <col min="7937" max="7937" width="9.140625" style="93" customWidth="1"/>
    <col min="7938" max="7938" width="9.7109375" style="93" customWidth="1"/>
    <col min="7939" max="7939" width="15.140625" style="93" customWidth="1"/>
    <col min="7940" max="7940" width="12" style="93" customWidth="1"/>
    <col min="7941" max="7944" width="9.140625" style="93"/>
    <col min="7945" max="7945" width="9.42578125" style="93" customWidth="1"/>
    <col min="7946" max="8191" width="9.140625" style="93"/>
    <col min="8192" max="8192" width="30.85546875" style="93" customWidth="1"/>
    <col min="8193" max="8193" width="9.140625" style="93" customWidth="1"/>
    <col min="8194" max="8194" width="9.7109375" style="93" customWidth="1"/>
    <col min="8195" max="8195" width="15.140625" style="93" customWidth="1"/>
    <col min="8196" max="8196" width="12" style="93" customWidth="1"/>
    <col min="8197" max="8200" width="9.140625" style="93"/>
    <col min="8201" max="8201" width="9.42578125" style="93" customWidth="1"/>
    <col min="8202" max="8447" width="9.140625" style="93"/>
    <col min="8448" max="8448" width="30.85546875" style="93" customWidth="1"/>
    <col min="8449" max="8449" width="9.140625" style="93" customWidth="1"/>
    <col min="8450" max="8450" width="9.7109375" style="93" customWidth="1"/>
    <col min="8451" max="8451" width="15.140625" style="93" customWidth="1"/>
    <col min="8452" max="8452" width="12" style="93" customWidth="1"/>
    <col min="8453" max="8456" width="9.140625" style="93"/>
    <col min="8457" max="8457" width="9.42578125" style="93" customWidth="1"/>
    <col min="8458" max="8703" width="9.140625" style="93"/>
    <col min="8704" max="8704" width="30.85546875" style="93" customWidth="1"/>
    <col min="8705" max="8705" width="9.140625" style="93" customWidth="1"/>
    <col min="8706" max="8706" width="9.7109375" style="93" customWidth="1"/>
    <col min="8707" max="8707" width="15.140625" style="93" customWidth="1"/>
    <col min="8708" max="8708" width="12" style="93" customWidth="1"/>
    <col min="8709" max="8712" width="9.140625" style="93"/>
    <col min="8713" max="8713" width="9.42578125" style="93" customWidth="1"/>
    <col min="8714" max="8959" width="9.140625" style="93"/>
    <col min="8960" max="8960" width="30.85546875" style="93" customWidth="1"/>
    <col min="8961" max="8961" width="9.140625" style="93" customWidth="1"/>
    <col min="8962" max="8962" width="9.7109375" style="93" customWidth="1"/>
    <col min="8963" max="8963" width="15.140625" style="93" customWidth="1"/>
    <col min="8964" max="8964" width="12" style="93" customWidth="1"/>
    <col min="8965" max="8968" width="9.140625" style="93"/>
    <col min="8969" max="8969" width="9.42578125" style="93" customWidth="1"/>
    <col min="8970" max="9215" width="9.140625" style="93"/>
    <col min="9216" max="9216" width="30.85546875" style="93" customWidth="1"/>
    <col min="9217" max="9217" width="9.140625" style="93" customWidth="1"/>
    <col min="9218" max="9218" width="9.7109375" style="93" customWidth="1"/>
    <col min="9219" max="9219" width="15.140625" style="93" customWidth="1"/>
    <col min="9220" max="9220" width="12" style="93" customWidth="1"/>
    <col min="9221" max="9224" width="9.140625" style="93"/>
    <col min="9225" max="9225" width="9.42578125" style="93" customWidth="1"/>
    <col min="9226" max="9471" width="9.140625" style="93"/>
    <col min="9472" max="9472" width="30.85546875" style="93" customWidth="1"/>
    <col min="9473" max="9473" width="9.140625" style="93" customWidth="1"/>
    <col min="9474" max="9474" width="9.7109375" style="93" customWidth="1"/>
    <col min="9475" max="9475" width="15.140625" style="93" customWidth="1"/>
    <col min="9476" max="9476" width="12" style="93" customWidth="1"/>
    <col min="9477" max="9480" width="9.140625" style="93"/>
    <col min="9481" max="9481" width="9.42578125" style="93" customWidth="1"/>
    <col min="9482" max="9727" width="9.140625" style="93"/>
    <col min="9728" max="9728" width="30.85546875" style="93" customWidth="1"/>
    <col min="9729" max="9729" width="9.140625" style="93" customWidth="1"/>
    <col min="9730" max="9730" width="9.7109375" style="93" customWidth="1"/>
    <col min="9731" max="9731" width="15.140625" style="93" customWidth="1"/>
    <col min="9732" max="9732" width="12" style="93" customWidth="1"/>
    <col min="9733" max="9736" width="9.140625" style="93"/>
    <col min="9737" max="9737" width="9.42578125" style="93" customWidth="1"/>
    <col min="9738" max="9983" width="9.140625" style="93"/>
    <col min="9984" max="9984" width="30.85546875" style="93" customWidth="1"/>
    <col min="9985" max="9985" width="9.140625" style="93" customWidth="1"/>
    <col min="9986" max="9986" width="9.7109375" style="93" customWidth="1"/>
    <col min="9987" max="9987" width="15.140625" style="93" customWidth="1"/>
    <col min="9988" max="9988" width="12" style="93" customWidth="1"/>
    <col min="9989" max="9992" width="9.140625" style="93"/>
    <col min="9993" max="9993" width="9.42578125" style="93" customWidth="1"/>
    <col min="9994" max="10239" width="9.140625" style="93"/>
    <col min="10240" max="10240" width="30.85546875" style="93" customWidth="1"/>
    <col min="10241" max="10241" width="9.140625" style="93" customWidth="1"/>
    <col min="10242" max="10242" width="9.7109375" style="93" customWidth="1"/>
    <col min="10243" max="10243" width="15.140625" style="93" customWidth="1"/>
    <col min="10244" max="10244" width="12" style="93" customWidth="1"/>
    <col min="10245" max="10248" width="9.140625" style="93"/>
    <col min="10249" max="10249" width="9.42578125" style="93" customWidth="1"/>
    <col min="10250" max="10495" width="9.140625" style="93"/>
    <col min="10496" max="10496" width="30.85546875" style="93" customWidth="1"/>
    <col min="10497" max="10497" width="9.140625" style="93" customWidth="1"/>
    <col min="10498" max="10498" width="9.7109375" style="93" customWidth="1"/>
    <col min="10499" max="10499" width="15.140625" style="93" customWidth="1"/>
    <col min="10500" max="10500" width="12" style="93" customWidth="1"/>
    <col min="10501" max="10504" width="9.140625" style="93"/>
    <col min="10505" max="10505" width="9.42578125" style="93" customWidth="1"/>
    <col min="10506" max="10751" width="9.140625" style="93"/>
    <col min="10752" max="10752" width="30.85546875" style="93" customWidth="1"/>
    <col min="10753" max="10753" width="9.140625" style="93" customWidth="1"/>
    <col min="10754" max="10754" width="9.7109375" style="93" customWidth="1"/>
    <col min="10755" max="10755" width="15.140625" style="93" customWidth="1"/>
    <col min="10756" max="10756" width="12" style="93" customWidth="1"/>
    <col min="10757" max="10760" width="9.140625" style="93"/>
    <col min="10761" max="10761" width="9.42578125" style="93" customWidth="1"/>
    <col min="10762" max="11007" width="9.140625" style="93"/>
    <col min="11008" max="11008" width="30.85546875" style="93" customWidth="1"/>
    <col min="11009" max="11009" width="9.140625" style="93" customWidth="1"/>
    <col min="11010" max="11010" width="9.7109375" style="93" customWidth="1"/>
    <col min="11011" max="11011" width="15.140625" style="93" customWidth="1"/>
    <col min="11012" max="11012" width="12" style="93" customWidth="1"/>
    <col min="11013" max="11016" width="9.140625" style="93"/>
    <col min="11017" max="11017" width="9.42578125" style="93" customWidth="1"/>
    <col min="11018" max="11263" width="9.140625" style="93"/>
    <col min="11264" max="11264" width="30.85546875" style="93" customWidth="1"/>
    <col min="11265" max="11265" width="9.140625" style="93" customWidth="1"/>
    <col min="11266" max="11266" width="9.7109375" style="93" customWidth="1"/>
    <col min="11267" max="11267" width="15.140625" style="93" customWidth="1"/>
    <col min="11268" max="11268" width="12" style="93" customWidth="1"/>
    <col min="11269" max="11272" width="9.140625" style="93"/>
    <col min="11273" max="11273" width="9.42578125" style="93" customWidth="1"/>
    <col min="11274" max="11519" width="9.140625" style="93"/>
    <col min="11520" max="11520" width="30.85546875" style="93" customWidth="1"/>
    <col min="11521" max="11521" width="9.140625" style="93" customWidth="1"/>
    <col min="11522" max="11522" width="9.7109375" style="93" customWidth="1"/>
    <col min="11523" max="11523" width="15.140625" style="93" customWidth="1"/>
    <col min="11524" max="11524" width="12" style="93" customWidth="1"/>
    <col min="11525" max="11528" width="9.140625" style="93"/>
    <col min="11529" max="11529" width="9.42578125" style="93" customWidth="1"/>
    <col min="11530" max="11775" width="9.140625" style="93"/>
    <col min="11776" max="11776" width="30.85546875" style="93" customWidth="1"/>
    <col min="11777" max="11777" width="9.140625" style="93" customWidth="1"/>
    <col min="11778" max="11778" width="9.7109375" style="93" customWidth="1"/>
    <col min="11779" max="11779" width="15.140625" style="93" customWidth="1"/>
    <col min="11780" max="11780" width="12" style="93" customWidth="1"/>
    <col min="11781" max="11784" width="9.140625" style="93"/>
    <col min="11785" max="11785" width="9.42578125" style="93" customWidth="1"/>
    <col min="11786" max="12031" width="9.140625" style="93"/>
    <col min="12032" max="12032" width="30.85546875" style="93" customWidth="1"/>
    <col min="12033" max="12033" width="9.140625" style="93" customWidth="1"/>
    <col min="12034" max="12034" width="9.7109375" style="93" customWidth="1"/>
    <col min="12035" max="12035" width="15.140625" style="93" customWidth="1"/>
    <col min="12036" max="12036" width="12" style="93" customWidth="1"/>
    <col min="12037" max="12040" width="9.140625" style="93"/>
    <col min="12041" max="12041" width="9.42578125" style="93" customWidth="1"/>
    <col min="12042" max="12287" width="9.140625" style="93"/>
    <col min="12288" max="12288" width="30.85546875" style="93" customWidth="1"/>
    <col min="12289" max="12289" width="9.140625" style="93" customWidth="1"/>
    <col min="12290" max="12290" width="9.7109375" style="93" customWidth="1"/>
    <col min="12291" max="12291" width="15.140625" style="93" customWidth="1"/>
    <col min="12292" max="12292" width="12" style="93" customWidth="1"/>
    <col min="12293" max="12296" width="9.140625" style="93"/>
    <col min="12297" max="12297" width="9.42578125" style="93" customWidth="1"/>
    <col min="12298" max="12543" width="9.140625" style="93"/>
    <col min="12544" max="12544" width="30.85546875" style="93" customWidth="1"/>
    <col min="12545" max="12545" width="9.140625" style="93" customWidth="1"/>
    <col min="12546" max="12546" width="9.7109375" style="93" customWidth="1"/>
    <col min="12547" max="12547" width="15.140625" style="93" customWidth="1"/>
    <col min="12548" max="12548" width="12" style="93" customWidth="1"/>
    <col min="12549" max="12552" width="9.140625" style="93"/>
    <col min="12553" max="12553" width="9.42578125" style="93" customWidth="1"/>
    <col min="12554" max="12799" width="9.140625" style="93"/>
    <col min="12800" max="12800" width="30.85546875" style="93" customWidth="1"/>
    <col min="12801" max="12801" width="9.140625" style="93" customWidth="1"/>
    <col min="12802" max="12802" width="9.7109375" style="93" customWidth="1"/>
    <col min="12803" max="12803" width="15.140625" style="93" customWidth="1"/>
    <col min="12804" max="12804" width="12" style="93" customWidth="1"/>
    <col min="12805" max="12808" width="9.140625" style="93"/>
    <col min="12809" max="12809" width="9.42578125" style="93" customWidth="1"/>
    <col min="12810" max="13055" width="9.140625" style="93"/>
    <col min="13056" max="13056" width="30.85546875" style="93" customWidth="1"/>
    <col min="13057" max="13057" width="9.140625" style="93" customWidth="1"/>
    <col min="13058" max="13058" width="9.7109375" style="93" customWidth="1"/>
    <col min="13059" max="13059" width="15.140625" style="93" customWidth="1"/>
    <col min="13060" max="13060" width="12" style="93" customWidth="1"/>
    <col min="13061" max="13064" width="9.140625" style="93"/>
    <col min="13065" max="13065" width="9.42578125" style="93" customWidth="1"/>
    <col min="13066" max="13311" width="9.140625" style="93"/>
    <col min="13312" max="13312" width="30.85546875" style="93" customWidth="1"/>
    <col min="13313" max="13313" width="9.140625" style="93" customWidth="1"/>
    <col min="13314" max="13314" width="9.7109375" style="93" customWidth="1"/>
    <col min="13315" max="13315" width="15.140625" style="93" customWidth="1"/>
    <col min="13316" max="13316" width="12" style="93" customWidth="1"/>
    <col min="13317" max="13320" width="9.140625" style="93"/>
    <col min="13321" max="13321" width="9.42578125" style="93" customWidth="1"/>
    <col min="13322" max="13567" width="9.140625" style="93"/>
    <col min="13568" max="13568" width="30.85546875" style="93" customWidth="1"/>
    <col min="13569" max="13569" width="9.140625" style="93" customWidth="1"/>
    <col min="13570" max="13570" width="9.7109375" style="93" customWidth="1"/>
    <col min="13571" max="13571" width="15.140625" style="93" customWidth="1"/>
    <col min="13572" max="13572" width="12" style="93" customWidth="1"/>
    <col min="13573" max="13576" width="9.140625" style="93"/>
    <col min="13577" max="13577" width="9.42578125" style="93" customWidth="1"/>
    <col min="13578" max="13823" width="9.140625" style="93"/>
    <col min="13824" max="13824" width="30.85546875" style="93" customWidth="1"/>
    <col min="13825" max="13825" width="9.140625" style="93" customWidth="1"/>
    <col min="13826" max="13826" width="9.7109375" style="93" customWidth="1"/>
    <col min="13827" max="13827" width="15.140625" style="93" customWidth="1"/>
    <col min="13828" max="13828" width="12" style="93" customWidth="1"/>
    <col min="13829" max="13832" width="9.140625" style="93"/>
    <col min="13833" max="13833" width="9.42578125" style="93" customWidth="1"/>
    <col min="13834" max="14079" width="9.140625" style="93"/>
    <col min="14080" max="14080" width="30.85546875" style="93" customWidth="1"/>
    <col min="14081" max="14081" width="9.140625" style="93" customWidth="1"/>
    <col min="14082" max="14082" width="9.7109375" style="93" customWidth="1"/>
    <col min="14083" max="14083" width="15.140625" style="93" customWidth="1"/>
    <col min="14084" max="14084" width="12" style="93" customWidth="1"/>
    <col min="14085" max="14088" width="9.140625" style="93"/>
    <col min="14089" max="14089" width="9.42578125" style="93" customWidth="1"/>
    <col min="14090" max="14335" width="9.140625" style="93"/>
    <col min="14336" max="14336" width="30.85546875" style="93" customWidth="1"/>
    <col min="14337" max="14337" width="9.140625" style="93" customWidth="1"/>
    <col min="14338" max="14338" width="9.7109375" style="93" customWidth="1"/>
    <col min="14339" max="14339" width="15.140625" style="93" customWidth="1"/>
    <col min="14340" max="14340" width="12" style="93" customWidth="1"/>
    <col min="14341" max="14344" width="9.140625" style="93"/>
    <col min="14345" max="14345" width="9.42578125" style="93" customWidth="1"/>
    <col min="14346" max="14591" width="9.140625" style="93"/>
    <col min="14592" max="14592" width="30.85546875" style="93" customWidth="1"/>
    <col min="14593" max="14593" width="9.140625" style="93" customWidth="1"/>
    <col min="14594" max="14594" width="9.7109375" style="93" customWidth="1"/>
    <col min="14595" max="14595" width="15.140625" style="93" customWidth="1"/>
    <col min="14596" max="14596" width="12" style="93" customWidth="1"/>
    <col min="14597" max="14600" width="9.140625" style="93"/>
    <col min="14601" max="14601" width="9.42578125" style="93" customWidth="1"/>
    <col min="14602" max="14847" width="9.140625" style="93"/>
    <col min="14848" max="14848" width="30.85546875" style="93" customWidth="1"/>
    <col min="14849" max="14849" width="9.140625" style="93" customWidth="1"/>
    <col min="14850" max="14850" width="9.7109375" style="93" customWidth="1"/>
    <col min="14851" max="14851" width="15.140625" style="93" customWidth="1"/>
    <col min="14852" max="14852" width="12" style="93" customWidth="1"/>
    <col min="14853" max="14856" width="9.140625" style="93"/>
    <col min="14857" max="14857" width="9.42578125" style="93" customWidth="1"/>
    <col min="14858" max="15103" width="9.140625" style="93"/>
    <col min="15104" max="15104" width="30.85546875" style="93" customWidth="1"/>
    <col min="15105" max="15105" width="9.140625" style="93" customWidth="1"/>
    <col min="15106" max="15106" width="9.7109375" style="93" customWidth="1"/>
    <col min="15107" max="15107" width="15.140625" style="93" customWidth="1"/>
    <col min="15108" max="15108" width="12" style="93" customWidth="1"/>
    <col min="15109" max="15112" width="9.140625" style="93"/>
    <col min="15113" max="15113" width="9.42578125" style="93" customWidth="1"/>
    <col min="15114" max="15359" width="9.140625" style="93"/>
    <col min="15360" max="15360" width="30.85546875" style="93" customWidth="1"/>
    <col min="15361" max="15361" width="9.140625" style="93" customWidth="1"/>
    <col min="15362" max="15362" width="9.7109375" style="93" customWidth="1"/>
    <col min="15363" max="15363" width="15.140625" style="93" customWidth="1"/>
    <col min="15364" max="15364" width="12" style="93" customWidth="1"/>
    <col min="15365" max="15368" width="9.140625" style="93"/>
    <col min="15369" max="15369" width="9.42578125" style="93" customWidth="1"/>
    <col min="15370" max="15615" width="9.140625" style="93"/>
    <col min="15616" max="15616" width="30.85546875" style="93" customWidth="1"/>
    <col min="15617" max="15617" width="9.140625" style="93" customWidth="1"/>
    <col min="15618" max="15618" width="9.7109375" style="93" customWidth="1"/>
    <col min="15619" max="15619" width="15.140625" style="93" customWidth="1"/>
    <col min="15620" max="15620" width="12" style="93" customWidth="1"/>
    <col min="15621" max="15624" width="9.140625" style="93"/>
    <col min="15625" max="15625" width="9.42578125" style="93" customWidth="1"/>
    <col min="15626" max="15871" width="9.140625" style="93"/>
    <col min="15872" max="15872" width="30.85546875" style="93" customWidth="1"/>
    <col min="15873" max="15873" width="9.140625" style="93" customWidth="1"/>
    <col min="15874" max="15874" width="9.7109375" style="93" customWidth="1"/>
    <col min="15875" max="15875" width="15.140625" style="93" customWidth="1"/>
    <col min="15876" max="15876" width="12" style="93" customWidth="1"/>
    <col min="15877" max="15880" width="9.140625" style="93"/>
    <col min="15881" max="15881" width="9.42578125" style="93" customWidth="1"/>
    <col min="15882" max="16127" width="9.140625" style="93"/>
    <col min="16128" max="16128" width="30.85546875" style="93" customWidth="1"/>
    <col min="16129" max="16129" width="9.140625" style="93" customWidth="1"/>
    <col min="16130" max="16130" width="9.7109375" style="93" customWidth="1"/>
    <col min="16131" max="16131" width="15.140625" style="93" customWidth="1"/>
    <col min="16132" max="16132" width="12" style="93" customWidth="1"/>
    <col min="16133" max="16136" width="9.140625" style="93"/>
    <col min="16137" max="16137" width="9.42578125" style="93" customWidth="1"/>
    <col min="16138" max="16384" width="9.140625" style="93"/>
  </cols>
  <sheetData>
    <row r="1" spans="1:5" s="91" customFormat="1">
      <c r="A1" s="89" t="str">
        <f>[2]SharedInputs!B4</f>
        <v>AVISTA UTILITIES</v>
      </c>
      <c r="B1" s="89"/>
      <c r="C1" s="89"/>
      <c r="D1" s="89"/>
      <c r="E1" s="89"/>
    </row>
    <row r="2" spans="1:5" s="91" customFormat="1">
      <c r="A2" s="89" t="s">
        <v>111</v>
      </c>
      <c r="B2" s="89"/>
      <c r="C2" s="89"/>
      <c r="D2" s="89"/>
    </row>
    <row r="3" spans="1:5" s="91" customFormat="1">
      <c r="A3" s="89" t="s">
        <v>159</v>
      </c>
      <c r="B3" s="89"/>
      <c r="C3" s="89"/>
      <c r="D3" s="89"/>
      <c r="E3" s="90"/>
    </row>
    <row r="4" spans="1:5" s="91" customFormat="1">
      <c r="A4" s="89"/>
      <c r="B4" s="89"/>
      <c r="C4" s="89"/>
      <c r="D4" s="89"/>
      <c r="E4" s="90"/>
    </row>
    <row r="5" spans="1:5" s="91" customFormat="1">
      <c r="A5" s="89"/>
      <c r="B5" s="89"/>
      <c r="C5" s="89"/>
      <c r="D5" s="89"/>
      <c r="E5" s="89" t="s">
        <v>157</v>
      </c>
    </row>
    <row r="6" spans="1:5">
      <c r="A6" s="166"/>
      <c r="B6" s="92"/>
      <c r="C6" s="92"/>
      <c r="E6" s="89" t="s">
        <v>156</v>
      </c>
    </row>
    <row r="7" spans="1:5">
      <c r="A7" s="92"/>
      <c r="B7" s="92"/>
      <c r="C7" s="92"/>
      <c r="E7" s="92"/>
    </row>
    <row r="8" spans="1:5">
      <c r="A8" s="92" t="s">
        <v>112</v>
      </c>
      <c r="B8" s="92"/>
      <c r="C8" s="92"/>
      <c r="E8" s="92">
        <v>1</v>
      </c>
    </row>
    <row r="9" spans="1:5">
      <c r="A9" s="92"/>
      <c r="B9" s="92"/>
      <c r="C9" s="92"/>
      <c r="E9" s="92"/>
    </row>
    <row r="10" spans="1:5">
      <c r="A10" s="92" t="s">
        <v>58</v>
      </c>
      <c r="B10" s="92"/>
      <c r="C10" s="92"/>
      <c r="E10" s="92"/>
    </row>
    <row r="11" spans="1:5">
      <c r="A11" s="92"/>
      <c r="B11" s="92"/>
      <c r="C11" s="92"/>
      <c r="E11" s="92"/>
    </row>
    <row r="12" spans="1:5">
      <c r="A12" s="92" t="s">
        <v>113</v>
      </c>
      <c r="B12" s="92"/>
      <c r="C12" s="92"/>
      <c r="E12" s="92">
        <v>3.7820000000000002E-3</v>
      </c>
    </row>
    <row r="13" spans="1:5">
      <c r="A13" s="92"/>
      <c r="B13" s="92"/>
      <c r="C13" s="92"/>
      <c r="E13" s="92"/>
    </row>
    <row r="14" spans="1:5">
      <c r="A14" s="92" t="s">
        <v>114</v>
      </c>
      <c r="B14" s="92"/>
      <c r="C14" s="92"/>
      <c r="E14" s="92">
        <v>2E-3</v>
      </c>
    </row>
    <row r="15" spans="1:5">
      <c r="A15" s="92"/>
      <c r="B15" s="92"/>
      <c r="C15" s="92"/>
      <c r="E15" s="92"/>
    </row>
    <row r="16" spans="1:5">
      <c r="A16" s="92" t="s">
        <v>115</v>
      </c>
      <c r="B16" s="92"/>
      <c r="C16" s="92"/>
      <c r="E16" s="92">
        <v>3.8587000000000003E-2</v>
      </c>
    </row>
    <row r="17" spans="1:10">
      <c r="A17" s="92"/>
      <c r="B17" s="92"/>
      <c r="C17" s="92"/>
      <c r="E17" s="92"/>
    </row>
    <row r="18" spans="1:10">
      <c r="A18" s="92"/>
      <c r="B18" s="92"/>
      <c r="C18" s="92"/>
    </row>
    <row r="19" spans="1:10">
      <c r="A19" s="92" t="s">
        <v>59</v>
      </c>
      <c r="B19" s="92"/>
      <c r="C19" s="92"/>
      <c r="E19" s="94">
        <f>SUM(E11:E17)</f>
        <v>4.4369000000000006E-2</v>
      </c>
      <c r="J19" s="95"/>
    </row>
    <row r="20" spans="1:10" ht="15.75" thickBot="1">
      <c r="A20" s="92"/>
      <c r="B20" s="92"/>
      <c r="C20" s="92"/>
    </row>
    <row r="21" spans="1:10" ht="16.5" thickTop="1" thickBot="1">
      <c r="A21" s="92" t="s">
        <v>60</v>
      </c>
      <c r="B21" s="92"/>
      <c r="C21" s="92"/>
      <c r="E21" s="165">
        <f>E8-E19</f>
        <v>0.95563100000000001</v>
      </c>
    </row>
    <row r="22" spans="1:10" ht="15.75" thickTop="1">
      <c r="A22" s="92"/>
      <c r="B22" s="92"/>
      <c r="C22" s="92"/>
      <c r="E22" s="92"/>
    </row>
    <row r="23" spans="1:10">
      <c r="A23" s="92" t="s">
        <v>116</v>
      </c>
      <c r="B23" s="141">
        <v>0.21</v>
      </c>
      <c r="C23" s="96"/>
      <c r="E23" s="92">
        <f>E21*$B$23</f>
        <v>0.20068250999999998</v>
      </c>
    </row>
    <row r="24" spans="1:10">
      <c r="A24" s="92"/>
      <c r="B24" s="92"/>
      <c r="C24" s="92"/>
      <c r="E24" s="92"/>
    </row>
    <row r="25" spans="1:10">
      <c r="A25" s="92" t="s">
        <v>57</v>
      </c>
      <c r="B25" s="92"/>
      <c r="C25" s="92"/>
      <c r="E25" s="94">
        <f>E21-E23</f>
        <v>0.75494849000000008</v>
      </c>
    </row>
    <row r="26" spans="1:10">
      <c r="A26" s="92"/>
      <c r="B26" s="92"/>
      <c r="C26" s="92"/>
      <c r="E26" s="92"/>
    </row>
    <row r="27" spans="1:10">
      <c r="A27" s="92"/>
      <c r="B27" s="92"/>
      <c r="C27" s="92"/>
      <c r="E27" s="92"/>
    </row>
    <row r="28" spans="1:10">
      <c r="A28" s="92"/>
      <c r="B28" s="92"/>
      <c r="C28" s="92"/>
      <c r="D28" s="92"/>
      <c r="E28" s="92"/>
    </row>
    <row r="33" spans="2:6">
      <c r="F33" s="104"/>
    </row>
    <row r="41" spans="2:6">
      <c r="B41" s="102"/>
    </row>
    <row r="42" spans="2:6">
      <c r="C42" s="98"/>
    </row>
    <row r="43" spans="2:6">
      <c r="C43" s="100"/>
    </row>
    <row r="44" spans="2:6">
      <c r="C44" s="100"/>
    </row>
    <row r="49" spans="2:2">
      <c r="B49" s="93" t="s">
        <v>118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2:I19"/>
  <sheetViews>
    <sheetView workbookViewId="0">
      <selection activeCell="A40" sqref="A40"/>
    </sheetView>
  </sheetViews>
  <sheetFormatPr defaultColWidth="9.140625" defaultRowHeight="12.75"/>
  <cols>
    <col min="1" max="1" width="19.85546875" style="148" customWidth="1"/>
    <col min="2" max="2" width="9.85546875" style="148" bestFit="1" customWidth="1"/>
    <col min="3" max="3" width="10.42578125" style="148" bestFit="1" customWidth="1"/>
    <col min="4" max="4" width="10.42578125" style="148" customWidth="1"/>
    <col min="5" max="5" width="9.140625" style="148"/>
    <col min="6" max="6" width="11" style="148" customWidth="1"/>
    <col min="7" max="7" width="31.140625" style="148" customWidth="1"/>
    <col min="8" max="9" width="12.42578125" style="148" customWidth="1"/>
    <col min="10" max="16384" width="9.140625" style="148"/>
  </cols>
  <sheetData>
    <row r="12" spans="1:9" ht="25.5">
      <c r="A12" s="161" t="s">
        <v>125</v>
      </c>
      <c r="B12" s="159" t="s">
        <v>126</v>
      </c>
      <c r="C12" s="159" t="s">
        <v>164</v>
      </c>
      <c r="D12" s="160" t="s">
        <v>128</v>
      </c>
      <c r="F12" s="168" t="s">
        <v>132</v>
      </c>
      <c r="G12" s="169" t="s">
        <v>138</v>
      </c>
      <c r="H12" s="170" t="s">
        <v>165</v>
      </c>
      <c r="I12" s="149"/>
    </row>
    <row r="13" spans="1:9">
      <c r="A13" s="150" t="s">
        <v>105</v>
      </c>
      <c r="B13" s="151">
        <f>'Rate Design'!C39</f>
        <v>9</v>
      </c>
      <c r="C13" s="152"/>
      <c r="D13" s="153">
        <f>B13</f>
        <v>9</v>
      </c>
      <c r="F13" s="171" t="s">
        <v>133</v>
      </c>
      <c r="G13" s="172" t="s">
        <v>139</v>
      </c>
      <c r="H13" s="224">
        <f>'Rate Design'!D23</f>
        <v>1.7918894522388994E-3</v>
      </c>
    </row>
    <row r="14" spans="1:9">
      <c r="A14" s="150" t="s">
        <v>129</v>
      </c>
      <c r="B14" s="154">
        <f>'Rate Design'!C40</f>
        <v>8.7599999999999997E-2</v>
      </c>
      <c r="C14" s="154">
        <f>'Rate Design'!D18</f>
        <v>1.6939308342678606E-4</v>
      </c>
      <c r="D14" s="155">
        <f>B14+C14</f>
        <v>8.776939308342678E-2</v>
      </c>
      <c r="F14" s="171" t="s">
        <v>134</v>
      </c>
      <c r="G14" s="172" t="s">
        <v>140</v>
      </c>
      <c r="H14" s="224">
        <f>'Rate Design'!E23</f>
        <v>1.3421140694456182E-3</v>
      </c>
    </row>
    <row r="15" spans="1:9">
      <c r="A15" s="150" t="s">
        <v>130</v>
      </c>
      <c r="B15" s="154">
        <f>'Rate Design'!C41</f>
        <v>9.4E-2</v>
      </c>
      <c r="C15" s="154">
        <f>C14</f>
        <v>1.6939308342678606E-4</v>
      </c>
      <c r="D15" s="155">
        <f t="shared" ref="D15:D16" si="0">B15+C15</f>
        <v>9.4169393083426783E-2</v>
      </c>
      <c r="F15" s="171" t="s">
        <v>135</v>
      </c>
      <c r="G15" s="172" t="s">
        <v>141</v>
      </c>
      <c r="H15" s="224">
        <f>'Rate Design'!F23</f>
        <v>1.5460086522059262E-3</v>
      </c>
    </row>
    <row r="16" spans="1:9">
      <c r="A16" s="156" t="s">
        <v>152</v>
      </c>
      <c r="B16" s="157">
        <v>0.1056</v>
      </c>
      <c r="C16" s="157">
        <f>C15</f>
        <v>1.6939308342678606E-4</v>
      </c>
      <c r="D16" s="158">
        <f t="shared" si="0"/>
        <v>0.10576939308342678</v>
      </c>
      <c r="F16" s="171" t="s">
        <v>136</v>
      </c>
      <c r="G16" s="172" t="s">
        <v>143</v>
      </c>
      <c r="H16" s="224">
        <f>'Rate Design'!G23</f>
        <v>2.4355405445770219E-3</v>
      </c>
    </row>
    <row r="17" spans="6:8">
      <c r="F17" s="171" t="s">
        <v>137</v>
      </c>
      <c r="G17" s="172" t="s">
        <v>142</v>
      </c>
      <c r="H17" s="224">
        <f>'Rate Design'!H23</f>
        <v>1.9662081301399736E-3</v>
      </c>
    </row>
    <row r="18" spans="6:8">
      <c r="F18" s="173" t="s">
        <v>144</v>
      </c>
      <c r="G18" s="172" t="s">
        <v>87</v>
      </c>
      <c r="H18" s="224">
        <f>'Rate Design'!I23</f>
        <v>4.1055081786668906E-4</v>
      </c>
    </row>
    <row r="19" spans="6:8">
      <c r="F19" s="174"/>
      <c r="G19" s="175" t="s">
        <v>147</v>
      </c>
      <c r="H19" s="223">
        <f>'Rate Design'!C23</f>
        <v>1.7286931536081187E-3</v>
      </c>
    </row>
  </sheetData>
  <pageMargins left="0.7" right="0.7" top="0.75" bottom="0.75" header="0.3" footer="0.3"/>
  <pageSetup orientation="portrait" r:id="rId1"/>
  <customProperties>
    <customPr name="xxe4aPID" r:id="rId2"/>
  </customProperties>
  <ignoredErrors>
    <ignoredError sqref="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6993CDAED97B041A793D5FE7696A01C" ma:contentTypeVersion="44" ma:contentTypeDescription="" ma:contentTypeScope="" ma:versionID="2eeea5680028af817be1bdad4f172a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CCBFD2F-8269-44D7-9EA0-7B5007BBBA36}"/>
</file>

<file path=customXml/itemProps3.xml><?xml version="1.0" encoding="utf-8"?>
<ds:datastoreItem xmlns:ds="http://schemas.openxmlformats.org/officeDocument/2006/customXml" ds:itemID="{59DE2B38-F1D6-4B66-BB1A-3F7E3C4DAEBB}"/>
</file>

<file path=customXml/itemProps4.xml><?xml version="1.0" encoding="utf-8"?>
<ds:datastoreItem xmlns:ds="http://schemas.openxmlformats.org/officeDocument/2006/customXml" ds:itemID="{407BC6A6-BB60-40F6-9D7E-6D764EC5274E}"/>
</file>

<file path=customXml/itemProps5.xml><?xml version="1.0" encoding="utf-8"?>
<ds:datastoreItem xmlns:ds="http://schemas.openxmlformats.org/officeDocument/2006/customXml" ds:itemID="{8A68545B-8AB2-41ED-94CA-F8BC0FF15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Rate Design</vt:lpstr>
      <vt:lpstr>3-2021 thru 6-2021 RECs</vt:lpstr>
      <vt:lpstr>7-2021 thru 6-2022 RECs</vt:lpstr>
      <vt:lpstr>Forecast Balance</vt:lpstr>
      <vt:lpstr>Forecasted Revenue</vt:lpstr>
      <vt:lpstr>kWh Forecast</vt:lpstr>
      <vt:lpstr>CF WA Elec</vt:lpstr>
      <vt:lpstr>Tables for Cust Notice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Garbarino, Marcus</cp:lastModifiedBy>
  <cp:lastPrinted>2021-03-30T18:07:06Z</cp:lastPrinted>
  <dcterms:created xsi:type="dcterms:W3CDTF">2016-02-09T19:01:57Z</dcterms:created>
  <dcterms:modified xsi:type="dcterms:W3CDTF">2021-03-30T18:10:55Z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0x0101006E56B4D1795A2E4DB2F0B01679ED314A00D6993CDAED97B041A793D5FE7696A01C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