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WUTC\BD Tariff 94\Tip Fee increase &amp; B&amp;O Jan 2021\Work Papers\"/>
    </mc:Choice>
  </mc:AlternateContent>
  <bookViews>
    <workbookView xWindow="0" yWindow="0" windowWidth="24000" windowHeight="9720" tabRatio="845"/>
  </bookViews>
  <sheets>
    <sheet name="BDI_Disp Increase Calculation" sheetId="2" r:id="rId1"/>
    <sheet name="B&amp;O Tax Increase Calculations" sheetId="10" r:id="rId2"/>
    <sheet name="References_BDI" sheetId="7" r:id="rId3"/>
    <sheet name="BDI_RevenueIncrease" sheetId="4" r:id="rId4"/>
    <sheet name="Tonnage Summary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'BDI_Disp Increase Calculation'!$B$6:$U$114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>#REF!</definedName>
    <definedName name="BDI_Driver_per">#REF!</definedName>
    <definedName name="BDI_Emp_per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>#REF!</definedName>
    <definedName name="BRoom_Driver_per">#REF!</definedName>
    <definedName name="BRoom_Emp_per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>#REF!</definedName>
    <definedName name="Eds_Driver_per">#REF!</definedName>
    <definedName name="Eds_Emp_per">#REF!</definedName>
    <definedName name="Eds_Rev_per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>#REF!</definedName>
    <definedName name="IncomeStmnt">#REF!</definedName>
    <definedName name="Industrial_Ins._Rate">[5]Census!$F$9</definedName>
    <definedName name="INPUT">#REF!</definedName>
    <definedName name="Insurance">#REF!</definedName>
    <definedName name="Interfund_Increase_Factor">[5]Census!$B$14</definedName>
    <definedName name="IS_4C" localSheetId="2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2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>#REF!</definedName>
    <definedName name="Walla_Driver_per">#REF!</definedName>
    <definedName name="Walla_Emp_per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>#REF!</definedName>
    <definedName name="Yak_Driver_per">#REF!</definedName>
    <definedName name="Yak_Emp_per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2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6" i="10" l="1"/>
  <c r="M105" i="10" l="1"/>
  <c r="J105" i="10"/>
  <c r="H105" i="10"/>
  <c r="M104" i="10"/>
  <c r="J104" i="10"/>
  <c r="H104" i="10"/>
  <c r="M103" i="10"/>
  <c r="J103" i="10"/>
  <c r="H103" i="10"/>
  <c r="M102" i="10"/>
  <c r="J102" i="10"/>
  <c r="H102" i="10"/>
  <c r="K102" i="10" s="1"/>
  <c r="L102" i="10" s="1"/>
  <c r="N102" i="10" s="1"/>
  <c r="M101" i="10"/>
  <c r="J101" i="10"/>
  <c r="H101" i="10"/>
  <c r="M100" i="10"/>
  <c r="J100" i="10"/>
  <c r="H100" i="10"/>
  <c r="M99" i="10"/>
  <c r="J99" i="10"/>
  <c r="H99" i="10"/>
  <c r="M98" i="10"/>
  <c r="J98" i="10"/>
  <c r="K98" i="10" s="1"/>
  <c r="L98" i="10" s="1"/>
  <c r="N98" i="10" s="1"/>
  <c r="H98" i="10"/>
  <c r="J97" i="10"/>
  <c r="H97" i="10"/>
  <c r="F97" i="10"/>
  <c r="M97" i="10" s="1"/>
  <c r="M96" i="10"/>
  <c r="J96" i="10"/>
  <c r="H96" i="10"/>
  <c r="M95" i="10"/>
  <c r="J95" i="10"/>
  <c r="H95" i="10"/>
  <c r="M94" i="10"/>
  <c r="J94" i="10"/>
  <c r="K94" i="10" s="1"/>
  <c r="L94" i="10" s="1"/>
  <c r="N94" i="10" s="1"/>
  <c r="H94" i="10"/>
  <c r="M93" i="10"/>
  <c r="J93" i="10"/>
  <c r="K93" i="10" s="1"/>
  <c r="L93" i="10" s="1"/>
  <c r="N93" i="10" s="1"/>
  <c r="H93" i="10"/>
  <c r="M92" i="10"/>
  <c r="J92" i="10"/>
  <c r="H92" i="10"/>
  <c r="K92" i="10" s="1"/>
  <c r="L92" i="10" s="1"/>
  <c r="N92" i="10" s="1"/>
  <c r="M91" i="10"/>
  <c r="J91" i="10"/>
  <c r="H91" i="10"/>
  <c r="M90" i="10"/>
  <c r="J90" i="10"/>
  <c r="H90" i="10"/>
  <c r="M89" i="10"/>
  <c r="J89" i="10"/>
  <c r="H89" i="10"/>
  <c r="F89" i="10"/>
  <c r="M88" i="10"/>
  <c r="J88" i="10"/>
  <c r="H88" i="10"/>
  <c r="M87" i="10"/>
  <c r="J87" i="10"/>
  <c r="H87" i="10"/>
  <c r="K87" i="10" s="1"/>
  <c r="L87" i="10" s="1"/>
  <c r="N87" i="10" s="1"/>
  <c r="M86" i="10"/>
  <c r="J86" i="10"/>
  <c r="H86" i="10"/>
  <c r="M85" i="10"/>
  <c r="J85" i="10"/>
  <c r="H85" i="10"/>
  <c r="M84" i="10"/>
  <c r="J84" i="10"/>
  <c r="H84" i="10"/>
  <c r="F84" i="10"/>
  <c r="M83" i="10"/>
  <c r="J83" i="10"/>
  <c r="H83" i="10"/>
  <c r="J82" i="10"/>
  <c r="H82" i="10"/>
  <c r="F82" i="10"/>
  <c r="M82" i="10" s="1"/>
  <c r="M81" i="10"/>
  <c r="J81" i="10"/>
  <c r="H81" i="10"/>
  <c r="K80" i="10"/>
  <c r="L80" i="10" s="1"/>
  <c r="N80" i="10" s="1"/>
  <c r="J80" i="10"/>
  <c r="H80" i="10"/>
  <c r="F80" i="10"/>
  <c r="M80" i="10" s="1"/>
  <c r="M79" i="10"/>
  <c r="J79" i="10"/>
  <c r="H79" i="10"/>
  <c r="F79" i="10"/>
  <c r="M78" i="10"/>
  <c r="J78" i="10"/>
  <c r="H78" i="10"/>
  <c r="F78" i="10"/>
  <c r="M77" i="10"/>
  <c r="J77" i="10"/>
  <c r="H77" i="10"/>
  <c r="K77" i="10" s="1"/>
  <c r="L77" i="10" s="1"/>
  <c r="N77" i="10" s="1"/>
  <c r="M76" i="10"/>
  <c r="J76" i="10"/>
  <c r="H76" i="10"/>
  <c r="M75" i="10"/>
  <c r="J75" i="10"/>
  <c r="H75" i="10"/>
  <c r="J74" i="10"/>
  <c r="H74" i="10"/>
  <c r="F74" i="10"/>
  <c r="M74" i="10" s="1"/>
  <c r="J73" i="10"/>
  <c r="H73" i="10"/>
  <c r="F73" i="10"/>
  <c r="M73" i="10" s="1"/>
  <c r="J72" i="10"/>
  <c r="K72" i="10" s="1"/>
  <c r="L72" i="10" s="1"/>
  <c r="H72" i="10"/>
  <c r="F72" i="10"/>
  <c r="M72" i="10" s="1"/>
  <c r="M71" i="10"/>
  <c r="J71" i="10"/>
  <c r="K71" i="10" s="1"/>
  <c r="L71" i="10" s="1"/>
  <c r="N71" i="10" s="1"/>
  <c r="H71" i="10"/>
  <c r="M70" i="10"/>
  <c r="J70" i="10"/>
  <c r="H70" i="10"/>
  <c r="F70" i="10"/>
  <c r="M69" i="10"/>
  <c r="J69" i="10"/>
  <c r="H69" i="10"/>
  <c r="K69" i="10" s="1"/>
  <c r="L69" i="10" s="1"/>
  <c r="N69" i="10" s="1"/>
  <c r="J68" i="10"/>
  <c r="H68" i="10"/>
  <c r="F68" i="10"/>
  <c r="M68" i="10" s="1"/>
  <c r="J67" i="10"/>
  <c r="H67" i="10"/>
  <c r="F67" i="10"/>
  <c r="M67" i="10" s="1"/>
  <c r="J66" i="10"/>
  <c r="H66" i="10"/>
  <c r="F66" i="10"/>
  <c r="M66" i="10" s="1"/>
  <c r="M65" i="10"/>
  <c r="J65" i="10"/>
  <c r="K65" i="10" s="1"/>
  <c r="L65" i="10" s="1"/>
  <c r="N65" i="10" s="1"/>
  <c r="H65" i="10"/>
  <c r="J64" i="10"/>
  <c r="H64" i="10"/>
  <c r="F64" i="10"/>
  <c r="M64" i="10" s="1"/>
  <c r="M63" i="10"/>
  <c r="J63" i="10"/>
  <c r="K63" i="10" s="1"/>
  <c r="L63" i="10" s="1"/>
  <c r="N63" i="10" s="1"/>
  <c r="H63" i="10"/>
  <c r="M62" i="10"/>
  <c r="J62" i="10"/>
  <c r="H62" i="10"/>
  <c r="F62" i="10"/>
  <c r="M61" i="10"/>
  <c r="J61" i="10"/>
  <c r="H61" i="10"/>
  <c r="F61" i="10"/>
  <c r="J60" i="10"/>
  <c r="H60" i="10"/>
  <c r="F60" i="10"/>
  <c r="M60" i="10" s="1"/>
  <c r="M59" i="10"/>
  <c r="J59" i="10"/>
  <c r="H59" i="10"/>
  <c r="K59" i="10" s="1"/>
  <c r="L59" i="10" s="1"/>
  <c r="N59" i="10" s="1"/>
  <c r="J58" i="10"/>
  <c r="K58" i="10" s="1"/>
  <c r="L58" i="10" s="1"/>
  <c r="H58" i="10"/>
  <c r="F58" i="10"/>
  <c r="M58" i="10" s="1"/>
  <c r="M57" i="10"/>
  <c r="J57" i="10"/>
  <c r="K57" i="10" s="1"/>
  <c r="L57" i="10" s="1"/>
  <c r="N57" i="10" s="1"/>
  <c r="H57" i="10"/>
  <c r="M56" i="10"/>
  <c r="J56" i="10"/>
  <c r="H56" i="10"/>
  <c r="F56" i="10"/>
  <c r="M55" i="10"/>
  <c r="J55" i="10"/>
  <c r="H55" i="10"/>
  <c r="M54" i="10"/>
  <c r="J54" i="10"/>
  <c r="H54" i="10"/>
  <c r="K54" i="10" s="1"/>
  <c r="L54" i="10" s="1"/>
  <c r="N54" i="10" s="1"/>
  <c r="M53" i="10"/>
  <c r="J53" i="10"/>
  <c r="H53" i="10"/>
  <c r="M52" i="10"/>
  <c r="J52" i="10"/>
  <c r="K52" i="10" s="1"/>
  <c r="L52" i="10" s="1"/>
  <c r="N52" i="10" s="1"/>
  <c r="H52" i="10"/>
  <c r="M51" i="10"/>
  <c r="J51" i="10"/>
  <c r="H51" i="10"/>
  <c r="M50" i="10"/>
  <c r="J50" i="10"/>
  <c r="K50" i="10" s="1"/>
  <c r="L50" i="10" s="1"/>
  <c r="N50" i="10" s="1"/>
  <c r="H50" i="10"/>
  <c r="J49" i="10"/>
  <c r="H49" i="10"/>
  <c r="F49" i="10"/>
  <c r="M49" i="10" s="1"/>
  <c r="K48" i="10"/>
  <c r="L48" i="10" s="1"/>
  <c r="J48" i="10"/>
  <c r="H48" i="10"/>
  <c r="F48" i="10"/>
  <c r="M48" i="10" s="1"/>
  <c r="K47" i="10"/>
  <c r="L47" i="10" s="1"/>
  <c r="N47" i="10" s="1"/>
  <c r="J47" i="10"/>
  <c r="H47" i="10"/>
  <c r="F47" i="10"/>
  <c r="M47" i="10" s="1"/>
  <c r="M46" i="10"/>
  <c r="J46" i="10"/>
  <c r="H46" i="10"/>
  <c r="M45" i="10"/>
  <c r="J45" i="10"/>
  <c r="H45" i="10"/>
  <c r="K45" i="10" s="1"/>
  <c r="L45" i="10" s="1"/>
  <c r="N45" i="10" s="1"/>
  <c r="M44" i="10"/>
  <c r="J44" i="10"/>
  <c r="H44" i="10"/>
  <c r="M43" i="10"/>
  <c r="J43" i="10"/>
  <c r="H43" i="10"/>
  <c r="M42" i="10"/>
  <c r="J42" i="10"/>
  <c r="H42" i="10"/>
  <c r="M41" i="10"/>
  <c r="J41" i="10"/>
  <c r="K41" i="10" s="1"/>
  <c r="L41" i="10" s="1"/>
  <c r="N41" i="10" s="1"/>
  <c r="H41" i="10"/>
  <c r="M40" i="10"/>
  <c r="J40" i="10"/>
  <c r="H40" i="10"/>
  <c r="M39" i="10"/>
  <c r="K39" i="10"/>
  <c r="L39" i="10" s="1"/>
  <c r="N39" i="10" s="1"/>
  <c r="J39" i="10"/>
  <c r="H39" i="10"/>
  <c r="M38" i="10"/>
  <c r="J38" i="10"/>
  <c r="H38" i="10"/>
  <c r="M37" i="10"/>
  <c r="J37" i="10"/>
  <c r="K37" i="10" s="1"/>
  <c r="L37" i="10" s="1"/>
  <c r="N37" i="10" s="1"/>
  <c r="H37" i="10"/>
  <c r="M36" i="10"/>
  <c r="J36" i="10"/>
  <c r="H36" i="10"/>
  <c r="M35" i="10"/>
  <c r="J35" i="10"/>
  <c r="H35" i="10"/>
  <c r="M34" i="10"/>
  <c r="J34" i="10"/>
  <c r="H34" i="10"/>
  <c r="M33" i="10"/>
  <c r="J33" i="10"/>
  <c r="H33" i="10"/>
  <c r="M32" i="10"/>
  <c r="J32" i="10"/>
  <c r="H32" i="10"/>
  <c r="M31" i="10"/>
  <c r="J31" i="10"/>
  <c r="H31" i="10"/>
  <c r="K31" i="10" s="1"/>
  <c r="L31" i="10" s="1"/>
  <c r="N31" i="10" s="1"/>
  <c r="J30" i="10"/>
  <c r="H30" i="10"/>
  <c r="F30" i="10"/>
  <c r="M30" i="10" s="1"/>
  <c r="M29" i="10"/>
  <c r="J29" i="10"/>
  <c r="H29" i="10"/>
  <c r="M28" i="10"/>
  <c r="J28" i="10"/>
  <c r="H28" i="10"/>
  <c r="M27" i="10"/>
  <c r="J27" i="10"/>
  <c r="H27" i="10"/>
  <c r="M26" i="10"/>
  <c r="J26" i="10"/>
  <c r="H26" i="10"/>
  <c r="M25" i="10"/>
  <c r="J25" i="10"/>
  <c r="K25" i="10" s="1"/>
  <c r="L25" i="10" s="1"/>
  <c r="N25" i="10" s="1"/>
  <c r="H25" i="10"/>
  <c r="M24" i="10"/>
  <c r="J24" i="10"/>
  <c r="H24" i="10"/>
  <c r="M23" i="10"/>
  <c r="J23" i="10"/>
  <c r="H23" i="10"/>
  <c r="M22" i="10"/>
  <c r="J22" i="10"/>
  <c r="H22" i="10"/>
  <c r="J21" i="10"/>
  <c r="H21" i="10"/>
  <c r="F21" i="10"/>
  <c r="M21" i="10" s="1"/>
  <c r="M20" i="10"/>
  <c r="J20" i="10"/>
  <c r="H20" i="10"/>
  <c r="F20" i="10"/>
  <c r="M19" i="10"/>
  <c r="J19" i="10"/>
  <c r="H19" i="10"/>
  <c r="M18" i="10"/>
  <c r="J18" i="10"/>
  <c r="H18" i="10"/>
  <c r="M17" i="10"/>
  <c r="J17" i="10"/>
  <c r="H17" i="10"/>
  <c r="M16" i="10"/>
  <c r="J16" i="10"/>
  <c r="K16" i="10" s="1"/>
  <c r="L16" i="10" s="1"/>
  <c r="N16" i="10" s="1"/>
  <c r="H16" i="10"/>
  <c r="E15" i="10"/>
  <c r="J15" i="10" s="1"/>
  <c r="M14" i="10"/>
  <c r="J14" i="10"/>
  <c r="H14" i="10"/>
  <c r="J13" i="10"/>
  <c r="H13" i="10"/>
  <c r="F13" i="10"/>
  <c r="M13" i="10" s="1"/>
  <c r="M12" i="10"/>
  <c r="J12" i="10"/>
  <c r="K12" i="10" s="1"/>
  <c r="L12" i="10" s="1"/>
  <c r="N12" i="10" s="1"/>
  <c r="H12" i="10"/>
  <c r="M11" i="10"/>
  <c r="J11" i="10"/>
  <c r="H11" i="10"/>
  <c r="M10" i="10"/>
  <c r="J10" i="10"/>
  <c r="K10" i="10" s="1"/>
  <c r="L10" i="10" s="1"/>
  <c r="N10" i="10" s="1"/>
  <c r="H10" i="10"/>
  <c r="M9" i="10"/>
  <c r="J9" i="10"/>
  <c r="H9" i="10"/>
  <c r="M8" i="10"/>
  <c r="J8" i="10"/>
  <c r="K8" i="10" s="1"/>
  <c r="L8" i="10" s="1"/>
  <c r="N8" i="10" s="1"/>
  <c r="H8" i="10"/>
  <c r="K75" i="10" l="1"/>
  <c r="L75" i="10" s="1"/>
  <c r="N75" i="10" s="1"/>
  <c r="K32" i="10"/>
  <c r="L32" i="10" s="1"/>
  <c r="N32" i="10" s="1"/>
  <c r="K43" i="10"/>
  <c r="L43" i="10" s="1"/>
  <c r="N43" i="10" s="1"/>
  <c r="K9" i="10"/>
  <c r="L9" i="10" s="1"/>
  <c r="N9" i="10" s="1"/>
  <c r="K18" i="10"/>
  <c r="L18" i="10" s="1"/>
  <c r="N18" i="10" s="1"/>
  <c r="K27" i="10"/>
  <c r="L27" i="10" s="1"/>
  <c r="N27" i="10" s="1"/>
  <c r="K35" i="10"/>
  <c r="L35" i="10" s="1"/>
  <c r="N35" i="10" s="1"/>
  <c r="K46" i="10"/>
  <c r="L46" i="10" s="1"/>
  <c r="N46" i="10" s="1"/>
  <c r="K60" i="10"/>
  <c r="L60" i="10" s="1"/>
  <c r="K82" i="10"/>
  <c r="L82" i="10" s="1"/>
  <c r="K96" i="10"/>
  <c r="L96" i="10" s="1"/>
  <c r="N96" i="10" s="1"/>
  <c r="K101" i="10"/>
  <c r="L101" i="10" s="1"/>
  <c r="N101" i="10" s="1"/>
  <c r="K11" i="10"/>
  <c r="L11" i="10" s="1"/>
  <c r="N11" i="10" s="1"/>
  <c r="K24" i="10"/>
  <c r="L24" i="10" s="1"/>
  <c r="N24" i="10" s="1"/>
  <c r="H15" i="10"/>
  <c r="K14" i="10"/>
  <c r="L14" i="10" s="1"/>
  <c r="N14" i="10" s="1"/>
  <c r="K26" i="10"/>
  <c r="L26" i="10" s="1"/>
  <c r="N26" i="10" s="1"/>
  <c r="K33" i="10"/>
  <c r="L33" i="10" s="1"/>
  <c r="N33" i="10" s="1"/>
  <c r="K40" i="10"/>
  <c r="L40" i="10" s="1"/>
  <c r="N40" i="10" s="1"/>
  <c r="K49" i="10"/>
  <c r="L49" i="10" s="1"/>
  <c r="N49" i="10" s="1"/>
  <c r="K66" i="10"/>
  <c r="L66" i="10" s="1"/>
  <c r="N66" i="10" s="1"/>
  <c r="K74" i="10"/>
  <c r="L74" i="10" s="1"/>
  <c r="N74" i="10" s="1"/>
  <c r="K83" i="10"/>
  <c r="L83" i="10" s="1"/>
  <c r="N83" i="10" s="1"/>
  <c r="K85" i="10"/>
  <c r="L85" i="10" s="1"/>
  <c r="N85" i="10" s="1"/>
  <c r="K90" i="10"/>
  <c r="L90" i="10" s="1"/>
  <c r="N90" i="10" s="1"/>
  <c r="K100" i="10"/>
  <c r="L100" i="10" s="1"/>
  <c r="N100" i="10" s="1"/>
  <c r="K104" i="10"/>
  <c r="L104" i="10" s="1"/>
  <c r="N104" i="10" s="1"/>
  <c r="K13" i="10"/>
  <c r="L13" i="10" s="1"/>
  <c r="N13" i="10" s="1"/>
  <c r="K22" i="10"/>
  <c r="L22" i="10" s="1"/>
  <c r="N22" i="10" s="1"/>
  <c r="K34" i="10"/>
  <c r="L34" i="10" s="1"/>
  <c r="N34" i="10" s="1"/>
  <c r="K56" i="10"/>
  <c r="L56" i="10" s="1"/>
  <c r="N56" i="10" s="1"/>
  <c r="K67" i="10"/>
  <c r="L67" i="10" s="1"/>
  <c r="N67" i="10" s="1"/>
  <c r="K68" i="10"/>
  <c r="L68" i="10" s="1"/>
  <c r="N68" i="10" s="1"/>
  <c r="K76" i="10"/>
  <c r="L76" i="10" s="1"/>
  <c r="N76" i="10" s="1"/>
  <c r="K86" i="10"/>
  <c r="L86" i="10" s="1"/>
  <c r="N86" i="10" s="1"/>
  <c r="K89" i="10"/>
  <c r="L89" i="10" s="1"/>
  <c r="N89" i="10" s="1"/>
  <c r="K91" i="10"/>
  <c r="L91" i="10" s="1"/>
  <c r="N91" i="10" s="1"/>
  <c r="N58" i="10"/>
  <c r="N82" i="10"/>
  <c r="K20" i="10"/>
  <c r="L20" i="10" s="1"/>
  <c r="N20" i="10" s="1"/>
  <c r="K21" i="10"/>
  <c r="L21" i="10" s="1"/>
  <c r="N21" i="10" s="1"/>
  <c r="K28" i="10"/>
  <c r="L28" i="10" s="1"/>
  <c r="N28" i="10" s="1"/>
  <c r="K42" i="10"/>
  <c r="L42" i="10" s="1"/>
  <c r="N42" i="10" s="1"/>
  <c r="K51" i="10"/>
  <c r="L51" i="10" s="1"/>
  <c r="N51" i="10" s="1"/>
  <c r="K61" i="10"/>
  <c r="L61" i="10" s="1"/>
  <c r="N61" i="10" s="1"/>
  <c r="K62" i="10"/>
  <c r="L62" i="10" s="1"/>
  <c r="N62" i="10" s="1"/>
  <c r="K79" i="10"/>
  <c r="L79" i="10" s="1"/>
  <c r="N79" i="10" s="1"/>
  <c r="K95" i="10"/>
  <c r="L95" i="10" s="1"/>
  <c r="N95" i="10" s="1"/>
  <c r="K17" i="10"/>
  <c r="L17" i="10" s="1"/>
  <c r="N17" i="10" s="1"/>
  <c r="K29" i="10"/>
  <c r="L29" i="10" s="1"/>
  <c r="N29" i="10" s="1"/>
  <c r="K36" i="10"/>
  <c r="L36" i="10" s="1"/>
  <c r="N36" i="10" s="1"/>
  <c r="K44" i="10"/>
  <c r="L44" i="10" s="1"/>
  <c r="N44" i="10" s="1"/>
  <c r="N48" i="10"/>
  <c r="K55" i="10"/>
  <c r="L55" i="10" s="1"/>
  <c r="N55" i="10" s="1"/>
  <c r="N60" i="10"/>
  <c r="K70" i="10"/>
  <c r="L70" i="10" s="1"/>
  <c r="N70" i="10" s="1"/>
  <c r="K78" i="10"/>
  <c r="L78" i="10" s="1"/>
  <c r="N78" i="10" s="1"/>
  <c r="K81" i="10"/>
  <c r="L81" i="10" s="1"/>
  <c r="N81" i="10" s="1"/>
  <c r="K88" i="10"/>
  <c r="L88" i="10" s="1"/>
  <c r="N88" i="10" s="1"/>
  <c r="K99" i="10"/>
  <c r="L99" i="10" s="1"/>
  <c r="N99" i="10" s="1"/>
  <c r="M15" i="10"/>
  <c r="M106" i="10" s="1"/>
  <c r="O8" i="4" s="1"/>
  <c r="K19" i="10"/>
  <c r="L19" i="10" s="1"/>
  <c r="N19" i="10" s="1"/>
  <c r="K23" i="10"/>
  <c r="L23" i="10" s="1"/>
  <c r="N23" i="10" s="1"/>
  <c r="K30" i="10"/>
  <c r="L30" i="10" s="1"/>
  <c r="N30" i="10" s="1"/>
  <c r="K38" i="10"/>
  <c r="L38" i="10" s="1"/>
  <c r="N38" i="10" s="1"/>
  <c r="K53" i="10"/>
  <c r="L53" i="10" s="1"/>
  <c r="N53" i="10" s="1"/>
  <c r="K64" i="10"/>
  <c r="L64" i="10" s="1"/>
  <c r="N64" i="10" s="1"/>
  <c r="K73" i="10"/>
  <c r="L73" i="10" s="1"/>
  <c r="N73" i="10" s="1"/>
  <c r="K97" i="10"/>
  <c r="L97" i="10" s="1"/>
  <c r="N97" i="10" s="1"/>
  <c r="K105" i="10"/>
  <c r="L105" i="10" s="1"/>
  <c r="N105" i="10" s="1"/>
  <c r="K15" i="10"/>
  <c r="L15" i="10" s="1"/>
  <c r="N15" i="10" s="1"/>
  <c r="N72" i="10"/>
  <c r="K84" i="10"/>
  <c r="L84" i="10" s="1"/>
  <c r="N84" i="10" s="1"/>
  <c r="K103" i="10"/>
  <c r="L103" i="10" s="1"/>
  <c r="N103" i="10" s="1"/>
  <c r="N106" i="10" l="1"/>
  <c r="Q8" i="4" s="1"/>
  <c r="U8" i="4" l="1"/>
  <c r="S8" i="4"/>
  <c r="I61" i="2" l="1"/>
  <c r="I62" i="2"/>
  <c r="I63" i="2"/>
  <c r="I64" i="2"/>
  <c r="I60" i="2"/>
  <c r="Q83" i="2" l="1"/>
  <c r="Q86" i="2"/>
  <c r="Q85" i="2"/>
  <c r="Q84" i="2"/>
  <c r="K90" i="2" l="1"/>
  <c r="K91" i="2"/>
  <c r="K89" i="2"/>
  <c r="K107" i="2"/>
  <c r="K108" i="2" s="1"/>
  <c r="K105" i="2"/>
  <c r="K106" i="2"/>
  <c r="K104" i="2"/>
  <c r="K102" i="2"/>
  <c r="K113" i="2" s="1"/>
  <c r="K114" i="2" s="1"/>
  <c r="K103" i="2"/>
  <c r="K101" i="2"/>
  <c r="K99" i="2"/>
  <c r="K100" i="2"/>
  <c r="K98" i="2"/>
  <c r="K111" i="2" s="1"/>
  <c r="K112" i="2" s="1"/>
  <c r="K96" i="2"/>
  <c r="K109" i="2" s="1"/>
  <c r="K110" i="2" s="1"/>
  <c r="K97" i="2"/>
  <c r="K95" i="2"/>
  <c r="K93" i="2"/>
  <c r="K94" i="2"/>
  <c r="K92" i="2"/>
  <c r="K86" i="2"/>
  <c r="K85" i="2"/>
  <c r="K84" i="2"/>
  <c r="K83" i="2"/>
  <c r="K82" i="2"/>
  <c r="K81" i="2"/>
  <c r="K79" i="2"/>
  <c r="K80" i="2"/>
  <c r="K78" i="2"/>
  <c r="K69" i="2"/>
  <c r="K70" i="2"/>
  <c r="K68" i="2"/>
  <c r="K67" i="2"/>
  <c r="K77" i="2" s="1"/>
  <c r="K66" i="2"/>
  <c r="K76" i="2" s="1"/>
  <c r="K65" i="2"/>
  <c r="K87" i="2" s="1"/>
  <c r="K64" i="2"/>
  <c r="K61" i="2"/>
  <c r="K62" i="2"/>
  <c r="K63" i="2"/>
  <c r="K60" i="2"/>
  <c r="K88" i="2" l="1"/>
  <c r="H11" i="2"/>
  <c r="S11" i="2" s="1"/>
  <c r="H10" i="2"/>
  <c r="S10" i="2" s="1"/>
  <c r="H9" i="2"/>
  <c r="S9" i="2" s="1"/>
  <c r="H8" i="2"/>
  <c r="S8" i="2" s="1"/>
  <c r="H7" i="2"/>
  <c r="S7" i="2" s="1"/>
  <c r="G40" i="7" l="1"/>
  <c r="D20" i="4"/>
  <c r="D21" i="4"/>
  <c r="K52" i="2" l="1"/>
  <c r="K8" i="2"/>
  <c r="K7" i="2"/>
  <c r="K13" i="2"/>
  <c r="K12" i="2"/>
  <c r="K11" i="2"/>
  <c r="K22" i="2" s="1"/>
  <c r="K10" i="2"/>
  <c r="K9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F10" i="4"/>
  <c r="H10" i="4"/>
  <c r="I7" i="2"/>
  <c r="J7" i="2" s="1"/>
  <c r="K17" i="2" l="1"/>
  <c r="K23" i="2"/>
  <c r="K20" i="2"/>
  <c r="K21" i="2"/>
  <c r="K18" i="2"/>
  <c r="K19" i="2"/>
  <c r="S18" i="2" l="1"/>
  <c r="S19" i="2"/>
  <c r="L87" i="2" l="1"/>
  <c r="L88" i="2"/>
  <c r="S88" i="2"/>
  <c r="S87" i="2"/>
  <c r="I8" i="2" l="1"/>
  <c r="J8" i="2" s="1"/>
  <c r="I9" i="2"/>
  <c r="J9" i="2" s="1"/>
  <c r="I10" i="2"/>
  <c r="J10" i="2" s="1"/>
  <c r="I11" i="2"/>
  <c r="J11" i="2" s="1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S69" i="2"/>
  <c r="S70" i="2"/>
  <c r="S68" i="2"/>
  <c r="L68" i="2"/>
  <c r="L69" i="2"/>
  <c r="L70" i="2"/>
  <c r="S65" i="2"/>
  <c r="S66" i="2"/>
  <c r="S67" i="2"/>
  <c r="L65" i="2"/>
  <c r="L66" i="2"/>
  <c r="L67" i="2"/>
  <c r="S52" i="2" l="1"/>
  <c r="J54" i="2"/>
  <c r="H54" i="2"/>
  <c r="L52" i="2"/>
  <c r="S48" i="2"/>
  <c r="L48" i="2"/>
  <c r="L45" i="2"/>
  <c r="S45" i="2"/>
  <c r="L19" i="2"/>
  <c r="L18" i="2"/>
  <c r="S86" i="2"/>
  <c r="L86" i="2"/>
  <c r="S85" i="2"/>
  <c r="L85" i="2"/>
  <c r="S84" i="2"/>
  <c r="L84" i="2"/>
  <c r="S83" i="2"/>
  <c r="L83" i="2"/>
  <c r="S82" i="2"/>
  <c r="L82" i="2"/>
  <c r="S81" i="2"/>
  <c r="L81" i="2"/>
  <c r="S80" i="2"/>
  <c r="L80" i="2"/>
  <c r="S79" i="2"/>
  <c r="L79" i="2"/>
  <c r="S78" i="2"/>
  <c r="L78" i="2"/>
  <c r="S77" i="2"/>
  <c r="L77" i="2"/>
  <c r="S76" i="2"/>
  <c r="L76" i="2"/>
  <c r="S64" i="2"/>
  <c r="L64" i="2"/>
  <c r="S63" i="2"/>
  <c r="L63" i="2"/>
  <c r="S62" i="2"/>
  <c r="L62" i="2"/>
  <c r="S61" i="2"/>
  <c r="L61" i="2"/>
  <c r="S60" i="2"/>
  <c r="L60" i="2"/>
  <c r="S49" i="2"/>
  <c r="L49" i="2"/>
  <c r="S44" i="2"/>
  <c r="L44" i="2"/>
  <c r="S41" i="2"/>
  <c r="L41" i="2"/>
  <c r="S40" i="2"/>
  <c r="L40" i="2"/>
  <c r="S37" i="2"/>
  <c r="L37" i="2"/>
  <c r="S36" i="2"/>
  <c r="L36" i="2"/>
  <c r="S33" i="2"/>
  <c r="L33" i="2"/>
  <c r="S32" i="2"/>
  <c r="L32" i="2"/>
  <c r="S29" i="2"/>
  <c r="L29" i="2"/>
  <c r="S28" i="2"/>
  <c r="L28" i="2"/>
  <c r="B10" i="4" l="1"/>
  <c r="D22" i="4" l="1"/>
  <c r="D3" i="9"/>
  <c r="B2" i="9"/>
  <c r="C2" i="9"/>
  <c r="H120" i="2" l="1"/>
  <c r="H121" i="2" s="1"/>
  <c r="B47" i="7"/>
  <c r="B4" i="9"/>
  <c r="D2" i="9"/>
  <c r="D4" i="9" s="1"/>
  <c r="C4" i="9"/>
  <c r="B42" i="7"/>
  <c r="B45" i="7" s="1"/>
  <c r="C41" i="7"/>
  <c r="G43" i="7"/>
  <c r="G45" i="7" s="1"/>
  <c r="C40" i="7"/>
  <c r="N3" i="7"/>
  <c r="S3" i="7" s="1"/>
  <c r="P3" i="7"/>
  <c r="Q3" i="7"/>
  <c r="R3" i="7"/>
  <c r="N4" i="7"/>
  <c r="S4" i="7" s="1"/>
  <c r="Q4" i="7"/>
  <c r="R4" i="7"/>
  <c r="N5" i="7"/>
  <c r="S5" i="7" s="1"/>
  <c r="P5" i="7"/>
  <c r="Q5" i="7"/>
  <c r="R5" i="7"/>
  <c r="N6" i="7"/>
  <c r="S6" i="7" s="1"/>
  <c r="P6" i="7"/>
  <c r="Q6" i="7"/>
  <c r="R6" i="7"/>
  <c r="N7" i="7"/>
  <c r="S7" i="7" s="1"/>
  <c r="P7" i="7"/>
  <c r="Q7" i="7"/>
  <c r="R7" i="7"/>
  <c r="N8" i="7"/>
  <c r="S8" i="7" s="1"/>
  <c r="P8" i="7"/>
  <c r="Q8" i="7"/>
  <c r="R8" i="7"/>
  <c r="N9" i="7"/>
  <c r="S9" i="7" s="1"/>
  <c r="P9" i="7"/>
  <c r="Q9" i="7"/>
  <c r="R9" i="7"/>
  <c r="L10" i="4"/>
  <c r="B46" i="7" l="1"/>
  <c r="B48" i="7" s="1"/>
  <c r="J10" i="4"/>
  <c r="C42" i="7"/>
  <c r="P4" i="7"/>
  <c r="O9" i="7"/>
  <c r="O8" i="7"/>
  <c r="O7" i="7"/>
  <c r="O6" i="7"/>
  <c r="O5" i="7"/>
  <c r="O4" i="7"/>
  <c r="O3" i="7"/>
  <c r="T9" i="7"/>
  <c r="T8" i="7"/>
  <c r="T7" i="7"/>
  <c r="T6" i="7"/>
  <c r="T5" i="7"/>
  <c r="T4" i="7"/>
  <c r="T3" i="7"/>
  <c r="L8" i="2" l="1"/>
  <c r="L11" i="2"/>
  <c r="L38" i="2" l="1"/>
  <c r="L22" i="2"/>
  <c r="L30" i="2"/>
  <c r="L27" i="2"/>
  <c r="L47" i="2"/>
  <c r="L46" i="2"/>
  <c r="L43" i="2"/>
  <c r="L42" i="2"/>
  <c r="L39" i="2"/>
  <c r="L35" i="2"/>
  <c r="L34" i="2"/>
  <c r="L31" i="2"/>
  <c r="L26" i="2"/>
  <c r="L25" i="2"/>
  <c r="L24" i="2"/>
  <c r="L23" i="2"/>
  <c r="L21" i="2"/>
  <c r="L20" i="2"/>
  <c r="H15" i="2" l="1"/>
  <c r="H55" i="2" s="1"/>
  <c r="S12" i="2"/>
  <c r="L9" i="2"/>
  <c r="L17" i="2"/>
  <c r="L54" i="2" s="1"/>
  <c r="S17" i="2"/>
  <c r="S13" i="2"/>
  <c r="L13" i="2"/>
  <c r="S15" i="2" l="1"/>
  <c r="F8" i="4" s="1"/>
  <c r="L12" i="2"/>
  <c r="L10" i="2"/>
  <c r="L7" i="2"/>
  <c r="J15" i="2" l="1"/>
  <c r="J55" i="2" s="1"/>
  <c r="H122" i="2" s="1"/>
  <c r="L15" i="2"/>
  <c r="L55" i="2" s="1"/>
  <c r="H123" i="2" s="1"/>
  <c r="M88" i="2" l="1"/>
  <c r="M87" i="2"/>
  <c r="M7" i="2"/>
  <c r="N7" i="2" s="1"/>
  <c r="M112" i="2"/>
  <c r="N112" i="2" s="1"/>
  <c r="O112" i="2" s="1"/>
  <c r="P112" i="2" s="1"/>
  <c r="M96" i="2"/>
  <c r="N96" i="2" s="1"/>
  <c r="O96" i="2" s="1"/>
  <c r="P96" i="2" s="1"/>
  <c r="R96" i="2" s="1"/>
  <c r="R97" i="2" s="1"/>
  <c r="M99" i="2"/>
  <c r="N99" i="2" s="1"/>
  <c r="O99" i="2" s="1"/>
  <c r="P99" i="2" s="1"/>
  <c r="M110" i="2"/>
  <c r="N110" i="2" s="1"/>
  <c r="O110" i="2" s="1"/>
  <c r="P110" i="2" s="1"/>
  <c r="M94" i="2"/>
  <c r="N94" i="2" s="1"/>
  <c r="O94" i="2" s="1"/>
  <c r="P94" i="2" s="1"/>
  <c r="M105" i="2"/>
  <c r="N105" i="2" s="1"/>
  <c r="O105" i="2" s="1"/>
  <c r="P105" i="2" s="1"/>
  <c r="M89" i="2"/>
  <c r="M108" i="2"/>
  <c r="N108" i="2" s="1"/>
  <c r="O108" i="2" s="1"/>
  <c r="P108" i="2" s="1"/>
  <c r="M111" i="2"/>
  <c r="N111" i="2" s="1"/>
  <c r="O111" i="2" s="1"/>
  <c r="P111" i="2" s="1"/>
  <c r="M95" i="2"/>
  <c r="N95" i="2" s="1"/>
  <c r="O95" i="2" s="1"/>
  <c r="P95" i="2" s="1"/>
  <c r="M106" i="2"/>
  <c r="N106" i="2" s="1"/>
  <c r="O106" i="2" s="1"/>
  <c r="P106" i="2" s="1"/>
  <c r="M90" i="2"/>
  <c r="M101" i="2"/>
  <c r="N101" i="2" s="1"/>
  <c r="O101" i="2" s="1"/>
  <c r="P101" i="2" s="1"/>
  <c r="M104" i="2"/>
  <c r="N104" i="2" s="1"/>
  <c r="O104" i="2" s="1"/>
  <c r="P104" i="2" s="1"/>
  <c r="M107" i="2"/>
  <c r="N107" i="2" s="1"/>
  <c r="O107" i="2" s="1"/>
  <c r="P107" i="2" s="1"/>
  <c r="M91" i="2"/>
  <c r="M102" i="2"/>
  <c r="N102" i="2" s="1"/>
  <c r="O102" i="2" s="1"/>
  <c r="P102" i="2" s="1"/>
  <c r="M113" i="2"/>
  <c r="N113" i="2" s="1"/>
  <c r="O113" i="2" s="1"/>
  <c r="P113" i="2" s="1"/>
  <c r="M97" i="2"/>
  <c r="N97" i="2" s="1"/>
  <c r="O97" i="2" s="1"/>
  <c r="P97" i="2" s="1"/>
  <c r="M92" i="2"/>
  <c r="N92" i="2" s="1"/>
  <c r="O92" i="2" s="1"/>
  <c r="P92" i="2" s="1"/>
  <c r="M100" i="2"/>
  <c r="N100" i="2" s="1"/>
  <c r="O100" i="2" s="1"/>
  <c r="P100" i="2" s="1"/>
  <c r="M103" i="2"/>
  <c r="N103" i="2" s="1"/>
  <c r="O103" i="2" s="1"/>
  <c r="P103" i="2" s="1"/>
  <c r="M114" i="2"/>
  <c r="N114" i="2" s="1"/>
  <c r="O114" i="2" s="1"/>
  <c r="P114" i="2" s="1"/>
  <c r="M98" i="2"/>
  <c r="N98" i="2" s="1"/>
  <c r="O98" i="2" s="1"/>
  <c r="P98" i="2" s="1"/>
  <c r="M109" i="2"/>
  <c r="N109" i="2" s="1"/>
  <c r="O109" i="2" s="1"/>
  <c r="P109" i="2" s="1"/>
  <c r="M93" i="2"/>
  <c r="N93" i="2" s="1"/>
  <c r="O93" i="2" s="1"/>
  <c r="P93" i="2" s="1"/>
  <c r="M69" i="2"/>
  <c r="N69" i="2" s="1"/>
  <c r="O69" i="2" s="1"/>
  <c r="P69" i="2" s="1"/>
  <c r="M70" i="2"/>
  <c r="N70" i="2" s="1"/>
  <c r="O70" i="2" s="1"/>
  <c r="P70" i="2" s="1"/>
  <c r="M68" i="2"/>
  <c r="N68" i="2" s="1"/>
  <c r="O68" i="2" s="1"/>
  <c r="P68" i="2" s="1"/>
  <c r="M65" i="2"/>
  <c r="N65" i="2" s="1"/>
  <c r="O65" i="2" s="1"/>
  <c r="P65" i="2" s="1"/>
  <c r="M67" i="2"/>
  <c r="N67" i="2" s="1"/>
  <c r="O67" i="2" s="1"/>
  <c r="P67" i="2" s="1"/>
  <c r="M66" i="2"/>
  <c r="N66" i="2" s="1"/>
  <c r="O66" i="2" s="1"/>
  <c r="P66" i="2" s="1"/>
  <c r="M52" i="2"/>
  <c r="M86" i="2"/>
  <c r="N86" i="2" s="1"/>
  <c r="O86" i="2" s="1"/>
  <c r="P86" i="2" s="1"/>
  <c r="M45" i="2"/>
  <c r="M48" i="2"/>
  <c r="M19" i="2"/>
  <c r="M18" i="2"/>
  <c r="M11" i="2"/>
  <c r="M8" i="2"/>
  <c r="M62" i="2"/>
  <c r="M61" i="2"/>
  <c r="M41" i="2"/>
  <c r="M28" i="2"/>
  <c r="M37" i="2"/>
  <c r="M79" i="2"/>
  <c r="M64" i="2"/>
  <c r="M49" i="2"/>
  <c r="M60" i="2"/>
  <c r="M81" i="2"/>
  <c r="M40" i="2"/>
  <c r="M29" i="2"/>
  <c r="M36" i="2"/>
  <c r="M78" i="2"/>
  <c r="M83" i="2"/>
  <c r="M76" i="2"/>
  <c r="M63" i="2"/>
  <c r="M85" i="2"/>
  <c r="M44" i="2"/>
  <c r="M82" i="2"/>
  <c r="M33" i="2"/>
  <c r="M80" i="2"/>
  <c r="M32" i="2"/>
  <c r="M84" i="2"/>
  <c r="M77" i="2"/>
  <c r="M39" i="2"/>
  <c r="M21" i="2"/>
  <c r="M20" i="2"/>
  <c r="M25" i="2"/>
  <c r="M38" i="2"/>
  <c r="M26" i="2"/>
  <c r="M27" i="2"/>
  <c r="M47" i="2"/>
  <c r="M34" i="2"/>
  <c r="M24" i="2"/>
  <c r="M42" i="2"/>
  <c r="M46" i="2"/>
  <c r="M30" i="2"/>
  <c r="M23" i="2"/>
  <c r="M35" i="2"/>
  <c r="M31" i="2"/>
  <c r="M43" i="2"/>
  <c r="M22" i="2"/>
  <c r="M12" i="2"/>
  <c r="M10" i="2"/>
  <c r="M17" i="2"/>
  <c r="N17" i="2" s="1"/>
  <c r="O17" i="2" s="1"/>
  <c r="M13" i="2"/>
  <c r="M9" i="2"/>
  <c r="N91" i="2" l="1"/>
  <c r="O91" i="2" s="1"/>
  <c r="P91" i="2" s="1"/>
  <c r="N90" i="2"/>
  <c r="O90" i="2" s="1"/>
  <c r="P90" i="2" s="1"/>
  <c r="R90" i="2" s="1"/>
  <c r="R91" i="2" s="1"/>
  <c r="N89" i="2"/>
  <c r="O89" i="2" s="1"/>
  <c r="P89" i="2" s="1"/>
  <c r="R89" i="2" s="1"/>
  <c r="N87" i="2"/>
  <c r="O87" i="2" s="1"/>
  <c r="P87" i="2" s="1"/>
  <c r="R87" i="2" s="1"/>
  <c r="R88" i="2" s="1"/>
  <c r="N88" i="2"/>
  <c r="O88" i="2" s="1"/>
  <c r="P88" i="2" s="1"/>
  <c r="O7" i="2"/>
  <c r="P7" i="2" s="1"/>
  <c r="R68" i="2"/>
  <c r="R101" i="2"/>
  <c r="R70" i="2"/>
  <c r="R67" i="2"/>
  <c r="R69" i="2"/>
  <c r="R107" i="2"/>
  <c r="R108" i="2" s="1"/>
  <c r="R99" i="2"/>
  <c r="R100" i="2" s="1"/>
  <c r="R109" i="2"/>
  <c r="R110" i="2" s="1"/>
  <c r="R102" i="2"/>
  <c r="R103" i="2" s="1"/>
  <c r="R111" i="2"/>
  <c r="R112" i="2" s="1"/>
  <c r="R66" i="2"/>
  <c r="R98" i="2"/>
  <c r="R92" i="2"/>
  <c r="R86" i="2"/>
  <c r="R65" i="2"/>
  <c r="R93" i="2"/>
  <c r="R94" i="2" s="1"/>
  <c r="R113" i="2"/>
  <c r="R104" i="2"/>
  <c r="R95" i="2"/>
  <c r="R105" i="2"/>
  <c r="R106" i="2" s="1"/>
  <c r="N43" i="2"/>
  <c r="O43" i="2" s="1"/>
  <c r="P43" i="2" s="1"/>
  <c r="N34" i="2"/>
  <c r="O34" i="2" s="1"/>
  <c r="P34" i="2" s="1"/>
  <c r="N39" i="2"/>
  <c r="O39" i="2" s="1"/>
  <c r="P39" i="2" s="1"/>
  <c r="N44" i="2"/>
  <c r="O44" i="2" s="1"/>
  <c r="P44" i="2" s="1"/>
  <c r="N40" i="2"/>
  <c r="O40" i="2" s="1"/>
  <c r="P40" i="2" s="1"/>
  <c r="N25" i="2"/>
  <c r="O25" i="2" s="1"/>
  <c r="P25" i="2" s="1"/>
  <c r="N12" i="2"/>
  <c r="O12" i="2" s="1"/>
  <c r="P12" i="2" s="1"/>
  <c r="R12" i="2" s="1"/>
  <c r="N35" i="2"/>
  <c r="O35" i="2" s="1"/>
  <c r="P35" i="2" s="1"/>
  <c r="N27" i="2"/>
  <c r="O27" i="2" s="1"/>
  <c r="P27" i="2" s="1"/>
  <c r="N84" i="2"/>
  <c r="O84" i="2" s="1"/>
  <c r="P84" i="2" s="1"/>
  <c r="N63" i="2"/>
  <c r="O63" i="2" s="1"/>
  <c r="P63" i="2" s="1"/>
  <c r="N13" i="2"/>
  <c r="O13" i="2" s="1"/>
  <c r="P13" i="2" s="1"/>
  <c r="R13" i="2" s="1"/>
  <c r="N22" i="2"/>
  <c r="O22" i="2" s="1"/>
  <c r="P22" i="2" s="1"/>
  <c r="N23" i="2"/>
  <c r="O23" i="2" s="1"/>
  <c r="P23" i="2" s="1"/>
  <c r="N24" i="2"/>
  <c r="O24" i="2" s="1"/>
  <c r="P24" i="2" s="1"/>
  <c r="N26" i="2"/>
  <c r="O26" i="2" s="1"/>
  <c r="P26" i="2" s="1"/>
  <c r="N21" i="2"/>
  <c r="O21" i="2" s="1"/>
  <c r="P21" i="2" s="1"/>
  <c r="N82" i="2"/>
  <c r="O82" i="2" s="1"/>
  <c r="P82" i="2" s="1"/>
  <c r="N76" i="2"/>
  <c r="O76" i="2" s="1"/>
  <c r="P76" i="2" s="1"/>
  <c r="N29" i="2"/>
  <c r="O29" i="2" s="1"/>
  <c r="P29" i="2" s="1"/>
  <c r="N49" i="2"/>
  <c r="O49" i="2" s="1"/>
  <c r="P49" i="2" s="1"/>
  <c r="N28" i="2"/>
  <c r="O28" i="2" s="1"/>
  <c r="P28" i="2" s="1"/>
  <c r="N8" i="2"/>
  <c r="O8" i="2" s="1"/>
  <c r="P8" i="2" s="1"/>
  <c r="N48" i="2"/>
  <c r="O48" i="2" s="1"/>
  <c r="P48" i="2" s="1"/>
  <c r="N30" i="2"/>
  <c r="O30" i="2" s="1"/>
  <c r="P30" i="2" s="1"/>
  <c r="N38" i="2"/>
  <c r="O38" i="2" s="1"/>
  <c r="P38" i="2" s="1"/>
  <c r="N32" i="2"/>
  <c r="O32" i="2" s="1"/>
  <c r="P32" i="2" s="1"/>
  <c r="N83" i="2"/>
  <c r="O83" i="2" s="1"/>
  <c r="P83" i="2" s="1"/>
  <c r="N64" i="2"/>
  <c r="O64" i="2" s="1"/>
  <c r="P64" i="2" s="1"/>
  <c r="N41" i="2"/>
  <c r="O41" i="2" s="1"/>
  <c r="P41" i="2" s="1"/>
  <c r="N11" i="2"/>
  <c r="O11" i="2" s="1"/>
  <c r="P11" i="2" s="1"/>
  <c r="N45" i="2"/>
  <c r="O45" i="2" s="1"/>
  <c r="P45" i="2" s="1"/>
  <c r="N10" i="2"/>
  <c r="O10" i="2" s="1"/>
  <c r="P10" i="2" s="1"/>
  <c r="N31" i="2"/>
  <c r="O31" i="2" s="1"/>
  <c r="P31" i="2" s="1"/>
  <c r="N46" i="2"/>
  <c r="O46" i="2" s="1"/>
  <c r="P46" i="2" s="1"/>
  <c r="N47" i="2"/>
  <c r="O47" i="2" s="1"/>
  <c r="P47" i="2" s="1"/>
  <c r="N77" i="2"/>
  <c r="O77" i="2" s="1"/>
  <c r="P77" i="2" s="1"/>
  <c r="N80" i="2"/>
  <c r="O80" i="2" s="1"/>
  <c r="P80" i="2" s="1"/>
  <c r="N85" i="2"/>
  <c r="O85" i="2" s="1"/>
  <c r="P85" i="2" s="1"/>
  <c r="N78" i="2"/>
  <c r="O78" i="2" s="1"/>
  <c r="P78" i="2" s="1"/>
  <c r="N81" i="2"/>
  <c r="O81" i="2" s="1"/>
  <c r="P81" i="2" s="1"/>
  <c r="N79" i="2"/>
  <c r="O79" i="2" s="1"/>
  <c r="P79" i="2" s="1"/>
  <c r="N61" i="2"/>
  <c r="O61" i="2" s="1"/>
  <c r="P61" i="2" s="1"/>
  <c r="N18" i="2"/>
  <c r="O18" i="2" s="1"/>
  <c r="P18" i="2" s="1"/>
  <c r="N9" i="2"/>
  <c r="O9" i="2" s="1"/>
  <c r="P9" i="2" s="1"/>
  <c r="N42" i="2"/>
  <c r="O42" i="2" s="1"/>
  <c r="P42" i="2" s="1"/>
  <c r="N20" i="2"/>
  <c r="O20" i="2" s="1"/>
  <c r="P20" i="2" s="1"/>
  <c r="N33" i="2"/>
  <c r="O33" i="2" s="1"/>
  <c r="P33" i="2" s="1"/>
  <c r="N36" i="2"/>
  <c r="O36" i="2" s="1"/>
  <c r="P36" i="2" s="1"/>
  <c r="N60" i="2"/>
  <c r="O60" i="2" s="1"/>
  <c r="P60" i="2" s="1"/>
  <c r="N37" i="2"/>
  <c r="O37" i="2" s="1"/>
  <c r="P37" i="2" s="1"/>
  <c r="N62" i="2"/>
  <c r="O62" i="2" s="1"/>
  <c r="P62" i="2" s="1"/>
  <c r="N19" i="2"/>
  <c r="O19" i="2" s="1"/>
  <c r="P19" i="2" s="1"/>
  <c r="N52" i="2"/>
  <c r="O52" i="2" s="1"/>
  <c r="P52" i="2" s="1"/>
  <c r="M54" i="2"/>
  <c r="M15" i="2"/>
  <c r="P17" i="2"/>
  <c r="R114" i="2" l="1"/>
  <c r="T114" i="2" s="1"/>
  <c r="U114" i="2" s="1"/>
  <c r="W89" i="2"/>
  <c r="T86" i="2"/>
  <c r="U86" i="2" s="1"/>
  <c r="W13" i="2"/>
  <c r="T112" i="2"/>
  <c r="U112" i="2" s="1"/>
  <c r="W100" i="2"/>
  <c r="W67" i="2"/>
  <c r="W66" i="2"/>
  <c r="W68" i="2"/>
  <c r="W12" i="2"/>
  <c r="W92" i="2"/>
  <c r="T103" i="2"/>
  <c r="U103" i="2" s="1"/>
  <c r="W70" i="2"/>
  <c r="W104" i="2"/>
  <c r="W69" i="2"/>
  <c r="W95" i="2"/>
  <c r="W65" i="2"/>
  <c r="W98" i="2"/>
  <c r="W101" i="2"/>
  <c r="R7" i="2"/>
  <c r="N15" i="2"/>
  <c r="O15" i="2"/>
  <c r="T111" i="2"/>
  <c r="U111" i="2" s="1"/>
  <c r="T113" i="2"/>
  <c r="U113" i="2" s="1"/>
  <c r="T96" i="2"/>
  <c r="U96" i="2" s="1"/>
  <c r="T109" i="2"/>
  <c r="U109" i="2" s="1"/>
  <c r="T101" i="2"/>
  <c r="U101" i="2" s="1"/>
  <c r="T102" i="2"/>
  <c r="U102" i="2" s="1"/>
  <c r="T89" i="2"/>
  <c r="U89" i="2" s="1"/>
  <c r="T87" i="2"/>
  <c r="U87" i="2" s="1"/>
  <c r="W88" i="2"/>
  <c r="W87" i="2"/>
  <c r="T95" i="2"/>
  <c r="U95" i="2" s="1"/>
  <c r="W102" i="2"/>
  <c r="W114" i="2"/>
  <c r="T107" i="2"/>
  <c r="U107" i="2" s="1"/>
  <c r="T99" i="2"/>
  <c r="U99" i="2" s="1"/>
  <c r="W94" i="2"/>
  <c r="R62" i="2"/>
  <c r="R78" i="2"/>
  <c r="R83" i="2"/>
  <c r="R48" i="2"/>
  <c r="R26" i="2"/>
  <c r="R35" i="2"/>
  <c r="R37" i="2" s="1"/>
  <c r="R61" i="2"/>
  <c r="R46" i="2"/>
  <c r="R24" i="2"/>
  <c r="R63" i="2"/>
  <c r="W90" i="2"/>
  <c r="R17" i="2"/>
  <c r="R52" i="2"/>
  <c r="R60" i="2"/>
  <c r="R42" i="2"/>
  <c r="R79" i="2"/>
  <c r="R31" i="2"/>
  <c r="R33" i="2" s="1"/>
  <c r="R38" i="2"/>
  <c r="R28" i="2"/>
  <c r="R23" i="2"/>
  <c r="R80" i="2" s="1"/>
  <c r="R84" i="2"/>
  <c r="R25" i="2"/>
  <c r="R82" i="2" s="1"/>
  <c r="R34" i="2"/>
  <c r="T104" i="2"/>
  <c r="U104" i="2" s="1"/>
  <c r="T98" i="2"/>
  <c r="U98" i="2" s="1"/>
  <c r="T110" i="2"/>
  <c r="U110" i="2" s="1"/>
  <c r="W93" i="2"/>
  <c r="W86" i="2"/>
  <c r="W111" i="2"/>
  <c r="W109" i="2"/>
  <c r="W99" i="2"/>
  <c r="R18" i="2"/>
  <c r="R76" i="2" s="1"/>
  <c r="R47" i="2"/>
  <c r="R49" i="2" s="1"/>
  <c r="R44" i="2"/>
  <c r="R20" i="2"/>
  <c r="R85" i="2"/>
  <c r="R32" i="2"/>
  <c r="R39" i="2"/>
  <c r="R41" i="2" s="1"/>
  <c r="T105" i="2"/>
  <c r="U105" i="2" s="1"/>
  <c r="T90" i="2"/>
  <c r="U90" i="2" s="1"/>
  <c r="T91" i="2"/>
  <c r="U91" i="2" s="1"/>
  <c r="W105" i="2"/>
  <c r="R19" i="2"/>
  <c r="R36" i="2"/>
  <c r="R81" i="2"/>
  <c r="R64" i="2"/>
  <c r="R30" i="2"/>
  <c r="R21" i="2"/>
  <c r="R77" i="2" s="1"/>
  <c r="R22" i="2"/>
  <c r="R27" i="2"/>
  <c r="R29" i="2" s="1"/>
  <c r="R40" i="2"/>
  <c r="R43" i="2"/>
  <c r="R45" i="2" s="1"/>
  <c r="T93" i="2"/>
  <c r="U93" i="2" s="1"/>
  <c r="T92" i="2"/>
  <c r="U92" i="2" s="1"/>
  <c r="W96" i="2"/>
  <c r="W113" i="2"/>
  <c r="W107" i="2"/>
  <c r="T64" i="2"/>
  <c r="U64" i="2" s="1"/>
  <c r="T13" i="2"/>
  <c r="U13" i="2" s="1"/>
  <c r="T17" i="2"/>
  <c r="U17" i="2" s="1"/>
  <c r="R11" i="2"/>
  <c r="R8" i="2"/>
  <c r="T12" i="2"/>
  <c r="U12" i="2" s="1"/>
  <c r="R9" i="2"/>
  <c r="R10" i="2"/>
  <c r="M55" i="2"/>
  <c r="T97" i="2" l="1"/>
  <c r="U97" i="2" s="1"/>
  <c r="T78" i="2"/>
  <c r="U78" i="2" s="1"/>
  <c r="T106" i="2"/>
  <c r="U106" i="2" s="1"/>
  <c r="W112" i="2"/>
  <c r="W64" i="2"/>
  <c r="W22" i="2"/>
  <c r="W81" i="2"/>
  <c r="W32" i="2"/>
  <c r="W38" i="2"/>
  <c r="W60" i="2"/>
  <c r="W84" i="2"/>
  <c r="W52" i="2"/>
  <c r="T63" i="2"/>
  <c r="U63" i="2" s="1"/>
  <c r="T37" i="2"/>
  <c r="U37" i="2" s="1"/>
  <c r="W78" i="2"/>
  <c r="W103" i="2"/>
  <c r="T94" i="2"/>
  <c r="U94" i="2" s="1"/>
  <c r="T100" i="2"/>
  <c r="U100" i="2" s="1"/>
  <c r="W97" i="2"/>
  <c r="W61" i="2"/>
  <c r="W83" i="2"/>
  <c r="T36" i="2"/>
  <c r="U36" i="2" s="1"/>
  <c r="W85" i="2"/>
  <c r="W108" i="2"/>
  <c r="T84" i="2"/>
  <c r="U84" i="2" s="1"/>
  <c r="T40" i="2"/>
  <c r="U40" i="2" s="1"/>
  <c r="W30" i="2"/>
  <c r="W19" i="2"/>
  <c r="W20" i="2"/>
  <c r="W79" i="2"/>
  <c r="W17" i="2"/>
  <c r="W24" i="2"/>
  <c r="W26" i="2"/>
  <c r="W62" i="2"/>
  <c r="T108" i="2"/>
  <c r="U108" i="2" s="1"/>
  <c r="W44" i="2"/>
  <c r="W34" i="2"/>
  <c r="W28" i="2"/>
  <c r="W42" i="2"/>
  <c r="W46" i="2"/>
  <c r="T48" i="2"/>
  <c r="U48" i="2" s="1"/>
  <c r="W110" i="2"/>
  <c r="W106" i="2"/>
  <c r="W91" i="2"/>
  <c r="T88" i="2"/>
  <c r="U88" i="2" s="1"/>
  <c r="W10" i="2"/>
  <c r="T10" i="2"/>
  <c r="U10" i="2" s="1"/>
  <c r="W11" i="2"/>
  <c r="T11" i="2"/>
  <c r="W9" i="2"/>
  <c r="T9" i="2"/>
  <c r="W7" i="2"/>
  <c r="T7" i="2"/>
  <c r="U7" i="2" s="1"/>
  <c r="W8" i="2"/>
  <c r="T8" i="2"/>
  <c r="U8" i="2" s="1"/>
  <c r="P15" i="2"/>
  <c r="T32" i="2"/>
  <c r="U32" i="2" s="1"/>
  <c r="T82" i="2"/>
  <c r="U82" i="2" s="1"/>
  <c r="T61" i="2"/>
  <c r="U61" i="2" s="1"/>
  <c r="T83" i="2"/>
  <c r="U83" i="2" s="1"/>
  <c r="T28" i="2"/>
  <c r="U28" i="2" s="1"/>
  <c r="T80" i="2"/>
  <c r="U80" i="2" s="1"/>
  <c r="T60" i="2"/>
  <c r="U60" i="2" s="1"/>
  <c r="T77" i="2"/>
  <c r="U77" i="2" s="1"/>
  <c r="T76" i="2"/>
  <c r="U76" i="2" s="1"/>
  <c r="W48" i="2"/>
  <c r="T29" i="2"/>
  <c r="U29" i="2" s="1"/>
  <c r="T81" i="2"/>
  <c r="U81" i="2" s="1"/>
  <c r="W33" i="2"/>
  <c r="T52" i="2"/>
  <c r="U52" i="2" s="1"/>
  <c r="T79" i="2"/>
  <c r="U79" i="2" s="1"/>
  <c r="T62" i="2"/>
  <c r="U62" i="2" s="1"/>
  <c r="W49" i="2"/>
  <c r="W36" i="2"/>
  <c r="W41" i="2"/>
  <c r="T44" i="2"/>
  <c r="U44" i="2" s="1"/>
  <c r="W63" i="2"/>
  <c r="T85" i="2"/>
  <c r="U85" i="2" s="1"/>
  <c r="T18" i="2"/>
  <c r="U18" i="2" s="1"/>
  <c r="W40" i="2"/>
  <c r="W39" i="2"/>
  <c r="W18" i="2"/>
  <c r="T45" i="2"/>
  <c r="U45" i="2" s="1"/>
  <c r="W43" i="2"/>
  <c r="W27" i="2"/>
  <c r="W21" i="2"/>
  <c r="W47" i="2"/>
  <c r="W25" i="2"/>
  <c r="W23" i="2"/>
  <c r="W31" i="2"/>
  <c r="W35" i="2"/>
  <c r="T19" i="2"/>
  <c r="U19" i="2" s="1"/>
  <c r="U11" i="2"/>
  <c r="W80" i="2" l="1"/>
  <c r="W76" i="2"/>
  <c r="W45" i="2"/>
  <c r="T33" i="2"/>
  <c r="U33" i="2" s="1"/>
  <c r="W82" i="2"/>
  <c r="T41" i="2"/>
  <c r="U41" i="2" s="1"/>
  <c r="W77" i="2"/>
  <c r="W29" i="2"/>
  <c r="W37" i="2"/>
  <c r="T49" i="2"/>
  <c r="U49" i="2" s="1"/>
  <c r="U9" i="2"/>
  <c r="U15" i="2" s="1"/>
  <c r="T15" i="2"/>
  <c r="H8" i="4" s="1"/>
  <c r="S46" i="2"/>
  <c r="S34" i="2"/>
  <c r="S22" i="2"/>
  <c r="S26" i="2"/>
  <c r="S42" i="2"/>
  <c r="S25" i="2"/>
  <c r="S24" i="2"/>
  <c r="S30" i="2"/>
  <c r="S38" i="2"/>
  <c r="T25" i="2" l="1"/>
  <c r="U25" i="2" s="1"/>
  <c r="T38" i="2"/>
  <c r="U38" i="2" s="1"/>
  <c r="T42" i="2"/>
  <c r="U42" i="2" s="1"/>
  <c r="T30" i="2"/>
  <c r="U30" i="2" s="1"/>
  <c r="T26" i="2"/>
  <c r="U26" i="2" s="1"/>
  <c r="T46" i="2"/>
  <c r="U46" i="2" s="1"/>
  <c r="T34" i="2"/>
  <c r="U34" i="2" s="1"/>
  <c r="J8" i="4"/>
  <c r="L8" i="4"/>
  <c r="T24" i="2"/>
  <c r="U24" i="2" s="1"/>
  <c r="T22" i="2"/>
  <c r="U22" i="2" s="1"/>
  <c r="S20" i="2"/>
  <c r="S35" i="2"/>
  <c r="S23" i="2"/>
  <c r="S47" i="2"/>
  <c r="S31" i="2"/>
  <c r="S39" i="2"/>
  <c r="S43" i="2"/>
  <c r="S27" i="2"/>
  <c r="T43" i="2" l="1"/>
  <c r="U43" i="2" s="1"/>
  <c r="T39" i="2"/>
  <c r="U39" i="2" s="1"/>
  <c r="T35" i="2"/>
  <c r="U35" i="2" s="1"/>
  <c r="T31" i="2"/>
  <c r="U31" i="2" s="1"/>
  <c r="T20" i="2"/>
  <c r="U20" i="2" s="1"/>
  <c r="T27" i="2"/>
  <c r="U27" i="2" s="1"/>
  <c r="T47" i="2"/>
  <c r="U47" i="2" s="1"/>
  <c r="T23" i="2"/>
  <c r="U23" i="2" s="1"/>
  <c r="S21" i="2"/>
  <c r="T21" i="2" l="1"/>
  <c r="S54" i="2"/>
  <c r="T54" i="2" l="1"/>
  <c r="H9" i="4" s="1"/>
  <c r="U21" i="2"/>
  <c r="U54" i="2" s="1"/>
  <c r="U55" i="2" s="1"/>
  <c r="S55" i="2"/>
  <c r="F9" i="4"/>
  <c r="B53" i="7" l="1"/>
  <c r="B54" i="7" s="1"/>
  <c r="B57" i="7"/>
  <c r="B58" i="7" s="1"/>
  <c r="T55" i="2"/>
  <c r="F11" i="4"/>
  <c r="L9" i="4"/>
  <c r="J9" i="4"/>
  <c r="H11" i="4"/>
  <c r="L11" i="4" l="1"/>
  <c r="C58" i="7"/>
  <c r="J11" i="4"/>
</calcChain>
</file>

<file path=xl/sharedStrings.xml><?xml version="1.0" encoding="utf-8"?>
<sst xmlns="http://schemas.openxmlformats.org/spreadsheetml/2006/main" count="592" uniqueCount="353">
  <si>
    <t>Basin Disposal, Inc.</t>
  </si>
  <si>
    <t>Calculated Revenue Increase</t>
  </si>
  <si>
    <t>As a result of increased disposal fees.</t>
  </si>
  <si>
    <t>Current</t>
  </si>
  <si>
    <t xml:space="preserve">Proposed </t>
  </si>
  <si>
    <t>Increase</t>
  </si>
  <si>
    <t>Revenue</t>
  </si>
  <si>
    <t>Dollars</t>
  </si>
  <si>
    <t>Percentage</t>
  </si>
  <si>
    <t>Residential - from calculation worksheet</t>
  </si>
  <si>
    <t xml:space="preserve">Commercial </t>
  </si>
  <si>
    <t>Disposal Rate Per Ton</t>
  </si>
  <si>
    <t>Per Ton</t>
  </si>
  <si>
    <t xml:space="preserve">Current Rate </t>
  </si>
  <si>
    <t>New Rate per ton</t>
  </si>
  <si>
    <t>Supercan 90</t>
  </si>
  <si>
    <t>RES_96GAL</t>
  </si>
  <si>
    <t>8 yd container</t>
  </si>
  <si>
    <t>FEL_8.0YD</t>
  </si>
  <si>
    <t>TEMP_8.0YD_FEL</t>
  </si>
  <si>
    <t>6 yd container</t>
  </si>
  <si>
    <t>FEL_6.0YD</t>
  </si>
  <si>
    <t>TEMP_6.0YD_FEL</t>
  </si>
  <si>
    <t>4 yd container</t>
  </si>
  <si>
    <t>FEL_4.0YD</t>
  </si>
  <si>
    <t>TEMP_4.0YD_FEL</t>
  </si>
  <si>
    <t>1.5 yd container</t>
  </si>
  <si>
    <t>FEL_1.5YD</t>
  </si>
  <si>
    <t>3 yd container</t>
  </si>
  <si>
    <t>FEL_3.0YD</t>
  </si>
  <si>
    <t>TEMP_3.0YD_FEL</t>
  </si>
  <si>
    <t>2 yd container</t>
  </si>
  <si>
    <t>FEL_2.0YD</t>
  </si>
  <si>
    <t>TEMP_2.0YD_FEL</t>
  </si>
  <si>
    <t>1 yd container</t>
  </si>
  <si>
    <t>FEL_1.0YD</t>
  </si>
  <si>
    <t>TEMP_1.5YD_FEL</t>
  </si>
  <si>
    <t>Extras</t>
  </si>
  <si>
    <t>Yards</t>
  </si>
  <si>
    <t>RES_EXTRA_YDS</t>
  </si>
  <si>
    <t>RES_EXTRA_BAG/BOX/MISC</t>
  </si>
  <si>
    <t>Supercan 60</t>
  </si>
  <si>
    <t>RES_64GAL</t>
  </si>
  <si>
    <t>35 gallon Can</t>
  </si>
  <si>
    <t>RES_32GAL</t>
  </si>
  <si>
    <t>RES_32GAL_1XMONTH</t>
  </si>
  <si>
    <t>RES_300GAL</t>
  </si>
  <si>
    <t>COM_EXTRA_YARDS</t>
  </si>
  <si>
    <t>FEL_8.0YD_SPEC_PICK_UP</t>
  </si>
  <si>
    <t>FEL_6.0YD_SPEC_PICK_UP</t>
  </si>
  <si>
    <t>FEL_4.0YD_SPEC_PICK_UP</t>
  </si>
  <si>
    <t>FEL_3.0YD_SPEC_PICK_UP</t>
  </si>
  <si>
    <t>FEL_2.0YD_SPEC_PICK_UP</t>
  </si>
  <si>
    <t>FEL_1.5YD_SPEC_PICK_UP</t>
  </si>
  <si>
    <t>1.25 yd container</t>
  </si>
  <si>
    <t>FEL_1.25YD</t>
  </si>
  <si>
    <t>6 yd packer/compactor</t>
  </si>
  <si>
    <t>COMP_6.0YD_1X</t>
  </si>
  <si>
    <t>4 yd packer/compactor</t>
  </si>
  <si>
    <t>3 yd packer/compactor</t>
  </si>
  <si>
    <t>2 yd packer/compactor</t>
  </si>
  <si>
    <t>COM_96GAL</t>
  </si>
  <si>
    <t>COM_64GAL</t>
  </si>
  <si>
    <t>Cans</t>
  </si>
  <si>
    <t>COM_32GAL</t>
  </si>
  <si>
    <t>COM_32GAL_SPEC_PICK_UP</t>
  </si>
  <si>
    <t>COM_300GAL</t>
  </si>
  <si>
    <t>COM_220GAL</t>
  </si>
  <si>
    <t>COM_200GAL</t>
  </si>
  <si>
    <t>MeeksProduct</t>
  </si>
  <si>
    <t>CoreProduct</t>
  </si>
  <si>
    <t>* not on meeks - calculated by staff</t>
  </si>
  <si>
    <t>?????</t>
  </si>
  <si>
    <t>RES_ RECYCLE_CART</t>
  </si>
  <si>
    <t>*</t>
  </si>
  <si>
    <t>Commercial</t>
  </si>
  <si>
    <t>FEL_CDBD</t>
  </si>
  <si>
    <t>8 yd packer/compactor</t>
  </si>
  <si>
    <t>5 yd packer/compactor</t>
  </si>
  <si>
    <t>1.5 yd packer/compactor</t>
  </si>
  <si>
    <t>1 yd packer/compactor</t>
  </si>
  <si>
    <t>Residential</t>
  </si>
  <si>
    <t>Tip Service Cross Reference</t>
  </si>
  <si>
    <t>Once a month</t>
  </si>
  <si>
    <t>Monthly (MG)</t>
  </si>
  <si>
    <t>6 cans</t>
  </si>
  <si>
    <t>Every Other Week (EOWG)</t>
  </si>
  <si>
    <t>5 cans</t>
  </si>
  <si>
    <t>Weekly Pickup (WG)</t>
  </si>
  <si>
    <t>4 cans</t>
  </si>
  <si>
    <t>2 Times per Week</t>
  </si>
  <si>
    <t>3 cans</t>
  </si>
  <si>
    <t>3 Times per Week</t>
  </si>
  <si>
    <t>2 cans</t>
  </si>
  <si>
    <t>4 Times per Week</t>
  </si>
  <si>
    <t>1 can</t>
  </si>
  <si>
    <t>5 Times per Week</t>
  </si>
  <si>
    <t>20 gal minican</t>
  </si>
  <si>
    <t>7 units</t>
  </si>
  <si>
    <t>6 units</t>
  </si>
  <si>
    <t>5 units</t>
  </si>
  <si>
    <t>4 units</t>
  </si>
  <si>
    <t>3 units</t>
  </si>
  <si>
    <t>2 units</t>
  </si>
  <si>
    <t>1 units</t>
  </si>
  <si>
    <t>Pickups:</t>
  </si>
  <si>
    <t>Staff Calculation</t>
  </si>
  <si>
    <t>Pounds Per Pickup</t>
  </si>
  <si>
    <t>Original Meeks</t>
  </si>
  <si>
    <t>Meeks_Description</t>
  </si>
  <si>
    <t>Service Type</t>
  </si>
  <si>
    <t>Monthly Factor</t>
  </si>
  <si>
    <t>Meeks Weights</t>
  </si>
  <si>
    <t>Per Pound</t>
  </si>
  <si>
    <t>Gross Up Factors</t>
  </si>
  <si>
    <t>B&amp;O tax</t>
  </si>
  <si>
    <t>WUTC fees</t>
  </si>
  <si>
    <t>Bad Debts</t>
  </si>
  <si>
    <t>Total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</si>
  <si>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</si>
  <si>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</si>
  <si>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</si>
  <si>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</si>
  <si>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</si>
  <si>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</si>
  <si>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</si>
  <si>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</si>
  <si>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</si>
  <si>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</si>
  <si>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</si>
  <si>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</si>
  <si>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CBLLC Transfer Station (Pasco)</t>
  </si>
  <si>
    <t>BDI</t>
  </si>
  <si>
    <t>EDS</t>
  </si>
  <si>
    <t>Packer</t>
  </si>
  <si>
    <t>Roll off</t>
  </si>
  <si>
    <t>Roll - Off - Tonnage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</si>
  <si>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</si>
  <si>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</si>
  <si>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</si>
  <si>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</si>
  <si>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</si>
  <si>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</si>
  <si>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</si>
  <si>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</si>
  <si>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</si>
  <si>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</si>
  <si>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</si>
  <si>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</si>
  <si>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</si>
  <si>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</si>
  <si>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Customer Owned</t>
  </si>
  <si>
    <t>Ed's Internal Service Code</t>
  </si>
  <si>
    <t>Pickup Frequency</t>
  </si>
  <si>
    <t>1 96 Gallon Weekly</t>
  </si>
  <si>
    <t>1 64 Gallon Weekly</t>
  </si>
  <si>
    <t>Meeks Description</t>
  </si>
  <si>
    <t>RES_EXTRA</t>
  </si>
  <si>
    <t>No Current Customers</t>
  </si>
  <si>
    <t>1 Can WG</t>
  </si>
  <si>
    <t>2 Cans WG</t>
  </si>
  <si>
    <t>3 Cans WG</t>
  </si>
  <si>
    <t>4 Cans WG</t>
  </si>
  <si>
    <t>5 Cans WG</t>
  </si>
  <si>
    <t>6 Cans WG</t>
  </si>
  <si>
    <t>1 Can MG</t>
  </si>
  <si>
    <t>Add'l Cubic Yards</t>
  </si>
  <si>
    <t>Container Svc - 64 gal 1st p/u</t>
  </si>
  <si>
    <t>Container Svc - 64 gal Add'tl p/u</t>
  </si>
  <si>
    <t>Container Svc - 64 gal Spc'l p/u</t>
  </si>
  <si>
    <t>Container Svc - 96 gal 1st p/u</t>
  </si>
  <si>
    <t>Container Svc - 96 gal Add'tl p/u</t>
  </si>
  <si>
    <t>Container Svc - 96 gal Spc'l p/u</t>
  </si>
  <si>
    <t>Container Svc - 300 gal 1st p/u</t>
  </si>
  <si>
    <t>Container Svc - 300 gal Add'tl p/u</t>
  </si>
  <si>
    <t>Container Svc - 300 gal Spc'l p/u</t>
  </si>
  <si>
    <t>Container Svc - 300 gal 1st p/u 1xMonth</t>
  </si>
  <si>
    <t>Container Svc - 300 gal Add'tl p/u EOW</t>
  </si>
  <si>
    <t>Container Svc - 1.0 Yd 1st p/u</t>
  </si>
  <si>
    <t>Container Svc - 1.0 Yd Add'tl p/u</t>
  </si>
  <si>
    <t>Container Svc - 1.0 Yd  Temp</t>
  </si>
  <si>
    <t>Container Svc - 1.0 Yd  Spc'l p/u</t>
  </si>
  <si>
    <t>Container Svc - 1.5 Yd 1st p/u</t>
  </si>
  <si>
    <t>Container Svc - 1.5 Yd Add'tl p/u</t>
  </si>
  <si>
    <t>Container Svc - 1.5Yd  Spc'l p/u</t>
  </si>
  <si>
    <t>Container Svc - 1.5Yd Temp</t>
  </si>
  <si>
    <t>Container Svc - 1.5Yd EOW</t>
  </si>
  <si>
    <t>Container Svc - 2.0 Yd 1st p/u</t>
  </si>
  <si>
    <t>Container Svc - 2.0 Yd Add'tl p/u</t>
  </si>
  <si>
    <t>Container Svc - 2.0 Yd  Spc'l p/u</t>
  </si>
  <si>
    <t>Container Svc - 2.0 Yd  Temp</t>
  </si>
  <si>
    <t>Container Svc - 2.0 Yd 2xWk</t>
  </si>
  <si>
    <t>Container Svc - 2.0 Yd EOW</t>
  </si>
  <si>
    <t>Container Svc - 3.0 Yd 1st p/u</t>
  </si>
  <si>
    <t>Container Svc - 3.0 Yd Add'tl p/u</t>
  </si>
  <si>
    <t>Container Svc - 3.0 Yd  Temp</t>
  </si>
  <si>
    <t>Container Svc - 3.0 Yd  Spc'l p/u</t>
  </si>
  <si>
    <t>Container Svc - 3.0 Yd EOW</t>
  </si>
  <si>
    <t>Container Svc - 4.0 Yd 1st p/u</t>
  </si>
  <si>
    <t>Container Svc - 4.0 Yd Add'tl p/u</t>
  </si>
  <si>
    <t>Container Svc - 4.0 Yd  Spc'l p/u</t>
  </si>
  <si>
    <t>Container Svc - 6.0 YD 1st p/u</t>
  </si>
  <si>
    <t>Container Svc - 6.0 YD Add'tl p/u</t>
  </si>
  <si>
    <t>Container Svc - 8.0 YD 1st p/u</t>
  </si>
  <si>
    <t>Container Svc - 8.0 YD Add'tl p/u</t>
  </si>
  <si>
    <t>Adjustment Factor Calculation</t>
  </si>
  <si>
    <t>Total Tonnage</t>
  </si>
  <si>
    <t>Total Pounds</t>
  </si>
  <si>
    <t>Total Pick Ups</t>
  </si>
  <si>
    <t>Adjustment factor</t>
  </si>
  <si>
    <t>22-A</t>
  </si>
  <si>
    <t>23-A</t>
  </si>
  <si>
    <t>1 300 Gallon Weekly</t>
  </si>
  <si>
    <t>Extra can or unit</t>
  </si>
  <si>
    <t>Container Svc - 6.0 Yd  Spc'l p/u</t>
  </si>
  <si>
    <t>Comm'l Cans</t>
  </si>
  <si>
    <t>Class</t>
  </si>
  <si>
    <t>Index</t>
  </si>
  <si>
    <t>Bulky Material (add'l yds)</t>
  </si>
  <si>
    <t>Loos Material (add'l yds comp load)</t>
  </si>
  <si>
    <t>Loose Material (1-4yds comp load)</t>
  </si>
  <si>
    <t>Container Svc - 1.5Yd Compact 1st p/u</t>
  </si>
  <si>
    <t>Container Svc - 1.5Yd Compact Add'tl p/u</t>
  </si>
  <si>
    <t>Container Svc - 1.5Yd Compact Spc'l p/u</t>
  </si>
  <si>
    <t>Container Svc - 2Yd Compact 1st p/u</t>
  </si>
  <si>
    <t>Container Svc - 2Yd Compact Add'tl p/u</t>
  </si>
  <si>
    <t>Container Svc - 2Yd Compact Spc'l p/u</t>
  </si>
  <si>
    <t>Container Svc - 3Yd Compact 1st p/u</t>
  </si>
  <si>
    <t>Container Svc - 3Yd Compact Add'tl p/u</t>
  </si>
  <si>
    <t>Container Svc - 3Yd Compact Spc'l p/u</t>
  </si>
  <si>
    <t>Container Svc - 4Yd Compact 1st p/u</t>
  </si>
  <si>
    <t>Container Svc - 4Yd Compact Add'tl p/u</t>
  </si>
  <si>
    <t>Container Svc - 4Yd Compact Spc'l p/u</t>
  </si>
  <si>
    <t>Container Svc - 6Yd Compact 1st p/u</t>
  </si>
  <si>
    <t>Container Svc - 6Yd Compact Add'tl p/u</t>
  </si>
  <si>
    <t>Container Svc - 6Yd Compact Spc'l p/u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</si>
  <si>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</si>
  <si>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</si>
  <si>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</si>
  <si>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</si>
  <si>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</si>
  <si>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</si>
  <si>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</si>
  <si>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</si>
  <si>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</si>
  <si>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</si>
  <si>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</si>
  <si>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Extra 32gal Service</t>
  </si>
  <si>
    <t>Extra 64gal Service</t>
  </si>
  <si>
    <t>Extra 96gal Service</t>
  </si>
  <si>
    <t>Columbia Basin, LLC Transfer Station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</si>
  <si>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</si>
  <si>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</si>
  <si>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BASIN DISPOSAL, INC. G-118</t>
  </si>
  <si>
    <t>Prepared by Dave Atwell, BASIN Disposal Pricing Manager</t>
  </si>
  <si>
    <t>32gal can/unit - Each Scheduled Pickup</t>
  </si>
  <si>
    <t>32gal can/unit - Special Pickup</t>
  </si>
  <si>
    <t>Container Svc - 4.0 Yd Temp</t>
  </si>
  <si>
    <t>Container Svc - 6.0 YD Temp</t>
  </si>
  <si>
    <t>Container Svc - 8.0 YD Temp</t>
  </si>
  <si>
    <t>Container Svc - 8.0 YD  Spc'l p/u</t>
  </si>
  <si>
    <t>As a result of increased B&amp;O Tax (Non Disposal)</t>
  </si>
  <si>
    <t xml:space="preserve">Basin Disposal, Inc. </t>
  </si>
  <si>
    <t xml:space="preserve">Calculation of B&amp;O Tax Increase </t>
  </si>
  <si>
    <t>Prior Tax Rate</t>
  </si>
  <si>
    <t>Current Tax Rate</t>
  </si>
  <si>
    <t>Annual Revenue</t>
  </si>
  <si>
    <t>Current Tariff Rate</t>
  </si>
  <si>
    <t>Customers Prior Rate Case</t>
  </si>
  <si>
    <t>Revised Tariff Rate</t>
  </si>
  <si>
    <t>Current Rate</t>
  </si>
  <si>
    <t>Proposed Rate</t>
  </si>
  <si>
    <t>Returned Check Charge</t>
  </si>
  <si>
    <t>Restart Fees</t>
  </si>
  <si>
    <t>Redelivery Fee Cart</t>
  </si>
  <si>
    <t>Redelivery Fee Container</t>
  </si>
  <si>
    <t>Over-sized/Weight Can</t>
  </si>
  <si>
    <t>Overtime Periods per hour</t>
  </si>
  <si>
    <t>Minimum Charge</t>
  </si>
  <si>
    <t>Return Trips Cans</t>
  </si>
  <si>
    <t>Return Trip Container</t>
  </si>
  <si>
    <t>Return Trip Drop Box</t>
  </si>
  <si>
    <t>Carry Out</t>
  </si>
  <si>
    <t>Drive-In Residential</t>
  </si>
  <si>
    <t>Drive-In Commercial</t>
  </si>
  <si>
    <t>Delivery Charge - 64 &amp; 96 gal</t>
  </si>
  <si>
    <t>Loose and Bulky - Carry Charge</t>
  </si>
  <si>
    <t>Time Rates - Single Drive (Flatbed)</t>
  </si>
  <si>
    <t>Time Rates - Single Packer</t>
  </si>
  <si>
    <t>Time Rates - Single Drop Box</t>
  </si>
  <si>
    <t>Time Rates - Single Ea. extra person</t>
  </si>
  <si>
    <t>Time Rates - Single Min Charge</t>
  </si>
  <si>
    <t>Time Rates - Tandem Non-Packer</t>
  </si>
  <si>
    <t>Time Rates - Tandem Packer</t>
  </si>
  <si>
    <t>Each Extra Person</t>
  </si>
  <si>
    <t>Roll out Charges - Containers</t>
  </si>
  <si>
    <t>Roll out Charges - Carts</t>
  </si>
  <si>
    <t>Excess Weight - Overfilled Cart (All Sizes)</t>
  </si>
  <si>
    <t>Excess Weight - Overfilled Container</t>
  </si>
  <si>
    <t>Excess Weight - Overfilled Dbox</t>
  </si>
  <si>
    <t>Washing\Steam Clean\Sanitizing</t>
  </si>
  <si>
    <t>Washing\Sanitizing - Container Delivery Charge</t>
  </si>
  <si>
    <t>Washing\Sanitizing - Dbox Delivery Charge</t>
  </si>
  <si>
    <t>Container Svc - Gate/Obstruction</t>
  </si>
  <si>
    <t>Delivery Charge - Temporary Service</t>
  </si>
  <si>
    <t>Rent Per Calendar Day Temporary Service - 1 Yd</t>
  </si>
  <si>
    <t>Rent Per Calendar Day Temporary Service - 1.5 Yd</t>
  </si>
  <si>
    <t>Rent Per Calendar Day Temporary Service - 2 Yd</t>
  </si>
  <si>
    <t>Rent Per Calendar Day Temporary Service - 3 Yd</t>
  </si>
  <si>
    <t>Rent Per Calendar Day Temporary Service - 4 Yd</t>
  </si>
  <si>
    <t>Rent Per Calendar Day Temporary Service - 6 Yd</t>
  </si>
  <si>
    <t>Rent Per Calendar Day Temporary Service - 8 Yd</t>
  </si>
  <si>
    <t>Container Svc - Disconnect</t>
  </si>
  <si>
    <t>Container Svc - Comp Material Gate/Obstruction</t>
  </si>
  <si>
    <t>Container Svc - Comp Material Disconnect Charge</t>
  </si>
  <si>
    <t>Drop Box Svc - 11/ 15 Yd  Monthly Rent</t>
  </si>
  <si>
    <t>Drop Box Svc - 11/ 15 Yd  1st p/u</t>
  </si>
  <si>
    <t>Drop Box Svc - 11/ 15 Yd  Ea. Addt'l p/u</t>
  </si>
  <si>
    <t>Drop Box Svc - 11/ 15 Yd - Temporary Service</t>
  </si>
  <si>
    <t>Drop Box Svc - 11/ 15 Yd Delivery</t>
  </si>
  <si>
    <t>Drop Box Svc - Rent</t>
  </si>
  <si>
    <t>Drop Box Svc - 20 Yd  Monthly Rent</t>
  </si>
  <si>
    <t>Drop Box Svc - 20Yd 1st p/u</t>
  </si>
  <si>
    <t>Drop Box Svc - 20Yd Ea. Addt'l p/u</t>
  </si>
  <si>
    <t>Drop Box Svc - 20Yd -Temporary Service</t>
  </si>
  <si>
    <t>Drop Box Svc - 20 Yd Delivery</t>
  </si>
  <si>
    <t>Drop Box Svc - 30 Yd  Monthly Rent</t>
  </si>
  <si>
    <t>Drop Box Svc - 30Yd 1st p/u</t>
  </si>
  <si>
    <t>Drop Box Svc - 30Yd Ea. Addt'l p/u</t>
  </si>
  <si>
    <t>Drop Box Svc - 30Yd -Temporary Service</t>
  </si>
  <si>
    <t>Drop Box Svc - 30 Yd Delivery</t>
  </si>
  <si>
    <t>Drop Box Svc - 40 Yd  Monthly Rent</t>
  </si>
  <si>
    <t>Drop Box Svc - 40Yd 1st p/u</t>
  </si>
  <si>
    <t>Drop Box Svc - 40Yd Ea. Addt'l p/u</t>
  </si>
  <si>
    <t>Drop Box Svc - 40Yd -Temporary Service</t>
  </si>
  <si>
    <t>Drop Box Svc - 40 Yd Delivery</t>
  </si>
  <si>
    <t>Drop Box Svc - Gate Charge</t>
  </si>
  <si>
    <t>Mileage Charge</t>
  </si>
  <si>
    <t>Drop Box Svc - 30 Yd Comp</t>
  </si>
  <si>
    <t>Drop Box Svc - 30 Yd Comp - Rent</t>
  </si>
  <si>
    <t>Drop Box Svc - 35 Yd Comp</t>
  </si>
  <si>
    <t>Drop Box Svc - 35 Yd Comp - Rent</t>
  </si>
  <si>
    <t>Drop Box Svc - 40 Yd Comp</t>
  </si>
  <si>
    <t>Drop Box Svc - 40 Yd Comp - Rent</t>
  </si>
  <si>
    <t>Drop Box Svc - 45 Yd Comp</t>
  </si>
  <si>
    <t>Drop Box Svc - 45 Yd Comp -Rent</t>
  </si>
  <si>
    <t>Drop Box Svc - Disconnect</t>
  </si>
  <si>
    <t>Drop Box Svc - Mileage</t>
  </si>
  <si>
    <t>Drop Box Svc - Comp Material (Cust Owned) Ea. p/u 15 Yd</t>
  </si>
  <si>
    <t>Drop Box Svc - Comp Material (Cust Owned) Ea. p/u 20 yd</t>
  </si>
  <si>
    <t>Drop Box Svc - Comp Material (Cust Owned) Spc p/u 30 yd</t>
  </si>
  <si>
    <t>Drop Box Svc - Comp Material (Cust Owned) Ea. p/u 35 yd</t>
  </si>
  <si>
    <t>Drop Box Svc - Comp Material (Cust Owned) Ea. p/u 40 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</si>
</sst>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&quot;$&quot;#,##0.00"/>
    <numFmt numFmtId="172" formatCode="&quot;$&quot;#,##0"/>
    <numFmt numFmtId="173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0" fontId="0" fillId="2" borderId="1" xfId="0" applyFont="1" applyFill="1" applyBorder="1" applyAlignment="1">
      <alignment horizontal="center"/>
    </xf>
    <xf numFmtId="44" fontId="0" fillId="2" borderId="1" xfId="2" applyFont="1" applyFill="1" applyBorder="1"/>
    <xf numFmtId="0" fontId="0" fillId="0" borderId="0" xfId="0" applyFont="1" applyAlignment="1">
      <alignment horizontal="left" indent="1"/>
    </xf>
    <xf numFmtId="0" fontId="0" fillId="0" borderId="0" xfId="0" applyFont="1" applyAlignment="1"/>
    <xf numFmtId="165" fontId="0" fillId="3" borderId="0" xfId="1" applyNumberFormat="1" applyFont="1" applyFill="1"/>
    <xf numFmtId="43" fontId="0" fillId="0" borderId="0" xfId="0" applyNumberFormat="1" applyFont="1"/>
    <xf numFmtId="0" fontId="0" fillId="3" borderId="0" xfId="0" applyFont="1" applyFill="1" applyAlignment="1">
      <alignment horizontal="left" indent="1"/>
    </xf>
    <xf numFmtId="0" fontId="0" fillId="4" borderId="0" xfId="0" applyFill="1"/>
    <xf numFmtId="165" fontId="0" fillId="5" borderId="0" xfId="1" applyNumberFormat="1" applyFont="1" applyFill="1"/>
    <xf numFmtId="43" fontId="0" fillId="0" borderId="0" xfId="1" applyFont="1"/>
    <xf numFmtId="0" fontId="0" fillId="0" borderId="0" xfId="0" applyFont="1"/>
    <xf numFmtId="2" fontId="0" fillId="0" borderId="0" xfId="0" applyNumberForma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4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8" borderId="0" xfId="2" applyFont="1" applyFill="1"/>
    <xf numFmtId="166" fontId="0" fillId="8" borderId="0" xfId="2" applyNumberFormat="1" applyFont="1" applyFill="1"/>
    <xf numFmtId="44" fontId="0" fillId="8" borderId="1" xfId="2" applyFont="1" applyFill="1" applyBorder="1"/>
    <xf numFmtId="166" fontId="0" fillId="8" borderId="1" xfId="2" applyNumberFormat="1" applyFont="1" applyFill="1" applyBorder="1"/>
    <xf numFmtId="167" fontId="0" fillId="0" borderId="0" xfId="1" applyNumberFormat="1" applyFont="1" applyBorder="1"/>
    <xf numFmtId="168" fontId="0" fillId="8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7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5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2" xfId="0" applyFont="1" applyBorder="1"/>
    <xf numFmtId="0" fontId="0" fillId="7" borderId="3" xfId="0" applyFont="1" applyFill="1" applyBorder="1" applyAlignment="1">
      <alignment horizontal="center"/>
    </xf>
    <xf numFmtId="0" fontId="0" fillId="0" borderId="4" xfId="0" applyFont="1" applyBorder="1"/>
    <xf numFmtId="44" fontId="0" fillId="0" borderId="5" xfId="2" applyFont="1" applyBorder="1"/>
    <xf numFmtId="0" fontId="0" fillId="0" borderId="5" xfId="0" applyFont="1" applyBorder="1"/>
    <xf numFmtId="0" fontId="4" fillId="0" borderId="4" xfId="0" applyFont="1" applyBorder="1"/>
    <xf numFmtId="0" fontId="0" fillId="7" borderId="6" xfId="0" applyFont="1" applyFill="1" applyBorder="1" applyAlignment="1">
      <alignment horizontal="center"/>
    </xf>
    <xf numFmtId="44" fontId="5" fillId="0" borderId="5" xfId="2" applyFont="1" applyBorder="1"/>
    <xf numFmtId="0" fontId="0" fillId="0" borderId="7" xfId="0" applyFont="1" applyBorder="1" applyAlignment="1">
      <alignment horizontal="left"/>
    </xf>
    <xf numFmtId="44" fontId="0" fillId="0" borderId="8" xfId="2" applyFont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5" applyFont="1" applyBorder="1"/>
    <xf numFmtId="3" fontId="7" fillId="0" borderId="0" xfId="6" applyNumberFormat="1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0" xfId="0" applyFill="1"/>
    <xf numFmtId="43" fontId="0" fillId="0" borderId="0" xfId="0" applyNumberFormat="1"/>
    <xf numFmtId="0" fontId="0" fillId="0" borderId="0" xfId="0" applyFont="1" applyFill="1" applyBorder="1" applyAlignment="1">
      <alignment vertical="center" textRotation="90"/>
    </xf>
    <xf numFmtId="3" fontId="4" fillId="7" borderId="1" xfId="0" applyNumberFormat="1" applyFont="1" applyFill="1" applyBorder="1" applyAlignment="1">
      <alignment horizontal="right"/>
    </xf>
    <xf numFmtId="171" fontId="4" fillId="7" borderId="1" xfId="0" applyNumberFormat="1" applyFont="1" applyFill="1" applyBorder="1" applyAlignment="1">
      <alignment horizontal="right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7" fillId="0" borderId="0" xfId="5" applyFont="1" applyFill="1" applyBorder="1"/>
    <xf numFmtId="3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Border="1"/>
    <xf numFmtId="165" fontId="4" fillId="0" borderId="1" xfId="1" applyNumberFormat="1" applyFont="1" applyBorder="1" applyAlignment="1">
      <alignment horizontal="center"/>
    </xf>
    <xf numFmtId="165" fontId="0" fillId="8" borderId="0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172" fontId="0" fillId="0" borderId="0" xfId="0" applyNumberFormat="1"/>
    <xf numFmtId="171" fontId="0" fillId="0" borderId="0" xfId="0" applyNumberFormat="1"/>
    <xf numFmtId="44" fontId="0" fillId="9" borderId="9" xfId="2" applyFont="1" applyFill="1" applyBorder="1"/>
    <xf numFmtId="44" fontId="7" fillId="10" borderId="0" xfId="7" applyFont="1" applyFill="1"/>
    <xf numFmtId="44" fontId="0" fillId="9" borderId="0" xfId="2" applyFont="1" applyFill="1" applyBorder="1"/>
    <xf numFmtId="44" fontId="0" fillId="11" borderId="0" xfId="2" applyFont="1" applyFill="1" applyBorder="1"/>
    <xf numFmtId="0" fontId="0" fillId="0" borderId="12" xfId="0" applyBorder="1"/>
    <xf numFmtId="0" fontId="8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9" fillId="0" borderId="0" xfId="0" applyFont="1" applyAlignment="1">
      <alignment horizontal="center"/>
    </xf>
    <xf numFmtId="167" fontId="0" fillId="3" borderId="0" xfId="1" applyNumberFormat="1" applyFont="1" applyFill="1"/>
    <xf numFmtId="4" fontId="4" fillId="7" borderId="1" xfId="0" applyNumberFormat="1" applyFont="1" applyFill="1" applyBorder="1" applyAlignment="1">
      <alignment horizontal="right"/>
    </xf>
    <xf numFmtId="0" fontId="0" fillId="12" borderId="0" xfId="0" applyFill="1"/>
    <xf numFmtId="0" fontId="0" fillId="12" borderId="12" xfId="0" applyFill="1" applyBorder="1"/>
    <xf numFmtId="171" fontId="0" fillId="0" borderId="0" xfId="0" applyNumberFormat="1" applyFill="1"/>
    <xf numFmtId="44" fontId="0" fillId="0" borderId="0" xfId="0" applyNumberFormat="1"/>
    <xf numFmtId="4" fontId="10" fillId="0" borderId="0" xfId="8" applyNumberFormat="1" applyFill="1"/>
    <xf numFmtId="0" fontId="10" fillId="0" borderId="0" xfId="8" applyFill="1"/>
    <xf numFmtId="3" fontId="10" fillId="0" borderId="0" xfId="8" applyNumberFormat="1" applyFill="1"/>
    <xf numFmtId="4" fontId="10" fillId="0" borderId="1" xfId="8" applyNumberForma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/>
    <xf numFmtId="3" fontId="0" fillId="0" borderId="15" xfId="0" applyNumberFormat="1" applyBorder="1"/>
    <xf numFmtId="10" fontId="0" fillId="0" borderId="15" xfId="3" applyNumberFormat="1" applyFont="1" applyBorder="1"/>
    <xf numFmtId="0" fontId="0" fillId="0" borderId="8" xfId="0" applyBorder="1"/>
    <xf numFmtId="10" fontId="0" fillId="0" borderId="15" xfId="0" applyNumberFormat="1" applyBorder="1"/>
    <xf numFmtId="0" fontId="0" fillId="0" borderId="5" xfId="0" applyBorder="1" applyAlignment="1">
      <alignment horizontal="center"/>
    </xf>
    <xf numFmtId="3" fontId="0" fillId="0" borderId="0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4" fillId="0" borderId="16" xfId="0" applyFont="1" applyFill="1" applyBorder="1"/>
    <xf numFmtId="0" fontId="0" fillId="2" borderId="4" xfId="0" applyFont="1" applyFill="1" applyBorder="1" applyAlignment="1">
      <alignment horizontal="left"/>
    </xf>
    <xf numFmtId="44" fontId="0" fillId="2" borderId="0" xfId="2" applyFont="1" applyFill="1" applyBorder="1"/>
    <xf numFmtId="0" fontId="0" fillId="2" borderId="7" xfId="0" applyFont="1" applyFill="1" applyBorder="1" applyAlignment="1">
      <alignment horizontal="left" indent="1"/>
    </xf>
    <xf numFmtId="44" fontId="0" fillId="2" borderId="15" xfId="2" applyFont="1" applyFill="1" applyBorder="1"/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0" fillId="0" borderId="0" xfId="8" applyFill="1" applyAlignment="1">
      <alignment horizontal="centerContinuous"/>
    </xf>
    <xf numFmtId="0" fontId="10" fillId="0" borderId="0" xfId="8" applyFill="1" applyAlignment="1">
      <alignment horizontal="center" wrapText="1"/>
    </xf>
    <xf numFmtId="0" fontId="10" fillId="0" borderId="0" xfId="8" applyFill="1" applyAlignment="1">
      <alignment horizontal="center"/>
    </xf>
    <xf numFmtId="0" fontId="10" fillId="0" borderId="0" xfId="8" applyFill="1" applyAlignment="1">
      <alignment horizontal="center"/>
    </xf>
    <xf numFmtId="173" fontId="10" fillId="0" borderId="0" xfId="8" applyNumberFormat="1" applyFill="1" applyAlignment="1">
      <alignment horizontal="center"/>
    </xf>
    <xf numFmtId="10" fontId="10" fillId="0" borderId="0" xfId="8" applyNumberFormat="1" applyFill="1" applyAlignment="1">
      <alignment horizontal="center"/>
    </xf>
    <xf numFmtId="10" fontId="10" fillId="0" borderId="0" xfId="3" applyNumberFormat="1" applyFont="1" applyFill="1"/>
  </cellXfs>
  <cellStyles count="9">
    <cellStyle name="Comma" xfId="1" builtinId="3"/>
    <cellStyle name="Currency" xfId="2" builtinId="4"/>
    <cellStyle name="Currency 2" xfId="7"/>
    <cellStyle name="Normal" xfId="0" builtinId="0"/>
    <cellStyle name="Normal 105" xfId="6"/>
    <cellStyle name="Normal 2" xfId="8"/>
    <cellStyle name="Normal_Murrey's Jan-Dec 2012" xfId="5"/>
    <cellStyle name="Normal_Price ou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Relationship Id="rId30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/EDS%20Tariff%20110/Tariff%205_TipFeeIncrease_Jan2019/EDS-Rate%20Calculations%20Jan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BDI-EDS_Filing_DEC2017/WorkingDocuments/Tonnage/BDI-EDS_Tonnage_31JULY2017%20(WB%20Edit%2029Aug2017)(DAEdit%2003Oct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CityRateCases/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S_Calculation"/>
      <sheetName val="References_EDS"/>
      <sheetName val="EDS_RevenueIncrease"/>
      <sheetName val="Tonnage Summary"/>
    </sheetNames>
    <sheetDataSet>
      <sheetData sheetId="0"/>
      <sheetData sheetId="1">
        <row r="42">
          <cell r="C42">
            <v>1.3750000000000012E-3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23"/>
  <sheetViews>
    <sheetView tabSelected="1" zoomScale="70" zoomScaleNormal="70" workbookViewId="0">
      <pane xSplit="4" ySplit="9" topLeftCell="E16" activePane="bottomRight" state="frozen"/>
      <selection pane="topRight" activeCell="D1" sqref="D1"/>
      <selection pane="bottomLeft" activeCell="A2" sqref="A2"/>
      <selection pane="bottomRight" activeCell="AA33" sqref="AA32:AA33"/>
    </sheetView>
  </sheetViews>
  <sheetFormatPr defaultRowHeight="14.4" x14ac:dyDescent="0.3"/>
  <cols>
    <col min="2" max="2" width="24.109375" bestFit="1" customWidth="1"/>
    <col min="3" max="3" width="17.6640625" bestFit="1" customWidth="1"/>
    <col min="4" max="4" width="19.33203125" bestFit="1" customWidth="1"/>
    <col min="5" max="5" width="11.5546875" bestFit="1" customWidth="1"/>
    <col min="6" max="6" width="5.6640625" bestFit="1" customWidth="1"/>
    <col min="7" max="7" width="39.33203125" customWidth="1"/>
    <col min="8" max="8" width="16.88671875" hidden="1" customWidth="1"/>
    <col min="9" max="9" width="10.6640625" hidden="1" customWidth="1"/>
    <col min="10" max="10" width="18" hidden="1" customWidth="1"/>
    <col min="11" max="11" width="9" hidden="1" customWidth="1"/>
    <col min="12" max="12" width="25.6640625" hidden="1" customWidth="1"/>
    <col min="13" max="13" width="18" hidden="1" customWidth="1"/>
    <col min="14" max="15" width="14.5546875" hidden="1" customWidth="1"/>
    <col min="16" max="16" width="15.44140625" hidden="1" customWidth="1"/>
    <col min="17" max="17" width="17.5546875" bestFit="1" customWidth="1"/>
    <col min="18" max="18" width="19.5546875" bestFit="1" customWidth="1"/>
    <col min="19" max="19" width="18.6640625" bestFit="1" customWidth="1"/>
    <col min="20" max="20" width="20.5546875" bestFit="1" customWidth="1"/>
    <col min="21" max="21" width="17.33203125" customWidth="1"/>
    <col min="23" max="23" width="12" bestFit="1" customWidth="1"/>
    <col min="24" max="25" width="11.109375" bestFit="1" customWidth="1"/>
    <col min="26" max="26" width="11.5546875" bestFit="1" customWidth="1"/>
    <col min="27" max="28" width="12" bestFit="1" customWidth="1"/>
  </cols>
  <sheetData>
    <row r="1" spans="1:26" ht="25.8" x14ac:dyDescent="0.5">
      <c r="A1" s="126" t="s">
        <v>253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6" ht="25.8" x14ac:dyDescent="0.5">
      <c r="A2" t="s">
        <v>254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6" ht="25.8" x14ac:dyDescent="0.5">
      <c r="A3" t="s">
        <v>251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6" ht="25.8" x14ac:dyDescent="0.5">
      <c r="A4" t="s">
        <v>252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6" x14ac:dyDescent="0.3">
      <c r="F5" s="1"/>
    </row>
    <row r="6" spans="1:26" ht="28.8" x14ac:dyDescent="0.3">
      <c r="A6" t="s">
        <v>217</v>
      </c>
      <c r="B6" s="64" t="s">
        <v>152</v>
      </c>
      <c r="C6" s="64" t="s">
        <v>156</v>
      </c>
      <c r="D6" s="64" t="s">
        <v>153</v>
      </c>
      <c r="E6" s="24" t="s">
        <v>216</v>
      </c>
      <c r="F6" s="51" t="s">
        <v>137</v>
      </c>
      <c r="G6" s="52" t="s">
        <v>138</v>
      </c>
      <c r="H6" s="51" t="s">
        <v>139</v>
      </c>
      <c r="I6" s="51" t="s">
        <v>140</v>
      </c>
      <c r="J6" s="24" t="s">
        <v>141</v>
      </c>
      <c r="K6" s="51" t="s">
        <v>112</v>
      </c>
      <c r="L6" s="51" t="s">
        <v>142</v>
      </c>
      <c r="M6" s="53" t="s">
        <v>143</v>
      </c>
      <c r="N6" s="54" t="s">
        <v>5</v>
      </c>
      <c r="O6" s="51" t="s">
        <v>144</v>
      </c>
      <c r="P6" s="51" t="s">
        <v>145</v>
      </c>
      <c r="Q6" s="51" t="s">
        <v>146</v>
      </c>
      <c r="R6" s="51" t="s">
        <v>147</v>
      </c>
      <c r="S6" s="51" t="s">
        <v>148</v>
      </c>
      <c r="T6" s="51" t="s">
        <v>149</v>
      </c>
      <c r="U6" s="51" t="s">
        <v>150</v>
      </c>
    </row>
    <row r="7" spans="1:26" x14ac:dyDescent="0.3">
      <c r="A7">
        <v>1</v>
      </c>
      <c r="B7" t="s">
        <v>45</v>
      </c>
      <c r="C7" t="s">
        <v>43</v>
      </c>
      <c r="D7" t="s">
        <v>84</v>
      </c>
      <c r="E7" s="123" t="s">
        <v>81</v>
      </c>
      <c r="F7" s="55" t="s">
        <v>210</v>
      </c>
      <c r="G7" s="56" t="s">
        <v>165</v>
      </c>
      <c r="H7" s="2">
        <f>12/12</f>
        <v>1</v>
      </c>
      <c r="I7" s="14">
        <f>INDEX(References_BDI!$M$2:$T$9,MATCH($D7,References_BDI!$M$2:$M$9,0),MATCH(LEFT($G7,1)&amp;" units",References_BDI!$M$2:$T$2,0))</f>
        <v>1</v>
      </c>
      <c r="J7" s="2">
        <f>+H7*I7*12</f>
        <v>12</v>
      </c>
      <c r="K7">
        <f>References_BDI!$C$4</f>
        <v>34</v>
      </c>
      <c r="L7" s="65">
        <f t="shared" ref="L7:L13" si="0">+K7*J7</f>
        <v>408</v>
      </c>
      <c r="M7" s="65">
        <f>+L7*$H$123</f>
        <v>327.333087500658</v>
      </c>
      <c r="N7" s="83">
        <f>+M7*References_BDI!$C$42</f>
        <v>0.21276650687542698</v>
      </c>
      <c r="O7" s="83">
        <f>+N7/References_BDI!$G$45</f>
        <v>0.21768621534215979</v>
      </c>
      <c r="P7" s="83">
        <f>IFERROR(O7/J7*I7,0)</f>
        <v>1.8140517945179981E-2</v>
      </c>
      <c r="Q7" s="85">
        <v>9.09</v>
      </c>
      <c r="R7" s="84">
        <f t="shared" ref="R7:R13" si="1">P7+Q7</f>
        <v>9.1081405179451806</v>
      </c>
      <c r="S7" s="83">
        <f>+Q7*H7*12</f>
        <v>109.08</v>
      </c>
      <c r="T7" s="83">
        <f>+R7*H7*12</f>
        <v>109.29768621534217</v>
      </c>
      <c r="U7" s="87">
        <f>+T7-S7</f>
        <v>0.21768621534216948</v>
      </c>
      <c r="W7" t="str">
        <f>IF(R7&lt;10,TEXT(R7,"$0.00")&amp;" (A)",IF(R7&lt;100,TEXT(R7,"$00.00")&amp;" (A)",TEXT(R7,"$000.00")&amp;" (A)"))</f>
        <v>$9.11 (A)</v>
      </c>
      <c r="Y7" s="99"/>
      <c r="Z7" s="99"/>
    </row>
    <row r="8" spans="1:26" x14ac:dyDescent="0.3">
      <c r="A8">
        <v>2</v>
      </c>
      <c r="B8" t="s">
        <v>44</v>
      </c>
      <c r="C8" t="s">
        <v>43</v>
      </c>
      <c r="D8" t="s">
        <v>88</v>
      </c>
      <c r="E8" s="124"/>
      <c r="F8" s="55" t="s">
        <v>210</v>
      </c>
      <c r="G8" s="56" t="s">
        <v>159</v>
      </c>
      <c r="H8" s="2">
        <f>156/12</f>
        <v>13</v>
      </c>
      <c r="I8" s="14">
        <f>INDEX(References_BDI!$M$2:$T$9,MATCH($D8,References_BDI!$M$2:$M$9,0),MATCH(LEFT($G8,1)&amp;" units",References_BDI!$M$2:$T$2,0))</f>
        <v>4.333333333333333</v>
      </c>
      <c r="J8" s="2">
        <f>+H8*I8*12</f>
        <v>676</v>
      </c>
      <c r="K8">
        <f>References_BDI!$C$4</f>
        <v>34</v>
      </c>
      <c r="L8" s="65">
        <f t="shared" si="0"/>
        <v>22984</v>
      </c>
      <c r="M8" s="65">
        <f t="shared" ref="M8:M13" si="2">+L8*$H$123</f>
        <v>18439.763929203735</v>
      </c>
      <c r="N8" s="83">
        <f>+M8*References_BDI!$C$42</f>
        <v>11.985846553982388</v>
      </c>
      <c r="O8" s="83">
        <f>+N8/References_BDI!$G$45</f>
        <v>12.262990130941668</v>
      </c>
      <c r="P8" s="83">
        <f>IFERROR(O8/J8*I8,0)</f>
        <v>7.8608911095779915E-2</v>
      </c>
      <c r="Q8" s="85">
        <v>19.420000000000002</v>
      </c>
      <c r="R8" s="86">
        <f t="shared" si="1"/>
        <v>19.498608911095783</v>
      </c>
      <c r="S8" s="83">
        <f>+Q8*H8*12</f>
        <v>3029.5200000000004</v>
      </c>
      <c r="T8" s="83">
        <f>+R8*H8*12</f>
        <v>3041.7829901309424</v>
      </c>
      <c r="U8" s="87">
        <f t="shared" ref="U8:U13" si="3">+T8-S8</f>
        <v>12.262990130941944</v>
      </c>
      <c r="W8" t="str">
        <f t="shared" ref="W8:W13" si="4">IF(R8&lt;10,TEXT(R8,"$0.00")&amp;" (A)",IF(R8&lt;100,TEXT(R8,"$00.00")&amp;" (A)",TEXT(R8,"$000.00")&amp;" (A)"))</f>
        <v>$19.50 (A)</v>
      </c>
      <c r="Y8" s="99"/>
      <c r="Z8" s="99"/>
    </row>
    <row r="9" spans="1:26" x14ac:dyDescent="0.3">
      <c r="A9">
        <v>3</v>
      </c>
      <c r="B9" t="s">
        <v>42</v>
      </c>
      <c r="C9" t="s">
        <v>41</v>
      </c>
      <c r="D9" t="s">
        <v>88</v>
      </c>
      <c r="E9" s="124"/>
      <c r="F9" s="55" t="s">
        <v>210</v>
      </c>
      <c r="G9" s="56" t="s">
        <v>155</v>
      </c>
      <c r="H9" s="2">
        <f>7228/12</f>
        <v>602.33333333333337</v>
      </c>
      <c r="I9" s="14">
        <f>INDEX(References_BDI!$M$2:$T$9,MATCH($D9,References_BDI!$M$2:$M$9,0),MATCH(LEFT($G9,1)&amp;" units",References_BDI!$M$2:$T$2,0))</f>
        <v>4.333333333333333</v>
      </c>
      <c r="J9" s="2">
        <f>+H9*I9*12</f>
        <v>31321.333333333336</v>
      </c>
      <c r="K9">
        <f>References_BDI!$C$11</f>
        <v>47</v>
      </c>
      <c r="L9" s="65">
        <f t="shared" si="0"/>
        <v>1472102.6666666667</v>
      </c>
      <c r="M9" s="65">
        <f t="shared" si="2"/>
        <v>1181048.8014655686</v>
      </c>
      <c r="N9" s="83">
        <f>+M9*References_BDI!$C$42</f>
        <v>767.68172095261696</v>
      </c>
      <c r="O9" s="83">
        <f>+N9/References_BDI!$G$45</f>
        <v>785.43249534746974</v>
      </c>
      <c r="P9" s="83">
        <f>IFERROR(O9/J9*I9,0)</f>
        <v>0.10866525945593104</v>
      </c>
      <c r="Q9" s="85">
        <v>18.82</v>
      </c>
      <c r="R9" s="86">
        <f t="shared" si="1"/>
        <v>18.928665259455933</v>
      </c>
      <c r="S9" s="83">
        <f>+Q9*H9*12</f>
        <v>136030.96000000002</v>
      </c>
      <c r="T9" s="83">
        <f>+R9*H9*12</f>
        <v>136816.39249534748</v>
      </c>
      <c r="U9" s="87">
        <f t="shared" si="3"/>
        <v>785.43249534745701</v>
      </c>
      <c r="W9" t="str">
        <f t="shared" si="4"/>
        <v>$18.93 (A)</v>
      </c>
      <c r="Y9" s="99"/>
      <c r="Z9" s="99"/>
    </row>
    <row r="10" spans="1:26" ht="15" customHeight="1" x14ac:dyDescent="0.3">
      <c r="A10">
        <v>4</v>
      </c>
      <c r="B10" t="s">
        <v>16</v>
      </c>
      <c r="C10" t="s">
        <v>15</v>
      </c>
      <c r="D10" t="s">
        <v>88</v>
      </c>
      <c r="E10" s="124"/>
      <c r="F10" s="55" t="s">
        <v>210</v>
      </c>
      <c r="G10" s="56" t="s">
        <v>154</v>
      </c>
      <c r="H10" s="2">
        <f>55760/12</f>
        <v>4646.666666666667</v>
      </c>
      <c r="I10" s="14">
        <f>INDEX(References_BDI!$M$2:$T$9,MATCH($D10,References_BDI!$M$2:$M$9,0),MATCH(LEFT($G10,1)&amp;" units",References_BDI!$M$2:$T$2,0))</f>
        <v>4.333333333333333</v>
      </c>
      <c r="J10" s="2">
        <f>+H10*I10*12</f>
        <v>241626.66666666666</v>
      </c>
      <c r="K10">
        <f>References_BDI!$C$12</f>
        <v>68</v>
      </c>
      <c r="L10" s="65">
        <f t="shared" si="0"/>
        <v>16430613.333333332</v>
      </c>
      <c r="M10" s="65">
        <f t="shared" si="2"/>
        <v>13182067.137082053</v>
      </c>
      <c r="N10" s="83">
        <f>+M10*References_BDI!$C$42</f>
        <v>8568.3436391033065</v>
      </c>
      <c r="O10" s="83">
        <f>+N10/References_BDI!$G$45</f>
        <v>8766.4657654013772</v>
      </c>
      <c r="P10" s="83">
        <f>IFERROR(O10/J10*I10,0)</f>
        <v>0.15721782219155986</v>
      </c>
      <c r="Q10" s="85">
        <v>23.82</v>
      </c>
      <c r="R10" s="86">
        <f t="shared" si="1"/>
        <v>23.977217822191559</v>
      </c>
      <c r="S10" s="83">
        <f>+Q10*H10*12</f>
        <v>1328203.2000000002</v>
      </c>
      <c r="T10" s="83">
        <f>+R10*H10*12</f>
        <v>1336969.6657654014</v>
      </c>
      <c r="U10" s="87">
        <f t="shared" si="3"/>
        <v>8766.4657654012553</v>
      </c>
      <c r="W10" t="str">
        <f t="shared" si="4"/>
        <v>$23.98 (A)</v>
      </c>
      <c r="Y10" s="99"/>
      <c r="Z10" s="99"/>
    </row>
    <row r="11" spans="1:26" ht="15" customHeight="1" x14ac:dyDescent="0.3">
      <c r="A11">
        <v>5</v>
      </c>
      <c r="B11" t="s">
        <v>46</v>
      </c>
      <c r="C11" t="s">
        <v>26</v>
      </c>
      <c r="D11" t="s">
        <v>88</v>
      </c>
      <c r="E11" s="124"/>
      <c r="F11" s="55" t="s">
        <v>210</v>
      </c>
      <c r="G11" s="56" t="s">
        <v>212</v>
      </c>
      <c r="H11" s="2">
        <f>8/12</f>
        <v>0.66666666666666663</v>
      </c>
      <c r="I11" s="14">
        <f>INDEX(References_BDI!$M$2:$T$9,MATCH($D11,References_BDI!$M$2:$M$9,0),MATCH(LEFT($G11,1)&amp;" units",References_BDI!$M$2:$T$2,0))</f>
        <v>4.333333333333333</v>
      </c>
      <c r="J11" s="2">
        <f>+H11*I11*12</f>
        <v>34.666666666666657</v>
      </c>
      <c r="K11">
        <f>References_BDI!$C$16</f>
        <v>175</v>
      </c>
      <c r="L11" s="65">
        <f t="shared" si="0"/>
        <v>6066.6666666666652</v>
      </c>
      <c r="M11" s="65">
        <f t="shared" si="2"/>
        <v>4867.2076736208937</v>
      </c>
      <c r="N11" s="83">
        <f>+M11*References_BDI!$C$42</f>
        <v>3.1636849878535704</v>
      </c>
      <c r="O11" s="83">
        <f>+N11/References_BDI!$G$45</f>
        <v>3.2368375157085842</v>
      </c>
      <c r="P11" s="83">
        <f>IFERROR(O11/J11*I11,0)</f>
        <v>0.40460468946357314</v>
      </c>
      <c r="Q11" s="85">
        <v>88.7</v>
      </c>
      <c r="R11" s="86">
        <f t="shared" si="1"/>
        <v>89.104604689463571</v>
      </c>
      <c r="S11" s="83">
        <f>+Q11*H11*12</f>
        <v>709.6</v>
      </c>
      <c r="T11" s="83">
        <f>+R11*H11*12</f>
        <v>712.83683751570857</v>
      </c>
      <c r="U11" s="87">
        <f t="shared" si="3"/>
        <v>3.2368375157085438</v>
      </c>
      <c r="W11" t="str">
        <f t="shared" si="4"/>
        <v>$89.10 (A)</v>
      </c>
      <c r="Y11" s="99"/>
      <c r="Z11" s="99"/>
    </row>
    <row r="12" spans="1:26" x14ac:dyDescent="0.3">
      <c r="A12">
        <v>6</v>
      </c>
      <c r="B12" t="s">
        <v>157</v>
      </c>
      <c r="C12" t="s">
        <v>37</v>
      </c>
      <c r="E12" s="124"/>
      <c r="F12" s="55" t="s">
        <v>211</v>
      </c>
      <c r="G12" s="56" t="s">
        <v>213</v>
      </c>
      <c r="I12" s="16">
        <v>1</v>
      </c>
      <c r="J12" s="2">
        <v>1774</v>
      </c>
      <c r="K12">
        <f>References_BDI!$C$14</f>
        <v>34</v>
      </c>
      <c r="L12" s="65">
        <f t="shared" si="0"/>
        <v>60316</v>
      </c>
      <c r="M12" s="65">
        <f t="shared" si="2"/>
        <v>48390.741435513941</v>
      </c>
      <c r="N12" s="83">
        <f>+M12*References_BDI!$C$42</f>
        <v>31.453981933083956</v>
      </c>
      <c r="O12" s="83">
        <f>+N12/References_BDI!$G$45</f>
        <v>32.181278834749286</v>
      </c>
      <c r="P12" s="83">
        <f>IFERROR(O12/J12,0)</f>
        <v>1.8140517945179981E-2</v>
      </c>
      <c r="Q12" s="85">
        <v>3.34</v>
      </c>
      <c r="R12" s="86">
        <f t="shared" si="1"/>
        <v>3.3581405179451798</v>
      </c>
      <c r="S12" s="83">
        <f>+Q12*J12</f>
        <v>5925.16</v>
      </c>
      <c r="T12" s="83">
        <f>+R12*J12</f>
        <v>5957.3412788347487</v>
      </c>
      <c r="U12" s="87">
        <f t="shared" si="3"/>
        <v>32.181278834748809</v>
      </c>
      <c r="W12" t="str">
        <f t="shared" si="4"/>
        <v>$3.36 (A)</v>
      </c>
      <c r="Y12" s="99"/>
      <c r="Z12" s="99"/>
    </row>
    <row r="13" spans="1:26" x14ac:dyDescent="0.3">
      <c r="A13">
        <v>7</v>
      </c>
      <c r="B13" t="s">
        <v>39</v>
      </c>
      <c r="C13" t="s">
        <v>38</v>
      </c>
      <c r="E13" s="124"/>
      <c r="F13" s="55">
        <v>24</v>
      </c>
      <c r="G13" s="56" t="s">
        <v>166</v>
      </c>
      <c r="I13" s="16">
        <v>1</v>
      </c>
      <c r="J13" s="2">
        <v>6</v>
      </c>
      <c r="K13">
        <f>References_BDI!$C$31</f>
        <v>125</v>
      </c>
      <c r="L13" s="65">
        <f t="shared" si="0"/>
        <v>750</v>
      </c>
      <c r="M13" s="65">
        <f t="shared" si="2"/>
        <v>601.71523437620954</v>
      </c>
      <c r="N13" s="83">
        <f>+M13*References_BDI!$C$42</f>
        <v>0.39111490234453489</v>
      </c>
      <c r="O13" s="83">
        <f>+N13/References_BDI!$G$45</f>
        <v>0.40015848408485255</v>
      </c>
      <c r="P13" s="83">
        <f>IFERROR(O13/J13,0)</f>
        <v>6.6693080680808758E-2</v>
      </c>
      <c r="Q13" s="85">
        <v>15.84</v>
      </c>
      <c r="R13" s="86">
        <f t="shared" si="1"/>
        <v>15.906693080680808</v>
      </c>
      <c r="S13" s="83">
        <f>+Q13*J13</f>
        <v>95.039999999999992</v>
      </c>
      <c r="T13" s="83">
        <f>+R13*J13</f>
        <v>95.440158484084847</v>
      </c>
      <c r="U13" s="87">
        <f t="shared" si="3"/>
        <v>0.4001584840848551</v>
      </c>
      <c r="W13" t="str">
        <f t="shared" si="4"/>
        <v>$15.91 (A)</v>
      </c>
      <c r="Y13" s="99"/>
      <c r="Z13" s="99"/>
    </row>
    <row r="14" spans="1:26" x14ac:dyDescent="0.3">
      <c r="A14">
        <v>8</v>
      </c>
      <c r="E14" s="66"/>
      <c r="F14" s="57"/>
      <c r="G14" s="58"/>
      <c r="Y14" s="99"/>
      <c r="Z14" s="99"/>
    </row>
    <row r="15" spans="1:26" x14ac:dyDescent="0.3">
      <c r="A15">
        <v>9</v>
      </c>
      <c r="B15" s="67"/>
      <c r="C15" s="67"/>
      <c r="D15" s="67"/>
      <c r="E15" s="67"/>
      <c r="F15" s="67"/>
      <c r="G15" s="67" t="s">
        <v>118</v>
      </c>
      <c r="H15" s="67">
        <f>SUM(H7:H13)</f>
        <v>5263.666666666667</v>
      </c>
      <c r="I15" s="67"/>
      <c r="J15" s="67">
        <f>SUM(J7:J13)</f>
        <v>275450.66666666669</v>
      </c>
      <c r="K15" s="67"/>
      <c r="L15" s="67">
        <f>SUM(L7:L13)</f>
        <v>17993240.666666668</v>
      </c>
      <c r="M15" s="95">
        <f>SUM(M7:M13)</f>
        <v>14435742.699907837</v>
      </c>
      <c r="N15" s="95">
        <f t="shared" ref="N15:P15" si="5">SUM(N7:N13)</f>
        <v>9383.2327549400634</v>
      </c>
      <c r="O15" s="95">
        <f t="shared" si="5"/>
        <v>9600.1972119296734</v>
      </c>
      <c r="P15" s="95">
        <f t="shared" si="5"/>
        <v>0.85207079877801273</v>
      </c>
      <c r="Q15" s="67"/>
      <c r="R15" s="67"/>
      <c r="S15" s="68">
        <f t="shared" ref="S15:U15" si="6">SUM(S7:S13)</f>
        <v>1474102.5600000003</v>
      </c>
      <c r="T15" s="68">
        <f t="shared" si="6"/>
        <v>1483702.7572119297</v>
      </c>
      <c r="U15" s="68">
        <f t="shared" si="6"/>
        <v>9600.1972119295388</v>
      </c>
      <c r="Y15" s="99"/>
      <c r="Z15" s="99"/>
    </row>
    <row r="16" spans="1:26" x14ac:dyDescent="0.3">
      <c r="A16">
        <v>10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4"/>
      <c r="U16" s="74"/>
      <c r="V16" s="75"/>
      <c r="W16" s="75"/>
      <c r="Y16" s="99"/>
      <c r="Z16" s="99"/>
    </row>
    <row r="17" spans="1:26" ht="58.2" x14ac:dyDescent="0.3">
      <c r="A17">
        <v>11</v>
      </c>
      <c r="B17" t="s">
        <v>47</v>
      </c>
      <c r="C17" t="s">
        <v>38</v>
      </c>
      <c r="E17" s="66" t="s">
        <v>75</v>
      </c>
      <c r="F17" s="55">
        <v>24</v>
      </c>
      <c r="G17" s="56" t="s">
        <v>166</v>
      </c>
      <c r="J17" s="2">
        <v>214</v>
      </c>
      <c r="K17" s="2">
        <f>$K$13</f>
        <v>125</v>
      </c>
      <c r="L17" s="65">
        <f t="shared" ref="L17:L49" si="7">+K17*J17</f>
        <v>26750</v>
      </c>
      <c r="M17" s="65">
        <f t="shared" ref="M17:M49" si="8">+L17*$H$123</f>
        <v>21461.176692751473</v>
      </c>
      <c r="N17" s="83">
        <f>+M17*References_BDI!$C$42</f>
        <v>13.94976485028841</v>
      </c>
      <c r="O17" s="83">
        <f>+N17/References_BDI!$G$45</f>
        <v>14.272319265693072</v>
      </c>
      <c r="P17" s="83">
        <f t="shared" ref="P17:P49" si="9">IFERROR(O17/J17,0)</f>
        <v>6.6693080680808745E-2</v>
      </c>
      <c r="Q17" s="85">
        <v>15.84</v>
      </c>
      <c r="R17" s="86">
        <f t="shared" ref="R17:R48" si="10">P17+Q17</f>
        <v>15.906693080680808</v>
      </c>
      <c r="S17" s="83">
        <f t="shared" ref="S17:S49" si="11">+Q17*J17</f>
        <v>3389.7599999999998</v>
      </c>
      <c r="T17" s="83">
        <f t="shared" ref="T17:T49" si="12">+R17*J17</f>
        <v>3404.0323192656929</v>
      </c>
      <c r="U17" s="87">
        <f t="shared" ref="U17:U49" si="13">+T17-S17</f>
        <v>14.272319265693113</v>
      </c>
      <c r="W17" t="str">
        <f t="shared" ref="W17:W49" si="14">IF(R17&lt;10,TEXT(R17,"$0.00")&amp;" (A)",IF(R17&lt;100,TEXT(R17,"$00.00")&amp;" (A)",TEXT(R17,"$000.00")&amp;" (A)"))</f>
        <v>$15.91 (A)</v>
      </c>
      <c r="Y17" s="99"/>
      <c r="Z17" s="99"/>
    </row>
    <row r="18" spans="1:26" x14ac:dyDescent="0.3">
      <c r="A18">
        <v>12</v>
      </c>
      <c r="B18" t="s">
        <v>62</v>
      </c>
      <c r="C18" t="s">
        <v>41</v>
      </c>
      <c r="F18">
        <v>31</v>
      </c>
      <c r="G18" t="s">
        <v>167</v>
      </c>
      <c r="J18" s="2">
        <v>1442</v>
      </c>
      <c r="K18">
        <f>$K$9</f>
        <v>47</v>
      </c>
      <c r="L18" s="65">
        <f t="shared" si="7"/>
        <v>67774</v>
      </c>
      <c r="M18" s="65">
        <f t="shared" si="8"/>
        <v>54374.197726150967</v>
      </c>
      <c r="N18" s="83">
        <f>+M18*References_BDI!$C$42</f>
        <v>35.343228521998007</v>
      </c>
      <c r="O18" s="83">
        <f>+N18/References_BDI!$G$45</f>
        <v>36.160454800489056</v>
      </c>
      <c r="P18" s="83">
        <f t="shared" si="9"/>
        <v>2.507659833598409E-2</v>
      </c>
      <c r="Q18" s="85">
        <v>4.3499999999999996</v>
      </c>
      <c r="R18" s="86">
        <f t="shared" si="10"/>
        <v>4.3750765983359834</v>
      </c>
      <c r="S18" s="83">
        <f t="shared" si="11"/>
        <v>6272.7</v>
      </c>
      <c r="T18" s="83">
        <f t="shared" si="12"/>
        <v>6308.8604548004878</v>
      </c>
      <c r="U18" s="87">
        <f t="shared" si="13"/>
        <v>36.160454800487969</v>
      </c>
      <c r="W18" t="str">
        <f t="shared" si="14"/>
        <v>$4.38 (A)</v>
      </c>
      <c r="Y18" s="99"/>
      <c r="Z18" s="99"/>
    </row>
    <row r="19" spans="1:26" s="75" customFormat="1" x14ac:dyDescent="0.3">
      <c r="A19">
        <v>13</v>
      </c>
      <c r="B19" t="s">
        <v>62</v>
      </c>
      <c r="C19" t="s">
        <v>41</v>
      </c>
      <c r="D19"/>
      <c r="E19"/>
      <c r="F19">
        <v>31</v>
      </c>
      <c r="G19" t="s">
        <v>168</v>
      </c>
      <c r="H19"/>
      <c r="I19"/>
      <c r="J19" s="2">
        <v>4762</v>
      </c>
      <c r="K19">
        <f>$K$9</f>
        <v>47</v>
      </c>
      <c r="L19" s="65">
        <f t="shared" si="7"/>
        <v>223814</v>
      </c>
      <c r="M19" s="65">
        <f t="shared" si="8"/>
        <v>179563.0579555693</v>
      </c>
      <c r="N19" s="83">
        <f>+M19*References_BDI!$C$42</f>
        <v>116.71598767111965</v>
      </c>
      <c r="O19" s="83">
        <f>+N19/References_BDI!$G$45</f>
        <v>119.41476127595625</v>
      </c>
      <c r="P19" s="83">
        <f t="shared" si="9"/>
        <v>2.5076598335984093E-2</v>
      </c>
      <c r="Q19" s="85">
        <v>4.3499999999999996</v>
      </c>
      <c r="R19" s="86">
        <f t="shared" si="10"/>
        <v>4.3750765983359834</v>
      </c>
      <c r="S19" s="83">
        <f t="shared" si="11"/>
        <v>20714.699999999997</v>
      </c>
      <c r="T19" s="83">
        <f t="shared" si="12"/>
        <v>20834.114761275952</v>
      </c>
      <c r="U19" s="87">
        <f t="shared" si="13"/>
        <v>119.41476127595524</v>
      </c>
      <c r="V19"/>
      <c r="W19" t="str">
        <f t="shared" si="14"/>
        <v>$4.38 (A)</v>
      </c>
      <c r="Y19" s="99"/>
      <c r="Z19" s="99"/>
    </row>
    <row r="20" spans="1:26" ht="19.5" customHeight="1" x14ac:dyDescent="0.3">
      <c r="A20">
        <v>14</v>
      </c>
      <c r="B20" t="s">
        <v>61</v>
      </c>
      <c r="C20" t="s">
        <v>15</v>
      </c>
      <c r="E20" s="66"/>
      <c r="F20" s="55">
        <v>31</v>
      </c>
      <c r="G20" s="59" t="s">
        <v>170</v>
      </c>
      <c r="J20" s="2">
        <v>3163</v>
      </c>
      <c r="K20">
        <f>$K$10</f>
        <v>68</v>
      </c>
      <c r="L20" s="65">
        <f t="shared" si="7"/>
        <v>215084</v>
      </c>
      <c r="M20" s="65">
        <f t="shared" si="8"/>
        <v>172559.09262743022</v>
      </c>
      <c r="N20" s="83">
        <f>+M20*References_BDI!$C$42</f>
        <v>112.16341020782926</v>
      </c>
      <c r="O20" s="83">
        <f>+N20/References_BDI!$G$45</f>
        <v>114.75691652120857</v>
      </c>
      <c r="P20" s="83">
        <f t="shared" si="9"/>
        <v>3.6281035890359963E-2</v>
      </c>
      <c r="Q20" s="85">
        <v>5.5</v>
      </c>
      <c r="R20" s="86">
        <f t="shared" si="10"/>
        <v>5.5362810358903598</v>
      </c>
      <c r="S20" s="83">
        <f t="shared" si="11"/>
        <v>17396.5</v>
      </c>
      <c r="T20" s="83">
        <f t="shared" si="12"/>
        <v>17511.256916521208</v>
      </c>
      <c r="U20" s="87">
        <f t="shared" si="13"/>
        <v>114.75691652120804</v>
      </c>
      <c r="W20" t="str">
        <f t="shared" si="14"/>
        <v>$5.54 (A)</v>
      </c>
      <c r="Y20" s="99"/>
      <c r="Z20" s="99"/>
    </row>
    <row r="21" spans="1:26" ht="19.5" customHeight="1" x14ac:dyDescent="0.3">
      <c r="A21">
        <v>15</v>
      </c>
      <c r="B21" t="s">
        <v>61</v>
      </c>
      <c r="C21" t="s">
        <v>15</v>
      </c>
      <c r="E21" s="66"/>
      <c r="F21" s="55">
        <v>31</v>
      </c>
      <c r="G21" s="60" t="s">
        <v>171</v>
      </c>
      <c r="J21" s="2">
        <v>10280</v>
      </c>
      <c r="K21">
        <f>$K$10</f>
        <v>68</v>
      </c>
      <c r="L21" s="65">
        <f t="shared" si="7"/>
        <v>699040</v>
      </c>
      <c r="M21" s="65">
        <f t="shared" si="8"/>
        <v>560830.68991779408</v>
      </c>
      <c r="N21" s="83">
        <f>+M21*References_BDI!$C$42</f>
        <v>364.53994844656489</v>
      </c>
      <c r="O21" s="83">
        <f>+N21/References_BDI!$G$45</f>
        <v>372.96904895290044</v>
      </c>
      <c r="P21" s="83">
        <f t="shared" si="9"/>
        <v>3.6281035890359963E-2</v>
      </c>
      <c r="Q21" s="85">
        <v>5.5</v>
      </c>
      <c r="R21" s="86">
        <f t="shared" si="10"/>
        <v>5.5362810358903598</v>
      </c>
      <c r="S21" s="83">
        <f t="shared" si="11"/>
        <v>56540</v>
      </c>
      <c r="T21" s="83">
        <f t="shared" si="12"/>
        <v>56912.969048952902</v>
      </c>
      <c r="U21" s="87">
        <f t="shared" si="13"/>
        <v>372.96904895290209</v>
      </c>
      <c r="W21" t="str">
        <f t="shared" si="14"/>
        <v>$5.54 (A)</v>
      </c>
      <c r="Y21" s="99"/>
      <c r="Z21" s="99"/>
    </row>
    <row r="22" spans="1:26" ht="19.5" customHeight="1" x14ac:dyDescent="0.3">
      <c r="A22">
        <v>16</v>
      </c>
      <c r="B22" t="s">
        <v>66</v>
      </c>
      <c r="C22" t="s">
        <v>26</v>
      </c>
      <c r="E22" s="66"/>
      <c r="F22" s="55">
        <v>31</v>
      </c>
      <c r="G22" t="s">
        <v>173</v>
      </c>
      <c r="J22" s="2">
        <v>595</v>
      </c>
      <c r="K22">
        <f>$K$11</f>
        <v>175</v>
      </c>
      <c r="L22" s="65">
        <f t="shared" si="7"/>
        <v>104125</v>
      </c>
      <c r="M22" s="65">
        <f t="shared" si="8"/>
        <v>83538.131705897089</v>
      </c>
      <c r="N22" s="83">
        <f>+M22*References_BDI!$C$42</f>
        <v>54.299785608832927</v>
      </c>
      <c r="O22" s="83">
        <f>+N22/References_BDI!$G$45</f>
        <v>55.555336207113697</v>
      </c>
      <c r="P22" s="83">
        <f t="shared" si="9"/>
        <v>9.3370312953132265E-2</v>
      </c>
      <c r="Q22" s="85">
        <v>20.46</v>
      </c>
      <c r="R22" s="86">
        <f t="shared" si="10"/>
        <v>20.553370312953135</v>
      </c>
      <c r="S22" s="83">
        <f t="shared" si="11"/>
        <v>12173.7</v>
      </c>
      <c r="T22" s="83">
        <f t="shared" si="12"/>
        <v>12229.255336207116</v>
      </c>
      <c r="U22" s="87">
        <f t="shared" si="13"/>
        <v>55.555336207115033</v>
      </c>
      <c r="W22" t="str">
        <f t="shared" si="14"/>
        <v>$20.55 (A)</v>
      </c>
      <c r="Y22" s="99"/>
      <c r="Z22" s="99"/>
    </row>
    <row r="23" spans="1:26" x14ac:dyDescent="0.3">
      <c r="A23">
        <v>17</v>
      </c>
      <c r="B23" t="s">
        <v>66</v>
      </c>
      <c r="C23" t="s">
        <v>26</v>
      </c>
      <c r="E23" s="66"/>
      <c r="F23" s="55">
        <v>31</v>
      </c>
      <c r="G23" t="s">
        <v>174</v>
      </c>
      <c r="J23" s="2">
        <v>1449</v>
      </c>
      <c r="K23">
        <f>$K$11</f>
        <v>175</v>
      </c>
      <c r="L23" s="65">
        <f t="shared" si="7"/>
        <v>253575</v>
      </c>
      <c r="M23" s="65">
        <f t="shared" si="8"/>
        <v>203439.92074259644</v>
      </c>
      <c r="N23" s="83">
        <f>+M23*References_BDI!$C$42</f>
        <v>132.23594848268723</v>
      </c>
      <c r="O23" s="83">
        <f>+N23/References_BDI!$G$45</f>
        <v>135.29358346908865</v>
      </c>
      <c r="P23" s="83">
        <f t="shared" si="9"/>
        <v>9.3370312953132265E-2</v>
      </c>
      <c r="Q23" s="85">
        <v>20.46</v>
      </c>
      <c r="R23" s="86">
        <f t="shared" si="10"/>
        <v>20.553370312953135</v>
      </c>
      <c r="S23" s="83">
        <f t="shared" si="11"/>
        <v>29646.54</v>
      </c>
      <c r="T23" s="83">
        <f t="shared" si="12"/>
        <v>29781.833583469092</v>
      </c>
      <c r="U23" s="87">
        <f t="shared" si="13"/>
        <v>135.29358346909066</v>
      </c>
      <c r="W23" t="str">
        <f t="shared" si="14"/>
        <v>$20.55 (A)</v>
      </c>
      <c r="Y23" s="99"/>
      <c r="Z23" s="99"/>
    </row>
    <row r="24" spans="1:26" x14ac:dyDescent="0.3">
      <c r="A24">
        <v>18</v>
      </c>
      <c r="B24" t="s">
        <v>35</v>
      </c>
      <c r="C24" t="s">
        <v>34</v>
      </c>
      <c r="E24" s="66"/>
      <c r="F24" s="55">
        <v>32</v>
      </c>
      <c r="G24" t="s">
        <v>178</v>
      </c>
      <c r="J24" s="2">
        <v>58</v>
      </c>
      <c r="K24">
        <f>References_BDI!$C$16</f>
        <v>175</v>
      </c>
      <c r="L24" s="65">
        <f t="shared" si="7"/>
        <v>10150</v>
      </c>
      <c r="M24" s="65">
        <f t="shared" si="8"/>
        <v>8143.2128385580363</v>
      </c>
      <c r="N24" s="83">
        <f>+M24*References_BDI!$C$42</f>
        <v>5.2930883450627055</v>
      </c>
      <c r="O24" s="83">
        <f>+N24/References_BDI!$G$45</f>
        <v>5.415478151281671</v>
      </c>
      <c r="P24" s="83">
        <f t="shared" si="9"/>
        <v>9.3370312953132265E-2</v>
      </c>
      <c r="Q24" s="85">
        <v>17.489999999999998</v>
      </c>
      <c r="R24" s="86">
        <f t="shared" si="10"/>
        <v>17.583370312953132</v>
      </c>
      <c r="S24" s="83">
        <f t="shared" si="11"/>
        <v>1014.42</v>
      </c>
      <c r="T24" s="83">
        <f t="shared" si="12"/>
        <v>1019.8354781512817</v>
      </c>
      <c r="U24" s="87">
        <f t="shared" si="13"/>
        <v>5.4154781512817181</v>
      </c>
      <c r="W24" t="str">
        <f t="shared" si="14"/>
        <v>$17.58 (A)</v>
      </c>
      <c r="Y24" s="99"/>
      <c r="Z24" s="99"/>
    </row>
    <row r="25" spans="1:26" x14ac:dyDescent="0.3">
      <c r="A25">
        <v>19</v>
      </c>
      <c r="B25" t="s">
        <v>35</v>
      </c>
      <c r="C25" t="s">
        <v>34</v>
      </c>
      <c r="E25" s="66"/>
      <c r="F25" s="55">
        <v>32</v>
      </c>
      <c r="G25" t="s">
        <v>179</v>
      </c>
      <c r="J25" s="2">
        <v>186</v>
      </c>
      <c r="K25">
        <f>References_BDI!$C$16</f>
        <v>175</v>
      </c>
      <c r="L25" s="65">
        <f t="shared" si="7"/>
        <v>32550</v>
      </c>
      <c r="M25" s="65">
        <f t="shared" si="8"/>
        <v>26114.441171927494</v>
      </c>
      <c r="N25" s="83">
        <f>+M25*References_BDI!$C$42</f>
        <v>16.974386761752815</v>
      </c>
      <c r="O25" s="83">
        <f>+N25/References_BDI!$G$45</f>
        <v>17.3668782092826</v>
      </c>
      <c r="P25" s="83">
        <f t="shared" si="9"/>
        <v>9.3370312953132265E-2</v>
      </c>
      <c r="Q25" s="85">
        <v>17.489999999999998</v>
      </c>
      <c r="R25" s="86">
        <f t="shared" si="10"/>
        <v>17.583370312953132</v>
      </c>
      <c r="S25" s="83">
        <f t="shared" si="11"/>
        <v>3253.14</v>
      </c>
      <c r="T25" s="83">
        <f t="shared" si="12"/>
        <v>3270.5068782092826</v>
      </c>
      <c r="U25" s="87">
        <f t="shared" si="13"/>
        <v>17.366878209282731</v>
      </c>
      <c r="W25" t="str">
        <f t="shared" si="14"/>
        <v>$17.58 (A)</v>
      </c>
      <c r="Y25" s="99"/>
      <c r="Z25" s="99"/>
    </row>
    <row r="26" spans="1:26" x14ac:dyDescent="0.3">
      <c r="A26">
        <v>20</v>
      </c>
      <c r="B26" t="s">
        <v>27</v>
      </c>
      <c r="C26" t="s">
        <v>26</v>
      </c>
      <c r="E26" s="66"/>
      <c r="F26" s="55">
        <v>32</v>
      </c>
      <c r="G26" t="s">
        <v>182</v>
      </c>
      <c r="J26" s="2">
        <v>1536</v>
      </c>
      <c r="K26">
        <f>References_BDI!$C$17</f>
        <v>250</v>
      </c>
      <c r="L26" s="65">
        <f t="shared" si="7"/>
        <v>384000</v>
      </c>
      <c r="M26" s="65">
        <f t="shared" si="8"/>
        <v>308078.20000061928</v>
      </c>
      <c r="N26" s="83">
        <f>+M26*References_BDI!$C$42</f>
        <v>200.25083000040186</v>
      </c>
      <c r="O26" s="83">
        <f>+N26/References_BDI!$G$45</f>
        <v>204.88114385144451</v>
      </c>
      <c r="P26" s="83">
        <f t="shared" si="9"/>
        <v>0.13338616136161752</v>
      </c>
      <c r="Q26" s="85">
        <v>22.44</v>
      </c>
      <c r="R26" s="86">
        <f t="shared" si="10"/>
        <v>22.573386161361618</v>
      </c>
      <c r="S26" s="83">
        <f t="shared" si="11"/>
        <v>34467.840000000004</v>
      </c>
      <c r="T26" s="83">
        <f t="shared" si="12"/>
        <v>34672.72114385145</v>
      </c>
      <c r="U26" s="87">
        <f t="shared" si="13"/>
        <v>204.88114385144581</v>
      </c>
      <c r="W26" t="str">
        <f t="shared" si="14"/>
        <v>$22.57 (A)</v>
      </c>
      <c r="Y26" s="99"/>
      <c r="Z26" s="99"/>
    </row>
    <row r="27" spans="1:26" x14ac:dyDescent="0.3">
      <c r="A27">
        <v>21</v>
      </c>
      <c r="B27" t="s">
        <v>27</v>
      </c>
      <c r="C27" t="s">
        <v>26</v>
      </c>
      <c r="E27" s="66"/>
      <c r="F27" s="55">
        <v>32</v>
      </c>
      <c r="G27" s="75" t="s">
        <v>183</v>
      </c>
      <c r="J27" s="2">
        <v>4241</v>
      </c>
      <c r="K27">
        <f>References_BDI!$C$17</f>
        <v>250</v>
      </c>
      <c r="L27" s="65">
        <f t="shared" si="7"/>
        <v>1060250</v>
      </c>
      <c r="M27" s="65">
        <f t="shared" si="8"/>
        <v>850624.76966316823</v>
      </c>
      <c r="N27" s="83">
        <f>+M27*References_BDI!$C$42</f>
        <v>552.90610028105743</v>
      </c>
      <c r="O27" s="83">
        <f>+N27/References_BDI!$G$45</f>
        <v>565.69071033461978</v>
      </c>
      <c r="P27" s="83">
        <f t="shared" si="9"/>
        <v>0.13338616136161749</v>
      </c>
      <c r="Q27" s="85">
        <v>22.44</v>
      </c>
      <c r="R27" s="86">
        <f t="shared" si="10"/>
        <v>22.573386161361618</v>
      </c>
      <c r="S27" s="83">
        <f t="shared" si="11"/>
        <v>95168.040000000008</v>
      </c>
      <c r="T27" s="83">
        <f t="shared" si="12"/>
        <v>95733.730710334625</v>
      </c>
      <c r="U27" s="87">
        <f t="shared" si="13"/>
        <v>565.6907103346166</v>
      </c>
      <c r="W27" t="str">
        <f t="shared" si="14"/>
        <v>$22.57 (A)</v>
      </c>
      <c r="Y27" s="99"/>
      <c r="Z27" s="99"/>
    </row>
    <row r="28" spans="1:26" x14ac:dyDescent="0.3">
      <c r="A28">
        <v>22</v>
      </c>
      <c r="B28" t="s">
        <v>36</v>
      </c>
      <c r="C28" t="s">
        <v>26</v>
      </c>
      <c r="E28" s="66"/>
      <c r="F28" s="55">
        <v>32</v>
      </c>
      <c r="G28" s="75" t="s">
        <v>185</v>
      </c>
      <c r="J28" s="2">
        <v>24</v>
      </c>
      <c r="K28">
        <f>References_BDI!$C$17</f>
        <v>250</v>
      </c>
      <c r="L28" s="65">
        <f t="shared" si="7"/>
        <v>6000</v>
      </c>
      <c r="M28" s="65">
        <f t="shared" si="8"/>
        <v>4813.7218750096763</v>
      </c>
      <c r="N28" s="83">
        <f>+M28*References_BDI!$C$42</f>
        <v>3.1289192187562791</v>
      </c>
      <c r="O28" s="83">
        <f>+N28/References_BDI!$G$45</f>
        <v>3.2012678726788204</v>
      </c>
      <c r="P28" s="83">
        <f t="shared" si="9"/>
        <v>0.13338616136161752</v>
      </c>
      <c r="Q28" s="85">
        <v>38.229999999999997</v>
      </c>
      <c r="R28" s="86">
        <f t="shared" si="10"/>
        <v>38.363386161361618</v>
      </c>
      <c r="S28" s="83">
        <f t="shared" si="11"/>
        <v>917.52</v>
      </c>
      <c r="T28" s="83">
        <f t="shared" si="12"/>
        <v>920.72126787267882</v>
      </c>
      <c r="U28" s="87">
        <f t="shared" si="13"/>
        <v>3.2012678726788408</v>
      </c>
      <c r="W28" t="str">
        <f t="shared" si="14"/>
        <v>$38.36 (A)</v>
      </c>
      <c r="Y28" s="99"/>
      <c r="Z28" s="99"/>
    </row>
    <row r="29" spans="1:26" x14ac:dyDescent="0.3">
      <c r="A29">
        <v>23</v>
      </c>
      <c r="B29" t="s">
        <v>53</v>
      </c>
      <c r="C29" t="s">
        <v>26</v>
      </c>
      <c r="E29" s="66"/>
      <c r="F29" s="55">
        <v>32</v>
      </c>
      <c r="G29" s="75" t="s">
        <v>184</v>
      </c>
      <c r="J29" s="2">
        <v>6</v>
      </c>
      <c r="K29">
        <f>References_BDI!$C$17</f>
        <v>250</v>
      </c>
      <c r="L29" s="65">
        <f t="shared" si="7"/>
        <v>1500</v>
      </c>
      <c r="M29" s="65">
        <f t="shared" si="8"/>
        <v>1203.4304687524191</v>
      </c>
      <c r="N29" s="83">
        <f>+M29*References_BDI!$C$42</f>
        <v>0.78222980468906977</v>
      </c>
      <c r="O29" s="83">
        <f>+N29/References_BDI!$G$45</f>
        <v>0.8003169681697051</v>
      </c>
      <c r="P29" s="83">
        <f t="shared" si="9"/>
        <v>0.13338616136161752</v>
      </c>
      <c r="Q29" s="85">
        <v>44.94</v>
      </c>
      <c r="R29" s="86">
        <f>R27+22.56</f>
        <v>45.133386161361614</v>
      </c>
      <c r="S29" s="83">
        <f t="shared" si="11"/>
        <v>269.64</v>
      </c>
      <c r="T29" s="83">
        <f t="shared" si="12"/>
        <v>270.80031696816968</v>
      </c>
      <c r="U29" s="87">
        <f t="shared" si="13"/>
        <v>1.1603169681696954</v>
      </c>
      <c r="W29" t="str">
        <f t="shared" si="14"/>
        <v>$45.13 (A)</v>
      </c>
      <c r="Y29" s="99"/>
      <c r="Z29" s="99"/>
    </row>
    <row r="30" spans="1:26" x14ac:dyDescent="0.3">
      <c r="A30">
        <v>24</v>
      </c>
      <c r="B30" t="s">
        <v>32</v>
      </c>
      <c r="C30" t="s">
        <v>31</v>
      </c>
      <c r="E30" s="66"/>
      <c r="F30" s="55">
        <v>32</v>
      </c>
      <c r="G30" s="75" t="s">
        <v>187</v>
      </c>
      <c r="J30" s="2">
        <v>1206</v>
      </c>
      <c r="K30">
        <f>References_BDI!$C$18</f>
        <v>324</v>
      </c>
      <c r="L30" s="65">
        <f t="shared" si="7"/>
        <v>390744</v>
      </c>
      <c r="M30" s="65">
        <f t="shared" si="8"/>
        <v>313488.82338813017</v>
      </c>
      <c r="N30" s="83">
        <f>+M30*References_BDI!$C$42</f>
        <v>203.76773520228392</v>
      </c>
      <c r="O30" s="83">
        <f>+N30/References_BDI!$G$45</f>
        <v>208.47936894033549</v>
      </c>
      <c r="P30" s="83">
        <f t="shared" si="9"/>
        <v>0.17286846512465628</v>
      </c>
      <c r="Q30" s="85">
        <v>26.39</v>
      </c>
      <c r="R30" s="86">
        <f t="shared" si="10"/>
        <v>26.562868465124655</v>
      </c>
      <c r="S30" s="83">
        <f t="shared" si="11"/>
        <v>31826.34</v>
      </c>
      <c r="T30" s="83">
        <f t="shared" si="12"/>
        <v>32034.819368940334</v>
      </c>
      <c r="U30" s="87">
        <f t="shared" si="13"/>
        <v>208.4793689403341</v>
      </c>
      <c r="W30" t="str">
        <f t="shared" si="14"/>
        <v>$26.56 (A)</v>
      </c>
      <c r="Y30" s="99"/>
      <c r="Z30" s="99"/>
    </row>
    <row r="31" spans="1:26" x14ac:dyDescent="0.3">
      <c r="A31">
        <v>25</v>
      </c>
      <c r="B31" t="s">
        <v>32</v>
      </c>
      <c r="C31" t="s">
        <v>31</v>
      </c>
      <c r="E31" s="66"/>
      <c r="F31" s="55">
        <v>32</v>
      </c>
      <c r="G31" t="s">
        <v>188</v>
      </c>
      <c r="J31" s="2">
        <v>3041</v>
      </c>
      <c r="K31">
        <f>References_BDI!$C$18</f>
        <v>324</v>
      </c>
      <c r="L31" s="65">
        <f t="shared" si="7"/>
        <v>985284</v>
      </c>
      <c r="M31" s="65">
        <f t="shared" si="8"/>
        <v>790480.52398283896</v>
      </c>
      <c r="N31" s="83">
        <f>+M31*References_BDI!$C$42</f>
        <v>513.81234058884354</v>
      </c>
      <c r="O31" s="83">
        <f>+N31/References_BDI!$G$45</f>
        <v>525.69300244407975</v>
      </c>
      <c r="P31" s="83">
        <f t="shared" si="9"/>
        <v>0.17286846512465628</v>
      </c>
      <c r="Q31" s="85">
        <v>26.39</v>
      </c>
      <c r="R31" s="86">
        <f t="shared" si="10"/>
        <v>26.562868465124655</v>
      </c>
      <c r="S31" s="83">
        <f t="shared" si="11"/>
        <v>80251.990000000005</v>
      </c>
      <c r="T31" s="83">
        <f t="shared" si="12"/>
        <v>80777.683002444071</v>
      </c>
      <c r="U31" s="87">
        <f t="shared" si="13"/>
        <v>525.69300244406622</v>
      </c>
      <c r="W31" t="str">
        <f t="shared" si="14"/>
        <v>$26.56 (A)</v>
      </c>
      <c r="Y31" s="99"/>
      <c r="Z31" s="99"/>
    </row>
    <row r="32" spans="1:26" x14ac:dyDescent="0.3">
      <c r="A32">
        <v>26</v>
      </c>
      <c r="B32" t="s">
        <v>33</v>
      </c>
      <c r="C32" t="s">
        <v>31</v>
      </c>
      <c r="E32" s="66"/>
      <c r="F32" s="55">
        <v>32</v>
      </c>
      <c r="G32" s="75" t="s">
        <v>190</v>
      </c>
      <c r="J32" s="2">
        <v>23</v>
      </c>
      <c r="K32">
        <f>References_BDI!$C$18</f>
        <v>324</v>
      </c>
      <c r="L32" s="65">
        <f t="shared" si="7"/>
        <v>7452</v>
      </c>
      <c r="M32" s="65">
        <f t="shared" si="8"/>
        <v>5978.6425687620185</v>
      </c>
      <c r="N32" s="83">
        <f>+M32*References_BDI!$C$42</f>
        <v>3.8861176696952988</v>
      </c>
      <c r="O32" s="83">
        <f>+N32/References_BDI!$G$45</f>
        <v>3.9759746978670951</v>
      </c>
      <c r="P32" s="83">
        <f t="shared" si="9"/>
        <v>0.17286846512465631</v>
      </c>
      <c r="Q32" s="85">
        <v>38.4</v>
      </c>
      <c r="R32" s="86">
        <f t="shared" si="10"/>
        <v>38.572868465124657</v>
      </c>
      <c r="S32" s="83">
        <f t="shared" si="11"/>
        <v>883.19999999999993</v>
      </c>
      <c r="T32" s="83">
        <f t="shared" si="12"/>
        <v>887.1759746978671</v>
      </c>
      <c r="U32" s="87">
        <f t="shared" si="13"/>
        <v>3.9759746978671728</v>
      </c>
      <c r="W32" t="str">
        <f t="shared" si="14"/>
        <v>$38.57 (A)</v>
      </c>
      <c r="Y32" s="99"/>
      <c r="Z32" s="99"/>
    </row>
    <row r="33" spans="1:26" x14ac:dyDescent="0.3">
      <c r="A33">
        <v>27</v>
      </c>
      <c r="B33" t="s">
        <v>52</v>
      </c>
      <c r="C33" t="s">
        <v>31</v>
      </c>
      <c r="E33" s="66"/>
      <c r="F33" s="55">
        <v>32</v>
      </c>
      <c r="G33" s="75" t="s">
        <v>189</v>
      </c>
      <c r="J33" s="2">
        <v>3</v>
      </c>
      <c r="K33">
        <f>References_BDI!$C$18</f>
        <v>324</v>
      </c>
      <c r="L33" s="65">
        <f t="shared" si="7"/>
        <v>972</v>
      </c>
      <c r="M33" s="65">
        <f t="shared" si="8"/>
        <v>779.82294375156755</v>
      </c>
      <c r="N33" s="83">
        <f>+M33*References_BDI!$C$42</f>
        <v>0.50688491343851716</v>
      </c>
      <c r="O33" s="83">
        <f>+N33/References_BDI!$G$45</f>
        <v>0.51860539537396888</v>
      </c>
      <c r="P33" s="83">
        <f t="shared" si="9"/>
        <v>0.17286846512465628</v>
      </c>
      <c r="Q33" s="85">
        <v>48.89</v>
      </c>
      <c r="R33" s="86">
        <f>R31+22.56</f>
        <v>49.122868465124654</v>
      </c>
      <c r="S33" s="83">
        <f t="shared" si="11"/>
        <v>146.67000000000002</v>
      </c>
      <c r="T33" s="83">
        <f t="shared" si="12"/>
        <v>147.36860539537395</v>
      </c>
      <c r="U33" s="87">
        <f t="shared" si="13"/>
        <v>0.69860539537393151</v>
      </c>
      <c r="W33" t="str">
        <f t="shared" si="14"/>
        <v>$49.12 (A)</v>
      </c>
      <c r="Y33" s="99"/>
      <c r="Z33" s="99"/>
    </row>
    <row r="34" spans="1:26" x14ac:dyDescent="0.3">
      <c r="A34">
        <v>28</v>
      </c>
      <c r="B34" t="s">
        <v>29</v>
      </c>
      <c r="C34" t="s">
        <v>28</v>
      </c>
      <c r="E34" s="66"/>
      <c r="F34" s="55">
        <v>32</v>
      </c>
      <c r="G34" s="75" t="s">
        <v>193</v>
      </c>
      <c r="J34" s="2">
        <v>1130</v>
      </c>
      <c r="K34">
        <f>References_BDI!$C$19</f>
        <v>473</v>
      </c>
      <c r="L34" s="65">
        <f t="shared" si="7"/>
        <v>534490</v>
      </c>
      <c r="M34" s="65">
        <f t="shared" si="8"/>
        <v>428814.36749565369</v>
      </c>
      <c r="N34" s="83">
        <f>+M34*References_BDI!$C$42</f>
        <v>278.72933887217397</v>
      </c>
      <c r="O34" s="83">
        <f>+N34/References_BDI!$G$45</f>
        <v>285.17427754468383</v>
      </c>
      <c r="P34" s="83">
        <f t="shared" si="9"/>
        <v>0.25236661729618037</v>
      </c>
      <c r="Q34" s="85">
        <v>31.81</v>
      </c>
      <c r="R34" s="86">
        <f t="shared" si="10"/>
        <v>32.062366617296178</v>
      </c>
      <c r="S34" s="83">
        <f t="shared" si="11"/>
        <v>35945.299999999996</v>
      </c>
      <c r="T34" s="83">
        <f t="shared" si="12"/>
        <v>36230.474277544679</v>
      </c>
      <c r="U34" s="87">
        <f t="shared" si="13"/>
        <v>285.17427754468372</v>
      </c>
      <c r="W34" t="str">
        <f t="shared" si="14"/>
        <v>$32.06 (A)</v>
      </c>
      <c r="Y34" s="99"/>
      <c r="Z34" s="99"/>
    </row>
    <row r="35" spans="1:26" x14ac:dyDescent="0.3">
      <c r="A35">
        <v>29</v>
      </c>
      <c r="B35" t="s">
        <v>29</v>
      </c>
      <c r="C35" t="s">
        <v>28</v>
      </c>
      <c r="E35" s="66"/>
      <c r="F35" s="55">
        <v>32</v>
      </c>
      <c r="G35" s="75" t="s">
        <v>194</v>
      </c>
      <c r="J35" s="2">
        <v>3090</v>
      </c>
      <c r="K35">
        <f>References_BDI!$C$19</f>
        <v>473</v>
      </c>
      <c r="L35" s="65">
        <f t="shared" si="7"/>
        <v>1461570</v>
      </c>
      <c r="M35" s="65">
        <f t="shared" si="8"/>
        <v>1172598.5801429821</v>
      </c>
      <c r="N35" s="83">
        <f>+M35*References_BDI!$C$42</f>
        <v>762.1890770929358</v>
      </c>
      <c r="O35" s="83">
        <f>+N35/References_BDI!$G$45</f>
        <v>779.81284744519724</v>
      </c>
      <c r="P35" s="83">
        <f t="shared" si="9"/>
        <v>0.25236661729618032</v>
      </c>
      <c r="Q35" s="85">
        <v>31.81</v>
      </c>
      <c r="R35" s="86">
        <f t="shared" si="10"/>
        <v>32.062366617296178</v>
      </c>
      <c r="S35" s="83">
        <f t="shared" si="11"/>
        <v>98292.9</v>
      </c>
      <c r="T35" s="83">
        <f t="shared" si="12"/>
        <v>99072.712847445189</v>
      </c>
      <c r="U35" s="87">
        <f t="shared" si="13"/>
        <v>779.81284744519508</v>
      </c>
      <c r="W35" t="str">
        <f t="shared" si="14"/>
        <v>$32.06 (A)</v>
      </c>
      <c r="Y35" s="99"/>
      <c r="Z35" s="99"/>
    </row>
    <row r="36" spans="1:26" x14ac:dyDescent="0.3">
      <c r="A36">
        <v>30</v>
      </c>
      <c r="B36" t="s">
        <v>30</v>
      </c>
      <c r="C36" t="s">
        <v>28</v>
      </c>
      <c r="E36" s="66"/>
      <c r="F36" s="55">
        <v>32</v>
      </c>
      <c r="G36" s="75" t="s">
        <v>195</v>
      </c>
      <c r="J36" s="2">
        <v>21</v>
      </c>
      <c r="K36">
        <f>References_BDI!$C$19</f>
        <v>473</v>
      </c>
      <c r="L36" s="65">
        <f t="shared" si="7"/>
        <v>9933</v>
      </c>
      <c r="M36" s="65">
        <f t="shared" si="8"/>
        <v>7969.1165640785193</v>
      </c>
      <c r="N36" s="83">
        <f>+M36*References_BDI!$C$42</f>
        <v>5.1799257666510199</v>
      </c>
      <c r="O36" s="83">
        <f>+N36/References_BDI!$G$45</f>
        <v>5.2996989632197868</v>
      </c>
      <c r="P36" s="83">
        <f t="shared" si="9"/>
        <v>0.25236661729618032</v>
      </c>
      <c r="Q36" s="85">
        <v>43.81</v>
      </c>
      <c r="R36" s="86">
        <f t="shared" si="10"/>
        <v>44.062366617296185</v>
      </c>
      <c r="S36" s="83">
        <f t="shared" si="11"/>
        <v>920.01</v>
      </c>
      <c r="T36" s="83">
        <f t="shared" si="12"/>
        <v>925.30969896321983</v>
      </c>
      <c r="U36" s="87">
        <f t="shared" si="13"/>
        <v>5.2996989632198392</v>
      </c>
      <c r="W36" t="str">
        <f t="shared" si="14"/>
        <v>$44.06 (A)</v>
      </c>
      <c r="Y36" s="99"/>
      <c r="Z36" s="99"/>
    </row>
    <row r="37" spans="1:26" x14ac:dyDescent="0.3">
      <c r="A37">
        <v>31</v>
      </c>
      <c r="B37" t="s">
        <v>51</v>
      </c>
      <c r="C37" t="s">
        <v>28</v>
      </c>
      <c r="E37" s="66"/>
      <c r="F37" s="55">
        <v>32</v>
      </c>
      <c r="G37" s="75" t="s">
        <v>196</v>
      </c>
      <c r="J37" s="2">
        <v>5</v>
      </c>
      <c r="K37">
        <f>References_BDI!$C$19</f>
        <v>473</v>
      </c>
      <c r="L37" s="65">
        <f t="shared" si="7"/>
        <v>2365</v>
      </c>
      <c r="M37" s="65">
        <f t="shared" si="8"/>
        <v>1897.4087057329807</v>
      </c>
      <c r="N37" s="83">
        <f>+M37*References_BDI!$C$42</f>
        <v>1.2333156587264333</v>
      </c>
      <c r="O37" s="83">
        <f>+N37/References_BDI!$G$45</f>
        <v>1.2618330864809018</v>
      </c>
      <c r="P37" s="83">
        <f t="shared" si="9"/>
        <v>0.25236661729618037</v>
      </c>
      <c r="Q37" s="85">
        <v>54.31</v>
      </c>
      <c r="R37" s="86">
        <f>R35+22.56</f>
        <v>54.62236661729618</v>
      </c>
      <c r="S37" s="83">
        <f t="shared" si="11"/>
        <v>271.55</v>
      </c>
      <c r="T37" s="83">
        <f t="shared" si="12"/>
        <v>273.11183308648089</v>
      </c>
      <c r="U37" s="87">
        <f t="shared" si="13"/>
        <v>1.561833086480874</v>
      </c>
      <c r="W37" t="str">
        <f t="shared" si="14"/>
        <v>$54.62 (A)</v>
      </c>
      <c r="Y37" s="99"/>
      <c r="Z37" s="99"/>
    </row>
    <row r="38" spans="1:26" x14ac:dyDescent="0.3">
      <c r="A38">
        <v>32</v>
      </c>
      <c r="B38" t="s">
        <v>24</v>
      </c>
      <c r="C38" t="s">
        <v>23</v>
      </c>
      <c r="E38" s="66"/>
      <c r="F38" s="55">
        <v>32</v>
      </c>
      <c r="G38" s="75" t="s">
        <v>198</v>
      </c>
      <c r="J38" s="2">
        <v>1411</v>
      </c>
      <c r="K38">
        <f>References_BDI!$C$20</f>
        <v>613</v>
      </c>
      <c r="L38" s="65">
        <f t="shared" si="7"/>
        <v>864943</v>
      </c>
      <c r="M38" s="65">
        <f t="shared" si="8"/>
        <v>693932.50662274915</v>
      </c>
      <c r="N38" s="83">
        <f>+M38*References_BDI!$C$42</f>
        <v>451.05612930478543</v>
      </c>
      <c r="O38" s="83">
        <f>+N38/References_BDI!$G$45</f>
        <v>461.48570626640617</v>
      </c>
      <c r="P38" s="83">
        <f t="shared" si="9"/>
        <v>0.32706286765868614</v>
      </c>
      <c r="Q38" s="85">
        <v>37.21</v>
      </c>
      <c r="R38" s="86">
        <f t="shared" si="10"/>
        <v>37.53706286765869</v>
      </c>
      <c r="S38" s="83">
        <f t="shared" si="11"/>
        <v>52503.31</v>
      </c>
      <c r="T38" s="83">
        <f t="shared" si="12"/>
        <v>52964.795706266414</v>
      </c>
      <c r="U38" s="87">
        <f t="shared" si="13"/>
        <v>461.48570626641595</v>
      </c>
      <c r="W38" t="str">
        <f t="shared" si="14"/>
        <v>$37.54 (A)</v>
      </c>
      <c r="Y38" s="99"/>
      <c r="Z38" s="99"/>
    </row>
    <row r="39" spans="1:26" x14ac:dyDescent="0.3">
      <c r="A39">
        <v>33</v>
      </c>
      <c r="B39" t="s">
        <v>24</v>
      </c>
      <c r="C39" t="s">
        <v>23</v>
      </c>
      <c r="E39" s="66"/>
      <c r="F39" s="55">
        <v>32</v>
      </c>
      <c r="G39" s="75" t="s">
        <v>199</v>
      </c>
      <c r="J39" s="2">
        <v>3644</v>
      </c>
      <c r="K39">
        <f>References_BDI!$C$20</f>
        <v>613</v>
      </c>
      <c r="L39" s="65">
        <f t="shared" si="7"/>
        <v>2233772</v>
      </c>
      <c r="M39" s="65">
        <f t="shared" si="8"/>
        <v>1792126.1900306859</v>
      </c>
      <c r="N39" s="83">
        <f>+M39*References_BDI!$C$42</f>
        <v>1164.8820235199419</v>
      </c>
      <c r="O39" s="83">
        <f>+N39/References_BDI!$G$45</f>
        <v>1191.8170897482523</v>
      </c>
      <c r="P39" s="83">
        <f t="shared" si="9"/>
        <v>0.32706286765868614</v>
      </c>
      <c r="Q39" s="85">
        <v>37.21</v>
      </c>
      <c r="R39" s="86">
        <f t="shared" si="10"/>
        <v>37.53706286765869</v>
      </c>
      <c r="S39" s="83">
        <f t="shared" si="11"/>
        <v>135593.24</v>
      </c>
      <c r="T39" s="83">
        <f t="shared" si="12"/>
        <v>136785.05708974827</v>
      </c>
      <c r="U39" s="87">
        <f t="shared" si="13"/>
        <v>1191.8170897482778</v>
      </c>
      <c r="W39" t="str">
        <f t="shared" si="14"/>
        <v>$37.54 (A)</v>
      </c>
      <c r="Y39" s="99"/>
      <c r="Z39" s="99"/>
    </row>
    <row r="40" spans="1:26" x14ac:dyDescent="0.3">
      <c r="A40">
        <v>34</v>
      </c>
      <c r="B40" t="s">
        <v>25</v>
      </c>
      <c r="C40" t="s">
        <v>23</v>
      </c>
      <c r="E40" s="66"/>
      <c r="F40" s="55">
        <v>32</v>
      </c>
      <c r="G40" s="75" t="s">
        <v>257</v>
      </c>
      <c r="J40" s="2">
        <v>39</v>
      </c>
      <c r="K40">
        <f>References_BDI!$C$20</f>
        <v>613</v>
      </c>
      <c r="L40" s="65">
        <f t="shared" si="7"/>
        <v>23907</v>
      </c>
      <c r="M40" s="65">
        <f t="shared" si="8"/>
        <v>19180.274810976054</v>
      </c>
      <c r="N40" s="83">
        <f>+M40*References_BDI!$C$42</f>
        <v>12.467178627134393</v>
      </c>
      <c r="O40" s="83">
        <f>+N40/References_BDI!$G$45</f>
        <v>12.755451838688758</v>
      </c>
      <c r="P40" s="83">
        <f t="shared" si="9"/>
        <v>0.32706286765868609</v>
      </c>
      <c r="Q40" s="85">
        <v>49.2</v>
      </c>
      <c r="R40" s="86">
        <f t="shared" si="10"/>
        <v>49.527062867658692</v>
      </c>
      <c r="S40" s="83">
        <f t="shared" si="11"/>
        <v>1918.8000000000002</v>
      </c>
      <c r="T40" s="83">
        <f t="shared" si="12"/>
        <v>1931.5554518386889</v>
      </c>
      <c r="U40" s="87">
        <f t="shared" si="13"/>
        <v>12.755451838688714</v>
      </c>
      <c r="W40" t="str">
        <f t="shared" si="14"/>
        <v>$49.53 (A)</v>
      </c>
      <c r="Y40" s="99"/>
      <c r="Z40" s="99"/>
    </row>
    <row r="41" spans="1:26" x14ac:dyDescent="0.3">
      <c r="A41">
        <v>35</v>
      </c>
      <c r="B41" t="s">
        <v>50</v>
      </c>
      <c r="C41" t="s">
        <v>23</v>
      </c>
      <c r="E41" s="66"/>
      <c r="F41" s="55">
        <v>32</v>
      </c>
      <c r="G41" s="75" t="s">
        <v>200</v>
      </c>
      <c r="J41" s="2">
        <v>10</v>
      </c>
      <c r="K41">
        <f>References_BDI!$C$20</f>
        <v>613</v>
      </c>
      <c r="L41" s="65">
        <f t="shared" si="7"/>
        <v>6130</v>
      </c>
      <c r="M41" s="65">
        <f t="shared" si="8"/>
        <v>4918.019182301553</v>
      </c>
      <c r="N41" s="83">
        <f>+M41*References_BDI!$C$42</f>
        <v>3.1967124684959987</v>
      </c>
      <c r="O41" s="83">
        <f>+N41/References_BDI!$G$45</f>
        <v>3.2706286765868615</v>
      </c>
      <c r="P41" s="83">
        <f t="shared" si="9"/>
        <v>0.32706286765868614</v>
      </c>
      <c r="Q41" s="85">
        <v>59.71</v>
      </c>
      <c r="R41" s="86">
        <f>R39+22.56</f>
        <v>60.097062867658693</v>
      </c>
      <c r="S41" s="83">
        <f t="shared" si="11"/>
        <v>597.1</v>
      </c>
      <c r="T41" s="83">
        <f t="shared" si="12"/>
        <v>600.9706286765869</v>
      </c>
      <c r="U41" s="87">
        <f t="shared" si="13"/>
        <v>3.8706286765868754</v>
      </c>
      <c r="W41" t="str">
        <f t="shared" si="14"/>
        <v>$60.10 (A)</v>
      </c>
      <c r="Y41" s="99"/>
      <c r="Z41" s="99"/>
    </row>
    <row r="42" spans="1:26" x14ac:dyDescent="0.3">
      <c r="A42">
        <v>36</v>
      </c>
      <c r="B42" t="s">
        <v>21</v>
      </c>
      <c r="C42" t="s">
        <v>20</v>
      </c>
      <c r="E42" s="66"/>
      <c r="F42" s="55">
        <v>32</v>
      </c>
      <c r="G42" s="75" t="s">
        <v>201</v>
      </c>
      <c r="J42" s="2">
        <v>909</v>
      </c>
      <c r="K42">
        <f>References_BDI!$C$21</f>
        <v>840</v>
      </c>
      <c r="L42" s="65">
        <f t="shared" si="7"/>
        <v>763560</v>
      </c>
      <c r="M42" s="65">
        <f t="shared" si="8"/>
        <v>612594.24581373145</v>
      </c>
      <c r="N42" s="83">
        <f>+M42*References_BDI!$C$42</f>
        <v>398.18625977892412</v>
      </c>
      <c r="O42" s="83">
        <f>+N42/References_BDI!$G$45</f>
        <v>407.39334947710671</v>
      </c>
      <c r="P42" s="83">
        <f t="shared" si="9"/>
        <v>0.44817750217503488</v>
      </c>
      <c r="Q42" s="85">
        <v>44.33</v>
      </c>
      <c r="R42" s="86">
        <f t="shared" si="10"/>
        <v>44.778177502175033</v>
      </c>
      <c r="S42" s="83">
        <f t="shared" si="11"/>
        <v>40295.97</v>
      </c>
      <c r="T42" s="83">
        <f t="shared" si="12"/>
        <v>40703.363349477106</v>
      </c>
      <c r="U42" s="87">
        <f t="shared" si="13"/>
        <v>407.39334947710449</v>
      </c>
      <c r="W42" t="str">
        <f t="shared" si="14"/>
        <v>$44.78 (A)</v>
      </c>
      <c r="Y42" s="99"/>
      <c r="Z42" s="99"/>
    </row>
    <row r="43" spans="1:26" x14ac:dyDescent="0.3">
      <c r="A43">
        <v>37</v>
      </c>
      <c r="B43" t="s">
        <v>21</v>
      </c>
      <c r="C43" t="s">
        <v>20</v>
      </c>
      <c r="E43" s="66"/>
      <c r="F43" s="55">
        <v>32</v>
      </c>
      <c r="G43" s="75" t="s">
        <v>202</v>
      </c>
      <c r="J43" s="2">
        <v>2648</v>
      </c>
      <c r="K43">
        <f>References_BDI!$C$21</f>
        <v>840</v>
      </c>
      <c r="L43" s="65">
        <f t="shared" si="7"/>
        <v>2224320</v>
      </c>
      <c r="M43" s="65">
        <f t="shared" si="8"/>
        <v>1784542.9735035873</v>
      </c>
      <c r="N43" s="83">
        <f>+M43*References_BDI!$C$42</f>
        <v>1159.9529327773278</v>
      </c>
      <c r="O43" s="83">
        <f>+N43/References_BDI!$G$45</f>
        <v>1186.7740257594921</v>
      </c>
      <c r="P43" s="83">
        <f t="shared" si="9"/>
        <v>0.44817750217503477</v>
      </c>
      <c r="Q43" s="85">
        <v>44.33</v>
      </c>
      <c r="R43" s="86">
        <f t="shared" si="10"/>
        <v>44.778177502175033</v>
      </c>
      <c r="S43" s="83">
        <f t="shared" si="11"/>
        <v>117385.84</v>
      </c>
      <c r="T43" s="83">
        <f t="shared" si="12"/>
        <v>118572.61402575948</v>
      </c>
      <c r="U43" s="87">
        <f t="shared" si="13"/>
        <v>1186.7740257594851</v>
      </c>
      <c r="W43" t="str">
        <f t="shared" si="14"/>
        <v>$44.78 (A)</v>
      </c>
      <c r="Y43" s="99"/>
      <c r="Z43" s="99"/>
    </row>
    <row r="44" spans="1:26" x14ac:dyDescent="0.3">
      <c r="A44">
        <v>38</v>
      </c>
      <c r="B44" t="s">
        <v>22</v>
      </c>
      <c r="C44" t="s">
        <v>20</v>
      </c>
      <c r="E44" s="66"/>
      <c r="F44" s="55">
        <v>32</v>
      </c>
      <c r="G44" s="75" t="s">
        <v>258</v>
      </c>
      <c r="J44" s="2">
        <v>70</v>
      </c>
      <c r="K44">
        <f>References_BDI!$C$21</f>
        <v>840</v>
      </c>
      <c r="L44" s="65">
        <f t="shared" si="7"/>
        <v>58800</v>
      </c>
      <c r="M44" s="65">
        <f t="shared" si="8"/>
        <v>47174.474375094826</v>
      </c>
      <c r="N44" s="83">
        <f>+M44*References_BDI!$C$42</f>
        <v>30.663408343811533</v>
      </c>
      <c r="O44" s="83">
        <f>+N44/References_BDI!$G$45</f>
        <v>31.372425152252436</v>
      </c>
      <c r="P44" s="83">
        <f t="shared" si="9"/>
        <v>0.44817750217503483</v>
      </c>
      <c r="Q44" s="85">
        <v>56.34</v>
      </c>
      <c r="R44" s="86">
        <f t="shared" si="10"/>
        <v>56.788177502175039</v>
      </c>
      <c r="S44" s="83">
        <f t="shared" si="11"/>
        <v>3943.8</v>
      </c>
      <c r="T44" s="83">
        <f t="shared" si="12"/>
        <v>3975.1724251522528</v>
      </c>
      <c r="U44" s="87">
        <f t="shared" si="13"/>
        <v>31.372425152252617</v>
      </c>
      <c r="W44" t="str">
        <f t="shared" si="14"/>
        <v>$56.79 (A)</v>
      </c>
      <c r="Y44" s="99"/>
      <c r="Z44" s="99"/>
    </row>
    <row r="45" spans="1:26" x14ac:dyDescent="0.3">
      <c r="A45">
        <v>39</v>
      </c>
      <c r="B45" t="s">
        <v>49</v>
      </c>
      <c r="C45" t="s">
        <v>20</v>
      </c>
      <c r="E45" s="66"/>
      <c r="F45" s="55">
        <v>32</v>
      </c>
      <c r="G45" s="75" t="s">
        <v>214</v>
      </c>
      <c r="J45" s="2">
        <v>1</v>
      </c>
      <c r="K45">
        <f>References_BDI!$C$21</f>
        <v>840</v>
      </c>
      <c r="L45" s="65">
        <f t="shared" si="7"/>
        <v>840</v>
      </c>
      <c r="M45" s="65">
        <f t="shared" si="8"/>
        <v>673.92106250135475</v>
      </c>
      <c r="N45" s="83">
        <f>+M45*References_BDI!$C$42</f>
        <v>0.43804869062587909</v>
      </c>
      <c r="O45" s="83">
        <f>+N45/References_BDI!$G$45</f>
        <v>0.44817750217503488</v>
      </c>
      <c r="P45" s="83">
        <f t="shared" si="9"/>
        <v>0.44817750217503488</v>
      </c>
      <c r="Q45" s="85">
        <v>66.83</v>
      </c>
      <c r="R45" s="86">
        <f>R43+22.56</f>
        <v>67.338177502175029</v>
      </c>
      <c r="S45" s="83">
        <f t="shared" si="11"/>
        <v>66.83</v>
      </c>
      <c r="T45" s="83">
        <f t="shared" si="12"/>
        <v>67.338177502175029</v>
      </c>
      <c r="U45" s="87">
        <f t="shared" si="13"/>
        <v>0.50817750217503033</v>
      </c>
      <c r="W45" t="str">
        <f t="shared" si="14"/>
        <v>$67.34 (A)</v>
      </c>
      <c r="Y45" s="99"/>
      <c r="Z45" s="99"/>
    </row>
    <row r="46" spans="1:26" x14ac:dyDescent="0.3">
      <c r="A46">
        <v>40</v>
      </c>
      <c r="B46" t="s">
        <v>18</v>
      </c>
      <c r="C46" t="s">
        <v>17</v>
      </c>
      <c r="E46" s="66"/>
      <c r="F46" s="55">
        <v>32</v>
      </c>
      <c r="G46" s="75" t="s">
        <v>203</v>
      </c>
      <c r="J46" s="2">
        <v>607</v>
      </c>
      <c r="K46">
        <f>References_BDI!$C$22</f>
        <v>980</v>
      </c>
      <c r="L46" s="65">
        <f t="shared" si="7"/>
        <v>594860</v>
      </c>
      <c r="M46" s="65">
        <f t="shared" si="8"/>
        <v>477248.4324280427</v>
      </c>
      <c r="N46" s="83">
        <f>+M46*References_BDI!$C$42</f>
        <v>310.21148107822671</v>
      </c>
      <c r="O46" s="83">
        <f>+N46/References_BDI!$G$45</f>
        <v>317.38436779028717</v>
      </c>
      <c r="P46" s="83">
        <f t="shared" si="9"/>
        <v>0.52287375253754065</v>
      </c>
      <c r="Q46" s="85">
        <v>54.23</v>
      </c>
      <c r="R46" s="86">
        <f t="shared" si="10"/>
        <v>54.752873752537539</v>
      </c>
      <c r="S46" s="83">
        <f t="shared" si="11"/>
        <v>32917.61</v>
      </c>
      <c r="T46" s="83">
        <f t="shared" si="12"/>
        <v>33234.994367790285</v>
      </c>
      <c r="U46" s="87">
        <f t="shared" si="13"/>
        <v>317.38436779028416</v>
      </c>
      <c r="W46" t="str">
        <f t="shared" si="14"/>
        <v>$54.75 (A)</v>
      </c>
      <c r="Y46" s="99"/>
      <c r="Z46" s="99"/>
    </row>
    <row r="47" spans="1:26" x14ac:dyDescent="0.3">
      <c r="A47">
        <v>41</v>
      </c>
      <c r="B47" t="s">
        <v>18</v>
      </c>
      <c r="C47" t="s">
        <v>17</v>
      </c>
      <c r="E47" s="66"/>
      <c r="F47" s="55">
        <v>32</v>
      </c>
      <c r="G47" s="75" t="s">
        <v>204</v>
      </c>
      <c r="J47" s="2">
        <v>1978</v>
      </c>
      <c r="K47">
        <f>References_BDI!$C$22</f>
        <v>980</v>
      </c>
      <c r="L47" s="65">
        <f t="shared" si="7"/>
        <v>1938440</v>
      </c>
      <c r="M47" s="65">
        <f t="shared" si="8"/>
        <v>1555185.1718989594</v>
      </c>
      <c r="N47" s="83">
        <f>+M47*References_BDI!$C$42</f>
        <v>1010.8703617343202</v>
      </c>
      <c r="O47" s="83">
        <f>+N47/References_BDI!$G$45</f>
        <v>1034.2442825192554</v>
      </c>
      <c r="P47" s="83">
        <f t="shared" si="9"/>
        <v>0.52287375253754065</v>
      </c>
      <c r="Q47" s="85">
        <v>54.23</v>
      </c>
      <c r="R47" s="86">
        <f t="shared" si="10"/>
        <v>54.752873752537539</v>
      </c>
      <c r="S47" s="83">
        <f t="shared" si="11"/>
        <v>107266.93999999999</v>
      </c>
      <c r="T47" s="83">
        <f t="shared" si="12"/>
        <v>108301.18428251926</v>
      </c>
      <c r="U47" s="87">
        <f t="shared" si="13"/>
        <v>1034.2442825192702</v>
      </c>
      <c r="W47" t="str">
        <f t="shared" si="14"/>
        <v>$54.75 (A)</v>
      </c>
      <c r="Y47" s="99"/>
      <c r="Z47" s="99"/>
    </row>
    <row r="48" spans="1:26" x14ac:dyDescent="0.3">
      <c r="A48">
        <v>42</v>
      </c>
      <c r="B48" t="s">
        <v>19</v>
      </c>
      <c r="C48" t="s">
        <v>17</v>
      </c>
      <c r="E48" s="66"/>
      <c r="F48" s="55">
        <v>32</v>
      </c>
      <c r="G48" s="75" t="s">
        <v>259</v>
      </c>
      <c r="J48" s="2">
        <v>53</v>
      </c>
      <c r="K48">
        <f>References_BDI!$C$22</f>
        <v>980</v>
      </c>
      <c r="L48" s="65">
        <f t="shared" si="7"/>
        <v>51940</v>
      </c>
      <c r="M48" s="65">
        <f t="shared" si="8"/>
        <v>41670.785698000429</v>
      </c>
      <c r="N48" s="83">
        <f>+M48*References_BDI!$C$42</f>
        <v>27.086010703700186</v>
      </c>
      <c r="O48" s="83">
        <f>+N48/References_BDI!$G$45</f>
        <v>27.712308884489651</v>
      </c>
      <c r="P48" s="83">
        <f t="shared" si="9"/>
        <v>0.52287375253754065</v>
      </c>
      <c r="Q48" s="85">
        <v>65.98</v>
      </c>
      <c r="R48" s="86">
        <f t="shared" si="10"/>
        <v>66.502873752537539</v>
      </c>
      <c r="S48" s="83">
        <f t="shared" si="11"/>
        <v>3496.94</v>
      </c>
      <c r="T48" s="83">
        <f t="shared" si="12"/>
        <v>3524.6523088844897</v>
      </c>
      <c r="U48" s="87">
        <f t="shared" si="13"/>
        <v>27.71230888448963</v>
      </c>
      <c r="W48" t="str">
        <f t="shared" si="14"/>
        <v>$66.50 (A)</v>
      </c>
      <c r="Y48" s="99"/>
      <c r="Z48" s="99"/>
    </row>
    <row r="49" spans="1:26" x14ac:dyDescent="0.3">
      <c r="A49">
        <v>43</v>
      </c>
      <c r="B49" t="s">
        <v>48</v>
      </c>
      <c r="C49" t="s">
        <v>17</v>
      </c>
      <c r="E49" s="66"/>
      <c r="F49" s="55">
        <v>32</v>
      </c>
      <c r="G49" s="75" t="s">
        <v>260</v>
      </c>
      <c r="J49" s="2">
        <v>6</v>
      </c>
      <c r="K49">
        <f>References_BDI!$C$22</f>
        <v>980</v>
      </c>
      <c r="L49" s="65">
        <f t="shared" si="7"/>
        <v>5880</v>
      </c>
      <c r="M49" s="65">
        <f t="shared" si="8"/>
        <v>4717.4474375094833</v>
      </c>
      <c r="N49" s="83">
        <f>+M49*References_BDI!$C$42</f>
        <v>3.0663408343811538</v>
      </c>
      <c r="O49" s="83">
        <f>+N49/References_BDI!$G$45</f>
        <v>3.1372425152252443</v>
      </c>
      <c r="P49" s="83">
        <f t="shared" si="9"/>
        <v>0.52287375253754076</v>
      </c>
      <c r="Q49" s="85">
        <v>76.73</v>
      </c>
      <c r="R49" s="86">
        <f>R47+22.56</f>
        <v>77.312873752537541</v>
      </c>
      <c r="S49" s="83">
        <f t="shared" si="11"/>
        <v>460.38</v>
      </c>
      <c r="T49" s="83">
        <f t="shared" si="12"/>
        <v>463.87724251522525</v>
      </c>
      <c r="U49" s="87">
        <f t="shared" si="13"/>
        <v>3.4972425152252526</v>
      </c>
      <c r="W49" t="str">
        <f t="shared" si="14"/>
        <v>$77.31 (A)</v>
      </c>
      <c r="Y49" s="99"/>
      <c r="Z49" s="99"/>
    </row>
    <row r="50" spans="1:26" x14ac:dyDescent="0.3">
      <c r="A50">
        <v>44</v>
      </c>
      <c r="E50" s="66"/>
      <c r="F50" s="55"/>
      <c r="L50" s="65"/>
      <c r="M50" s="65"/>
      <c r="N50" s="83"/>
      <c r="O50" s="83"/>
      <c r="P50" s="83"/>
      <c r="Q50" s="85"/>
      <c r="R50" s="86"/>
      <c r="S50" s="83"/>
      <c r="T50" s="83"/>
      <c r="U50" s="87"/>
      <c r="Y50" s="99"/>
      <c r="Z50" s="99"/>
    </row>
    <row r="51" spans="1:26" x14ac:dyDescent="0.3">
      <c r="A51">
        <v>45</v>
      </c>
      <c r="E51" s="66"/>
      <c r="F51" s="55"/>
      <c r="G51" s="89" t="s">
        <v>151</v>
      </c>
      <c r="L51" s="65"/>
      <c r="M51" s="65"/>
      <c r="N51" s="83"/>
      <c r="O51" s="83"/>
      <c r="P51" s="83"/>
      <c r="Q51" s="85"/>
      <c r="R51" s="86"/>
      <c r="S51" s="83"/>
      <c r="T51" s="83"/>
      <c r="U51" s="87"/>
      <c r="Y51" s="99"/>
      <c r="Z51" s="99"/>
    </row>
    <row r="52" spans="1:26" x14ac:dyDescent="0.3">
      <c r="A52">
        <v>46</v>
      </c>
      <c r="B52" t="s">
        <v>65</v>
      </c>
      <c r="C52" t="s">
        <v>43</v>
      </c>
      <c r="E52" s="66"/>
      <c r="F52" s="55"/>
      <c r="G52" t="s">
        <v>215</v>
      </c>
      <c r="J52">
        <v>3880</v>
      </c>
      <c r="K52">
        <f>References_BDI!C15</f>
        <v>29</v>
      </c>
      <c r="L52" s="65">
        <f>+K52*J52</f>
        <v>112520</v>
      </c>
      <c r="M52" s="65">
        <f>+L52*$H$123</f>
        <v>90273.330896014799</v>
      </c>
      <c r="N52" s="83">
        <f>+M52*References_BDI!$C$42</f>
        <v>58.677665082409419</v>
      </c>
      <c r="O52" s="83">
        <f>+N52/References_BDI!$G$45</f>
        <v>60.034443505636808</v>
      </c>
      <c r="P52" s="83">
        <f>IFERROR(O52/J52,0)</f>
        <v>1.5472794717947632E-2</v>
      </c>
      <c r="Q52" s="85">
        <v>3.24</v>
      </c>
      <c r="R52" s="86">
        <f t="shared" ref="R52" si="15">P52+Q52</f>
        <v>3.255472794717948</v>
      </c>
      <c r="S52" s="83">
        <f>+Q52*J52</f>
        <v>12571.2</v>
      </c>
      <c r="T52" s="83">
        <f>+R52*J52</f>
        <v>12631.234443505638</v>
      </c>
      <c r="U52" s="87">
        <f t="shared" ref="U52" si="16">+T52-S52</f>
        <v>60.034443505637682</v>
      </c>
      <c r="W52" t="str">
        <f t="shared" ref="W52" si="17">IF(R52&lt;10,TEXT(R52,"$0.00")&amp;" (A)",IF(R52&lt;100,TEXT(R52,"$00.00")&amp;" (A)",TEXT(R52,"$000.00")&amp;" (A)"))</f>
        <v>$3.26 (A)</v>
      </c>
      <c r="Y52" s="99"/>
      <c r="Z52" s="99"/>
    </row>
    <row r="53" spans="1:26" x14ac:dyDescent="0.3">
      <c r="A53">
        <v>47</v>
      </c>
      <c r="F53" s="55"/>
      <c r="L53" s="65"/>
      <c r="Y53" s="99"/>
      <c r="Z53" s="99"/>
    </row>
    <row r="54" spans="1:26" x14ac:dyDescent="0.3">
      <c r="A54">
        <v>48</v>
      </c>
      <c r="B54" s="67"/>
      <c r="C54" s="67"/>
      <c r="D54" s="67"/>
      <c r="E54" s="67"/>
      <c r="F54" s="67"/>
      <c r="G54" s="67" t="s">
        <v>118</v>
      </c>
      <c r="H54" s="67">
        <f>SUM(H17:H52)</f>
        <v>0</v>
      </c>
      <c r="I54" s="67"/>
      <c r="J54" s="67">
        <f>SUM(J17:J52)</f>
        <v>51731</v>
      </c>
      <c r="K54" s="67"/>
      <c r="L54" s="67">
        <f>SUM(L17:L52)</f>
        <v>15357334</v>
      </c>
      <c r="M54" s="67">
        <f>SUM(M17:M52)</f>
        <v>12320989.102938309</v>
      </c>
      <c r="N54" s="67"/>
      <c r="O54" s="67"/>
      <c r="P54" s="67"/>
      <c r="Q54" s="67"/>
      <c r="R54" s="67"/>
      <c r="S54" s="68">
        <f>SUM(S17:S52)</f>
        <v>1038780.4199999998</v>
      </c>
      <c r="T54" s="68">
        <f>SUM(T17:T52)</f>
        <v>1046976.1033240329</v>
      </c>
      <c r="U54" s="68">
        <f>SUM(U17:U52)</f>
        <v>8195.6833240330416</v>
      </c>
      <c r="W54" s="83"/>
      <c r="Y54" s="99"/>
      <c r="Z54" s="99"/>
    </row>
    <row r="55" spans="1:26" x14ac:dyDescent="0.3">
      <c r="A55">
        <v>49</v>
      </c>
      <c r="F55" s="55"/>
      <c r="H55" s="2">
        <f>+H54+H15</f>
        <v>5263.666666666667</v>
      </c>
      <c r="J55" s="2">
        <f>+J54+J15</f>
        <v>327181.66666666669</v>
      </c>
      <c r="L55" s="2">
        <f>+L54+L15</f>
        <v>33350574.666666668</v>
      </c>
      <c r="M55" s="2">
        <f>+M54+M15</f>
        <v>26756731.802846149</v>
      </c>
      <c r="S55" s="82">
        <f>+S54+S15</f>
        <v>2512882.98</v>
      </c>
      <c r="T55" s="82">
        <f>+T54+T15</f>
        <v>2530678.8605359625</v>
      </c>
      <c r="U55" s="82">
        <f>+U54+U15</f>
        <v>17795.88053596258</v>
      </c>
      <c r="W55" s="83"/>
      <c r="Y55" s="99"/>
      <c r="Z55" s="99"/>
    </row>
    <row r="56" spans="1:26" x14ac:dyDescent="0.3">
      <c r="A56">
        <v>50</v>
      </c>
      <c r="F56" s="55"/>
      <c r="L56" s="65"/>
      <c r="Y56" s="99"/>
      <c r="Z56" s="99"/>
    </row>
    <row r="57" spans="1:26" x14ac:dyDescent="0.3">
      <c r="A57">
        <v>51</v>
      </c>
      <c r="F57" s="55"/>
      <c r="L57" s="65"/>
      <c r="Y57" s="99"/>
      <c r="Z57" s="99"/>
    </row>
    <row r="58" spans="1:26" x14ac:dyDescent="0.3">
      <c r="A58">
        <v>52</v>
      </c>
      <c r="F58" s="55"/>
      <c r="L58" s="65"/>
      <c r="Y58" s="99"/>
      <c r="Z58" s="99"/>
    </row>
    <row r="59" spans="1:26" x14ac:dyDescent="0.3">
      <c r="A59">
        <v>53</v>
      </c>
      <c r="B59" s="69"/>
      <c r="C59" s="69"/>
      <c r="D59" s="69"/>
      <c r="E59" s="69"/>
      <c r="F59" s="70"/>
      <c r="G59" s="71" t="s">
        <v>158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Y59" s="99"/>
      <c r="Z59" s="99"/>
    </row>
    <row r="60" spans="1:26" x14ac:dyDescent="0.3">
      <c r="A60">
        <v>54</v>
      </c>
      <c r="C60" t="s">
        <v>93</v>
      </c>
      <c r="D60" t="s">
        <v>88</v>
      </c>
      <c r="E60" s="92"/>
      <c r="F60" s="55" t="s">
        <v>210</v>
      </c>
      <c r="G60" s="59" t="s">
        <v>160</v>
      </c>
      <c r="H60">
        <v>0</v>
      </c>
      <c r="I60" s="14">
        <f>52/12</f>
        <v>4.333333333333333</v>
      </c>
      <c r="J60" s="65">
        <v>52</v>
      </c>
      <c r="K60" s="96">
        <f>References_BDI!C5</f>
        <v>51</v>
      </c>
      <c r="L60" s="65">
        <f t="shared" ref="L60:L70" si="18">+K60*J60</f>
        <v>2652</v>
      </c>
      <c r="M60" s="65">
        <f t="shared" ref="M60:M70" si="19">+L60*$H$123</f>
        <v>2127.6650687542769</v>
      </c>
      <c r="N60" s="83">
        <f>+M60*References_BDI!$C$42</f>
        <v>1.3829822946902752</v>
      </c>
      <c r="O60" s="83">
        <f>+N60/References_BDI!$G$45</f>
        <v>1.4149603997240385</v>
      </c>
      <c r="P60" s="83">
        <f>IFERROR(O60/J60*I60,0)</f>
        <v>0.11791336664366986</v>
      </c>
      <c r="Q60" s="85">
        <v>23.51</v>
      </c>
      <c r="R60" s="86">
        <f t="shared" ref="R60:R70" si="20">P60+Q60</f>
        <v>23.627913366643671</v>
      </c>
      <c r="S60" s="83">
        <f t="shared" ref="S60:S70" si="21">+Q60*H60</f>
        <v>0</v>
      </c>
      <c r="T60" s="83">
        <f>+R60*H60</f>
        <v>0</v>
      </c>
      <c r="U60" s="87">
        <f t="shared" ref="U60:U64" si="22">+T60-S60</f>
        <v>0</v>
      </c>
      <c r="W60" t="str">
        <f t="shared" ref="W60:W70" si="23">IF(R60&lt;10,TEXT(R60,"$0.00")&amp;" (A)",IF(R60&lt;100,TEXT(R60,"$00.00")&amp;" (A)",TEXT(R60,"$000.00")&amp;" (A)"))</f>
        <v>$23.63 (A)</v>
      </c>
      <c r="Y60" s="99"/>
      <c r="Z60" s="99"/>
    </row>
    <row r="61" spans="1:26" x14ac:dyDescent="0.3">
      <c r="A61">
        <v>55</v>
      </c>
      <c r="C61" t="s">
        <v>91</v>
      </c>
      <c r="D61" t="s">
        <v>88</v>
      </c>
      <c r="E61" s="92"/>
      <c r="F61" s="55" t="s">
        <v>210</v>
      </c>
      <c r="G61" s="59" t="s">
        <v>161</v>
      </c>
      <c r="H61">
        <v>0</v>
      </c>
      <c r="I61" s="14">
        <f t="shared" ref="I61:I64" si="24">52/12</f>
        <v>4.333333333333333</v>
      </c>
      <c r="J61" s="65">
        <v>52</v>
      </c>
      <c r="K61" s="96">
        <f>References_BDI!C6</f>
        <v>77</v>
      </c>
      <c r="L61" s="65">
        <f t="shared" si="18"/>
        <v>4004</v>
      </c>
      <c r="M61" s="65">
        <f t="shared" si="19"/>
        <v>3212.3570645897908</v>
      </c>
      <c r="N61" s="83">
        <f>+M61*References_BDI!$C$42</f>
        <v>2.088032091983357</v>
      </c>
      <c r="O61" s="83">
        <f>+N61/References_BDI!$G$45</f>
        <v>2.1363127603676664</v>
      </c>
      <c r="P61" s="83">
        <f t="shared" ref="P61:P64" si="25">IFERROR(O61/J61*I61,0)</f>
        <v>0.1780260633639722</v>
      </c>
      <c r="Q61" s="85">
        <v>28.63</v>
      </c>
      <c r="R61" s="86">
        <f t="shared" si="20"/>
        <v>28.808026063363972</v>
      </c>
      <c r="S61" s="83">
        <f t="shared" si="21"/>
        <v>0</v>
      </c>
      <c r="T61" s="83">
        <f>+R61*H61</f>
        <v>0</v>
      </c>
      <c r="U61" s="87">
        <f t="shared" si="22"/>
        <v>0</v>
      </c>
      <c r="W61" t="str">
        <f t="shared" si="23"/>
        <v>$28.81 (A)</v>
      </c>
      <c r="Y61" s="99"/>
      <c r="Z61" s="99"/>
    </row>
    <row r="62" spans="1:26" x14ac:dyDescent="0.3">
      <c r="A62">
        <v>56</v>
      </c>
      <c r="C62" t="s">
        <v>89</v>
      </c>
      <c r="D62" t="s">
        <v>88</v>
      </c>
      <c r="E62" s="92"/>
      <c r="F62" s="55" t="s">
        <v>210</v>
      </c>
      <c r="G62" s="59" t="s">
        <v>162</v>
      </c>
      <c r="H62">
        <v>0</v>
      </c>
      <c r="I62" s="14">
        <f t="shared" si="24"/>
        <v>4.333333333333333</v>
      </c>
      <c r="J62" s="65">
        <v>52</v>
      </c>
      <c r="K62" s="96">
        <f>References_BDI!C7</f>
        <v>97</v>
      </c>
      <c r="L62" s="65">
        <f t="shared" si="18"/>
        <v>5044</v>
      </c>
      <c r="M62" s="65">
        <f t="shared" si="19"/>
        <v>4046.7355229248014</v>
      </c>
      <c r="N62" s="83">
        <f>+M62*References_BDI!$C$42</f>
        <v>2.6303780899011122</v>
      </c>
      <c r="O62" s="83">
        <f>+N62/References_BDI!$G$45</f>
        <v>2.6911991916319953</v>
      </c>
      <c r="P62" s="83">
        <f t="shared" si="25"/>
        <v>0.22426659930266624</v>
      </c>
      <c r="Q62" s="85">
        <v>33.950000000000003</v>
      </c>
      <c r="R62" s="86">
        <f t="shared" si="20"/>
        <v>34.174266599302669</v>
      </c>
      <c r="S62" s="83">
        <f t="shared" si="21"/>
        <v>0</v>
      </c>
      <c r="T62" s="83">
        <f>+R62*H62</f>
        <v>0</v>
      </c>
      <c r="U62" s="87">
        <f t="shared" si="22"/>
        <v>0</v>
      </c>
      <c r="W62" t="str">
        <f t="shared" si="23"/>
        <v>$34.17 (A)</v>
      </c>
      <c r="Y62" s="99"/>
      <c r="Z62" s="99"/>
    </row>
    <row r="63" spans="1:26" x14ac:dyDescent="0.3">
      <c r="A63">
        <v>57</v>
      </c>
      <c r="C63" t="s">
        <v>87</v>
      </c>
      <c r="D63" t="s">
        <v>88</v>
      </c>
      <c r="E63" s="92"/>
      <c r="F63" s="55" t="s">
        <v>210</v>
      </c>
      <c r="G63" s="59" t="s">
        <v>163</v>
      </c>
      <c r="H63">
        <v>0</v>
      </c>
      <c r="I63" s="14">
        <f t="shared" si="24"/>
        <v>4.333333333333333</v>
      </c>
      <c r="J63" s="65">
        <v>52</v>
      </c>
      <c r="K63" s="96">
        <f>References_BDI!C8</f>
        <v>117</v>
      </c>
      <c r="L63" s="65">
        <f t="shared" si="18"/>
        <v>6084</v>
      </c>
      <c r="M63" s="65">
        <f t="shared" si="19"/>
        <v>4881.1139812598121</v>
      </c>
      <c r="N63" s="83">
        <f>+M63*References_BDI!$C$42</f>
        <v>3.1727240878188669</v>
      </c>
      <c r="O63" s="83">
        <f>+N63/References_BDI!$G$45</f>
        <v>3.2460856228963237</v>
      </c>
      <c r="P63" s="83">
        <f t="shared" si="25"/>
        <v>0.27050713524136033</v>
      </c>
      <c r="Q63" s="85">
        <v>43.76</v>
      </c>
      <c r="R63" s="86">
        <f t="shared" si="20"/>
        <v>44.030507135241358</v>
      </c>
      <c r="S63" s="83">
        <f t="shared" si="21"/>
        <v>0</v>
      </c>
      <c r="T63" s="83">
        <f>+R63*H63</f>
        <v>0</v>
      </c>
      <c r="U63" s="87">
        <f t="shared" si="22"/>
        <v>0</v>
      </c>
      <c r="W63" t="str">
        <f t="shared" si="23"/>
        <v>$44.03 (A)</v>
      </c>
      <c r="Y63" s="99"/>
      <c r="Z63" s="99"/>
    </row>
    <row r="64" spans="1:26" x14ac:dyDescent="0.3">
      <c r="A64">
        <v>58</v>
      </c>
      <c r="C64" t="s">
        <v>85</v>
      </c>
      <c r="D64" t="s">
        <v>88</v>
      </c>
      <c r="E64" s="92"/>
      <c r="F64" s="55" t="s">
        <v>210</v>
      </c>
      <c r="G64" s="59" t="s">
        <v>164</v>
      </c>
      <c r="H64">
        <v>0</v>
      </c>
      <c r="I64" s="14">
        <f t="shared" si="24"/>
        <v>4.333333333333333</v>
      </c>
      <c r="J64" s="65">
        <v>52</v>
      </c>
      <c r="K64" s="96">
        <f>References_BDI!C9</f>
        <v>157</v>
      </c>
      <c r="L64" s="65">
        <f t="shared" si="18"/>
        <v>8164</v>
      </c>
      <c r="M64" s="65">
        <f t="shared" si="19"/>
        <v>6549.8708979298326</v>
      </c>
      <c r="N64" s="83">
        <f>+M64*References_BDI!$C$42</f>
        <v>4.2574160836543768</v>
      </c>
      <c r="O64" s="83">
        <f>+N64/References_BDI!$G$45</f>
        <v>4.3558584854249816</v>
      </c>
      <c r="P64" s="83">
        <f t="shared" si="25"/>
        <v>0.36298820711874846</v>
      </c>
      <c r="Q64" s="85">
        <v>50.11</v>
      </c>
      <c r="R64" s="86">
        <f t="shared" si="20"/>
        <v>50.472988207118746</v>
      </c>
      <c r="S64" s="83">
        <f t="shared" si="21"/>
        <v>0</v>
      </c>
      <c r="T64" s="83">
        <f>+R64*H64</f>
        <v>0</v>
      </c>
      <c r="U64" s="87">
        <f t="shared" si="22"/>
        <v>0</v>
      </c>
      <c r="W64" t="str">
        <f t="shared" si="23"/>
        <v>$50.47 (A)</v>
      </c>
      <c r="Y64" s="99"/>
      <c r="Z64" s="99"/>
    </row>
    <row r="65" spans="1:26" x14ac:dyDescent="0.3">
      <c r="A65">
        <v>59</v>
      </c>
      <c r="C65" t="s">
        <v>43</v>
      </c>
      <c r="E65" s="91"/>
      <c r="F65" s="1" t="s">
        <v>211</v>
      </c>
      <c r="G65" s="72" t="s">
        <v>247</v>
      </c>
      <c r="I65" s="14"/>
      <c r="J65" s="65">
        <v>52</v>
      </c>
      <c r="K65" s="96">
        <f>References_BDI!C4</f>
        <v>34</v>
      </c>
      <c r="L65" s="65">
        <f t="shared" si="18"/>
        <v>1768</v>
      </c>
      <c r="M65" s="65">
        <f t="shared" si="19"/>
        <v>1418.443379169518</v>
      </c>
      <c r="N65" s="83">
        <f>+M65*References_BDI!$C$42</f>
        <v>0.9219881964601836</v>
      </c>
      <c r="O65" s="83">
        <f>+N65/References_BDI!$G$45</f>
        <v>0.94330693314935909</v>
      </c>
      <c r="P65" s="83">
        <f t="shared" ref="P65:P70" si="26">IFERROR(O65/J65,0)</f>
        <v>1.8140517945179981E-2</v>
      </c>
      <c r="Q65" s="85">
        <v>3.34</v>
      </c>
      <c r="R65" s="86">
        <f t="shared" si="20"/>
        <v>3.3581405179451798</v>
      </c>
      <c r="S65" s="83">
        <f t="shared" si="21"/>
        <v>0</v>
      </c>
      <c r="T65" s="83"/>
      <c r="U65" s="87"/>
      <c r="W65" t="str">
        <f t="shared" si="23"/>
        <v>$3.36 (A)</v>
      </c>
      <c r="Y65" s="99"/>
      <c r="Z65" s="99"/>
    </row>
    <row r="66" spans="1:26" x14ac:dyDescent="0.3">
      <c r="A66">
        <v>60</v>
      </c>
      <c r="C66" t="s">
        <v>41</v>
      </c>
      <c r="E66" s="91"/>
      <c r="F66" s="1" t="s">
        <v>211</v>
      </c>
      <c r="G66" s="72" t="s">
        <v>248</v>
      </c>
      <c r="I66" s="14"/>
      <c r="J66" s="65">
        <v>52</v>
      </c>
      <c r="K66" s="96">
        <f>References_BDI!C11</f>
        <v>47</v>
      </c>
      <c r="L66" s="65">
        <f t="shared" si="18"/>
        <v>2444</v>
      </c>
      <c r="M66" s="65">
        <f t="shared" si="19"/>
        <v>1960.7893770872749</v>
      </c>
      <c r="N66" s="83">
        <f>+M66*References_BDI!$C$42</f>
        <v>1.2745130951067245</v>
      </c>
      <c r="O66" s="83">
        <f>+N66/References_BDI!$G$45</f>
        <v>1.303983113471173</v>
      </c>
      <c r="P66" s="83">
        <f t="shared" si="26"/>
        <v>2.5076598335984097E-2</v>
      </c>
      <c r="Q66" s="85">
        <v>18.38</v>
      </c>
      <c r="R66" s="86">
        <f t="shared" si="20"/>
        <v>18.405076598335985</v>
      </c>
      <c r="S66" s="83">
        <f t="shared" si="21"/>
        <v>0</v>
      </c>
      <c r="T66" s="83"/>
      <c r="U66" s="87"/>
      <c r="W66" t="str">
        <f t="shared" si="23"/>
        <v>$18.41 (A)</v>
      </c>
      <c r="Y66" s="99"/>
      <c r="Z66" s="99"/>
    </row>
    <row r="67" spans="1:26" x14ac:dyDescent="0.3">
      <c r="A67">
        <v>61</v>
      </c>
      <c r="C67" t="s">
        <v>15</v>
      </c>
      <c r="E67" s="91"/>
      <c r="F67" s="1" t="s">
        <v>211</v>
      </c>
      <c r="G67" s="72" t="s">
        <v>249</v>
      </c>
      <c r="I67" s="14"/>
      <c r="J67" s="65">
        <v>52</v>
      </c>
      <c r="K67" s="96">
        <f>References_BDI!C12</f>
        <v>68</v>
      </c>
      <c r="L67" s="65">
        <f t="shared" si="18"/>
        <v>3536</v>
      </c>
      <c r="M67" s="65">
        <f t="shared" si="19"/>
        <v>2836.8867583390361</v>
      </c>
      <c r="N67" s="83">
        <f>+M67*References_BDI!$C$42</f>
        <v>1.8439763929203672</v>
      </c>
      <c r="O67" s="83">
        <f>+N67/References_BDI!$G$45</f>
        <v>1.8866138662987182</v>
      </c>
      <c r="P67" s="83">
        <f t="shared" si="26"/>
        <v>3.6281035890359963E-2</v>
      </c>
      <c r="Q67" s="85">
        <v>23.19</v>
      </c>
      <c r="R67" s="86">
        <f t="shared" si="20"/>
        <v>23.226281035890363</v>
      </c>
      <c r="S67" s="83">
        <f t="shared" si="21"/>
        <v>0</v>
      </c>
      <c r="T67" s="83"/>
      <c r="U67" s="87"/>
      <c r="W67" t="str">
        <f t="shared" si="23"/>
        <v>$23.23 (A)</v>
      </c>
      <c r="Y67" s="99"/>
      <c r="Z67" s="99"/>
    </row>
    <row r="68" spans="1:26" x14ac:dyDescent="0.3">
      <c r="A68">
        <v>62</v>
      </c>
      <c r="C68" t="s">
        <v>38</v>
      </c>
      <c r="E68" s="91"/>
      <c r="F68" s="1">
        <v>24</v>
      </c>
      <c r="G68" s="56" t="s">
        <v>218</v>
      </c>
      <c r="I68" s="14"/>
      <c r="J68" s="65">
        <v>52</v>
      </c>
      <c r="K68" s="96">
        <f>References_BDI!$C$31</f>
        <v>125</v>
      </c>
      <c r="L68" s="65">
        <f t="shared" si="18"/>
        <v>6500</v>
      </c>
      <c r="M68" s="65">
        <f t="shared" si="19"/>
        <v>5214.8653645938157</v>
      </c>
      <c r="N68" s="83">
        <f>+M68*References_BDI!$C$42</f>
        <v>3.3896624869859688</v>
      </c>
      <c r="O68" s="83">
        <f>+N68/References_BDI!$G$45</f>
        <v>3.4680401954020552</v>
      </c>
      <c r="P68" s="83">
        <f t="shared" si="26"/>
        <v>6.6693080680808758E-2</v>
      </c>
      <c r="Q68" s="85">
        <v>15.84</v>
      </c>
      <c r="R68" s="86">
        <f t="shared" si="20"/>
        <v>15.906693080680808</v>
      </c>
      <c r="S68" s="83">
        <f t="shared" si="21"/>
        <v>0</v>
      </c>
      <c r="T68" s="83"/>
      <c r="U68" s="87"/>
      <c r="W68" t="str">
        <f t="shared" si="23"/>
        <v>$15.91 (A)</v>
      </c>
      <c r="Y68" s="99"/>
      <c r="Z68" s="99"/>
    </row>
    <row r="69" spans="1:26" x14ac:dyDescent="0.3">
      <c r="A69">
        <v>63</v>
      </c>
      <c r="C69" t="s">
        <v>38</v>
      </c>
      <c r="E69" s="91"/>
      <c r="F69" s="1">
        <v>24</v>
      </c>
      <c r="G69" s="72" t="s">
        <v>220</v>
      </c>
      <c r="I69" s="14"/>
      <c r="J69" s="65">
        <v>52</v>
      </c>
      <c r="K69" s="96">
        <f>References_BDI!$C$31</f>
        <v>125</v>
      </c>
      <c r="L69" s="65">
        <f t="shared" si="18"/>
        <v>6500</v>
      </c>
      <c r="M69" s="65">
        <f t="shared" si="19"/>
        <v>5214.8653645938157</v>
      </c>
      <c r="N69" s="83">
        <f>+M69*References_BDI!$C$42</f>
        <v>3.3896624869859688</v>
      </c>
      <c r="O69" s="83">
        <f>+N69/References_BDI!$G$45</f>
        <v>3.4680401954020552</v>
      </c>
      <c r="P69" s="83">
        <f t="shared" si="26"/>
        <v>6.6693080680808758E-2</v>
      </c>
      <c r="Q69" s="85">
        <v>15.84</v>
      </c>
      <c r="R69" s="86">
        <f t="shared" si="20"/>
        <v>15.906693080680808</v>
      </c>
      <c r="S69" s="83">
        <f t="shared" si="21"/>
        <v>0</v>
      </c>
      <c r="T69" s="83"/>
      <c r="U69" s="87"/>
      <c r="W69" t="str">
        <f t="shared" si="23"/>
        <v>$15.91 (A)</v>
      </c>
      <c r="Y69" s="99"/>
      <c r="Z69" s="99"/>
    </row>
    <row r="70" spans="1:26" x14ac:dyDescent="0.3">
      <c r="A70">
        <v>64</v>
      </c>
      <c r="C70" t="s">
        <v>38</v>
      </c>
      <c r="E70" s="91"/>
      <c r="F70" s="1">
        <v>24</v>
      </c>
      <c r="G70" s="72" t="s">
        <v>219</v>
      </c>
      <c r="I70" s="14"/>
      <c r="J70" s="65">
        <v>52</v>
      </c>
      <c r="K70" s="96">
        <f>References_BDI!$C$31</f>
        <v>125</v>
      </c>
      <c r="L70" s="65">
        <f t="shared" si="18"/>
        <v>6500</v>
      </c>
      <c r="M70" s="65">
        <f t="shared" si="19"/>
        <v>5214.8653645938157</v>
      </c>
      <c r="N70" s="83">
        <f>+M70*References_BDI!$C$42</f>
        <v>3.3896624869859688</v>
      </c>
      <c r="O70" s="83">
        <f>+N70/References_BDI!$G$45</f>
        <v>3.4680401954020552</v>
      </c>
      <c r="P70" s="83">
        <f t="shared" si="26"/>
        <v>6.6693080680808758E-2</v>
      </c>
      <c r="Q70" s="85">
        <v>15.84</v>
      </c>
      <c r="R70" s="86">
        <f t="shared" si="20"/>
        <v>15.906693080680808</v>
      </c>
      <c r="S70" s="83">
        <f t="shared" si="21"/>
        <v>0</v>
      </c>
      <c r="T70" s="83"/>
      <c r="U70" s="87"/>
      <c r="W70" t="str">
        <f t="shared" si="23"/>
        <v>$15.91 (A)</v>
      </c>
      <c r="Y70" s="99"/>
      <c r="Z70" s="99"/>
    </row>
    <row r="71" spans="1:26" x14ac:dyDescent="0.3">
      <c r="A71">
        <v>65</v>
      </c>
      <c r="K71" s="96"/>
      <c r="Y71" s="99"/>
      <c r="Z71" s="99"/>
    </row>
    <row r="72" spans="1:26" x14ac:dyDescent="0.3">
      <c r="A72">
        <v>66</v>
      </c>
      <c r="K72" s="96"/>
      <c r="Y72" s="99"/>
      <c r="Z72" s="99"/>
    </row>
    <row r="73" spans="1:26" x14ac:dyDescent="0.3">
      <c r="A73">
        <v>67</v>
      </c>
      <c r="B73" s="88"/>
      <c r="C73" s="88"/>
      <c r="D73" s="88"/>
      <c r="E73" s="88"/>
      <c r="F73" s="88"/>
      <c r="G73" s="88"/>
      <c r="H73" s="88"/>
      <c r="I73" s="88"/>
      <c r="J73" s="88"/>
      <c r="K73" s="97"/>
      <c r="L73" s="88"/>
      <c r="M73" s="88"/>
      <c r="N73" s="88"/>
      <c r="O73" s="88"/>
      <c r="P73" s="88"/>
      <c r="Q73" s="88"/>
      <c r="R73" s="88"/>
      <c r="S73" s="88"/>
      <c r="T73" s="88"/>
      <c r="U73" s="88"/>
      <c r="Y73" s="99"/>
      <c r="Z73" s="99"/>
    </row>
    <row r="74" spans="1:26" x14ac:dyDescent="0.3">
      <c r="A74">
        <v>68</v>
      </c>
      <c r="J74" s="65"/>
      <c r="K74" s="96"/>
      <c r="L74" s="65"/>
      <c r="M74" s="65"/>
      <c r="N74" s="83"/>
      <c r="O74" s="83"/>
      <c r="P74" s="83"/>
      <c r="Q74" s="85"/>
      <c r="R74" s="86"/>
      <c r="S74" s="83"/>
      <c r="T74" s="83"/>
      <c r="U74" s="87"/>
      <c r="Y74" s="99"/>
      <c r="Z74" s="99"/>
    </row>
    <row r="75" spans="1:26" x14ac:dyDescent="0.3">
      <c r="A75">
        <v>69</v>
      </c>
      <c r="J75" s="65"/>
      <c r="K75" s="96"/>
      <c r="L75" s="65"/>
      <c r="M75" s="65"/>
      <c r="N75" s="83"/>
      <c r="O75" s="83"/>
      <c r="P75" s="83"/>
      <c r="Q75" s="85"/>
      <c r="R75" s="86"/>
      <c r="S75" s="83"/>
      <c r="T75" s="83"/>
      <c r="U75" s="87"/>
      <c r="Y75" s="99"/>
      <c r="Z75" s="99"/>
    </row>
    <row r="76" spans="1:26" x14ac:dyDescent="0.3">
      <c r="A76">
        <v>70</v>
      </c>
      <c r="C76" t="s">
        <v>41</v>
      </c>
      <c r="E76" s="57" t="s">
        <v>75</v>
      </c>
      <c r="F76">
        <v>31</v>
      </c>
      <c r="G76" s="75" t="s">
        <v>169</v>
      </c>
      <c r="J76" s="65">
        <v>52</v>
      </c>
      <c r="K76" s="96">
        <f>K66</f>
        <v>47</v>
      </c>
      <c r="L76" s="65">
        <f t="shared" ref="L76:L114" si="27">+K76*J76</f>
        <v>2444</v>
      </c>
      <c r="M76" s="65">
        <f t="shared" ref="M76:M86" si="28">+L76*$H$123</f>
        <v>1960.7893770872749</v>
      </c>
      <c r="N76" s="83">
        <f>+M76*References_BDI!$C$42</f>
        <v>1.2745130951067245</v>
      </c>
      <c r="O76" s="83">
        <f>+N76/References_BDI!$G$45</f>
        <v>1.303983113471173</v>
      </c>
      <c r="P76" s="83">
        <f t="shared" ref="P76:P114" si="29">IFERROR(O76/J76,0)</f>
        <v>2.5076598335984097E-2</v>
      </c>
      <c r="Q76" s="85">
        <v>14.35</v>
      </c>
      <c r="R76" s="86">
        <f>R18+10.03</f>
        <v>14.405076598335983</v>
      </c>
      <c r="S76" s="83">
        <f t="shared" ref="S76:S114" si="30">+Q76*H76</f>
        <v>0</v>
      </c>
      <c r="T76" s="83">
        <f t="shared" ref="T76:T114" si="31">+R76*H76</f>
        <v>0</v>
      </c>
      <c r="U76" s="87">
        <f t="shared" ref="U76:U88" si="32">+T76-S76</f>
        <v>0</v>
      </c>
      <c r="W76" t="str">
        <f t="shared" ref="W76:W114" si="33">IF(R76&lt;10,TEXT(R76,"$0.00")&amp;" (A)",IF(R76&lt;100,TEXT(R76,"$00.00")&amp;" (A)",TEXT(R76,"$000.00")&amp;" (A)"))</f>
        <v>$14.41 (A)</v>
      </c>
      <c r="Y76" s="99"/>
      <c r="Z76" s="99"/>
    </row>
    <row r="77" spans="1:26" x14ac:dyDescent="0.3">
      <c r="A77">
        <v>71</v>
      </c>
      <c r="C77" t="s">
        <v>15</v>
      </c>
      <c r="F77">
        <v>31</v>
      </c>
      <c r="G77" s="75" t="s">
        <v>172</v>
      </c>
      <c r="J77" s="65">
        <v>52</v>
      </c>
      <c r="K77" s="96">
        <f>K67</f>
        <v>68</v>
      </c>
      <c r="L77" s="65">
        <f t="shared" si="27"/>
        <v>3536</v>
      </c>
      <c r="M77" s="65">
        <f t="shared" si="28"/>
        <v>2836.8867583390361</v>
      </c>
      <c r="N77" s="83">
        <f>+M77*References_BDI!$C$42</f>
        <v>1.8439763929203672</v>
      </c>
      <c r="O77" s="83">
        <f>+N77/References_BDI!$G$45</f>
        <v>1.8866138662987182</v>
      </c>
      <c r="P77" s="83">
        <f t="shared" si="29"/>
        <v>3.6281035890359963E-2</v>
      </c>
      <c r="Q77" s="85">
        <v>15.5</v>
      </c>
      <c r="R77" s="86">
        <f>R21+10.03</f>
        <v>15.566281035890359</v>
      </c>
      <c r="S77" s="83">
        <f t="shared" si="30"/>
        <v>0</v>
      </c>
      <c r="T77" s="83">
        <f t="shared" si="31"/>
        <v>0</v>
      </c>
      <c r="U77" s="87">
        <f t="shared" si="32"/>
        <v>0</v>
      </c>
      <c r="W77" t="str">
        <f t="shared" si="33"/>
        <v>$15.57 (A)</v>
      </c>
      <c r="Y77" s="99"/>
      <c r="Z77" s="99"/>
    </row>
    <row r="78" spans="1:26" x14ac:dyDescent="0.3">
      <c r="A78">
        <v>72</v>
      </c>
      <c r="C78" t="s">
        <v>26</v>
      </c>
      <c r="F78">
        <v>31</v>
      </c>
      <c r="G78" s="75" t="s">
        <v>176</v>
      </c>
      <c r="I78" s="16">
        <v>1</v>
      </c>
      <c r="J78" s="65">
        <v>52</v>
      </c>
      <c r="K78" s="96">
        <f>References_BDI!$C$16</f>
        <v>175</v>
      </c>
      <c r="L78" s="65">
        <f t="shared" si="27"/>
        <v>9100</v>
      </c>
      <c r="M78" s="65">
        <f t="shared" si="28"/>
        <v>7300.8115104313429</v>
      </c>
      <c r="N78" s="83">
        <f>+M78*References_BDI!$C$42</f>
        <v>4.745527481780357</v>
      </c>
      <c r="O78" s="83">
        <f>+N78/References_BDI!$G$45</f>
        <v>4.8552562735628779</v>
      </c>
      <c r="P78" s="83">
        <f>IFERROR(O78/J78*I78,0)</f>
        <v>9.3370312953132265E-2</v>
      </c>
      <c r="Q78" s="85">
        <v>20.46</v>
      </c>
      <c r="R78" s="86">
        <f t="shared" ref="R78:R87" si="34">P78+Q78</f>
        <v>20.553370312953135</v>
      </c>
      <c r="S78" s="83">
        <f t="shared" si="30"/>
        <v>0</v>
      </c>
      <c r="T78" s="83">
        <f t="shared" si="31"/>
        <v>0</v>
      </c>
      <c r="U78" s="87">
        <f t="shared" si="32"/>
        <v>0</v>
      </c>
      <c r="W78" t="str">
        <f t="shared" si="33"/>
        <v>$20.55 (A)</v>
      </c>
      <c r="Y78" s="99"/>
      <c r="Z78" s="99"/>
    </row>
    <row r="79" spans="1:26" x14ac:dyDescent="0.3">
      <c r="A79">
        <v>73</v>
      </c>
      <c r="C79" t="s">
        <v>26</v>
      </c>
      <c r="F79">
        <v>31</v>
      </c>
      <c r="G79" s="75" t="s">
        <v>177</v>
      </c>
      <c r="I79" s="16">
        <v>1</v>
      </c>
      <c r="J79" s="65">
        <v>52</v>
      </c>
      <c r="K79" s="96">
        <f>References_BDI!$C$16</f>
        <v>175</v>
      </c>
      <c r="L79" s="65">
        <f t="shared" si="27"/>
        <v>9100</v>
      </c>
      <c r="M79" s="65">
        <f t="shared" si="28"/>
        <v>7300.8115104313429</v>
      </c>
      <c r="N79" s="83">
        <f>+M79*References_BDI!$C$42</f>
        <v>4.745527481780357</v>
      </c>
      <c r="O79" s="83">
        <f>+N79/References_BDI!$G$45</f>
        <v>4.8552562735628779</v>
      </c>
      <c r="P79" s="83">
        <f>IFERROR(O79/J79*I79,0)</f>
        <v>9.3370312953132265E-2</v>
      </c>
      <c r="Q79" s="85">
        <v>20.46</v>
      </c>
      <c r="R79" s="86">
        <f t="shared" si="34"/>
        <v>20.553370312953135</v>
      </c>
      <c r="S79" s="83">
        <f t="shared" si="30"/>
        <v>0</v>
      </c>
      <c r="T79" s="83">
        <f t="shared" si="31"/>
        <v>0</v>
      </c>
      <c r="U79" s="87">
        <f t="shared" si="32"/>
        <v>0</v>
      </c>
      <c r="W79" t="str">
        <f t="shared" si="33"/>
        <v>$20.55 (A)</v>
      </c>
      <c r="Y79" s="99"/>
      <c r="Z79" s="99"/>
    </row>
    <row r="80" spans="1:26" x14ac:dyDescent="0.3">
      <c r="A80">
        <v>74</v>
      </c>
      <c r="C80" t="s">
        <v>26</v>
      </c>
      <c r="F80">
        <v>31</v>
      </c>
      <c r="G80" s="75" t="s">
        <v>175</v>
      </c>
      <c r="I80" s="16"/>
      <c r="J80" s="65">
        <v>52</v>
      </c>
      <c r="K80" s="96">
        <f>References_BDI!$C$16</f>
        <v>175</v>
      </c>
      <c r="L80" s="65">
        <f t="shared" si="27"/>
        <v>9100</v>
      </c>
      <c r="M80" s="65">
        <f t="shared" si="28"/>
        <v>7300.8115104313429</v>
      </c>
      <c r="N80" s="83">
        <f>+M80*References_BDI!$C$42</f>
        <v>4.745527481780357</v>
      </c>
      <c r="O80" s="83">
        <f>+N80/References_BDI!$G$45</f>
        <v>4.8552562735628779</v>
      </c>
      <c r="P80" s="83">
        <f t="shared" si="29"/>
        <v>9.3370312953132265E-2</v>
      </c>
      <c r="Q80" s="85">
        <v>30.46</v>
      </c>
      <c r="R80" s="86">
        <f>R23+10.03</f>
        <v>30.583370312953136</v>
      </c>
      <c r="S80" s="83">
        <f t="shared" si="30"/>
        <v>0</v>
      </c>
      <c r="T80" s="83">
        <f t="shared" si="31"/>
        <v>0</v>
      </c>
      <c r="U80" s="87">
        <f t="shared" si="32"/>
        <v>0</v>
      </c>
      <c r="W80" t="str">
        <f t="shared" si="33"/>
        <v>$30.58 (A)</v>
      </c>
      <c r="Y80" s="99"/>
      <c r="Z80" s="99"/>
    </row>
    <row r="81" spans="1:26" x14ac:dyDescent="0.3">
      <c r="A81">
        <v>75</v>
      </c>
      <c r="C81" t="s">
        <v>34</v>
      </c>
      <c r="F81">
        <v>32</v>
      </c>
      <c r="G81" s="75" t="s">
        <v>180</v>
      </c>
      <c r="I81" s="16"/>
      <c r="J81" s="65">
        <v>52</v>
      </c>
      <c r="K81" s="96">
        <f>References_BDI!$C$16</f>
        <v>175</v>
      </c>
      <c r="L81" s="65">
        <f t="shared" si="27"/>
        <v>9100</v>
      </c>
      <c r="M81" s="65">
        <f t="shared" si="28"/>
        <v>7300.8115104313429</v>
      </c>
      <c r="N81" s="83">
        <f>+M81*References_BDI!$C$42</f>
        <v>4.745527481780357</v>
      </c>
      <c r="O81" s="83">
        <f>+N81/References_BDI!$G$45</f>
        <v>4.8552562735628779</v>
      </c>
      <c r="P81" s="83">
        <f t="shared" si="29"/>
        <v>9.3370312953132265E-2</v>
      </c>
      <c r="Q81" s="85">
        <v>25.19</v>
      </c>
      <c r="R81" s="86">
        <f t="shared" si="34"/>
        <v>25.283370312953135</v>
      </c>
      <c r="S81" s="83">
        <f t="shared" si="30"/>
        <v>0</v>
      </c>
      <c r="T81" s="83">
        <f t="shared" si="31"/>
        <v>0</v>
      </c>
      <c r="U81" s="87">
        <f t="shared" si="32"/>
        <v>0</v>
      </c>
      <c r="W81" t="str">
        <f t="shared" si="33"/>
        <v>$25.28 (A)</v>
      </c>
      <c r="Y81" s="99"/>
      <c r="Z81" s="99"/>
    </row>
    <row r="82" spans="1:26" x14ac:dyDescent="0.3">
      <c r="A82">
        <v>76</v>
      </c>
      <c r="C82" t="s">
        <v>34</v>
      </c>
      <c r="F82">
        <v>32</v>
      </c>
      <c r="G82" s="75" t="s">
        <v>181</v>
      </c>
      <c r="I82" s="16"/>
      <c r="J82" s="65">
        <v>52</v>
      </c>
      <c r="K82" s="96">
        <f>References_BDI!$C$16</f>
        <v>175</v>
      </c>
      <c r="L82" s="65">
        <f t="shared" si="27"/>
        <v>9100</v>
      </c>
      <c r="M82" s="65">
        <f t="shared" si="28"/>
        <v>7300.8115104313429</v>
      </c>
      <c r="N82" s="83">
        <f>+M82*References_BDI!$C$42</f>
        <v>4.745527481780357</v>
      </c>
      <c r="O82" s="83">
        <f>+N82/References_BDI!$G$45</f>
        <v>4.8552562735628779</v>
      </c>
      <c r="P82" s="83">
        <f t="shared" si="29"/>
        <v>9.3370312953132265E-2</v>
      </c>
      <c r="Q82" s="85">
        <v>39.99</v>
      </c>
      <c r="R82" s="86">
        <f>R25+22.56</f>
        <v>40.143370312953131</v>
      </c>
      <c r="S82" s="83">
        <f t="shared" si="30"/>
        <v>0</v>
      </c>
      <c r="T82" s="83">
        <f t="shared" si="31"/>
        <v>0</v>
      </c>
      <c r="U82" s="87">
        <f t="shared" si="32"/>
        <v>0</v>
      </c>
      <c r="W82" t="str">
        <f t="shared" si="33"/>
        <v>$40.14 (A)</v>
      </c>
      <c r="Y82" s="99"/>
      <c r="Z82" s="99"/>
    </row>
    <row r="83" spans="1:26" x14ac:dyDescent="0.3">
      <c r="A83">
        <v>77</v>
      </c>
      <c r="C83" t="s">
        <v>26</v>
      </c>
      <c r="F83">
        <v>32</v>
      </c>
      <c r="G83" s="75" t="s">
        <v>186</v>
      </c>
      <c r="I83" s="16">
        <v>2.1666666666666665</v>
      </c>
      <c r="J83" s="65">
        <v>52</v>
      </c>
      <c r="K83" s="96">
        <f>References_BDI!C17</f>
        <v>250</v>
      </c>
      <c r="L83" s="65">
        <f t="shared" si="27"/>
        <v>13000</v>
      </c>
      <c r="M83" s="65">
        <f t="shared" si="28"/>
        <v>10429.730729187631</v>
      </c>
      <c r="N83" s="83">
        <f>+M83*References_BDI!$C$42</f>
        <v>6.7793249739719377</v>
      </c>
      <c r="O83" s="83">
        <f>+N83/References_BDI!$G$45</f>
        <v>6.9360803908041104</v>
      </c>
      <c r="P83" s="83">
        <f>IFERROR(O83/J83*I83,0)</f>
        <v>0.28900334961683793</v>
      </c>
      <c r="Q83" s="85">
        <f>Q26*(52/12)/2</f>
        <v>48.62</v>
      </c>
      <c r="R83" s="86">
        <f t="shared" si="34"/>
        <v>48.909003349616839</v>
      </c>
      <c r="S83" s="83">
        <f t="shared" si="30"/>
        <v>0</v>
      </c>
      <c r="T83" s="83">
        <f t="shared" si="31"/>
        <v>0</v>
      </c>
      <c r="U83" s="87">
        <f t="shared" si="32"/>
        <v>0</v>
      </c>
      <c r="W83" t="str">
        <f t="shared" si="33"/>
        <v>$48.91 (A)</v>
      </c>
      <c r="Y83" s="99"/>
      <c r="Z83" s="99"/>
    </row>
    <row r="84" spans="1:26" x14ac:dyDescent="0.3">
      <c r="A84">
        <v>78</v>
      </c>
      <c r="C84" t="s">
        <v>31</v>
      </c>
      <c r="F84">
        <v>32</v>
      </c>
      <c r="G84" s="75" t="s">
        <v>191</v>
      </c>
      <c r="I84" s="16">
        <v>8.6666666666666661</v>
      </c>
      <c r="J84" s="65">
        <v>52</v>
      </c>
      <c r="K84" s="96">
        <f>References_BDI!$C$18</f>
        <v>324</v>
      </c>
      <c r="L84" s="65">
        <f t="shared" si="27"/>
        <v>16848</v>
      </c>
      <c r="M84" s="65">
        <f t="shared" si="28"/>
        <v>13516.931025027172</v>
      </c>
      <c r="N84" s="83">
        <f>+M84*References_BDI!$C$42</f>
        <v>8.7860051662676319</v>
      </c>
      <c r="O84" s="83">
        <f>+N84/References_BDI!$G$45</f>
        <v>8.9891601864821276</v>
      </c>
      <c r="P84" s="83">
        <f>IFERROR(O84/J84*I84,0)</f>
        <v>1.498193364413688</v>
      </c>
      <c r="Q84" s="85">
        <f>Q30*(52/12)*2</f>
        <v>228.71333333333331</v>
      </c>
      <c r="R84" s="86">
        <f t="shared" si="34"/>
        <v>230.21152669774699</v>
      </c>
      <c r="S84" s="83">
        <f t="shared" si="30"/>
        <v>0</v>
      </c>
      <c r="T84" s="83">
        <f t="shared" si="31"/>
        <v>0</v>
      </c>
      <c r="U84" s="87">
        <f t="shared" si="32"/>
        <v>0</v>
      </c>
      <c r="W84" t="str">
        <f t="shared" si="33"/>
        <v>$230.21 (A)</v>
      </c>
      <c r="Y84" s="99"/>
      <c r="Z84" s="99"/>
    </row>
    <row r="85" spans="1:26" x14ac:dyDescent="0.3">
      <c r="A85">
        <v>79</v>
      </c>
      <c r="C85" t="s">
        <v>31</v>
      </c>
      <c r="F85">
        <v>32</v>
      </c>
      <c r="G85" s="75" t="s">
        <v>192</v>
      </c>
      <c r="I85" s="16">
        <v>2.1666666666666665</v>
      </c>
      <c r="J85" s="65">
        <v>52</v>
      </c>
      <c r="K85" s="96">
        <f>References_BDI!$C$18</f>
        <v>324</v>
      </c>
      <c r="L85" s="65">
        <f t="shared" si="27"/>
        <v>16848</v>
      </c>
      <c r="M85" s="65">
        <f t="shared" si="28"/>
        <v>13516.931025027172</v>
      </c>
      <c r="N85" s="83">
        <f>+M85*References_BDI!$C$42</f>
        <v>8.7860051662676319</v>
      </c>
      <c r="O85" s="83">
        <f>+N85/References_BDI!$G$45</f>
        <v>8.9891601864821276</v>
      </c>
      <c r="P85" s="83">
        <f>IFERROR(O85/J85*I85,0)</f>
        <v>0.374548341103422</v>
      </c>
      <c r="Q85" s="85">
        <f>Q30*(52/12)/2</f>
        <v>57.178333333333327</v>
      </c>
      <c r="R85" s="86">
        <f t="shared" si="34"/>
        <v>57.552881674436748</v>
      </c>
      <c r="S85" s="83">
        <f t="shared" si="30"/>
        <v>0</v>
      </c>
      <c r="T85" s="83">
        <f t="shared" si="31"/>
        <v>0</v>
      </c>
      <c r="U85" s="87">
        <f t="shared" si="32"/>
        <v>0</v>
      </c>
      <c r="W85" t="str">
        <f t="shared" si="33"/>
        <v>$57.55 (A)</v>
      </c>
      <c r="Y85" s="99"/>
      <c r="Z85" s="99"/>
    </row>
    <row r="86" spans="1:26" x14ac:dyDescent="0.3">
      <c r="A86">
        <v>80</v>
      </c>
      <c r="C86" t="s">
        <v>28</v>
      </c>
      <c r="F86">
        <v>32</v>
      </c>
      <c r="G86" s="75" t="s">
        <v>197</v>
      </c>
      <c r="I86" s="16">
        <v>2.1666666666666665</v>
      </c>
      <c r="J86" s="65">
        <v>52</v>
      </c>
      <c r="K86" s="96">
        <f>References_BDI!C19</f>
        <v>473</v>
      </c>
      <c r="L86" s="65">
        <f t="shared" si="27"/>
        <v>24596</v>
      </c>
      <c r="M86" s="65">
        <f t="shared" si="28"/>
        <v>19733.050539623</v>
      </c>
      <c r="N86" s="83">
        <f>+M86*References_BDI!$C$42</f>
        <v>12.826482850754907</v>
      </c>
      <c r="O86" s="83">
        <f>+N86/References_BDI!$G$45</f>
        <v>13.123064099401377</v>
      </c>
      <c r="P86" s="83">
        <f>IFERROR(O86/J86*I86,0)</f>
        <v>0.54679433747505735</v>
      </c>
      <c r="Q86" s="85">
        <f>Q34*(52/12)/2</f>
        <v>68.921666666666653</v>
      </c>
      <c r="R86" s="86">
        <f t="shared" si="34"/>
        <v>69.468461004141716</v>
      </c>
      <c r="S86" s="83">
        <f t="shared" si="30"/>
        <v>0</v>
      </c>
      <c r="T86" s="83">
        <f t="shared" si="31"/>
        <v>0</v>
      </c>
      <c r="U86" s="87">
        <f t="shared" si="32"/>
        <v>0</v>
      </c>
      <c r="W86" t="str">
        <f t="shared" si="33"/>
        <v>$69.47 (A)</v>
      </c>
      <c r="Y86" s="99"/>
      <c r="Z86" s="99"/>
    </row>
    <row r="87" spans="1:26" x14ac:dyDescent="0.3">
      <c r="A87">
        <v>81</v>
      </c>
      <c r="C87" t="s">
        <v>95</v>
      </c>
      <c r="F87" s="1">
        <v>33</v>
      </c>
      <c r="G87" s="75" t="s">
        <v>255</v>
      </c>
      <c r="J87" s="65">
        <v>52</v>
      </c>
      <c r="K87" s="96">
        <f>K65</f>
        <v>34</v>
      </c>
      <c r="L87" s="65">
        <f t="shared" si="27"/>
        <v>1768</v>
      </c>
      <c r="M87" s="65">
        <f t="shared" ref="M87:M88" si="35">+L87*$H$123</f>
        <v>1418.443379169518</v>
      </c>
      <c r="N87" s="83">
        <f>+M87*References_BDI!$C$42</f>
        <v>0.9219881964601836</v>
      </c>
      <c r="O87" s="98">
        <f>+N87/References_BDI!$G$45</f>
        <v>0.94330693314935909</v>
      </c>
      <c r="P87" s="98">
        <f t="shared" si="29"/>
        <v>1.8140517945179981E-2</v>
      </c>
      <c r="Q87" s="85">
        <v>3.24</v>
      </c>
      <c r="R87" s="86">
        <f t="shared" si="34"/>
        <v>3.2581405179451801</v>
      </c>
      <c r="S87" s="83">
        <f t="shared" si="30"/>
        <v>0</v>
      </c>
      <c r="T87" s="83">
        <f t="shared" si="31"/>
        <v>0</v>
      </c>
      <c r="U87" s="87">
        <f t="shared" si="32"/>
        <v>0</v>
      </c>
      <c r="W87" t="str">
        <f t="shared" si="33"/>
        <v>$3.26 (A)</v>
      </c>
      <c r="Y87" s="99"/>
      <c r="Z87" s="99"/>
    </row>
    <row r="88" spans="1:26" x14ac:dyDescent="0.3">
      <c r="A88">
        <v>82</v>
      </c>
      <c r="C88" t="s">
        <v>95</v>
      </c>
      <c r="F88" s="1">
        <v>33</v>
      </c>
      <c r="G88" s="75" t="s">
        <v>256</v>
      </c>
      <c r="J88" s="65">
        <v>52</v>
      </c>
      <c r="K88" s="96">
        <f>K65</f>
        <v>34</v>
      </c>
      <c r="L88" s="65">
        <f t="shared" si="27"/>
        <v>1768</v>
      </c>
      <c r="M88" s="65">
        <f t="shared" si="35"/>
        <v>1418.443379169518</v>
      </c>
      <c r="N88" s="83">
        <f>+M88*References_BDI!$C$42</f>
        <v>0.9219881964601836</v>
      </c>
      <c r="O88" s="98">
        <f>+N88/References_BDI!$G$45</f>
        <v>0.94330693314935909</v>
      </c>
      <c r="P88" s="98">
        <f t="shared" si="29"/>
        <v>1.8140517945179981E-2</v>
      </c>
      <c r="Q88" s="85">
        <v>13.24</v>
      </c>
      <c r="R88" s="86">
        <f>R87+10.03</f>
        <v>13.28814051794518</v>
      </c>
      <c r="S88" s="83">
        <f t="shared" si="30"/>
        <v>0</v>
      </c>
      <c r="T88" s="83">
        <f t="shared" si="31"/>
        <v>0</v>
      </c>
      <c r="U88" s="87">
        <f t="shared" si="32"/>
        <v>0</v>
      </c>
      <c r="W88" t="str">
        <f t="shared" si="33"/>
        <v>$13.29 (A)</v>
      </c>
      <c r="Y88" s="99"/>
      <c r="Z88" s="99"/>
    </row>
    <row r="89" spans="1:26" x14ac:dyDescent="0.3">
      <c r="A89">
        <v>83</v>
      </c>
      <c r="C89" s="7" t="s">
        <v>79</v>
      </c>
      <c r="E89" s="90"/>
      <c r="F89" s="1">
        <v>34</v>
      </c>
      <c r="G89" s="75" t="s">
        <v>221</v>
      </c>
      <c r="J89" s="65">
        <v>52</v>
      </c>
      <c r="K89" s="96">
        <f>References_BDI!$C$24</f>
        <v>689</v>
      </c>
      <c r="L89" s="65">
        <f t="shared" si="27"/>
        <v>35828</v>
      </c>
      <c r="M89" s="65">
        <f t="shared" ref="M89:M114" si="36">+L89*$H$123</f>
        <v>28744.337889641116</v>
      </c>
      <c r="N89" s="83">
        <f>+M89*References_BDI!$C$42</f>
        <v>18.683819628266662</v>
      </c>
      <c r="O89" s="83">
        <f>+N89/References_BDI!$G$45</f>
        <v>19.115837557056128</v>
      </c>
      <c r="P89" s="83">
        <f t="shared" si="29"/>
        <v>0.36761226071261788</v>
      </c>
      <c r="Q89" s="85">
        <v>29.61</v>
      </c>
      <c r="R89" s="86">
        <f t="shared" ref="R89:R113" si="37">P89+Q89</f>
        <v>29.977612260712618</v>
      </c>
      <c r="S89" s="83">
        <f t="shared" si="30"/>
        <v>0</v>
      </c>
      <c r="T89" s="83">
        <f t="shared" si="31"/>
        <v>0</v>
      </c>
      <c r="U89" s="87">
        <f t="shared" ref="U89:U114" si="38">+T89-S89</f>
        <v>0</v>
      </c>
      <c r="W89" t="str">
        <f t="shared" si="33"/>
        <v>$29.98 (A)</v>
      </c>
      <c r="Y89" s="99"/>
      <c r="Z89" s="99"/>
    </row>
    <row r="90" spans="1:26" x14ac:dyDescent="0.3">
      <c r="A90">
        <v>84</v>
      </c>
      <c r="C90" s="7" t="s">
        <v>79</v>
      </c>
      <c r="E90" s="90"/>
      <c r="F90" s="1">
        <v>34</v>
      </c>
      <c r="G90" s="75" t="s">
        <v>222</v>
      </c>
      <c r="J90" s="65">
        <v>52</v>
      </c>
      <c r="K90" s="96">
        <f>References_BDI!$C$24</f>
        <v>689</v>
      </c>
      <c r="L90" s="65">
        <f t="shared" si="27"/>
        <v>35828</v>
      </c>
      <c r="M90" s="65">
        <f t="shared" si="36"/>
        <v>28744.337889641116</v>
      </c>
      <c r="N90" s="83">
        <f>+M90*References_BDI!$C$42</f>
        <v>18.683819628266662</v>
      </c>
      <c r="O90" s="83">
        <f>+N90/References_BDI!$G$45</f>
        <v>19.115837557056128</v>
      </c>
      <c r="P90" s="83">
        <f t="shared" si="29"/>
        <v>0.36761226071261788</v>
      </c>
      <c r="Q90" s="85">
        <v>29.61</v>
      </c>
      <c r="R90" s="86">
        <f t="shared" si="37"/>
        <v>29.977612260712618</v>
      </c>
      <c r="S90" s="83">
        <f t="shared" si="30"/>
        <v>0</v>
      </c>
      <c r="T90" s="83">
        <f t="shared" si="31"/>
        <v>0</v>
      </c>
      <c r="U90" s="87">
        <f t="shared" si="38"/>
        <v>0</v>
      </c>
      <c r="W90" t="str">
        <f t="shared" si="33"/>
        <v>$29.98 (A)</v>
      </c>
      <c r="Y90" s="99"/>
      <c r="Z90" s="99"/>
    </row>
    <row r="91" spans="1:26" x14ac:dyDescent="0.3">
      <c r="A91">
        <v>85</v>
      </c>
      <c r="C91" s="7" t="s">
        <v>79</v>
      </c>
      <c r="E91" s="90"/>
      <c r="F91" s="1">
        <v>34</v>
      </c>
      <c r="G91" s="75" t="s">
        <v>223</v>
      </c>
      <c r="J91" s="65">
        <v>52</v>
      </c>
      <c r="K91" s="96">
        <f>References_BDI!$C$24</f>
        <v>689</v>
      </c>
      <c r="L91" s="65">
        <f t="shared" si="27"/>
        <v>35828</v>
      </c>
      <c r="M91" s="65">
        <f t="shared" si="36"/>
        <v>28744.337889641116</v>
      </c>
      <c r="N91" s="83">
        <f>+M91*References_BDI!$C$42</f>
        <v>18.683819628266662</v>
      </c>
      <c r="O91" s="83">
        <f>+N91/References_BDI!$G$45</f>
        <v>19.115837557056128</v>
      </c>
      <c r="P91" s="83">
        <f t="shared" si="29"/>
        <v>0.36761226071261788</v>
      </c>
      <c r="Q91" s="85">
        <v>52.11</v>
      </c>
      <c r="R91" s="86">
        <f>R90+22.56</f>
        <v>52.537612260712621</v>
      </c>
      <c r="S91" s="83">
        <f t="shared" si="30"/>
        <v>0</v>
      </c>
      <c r="T91" s="83">
        <f t="shared" si="31"/>
        <v>0</v>
      </c>
      <c r="U91" s="87">
        <f t="shared" si="38"/>
        <v>0</v>
      </c>
      <c r="W91" t="str">
        <f t="shared" si="33"/>
        <v>$52.54 (A)</v>
      </c>
      <c r="Y91" s="99"/>
      <c r="Z91" s="99"/>
    </row>
    <row r="92" spans="1:26" x14ac:dyDescent="0.3">
      <c r="A92">
        <v>86</v>
      </c>
      <c r="C92" s="7" t="s">
        <v>60</v>
      </c>
      <c r="E92" s="90"/>
      <c r="F92" s="1">
        <v>34</v>
      </c>
      <c r="G92" s="75" t="s">
        <v>224</v>
      </c>
      <c r="J92" s="65">
        <v>52</v>
      </c>
      <c r="K92" s="96">
        <f>References_BDI!$C$25</f>
        <v>892</v>
      </c>
      <c r="L92" s="65">
        <f t="shared" si="27"/>
        <v>46384</v>
      </c>
      <c r="M92" s="65">
        <f t="shared" si="36"/>
        <v>37213.279241741475</v>
      </c>
      <c r="N92" s="83">
        <f>+M92*References_BDI!$C$42</f>
        <v>24.188631507131877</v>
      </c>
      <c r="O92" s="83">
        <f>+N92/References_BDI!$G$45</f>
        <v>24.747934834389067</v>
      </c>
      <c r="P92" s="83">
        <f t="shared" si="29"/>
        <v>0.47592182373825132</v>
      </c>
      <c r="Q92" s="85">
        <v>41.32</v>
      </c>
      <c r="R92" s="86">
        <f t="shared" si="37"/>
        <v>41.795921823738254</v>
      </c>
      <c r="S92" s="83">
        <f t="shared" si="30"/>
        <v>0</v>
      </c>
      <c r="T92" s="83">
        <f t="shared" si="31"/>
        <v>0</v>
      </c>
      <c r="U92" s="87">
        <f t="shared" si="38"/>
        <v>0</v>
      </c>
      <c r="W92" t="str">
        <f t="shared" si="33"/>
        <v>$41.80 (A)</v>
      </c>
      <c r="Y92" s="99"/>
      <c r="Z92" s="99"/>
    </row>
    <row r="93" spans="1:26" x14ac:dyDescent="0.3">
      <c r="A93">
        <v>87</v>
      </c>
      <c r="C93" s="7" t="s">
        <v>60</v>
      </c>
      <c r="E93" s="90"/>
      <c r="F93" s="1">
        <v>34</v>
      </c>
      <c r="G93" s="75" t="s">
        <v>225</v>
      </c>
      <c r="J93" s="65">
        <v>52</v>
      </c>
      <c r="K93" s="96">
        <f>References_BDI!$C$25</f>
        <v>892</v>
      </c>
      <c r="L93" s="65">
        <f t="shared" si="27"/>
        <v>46384</v>
      </c>
      <c r="M93" s="65">
        <f t="shared" si="36"/>
        <v>37213.279241741475</v>
      </c>
      <c r="N93" s="83">
        <f>+M93*References_BDI!$C$42</f>
        <v>24.188631507131877</v>
      </c>
      <c r="O93" s="83">
        <f>+N93/References_BDI!$G$45</f>
        <v>24.747934834389067</v>
      </c>
      <c r="P93" s="83">
        <f t="shared" si="29"/>
        <v>0.47592182373825132</v>
      </c>
      <c r="Q93" s="85">
        <v>41.32</v>
      </c>
      <c r="R93" s="86">
        <f t="shared" si="37"/>
        <v>41.795921823738254</v>
      </c>
      <c r="S93" s="83">
        <f t="shared" si="30"/>
        <v>0</v>
      </c>
      <c r="T93" s="83">
        <f t="shared" si="31"/>
        <v>0</v>
      </c>
      <c r="U93" s="87">
        <f t="shared" si="38"/>
        <v>0</v>
      </c>
      <c r="W93" t="str">
        <f t="shared" si="33"/>
        <v>$41.80 (A)</v>
      </c>
      <c r="Y93" s="99"/>
      <c r="Z93" s="99"/>
    </row>
    <row r="94" spans="1:26" x14ac:dyDescent="0.3">
      <c r="A94">
        <v>88</v>
      </c>
      <c r="C94" s="7" t="s">
        <v>60</v>
      </c>
      <c r="E94" s="90"/>
      <c r="F94" s="1">
        <v>34</v>
      </c>
      <c r="G94" s="75" t="s">
        <v>226</v>
      </c>
      <c r="J94" s="65">
        <v>52</v>
      </c>
      <c r="K94" s="96">
        <f>References_BDI!$C$25</f>
        <v>892</v>
      </c>
      <c r="L94" s="65">
        <f t="shared" si="27"/>
        <v>46384</v>
      </c>
      <c r="M94" s="65">
        <f t="shared" si="36"/>
        <v>37213.279241741475</v>
      </c>
      <c r="N94" s="83">
        <f>+M94*References_BDI!$C$42</f>
        <v>24.188631507131877</v>
      </c>
      <c r="O94" s="83">
        <f>+N94/References_BDI!$G$45</f>
        <v>24.747934834389067</v>
      </c>
      <c r="P94" s="83">
        <f t="shared" si="29"/>
        <v>0.47592182373825132</v>
      </c>
      <c r="Q94" s="85">
        <v>63.82</v>
      </c>
      <c r="R94" s="86">
        <f>R93+22.56</f>
        <v>64.355921823738257</v>
      </c>
      <c r="S94" s="83">
        <f t="shared" si="30"/>
        <v>0</v>
      </c>
      <c r="T94" s="83">
        <f t="shared" si="31"/>
        <v>0</v>
      </c>
      <c r="U94" s="87">
        <f t="shared" si="38"/>
        <v>0</v>
      </c>
      <c r="W94" t="str">
        <f t="shared" si="33"/>
        <v>$64.36 (A)</v>
      </c>
      <c r="Y94" s="99"/>
      <c r="Z94" s="99"/>
    </row>
    <row r="95" spans="1:26" x14ac:dyDescent="0.3">
      <c r="A95">
        <v>89</v>
      </c>
      <c r="C95" s="7" t="s">
        <v>59</v>
      </c>
      <c r="E95" s="90"/>
      <c r="F95" s="1">
        <v>34</v>
      </c>
      <c r="G95" s="75" t="s">
        <v>227</v>
      </c>
      <c r="J95" s="65">
        <v>52</v>
      </c>
      <c r="K95" s="96">
        <f>References_BDI!$C$26</f>
        <v>1301</v>
      </c>
      <c r="L95" s="65">
        <f t="shared" si="27"/>
        <v>67652</v>
      </c>
      <c r="M95" s="65">
        <f t="shared" si="36"/>
        <v>54276.318714692439</v>
      </c>
      <c r="N95" s="83">
        <f>+M95*References_BDI!$C$42</f>
        <v>35.279607164549965</v>
      </c>
      <c r="O95" s="83">
        <f>+N95/References_BDI!$G$45</f>
        <v>36.095362353744591</v>
      </c>
      <c r="P95" s="83">
        <f t="shared" si="29"/>
        <v>0.69414158372585755</v>
      </c>
      <c r="Q95" s="85">
        <v>54.3</v>
      </c>
      <c r="R95" s="86">
        <f t="shared" si="37"/>
        <v>54.994141583725856</v>
      </c>
      <c r="S95" s="83">
        <f t="shared" si="30"/>
        <v>0</v>
      </c>
      <c r="T95" s="83">
        <f t="shared" si="31"/>
        <v>0</v>
      </c>
      <c r="U95" s="87">
        <f t="shared" si="38"/>
        <v>0</v>
      </c>
      <c r="W95" t="str">
        <f t="shared" si="33"/>
        <v>$54.99 (A)</v>
      </c>
      <c r="Y95" s="99"/>
      <c r="Z95" s="99"/>
    </row>
    <row r="96" spans="1:26" x14ac:dyDescent="0.3">
      <c r="A96">
        <v>90</v>
      </c>
      <c r="C96" s="7" t="s">
        <v>59</v>
      </c>
      <c r="E96" s="90"/>
      <c r="F96" s="1">
        <v>34</v>
      </c>
      <c r="G96" s="75" t="s">
        <v>228</v>
      </c>
      <c r="J96" s="65">
        <v>52</v>
      </c>
      <c r="K96" s="96">
        <f>References_BDI!$C$26</f>
        <v>1301</v>
      </c>
      <c r="L96" s="65">
        <f t="shared" si="27"/>
        <v>67652</v>
      </c>
      <c r="M96" s="65">
        <f t="shared" si="36"/>
        <v>54276.318714692439</v>
      </c>
      <c r="N96" s="83">
        <f>+M96*References_BDI!$C$42</f>
        <v>35.279607164549965</v>
      </c>
      <c r="O96" s="83">
        <f>+N96/References_BDI!$G$45</f>
        <v>36.095362353744591</v>
      </c>
      <c r="P96" s="83">
        <f t="shared" si="29"/>
        <v>0.69414158372585755</v>
      </c>
      <c r="Q96" s="85">
        <v>54.3</v>
      </c>
      <c r="R96" s="86">
        <f t="shared" si="37"/>
        <v>54.994141583725856</v>
      </c>
      <c r="S96" s="83">
        <f t="shared" si="30"/>
        <v>0</v>
      </c>
      <c r="T96" s="83">
        <f t="shared" si="31"/>
        <v>0</v>
      </c>
      <c r="U96" s="87">
        <f t="shared" si="38"/>
        <v>0</v>
      </c>
      <c r="W96" t="str">
        <f t="shared" si="33"/>
        <v>$54.99 (A)</v>
      </c>
      <c r="Y96" s="99"/>
      <c r="Z96" s="99"/>
    </row>
    <row r="97" spans="1:26" x14ac:dyDescent="0.3">
      <c r="A97">
        <v>91</v>
      </c>
      <c r="C97" s="7" t="s">
        <v>59</v>
      </c>
      <c r="E97" s="90"/>
      <c r="F97" s="1">
        <v>34</v>
      </c>
      <c r="G97" s="75" t="s">
        <v>229</v>
      </c>
      <c r="J97" s="65">
        <v>52</v>
      </c>
      <c r="K97" s="96">
        <f>References_BDI!$C$26</f>
        <v>1301</v>
      </c>
      <c r="L97" s="65">
        <f t="shared" si="27"/>
        <v>67652</v>
      </c>
      <c r="M97" s="65">
        <f t="shared" si="36"/>
        <v>54276.318714692439</v>
      </c>
      <c r="N97" s="83">
        <f>+M97*References_BDI!$C$42</f>
        <v>35.279607164549965</v>
      </c>
      <c r="O97" s="83">
        <f>+N97/References_BDI!$G$45</f>
        <v>36.095362353744591</v>
      </c>
      <c r="P97" s="83">
        <f t="shared" si="29"/>
        <v>0.69414158372585755</v>
      </c>
      <c r="Q97" s="85">
        <v>76.8</v>
      </c>
      <c r="R97" s="86">
        <f>R96+22.56</f>
        <v>77.554141583725851</v>
      </c>
      <c r="S97" s="83">
        <f t="shared" si="30"/>
        <v>0</v>
      </c>
      <c r="T97" s="83">
        <f t="shared" si="31"/>
        <v>0</v>
      </c>
      <c r="U97" s="87">
        <f t="shared" si="38"/>
        <v>0</v>
      </c>
      <c r="W97" t="str">
        <f t="shared" si="33"/>
        <v>$77.55 (A)</v>
      </c>
      <c r="Y97" s="99"/>
      <c r="Z97" s="99"/>
    </row>
    <row r="98" spans="1:26" x14ac:dyDescent="0.3">
      <c r="A98">
        <v>92</v>
      </c>
      <c r="C98" s="7" t="s">
        <v>58</v>
      </c>
      <c r="E98" s="90"/>
      <c r="F98" s="1">
        <v>34</v>
      </c>
      <c r="G98" s="75" t="s">
        <v>230</v>
      </c>
      <c r="J98" s="65">
        <v>52</v>
      </c>
      <c r="K98" s="96">
        <f>References_BDI!$C$27</f>
        <v>1686</v>
      </c>
      <c r="L98" s="65">
        <f t="shared" si="27"/>
        <v>87672</v>
      </c>
      <c r="M98" s="65">
        <f t="shared" si="36"/>
        <v>70338.104037641388</v>
      </c>
      <c r="N98" s="83">
        <f>+M98*References_BDI!$C$42</f>
        <v>45.719767624466748</v>
      </c>
      <c r="O98" s="83">
        <f>+N98/References_BDI!$G$45</f>
        <v>46.77692615558292</v>
      </c>
      <c r="P98" s="83">
        <f t="shared" si="29"/>
        <v>0.89955627222274848</v>
      </c>
      <c r="Q98" s="85">
        <v>78.489999999999995</v>
      </c>
      <c r="R98" s="86">
        <f t="shared" si="37"/>
        <v>79.389556272222748</v>
      </c>
      <c r="S98" s="83">
        <f t="shared" si="30"/>
        <v>0</v>
      </c>
      <c r="T98" s="83">
        <f t="shared" si="31"/>
        <v>0</v>
      </c>
      <c r="U98" s="87">
        <f t="shared" si="38"/>
        <v>0</v>
      </c>
      <c r="W98" t="str">
        <f t="shared" si="33"/>
        <v>$79.39 (A)</v>
      </c>
      <c r="Y98" s="99"/>
      <c r="Z98" s="99"/>
    </row>
    <row r="99" spans="1:26" x14ac:dyDescent="0.3">
      <c r="A99">
        <v>93</v>
      </c>
      <c r="C99" s="7" t="s">
        <v>58</v>
      </c>
      <c r="E99" s="90"/>
      <c r="F99" s="1">
        <v>34</v>
      </c>
      <c r="G99" s="75" t="s">
        <v>231</v>
      </c>
      <c r="J99" s="65">
        <v>52</v>
      </c>
      <c r="K99" s="96">
        <f>References_BDI!$C$27</f>
        <v>1686</v>
      </c>
      <c r="L99" s="65">
        <f t="shared" si="27"/>
        <v>87672</v>
      </c>
      <c r="M99" s="65">
        <f t="shared" si="36"/>
        <v>70338.104037641388</v>
      </c>
      <c r="N99" s="83">
        <f>+M99*References_BDI!$C$42</f>
        <v>45.719767624466748</v>
      </c>
      <c r="O99" s="83">
        <f>+N99/References_BDI!$G$45</f>
        <v>46.77692615558292</v>
      </c>
      <c r="P99" s="83">
        <f t="shared" si="29"/>
        <v>0.89955627222274848</v>
      </c>
      <c r="Q99" s="85">
        <v>78.489999999999995</v>
      </c>
      <c r="R99" s="86">
        <f t="shared" si="37"/>
        <v>79.389556272222748</v>
      </c>
      <c r="S99" s="83">
        <f t="shared" si="30"/>
        <v>0</v>
      </c>
      <c r="T99" s="83">
        <f t="shared" si="31"/>
        <v>0</v>
      </c>
      <c r="U99" s="87">
        <f t="shared" si="38"/>
        <v>0</v>
      </c>
      <c r="W99" t="str">
        <f t="shared" si="33"/>
        <v>$79.39 (A)</v>
      </c>
      <c r="Y99" s="99"/>
      <c r="Z99" s="99"/>
    </row>
    <row r="100" spans="1:26" x14ac:dyDescent="0.3">
      <c r="A100">
        <v>94</v>
      </c>
      <c r="C100" s="7" t="s">
        <v>58</v>
      </c>
      <c r="E100" s="90"/>
      <c r="F100" s="1">
        <v>34</v>
      </c>
      <c r="G100" s="75" t="s">
        <v>232</v>
      </c>
      <c r="J100" s="65">
        <v>52</v>
      </c>
      <c r="K100" s="96">
        <f>References_BDI!$C$27</f>
        <v>1686</v>
      </c>
      <c r="L100" s="65">
        <f t="shared" si="27"/>
        <v>87672</v>
      </c>
      <c r="M100" s="65">
        <f t="shared" si="36"/>
        <v>70338.104037641388</v>
      </c>
      <c r="N100" s="83">
        <f>+M100*References_BDI!$C$42</f>
        <v>45.719767624466748</v>
      </c>
      <c r="O100" s="83">
        <f>+N100/References_BDI!$G$45</f>
        <v>46.77692615558292</v>
      </c>
      <c r="P100" s="83">
        <f t="shared" si="29"/>
        <v>0.89955627222274848</v>
      </c>
      <c r="Q100" s="85">
        <v>100.99</v>
      </c>
      <c r="R100" s="86">
        <f>R99+22.56</f>
        <v>101.94955627222275</v>
      </c>
      <c r="S100" s="83">
        <f t="shared" si="30"/>
        <v>0</v>
      </c>
      <c r="T100" s="83">
        <f t="shared" si="31"/>
        <v>0</v>
      </c>
      <c r="U100" s="87">
        <f t="shared" si="38"/>
        <v>0</v>
      </c>
      <c r="W100" t="str">
        <f t="shared" si="33"/>
        <v>$101.95 (A)</v>
      </c>
      <c r="Y100" s="99"/>
      <c r="Z100" s="99"/>
    </row>
    <row r="101" spans="1:26" x14ac:dyDescent="0.3">
      <c r="A101">
        <v>95</v>
      </c>
      <c r="C101" s="7" t="s">
        <v>56</v>
      </c>
      <c r="E101" s="90"/>
      <c r="F101" s="1">
        <v>34</v>
      </c>
      <c r="G101" s="75" t="s">
        <v>233</v>
      </c>
      <c r="J101" s="65">
        <v>52</v>
      </c>
      <c r="K101" s="96">
        <f>References_BDI!$C$29</f>
        <v>2310</v>
      </c>
      <c r="L101" s="65">
        <f t="shared" si="27"/>
        <v>120120</v>
      </c>
      <c r="M101" s="65">
        <f t="shared" si="36"/>
        <v>96370.711937693719</v>
      </c>
      <c r="N101" s="83">
        <f>+M101*References_BDI!$C$42</f>
        <v>62.640962759500702</v>
      </c>
      <c r="O101" s="83">
        <f>+N101/References_BDI!$G$45</f>
        <v>64.089382811029978</v>
      </c>
      <c r="P101" s="83">
        <f t="shared" si="29"/>
        <v>1.2324881309813458</v>
      </c>
      <c r="Q101" s="85">
        <v>98.57</v>
      </c>
      <c r="R101" s="86">
        <f t="shared" si="37"/>
        <v>99.802488130981345</v>
      </c>
      <c r="S101" s="83">
        <f t="shared" si="30"/>
        <v>0</v>
      </c>
      <c r="T101" s="83">
        <f t="shared" si="31"/>
        <v>0</v>
      </c>
      <c r="U101" s="87">
        <f t="shared" si="38"/>
        <v>0</v>
      </c>
      <c r="W101" t="str">
        <f t="shared" si="33"/>
        <v>$99.80 (A)</v>
      </c>
      <c r="Y101" s="99"/>
      <c r="Z101" s="99"/>
    </row>
    <row r="102" spans="1:26" x14ac:dyDescent="0.3">
      <c r="A102">
        <v>96</v>
      </c>
      <c r="C102" s="7" t="s">
        <v>56</v>
      </c>
      <c r="E102" s="90"/>
      <c r="F102" s="1">
        <v>34</v>
      </c>
      <c r="G102" s="75" t="s">
        <v>234</v>
      </c>
      <c r="J102" s="65">
        <v>52</v>
      </c>
      <c r="K102" s="96">
        <f>References_BDI!$C$29</f>
        <v>2310</v>
      </c>
      <c r="L102" s="65">
        <f t="shared" si="27"/>
        <v>120120</v>
      </c>
      <c r="M102" s="65">
        <f t="shared" si="36"/>
        <v>96370.711937693719</v>
      </c>
      <c r="N102" s="83">
        <f>+M102*References_BDI!$C$42</f>
        <v>62.640962759500702</v>
      </c>
      <c r="O102" s="83">
        <f>+N102/References_BDI!$G$45</f>
        <v>64.089382811029978</v>
      </c>
      <c r="P102" s="83">
        <f t="shared" si="29"/>
        <v>1.2324881309813458</v>
      </c>
      <c r="Q102" s="85">
        <v>98.57</v>
      </c>
      <c r="R102" s="86">
        <f t="shared" si="37"/>
        <v>99.802488130981345</v>
      </c>
      <c r="S102" s="83">
        <f t="shared" si="30"/>
        <v>0</v>
      </c>
      <c r="T102" s="83">
        <f t="shared" si="31"/>
        <v>0</v>
      </c>
      <c r="U102" s="87">
        <f t="shared" si="38"/>
        <v>0</v>
      </c>
      <c r="W102" t="str">
        <f t="shared" si="33"/>
        <v>$99.80 (A)</v>
      </c>
      <c r="Y102" s="99"/>
      <c r="Z102" s="99"/>
    </row>
    <row r="103" spans="1:26" x14ac:dyDescent="0.3">
      <c r="A103">
        <v>97</v>
      </c>
      <c r="C103" s="7" t="s">
        <v>56</v>
      </c>
      <c r="E103" s="90"/>
      <c r="F103" s="1">
        <v>34</v>
      </c>
      <c r="G103" s="75" t="s">
        <v>235</v>
      </c>
      <c r="J103" s="65">
        <v>52</v>
      </c>
      <c r="K103" s="96">
        <f>References_BDI!$C$29</f>
        <v>2310</v>
      </c>
      <c r="L103" s="65">
        <f t="shared" si="27"/>
        <v>120120</v>
      </c>
      <c r="M103" s="65">
        <f t="shared" si="36"/>
        <v>96370.711937693719</v>
      </c>
      <c r="N103" s="83">
        <f>+M103*References_BDI!$C$42</f>
        <v>62.640962759500702</v>
      </c>
      <c r="O103" s="83">
        <f>+N103/References_BDI!$G$45</f>
        <v>64.089382811029978</v>
      </c>
      <c r="P103" s="83">
        <f t="shared" si="29"/>
        <v>1.2324881309813458</v>
      </c>
      <c r="Q103" s="85">
        <v>121.07</v>
      </c>
      <c r="R103" s="86">
        <f>R102+22.56</f>
        <v>122.36248813098135</v>
      </c>
      <c r="S103" s="83">
        <f t="shared" si="30"/>
        <v>0</v>
      </c>
      <c r="T103" s="83">
        <f t="shared" si="31"/>
        <v>0</v>
      </c>
      <c r="U103" s="87">
        <f t="shared" si="38"/>
        <v>0</v>
      </c>
      <c r="W103" t="str">
        <f t="shared" si="33"/>
        <v>$122.36 (A)</v>
      </c>
      <c r="Y103" s="99"/>
      <c r="Z103" s="99"/>
    </row>
    <row r="104" spans="1:26" x14ac:dyDescent="0.3">
      <c r="A104">
        <v>98</v>
      </c>
      <c r="C104" s="7" t="s">
        <v>77</v>
      </c>
      <c r="E104" s="90"/>
      <c r="F104" s="1">
        <v>34</v>
      </c>
      <c r="G104" s="75" t="s">
        <v>236</v>
      </c>
      <c r="J104" s="65">
        <v>52</v>
      </c>
      <c r="K104" s="96">
        <f>References_BDI!$C$30</f>
        <v>2800</v>
      </c>
      <c r="L104" s="65">
        <f t="shared" si="27"/>
        <v>145600</v>
      </c>
      <c r="M104" s="65">
        <f t="shared" si="36"/>
        <v>116812.98416690149</v>
      </c>
      <c r="N104" s="83">
        <f>+M104*References_BDI!$C$42</f>
        <v>75.928439708485712</v>
      </c>
      <c r="O104" s="83">
        <f>+N104/References_BDI!$G$45</f>
        <v>77.684100377006047</v>
      </c>
      <c r="P104" s="83">
        <f t="shared" si="29"/>
        <v>1.4939250072501162</v>
      </c>
      <c r="Q104" s="85">
        <v>142.97999999999999</v>
      </c>
      <c r="R104" s="86">
        <f t="shared" si="37"/>
        <v>144.4739250072501</v>
      </c>
      <c r="S104" s="83">
        <f t="shared" si="30"/>
        <v>0</v>
      </c>
      <c r="T104" s="83">
        <f t="shared" si="31"/>
        <v>0</v>
      </c>
      <c r="U104" s="87">
        <f t="shared" si="38"/>
        <v>0</v>
      </c>
      <c r="W104" t="str">
        <f t="shared" si="33"/>
        <v>$144.47 (A)</v>
      </c>
      <c r="Y104" s="99"/>
      <c r="Z104" s="99"/>
    </row>
    <row r="105" spans="1:26" x14ac:dyDescent="0.3">
      <c r="A105">
        <v>99</v>
      </c>
      <c r="C105" s="7" t="s">
        <v>77</v>
      </c>
      <c r="E105" s="90"/>
      <c r="F105" s="1">
        <v>34</v>
      </c>
      <c r="G105" s="75" t="s">
        <v>237</v>
      </c>
      <c r="J105" s="65">
        <v>52</v>
      </c>
      <c r="K105" s="96">
        <f>References_BDI!$C$30</f>
        <v>2800</v>
      </c>
      <c r="L105" s="65">
        <f t="shared" si="27"/>
        <v>145600</v>
      </c>
      <c r="M105" s="65">
        <f t="shared" si="36"/>
        <v>116812.98416690149</v>
      </c>
      <c r="N105" s="83">
        <f>+M105*References_BDI!$C$42</f>
        <v>75.928439708485712</v>
      </c>
      <c r="O105" s="83">
        <f>+N105/References_BDI!$G$45</f>
        <v>77.684100377006047</v>
      </c>
      <c r="P105" s="83">
        <f t="shared" si="29"/>
        <v>1.4939250072501162</v>
      </c>
      <c r="Q105" s="85">
        <v>142.97999999999999</v>
      </c>
      <c r="R105" s="86">
        <f t="shared" si="37"/>
        <v>144.4739250072501</v>
      </c>
      <c r="S105" s="83">
        <f t="shared" si="30"/>
        <v>0</v>
      </c>
      <c r="T105" s="83">
        <f t="shared" si="31"/>
        <v>0</v>
      </c>
      <c r="U105" s="87">
        <f t="shared" si="38"/>
        <v>0</v>
      </c>
      <c r="W105" t="str">
        <f t="shared" si="33"/>
        <v>$144.47 (A)</v>
      </c>
      <c r="Y105" s="99"/>
      <c r="Z105" s="99"/>
    </row>
    <row r="106" spans="1:26" x14ac:dyDescent="0.3">
      <c r="A106">
        <v>100</v>
      </c>
      <c r="C106" s="7" t="s">
        <v>77</v>
      </c>
      <c r="F106" s="1">
        <v>34</v>
      </c>
      <c r="G106" s="75" t="s">
        <v>238</v>
      </c>
      <c r="J106" s="65">
        <v>52</v>
      </c>
      <c r="K106" s="96">
        <f>References_BDI!$C$30</f>
        <v>2800</v>
      </c>
      <c r="L106" s="65">
        <f t="shared" si="27"/>
        <v>145600</v>
      </c>
      <c r="M106" s="65">
        <f t="shared" si="36"/>
        <v>116812.98416690149</v>
      </c>
      <c r="N106" s="83">
        <f>+M106*References_BDI!$C$42</f>
        <v>75.928439708485712</v>
      </c>
      <c r="O106" s="83">
        <f>+N106/References_BDI!$G$45</f>
        <v>77.684100377006047</v>
      </c>
      <c r="P106" s="83">
        <f t="shared" si="29"/>
        <v>1.4939250072501162</v>
      </c>
      <c r="Q106" s="85">
        <v>165.48</v>
      </c>
      <c r="R106" s="86">
        <f>R105+22.56</f>
        <v>167.0339250072501</v>
      </c>
      <c r="S106" s="83">
        <f t="shared" si="30"/>
        <v>0</v>
      </c>
      <c r="T106" s="83">
        <f t="shared" si="31"/>
        <v>0</v>
      </c>
      <c r="U106" s="87">
        <f t="shared" si="38"/>
        <v>0</v>
      </c>
      <c r="W106" t="str">
        <f t="shared" si="33"/>
        <v>$167.03 (A)</v>
      </c>
      <c r="Y106" s="99"/>
      <c r="Z106" s="99"/>
    </row>
    <row r="107" spans="1:26" x14ac:dyDescent="0.3">
      <c r="A107">
        <v>101</v>
      </c>
      <c r="C107" s="7" t="s">
        <v>60</v>
      </c>
      <c r="E107" s="90"/>
      <c r="F107" s="1">
        <v>35</v>
      </c>
      <c r="G107" s="75" t="s">
        <v>239</v>
      </c>
      <c r="J107" s="65">
        <v>52</v>
      </c>
      <c r="K107" s="96">
        <f>K92</f>
        <v>892</v>
      </c>
      <c r="L107" s="65">
        <f t="shared" si="27"/>
        <v>46384</v>
      </c>
      <c r="M107" s="65">
        <f t="shared" si="36"/>
        <v>37213.279241741475</v>
      </c>
      <c r="N107" s="83">
        <f>+M107*References_BDI!$C$42</f>
        <v>24.188631507131877</v>
      </c>
      <c r="O107" s="83">
        <f>+N107/References_BDI!$G$45</f>
        <v>24.747934834389067</v>
      </c>
      <c r="P107" s="83">
        <f t="shared" si="29"/>
        <v>0.47592182373825132</v>
      </c>
      <c r="Q107" s="85">
        <v>56.09</v>
      </c>
      <c r="R107" s="86">
        <f t="shared" si="37"/>
        <v>56.565921823738258</v>
      </c>
      <c r="S107" s="83">
        <f t="shared" si="30"/>
        <v>0</v>
      </c>
      <c r="T107" s="83">
        <f t="shared" si="31"/>
        <v>0</v>
      </c>
      <c r="U107" s="87">
        <f t="shared" si="38"/>
        <v>0</v>
      </c>
      <c r="W107" t="str">
        <f t="shared" si="33"/>
        <v>$56.57 (A)</v>
      </c>
      <c r="Y107" s="99"/>
      <c r="Z107" s="99"/>
    </row>
    <row r="108" spans="1:26" x14ac:dyDescent="0.3">
      <c r="A108">
        <v>102</v>
      </c>
      <c r="C108" s="7" t="s">
        <v>60</v>
      </c>
      <c r="E108" s="90"/>
      <c r="F108" s="1">
        <v>35</v>
      </c>
      <c r="G108" s="75" t="s">
        <v>240</v>
      </c>
      <c r="J108" s="65">
        <v>52</v>
      </c>
      <c r="K108" s="96">
        <f>K107</f>
        <v>892</v>
      </c>
      <c r="L108" s="65">
        <f t="shared" si="27"/>
        <v>46384</v>
      </c>
      <c r="M108" s="65">
        <f t="shared" si="36"/>
        <v>37213.279241741475</v>
      </c>
      <c r="N108" s="83">
        <f>+M108*References_BDI!$C$42</f>
        <v>24.188631507131877</v>
      </c>
      <c r="O108" s="83">
        <f>+N108/References_BDI!$G$45</f>
        <v>24.747934834389067</v>
      </c>
      <c r="P108" s="83">
        <f t="shared" si="29"/>
        <v>0.47592182373825132</v>
      </c>
      <c r="Q108" s="85">
        <v>78.59</v>
      </c>
      <c r="R108" s="86">
        <f>R107+22.56</f>
        <v>79.125921823738253</v>
      </c>
      <c r="S108" s="83">
        <f t="shared" si="30"/>
        <v>0</v>
      </c>
      <c r="T108" s="83">
        <f t="shared" si="31"/>
        <v>0</v>
      </c>
      <c r="U108" s="87">
        <f t="shared" si="38"/>
        <v>0</v>
      </c>
      <c r="W108" t="str">
        <f t="shared" si="33"/>
        <v>$79.13 (A)</v>
      </c>
      <c r="Y108" s="99"/>
      <c r="Z108" s="99"/>
    </row>
    <row r="109" spans="1:26" x14ac:dyDescent="0.3">
      <c r="A109">
        <v>103</v>
      </c>
      <c r="C109" s="7" t="s">
        <v>59</v>
      </c>
      <c r="E109" s="90"/>
      <c r="F109" s="1">
        <v>35</v>
      </c>
      <c r="G109" s="75" t="s">
        <v>241</v>
      </c>
      <c r="J109" s="65">
        <v>52</v>
      </c>
      <c r="K109" s="96">
        <f>K96</f>
        <v>1301</v>
      </c>
      <c r="L109" s="65">
        <f t="shared" si="27"/>
        <v>67652</v>
      </c>
      <c r="M109" s="65">
        <f t="shared" si="36"/>
        <v>54276.318714692439</v>
      </c>
      <c r="N109" s="83">
        <f>+M109*References_BDI!$C$42</f>
        <v>35.279607164549965</v>
      </c>
      <c r="O109" s="83">
        <f>+N109/References_BDI!$G$45</f>
        <v>36.095362353744591</v>
      </c>
      <c r="P109" s="83">
        <f t="shared" si="29"/>
        <v>0.69414158372585755</v>
      </c>
      <c r="Q109" s="85">
        <v>78.86</v>
      </c>
      <c r="R109" s="86">
        <f t="shared" si="37"/>
        <v>79.554141583725851</v>
      </c>
      <c r="S109" s="83">
        <f t="shared" si="30"/>
        <v>0</v>
      </c>
      <c r="T109" s="83">
        <f t="shared" si="31"/>
        <v>0</v>
      </c>
      <c r="U109" s="87">
        <f t="shared" si="38"/>
        <v>0</v>
      </c>
      <c r="W109" t="str">
        <f t="shared" si="33"/>
        <v>$79.55 (A)</v>
      </c>
      <c r="Y109" s="99"/>
      <c r="Z109" s="99"/>
    </row>
    <row r="110" spans="1:26" x14ac:dyDescent="0.3">
      <c r="A110">
        <v>104</v>
      </c>
      <c r="C110" s="7" t="s">
        <v>59</v>
      </c>
      <c r="E110" s="90"/>
      <c r="F110" s="1">
        <v>35</v>
      </c>
      <c r="G110" s="75" t="s">
        <v>242</v>
      </c>
      <c r="J110" s="65">
        <v>52</v>
      </c>
      <c r="K110" s="96">
        <f>K109</f>
        <v>1301</v>
      </c>
      <c r="L110" s="65">
        <f t="shared" si="27"/>
        <v>67652</v>
      </c>
      <c r="M110" s="65">
        <f t="shared" si="36"/>
        <v>54276.318714692439</v>
      </c>
      <c r="N110" s="83">
        <f>+M110*References_BDI!$C$42</f>
        <v>35.279607164549965</v>
      </c>
      <c r="O110" s="83">
        <f>+N110/References_BDI!$G$45</f>
        <v>36.095362353744591</v>
      </c>
      <c r="P110" s="83">
        <f t="shared" si="29"/>
        <v>0.69414158372585755</v>
      </c>
      <c r="Q110" s="85">
        <v>101.36</v>
      </c>
      <c r="R110" s="86">
        <f>R109+22.56</f>
        <v>102.11414158372585</v>
      </c>
      <c r="S110" s="83">
        <f t="shared" si="30"/>
        <v>0</v>
      </c>
      <c r="T110" s="83">
        <f t="shared" si="31"/>
        <v>0</v>
      </c>
      <c r="U110" s="87">
        <f t="shared" si="38"/>
        <v>0</v>
      </c>
      <c r="W110" t="str">
        <f t="shared" si="33"/>
        <v>$102.11 (A)</v>
      </c>
      <c r="Y110" s="99"/>
      <c r="Z110" s="99"/>
    </row>
    <row r="111" spans="1:26" x14ac:dyDescent="0.3">
      <c r="A111">
        <v>105</v>
      </c>
      <c r="C111" s="7" t="s">
        <v>58</v>
      </c>
      <c r="E111" s="90"/>
      <c r="F111" s="1">
        <v>35</v>
      </c>
      <c r="G111" s="75" t="s">
        <v>243</v>
      </c>
      <c r="J111" s="65">
        <v>52</v>
      </c>
      <c r="K111" s="96">
        <f>K98</f>
        <v>1686</v>
      </c>
      <c r="L111" s="65">
        <f t="shared" si="27"/>
        <v>87672</v>
      </c>
      <c r="M111" s="65">
        <f t="shared" si="36"/>
        <v>70338.104037641388</v>
      </c>
      <c r="N111" s="83">
        <f>+M111*References_BDI!$C$42</f>
        <v>45.719767624466748</v>
      </c>
      <c r="O111" s="83">
        <f>+N111/References_BDI!$G$45</f>
        <v>46.77692615558292</v>
      </c>
      <c r="P111" s="83">
        <f t="shared" si="29"/>
        <v>0.89955627222274848</v>
      </c>
      <c r="Q111" s="85">
        <v>108.6</v>
      </c>
      <c r="R111" s="86">
        <f t="shared" si="37"/>
        <v>109.49955627222275</v>
      </c>
      <c r="S111" s="83">
        <f t="shared" si="30"/>
        <v>0</v>
      </c>
      <c r="T111" s="83">
        <f t="shared" si="31"/>
        <v>0</v>
      </c>
      <c r="U111" s="87">
        <f t="shared" si="38"/>
        <v>0</v>
      </c>
      <c r="W111" t="str">
        <f t="shared" si="33"/>
        <v>$109.50 (A)</v>
      </c>
      <c r="Y111" s="99"/>
      <c r="Z111" s="99"/>
    </row>
    <row r="112" spans="1:26" x14ac:dyDescent="0.3">
      <c r="A112">
        <v>106</v>
      </c>
      <c r="C112" s="7" t="s">
        <v>58</v>
      </c>
      <c r="E112" s="90"/>
      <c r="F112" s="1">
        <v>35</v>
      </c>
      <c r="G112" s="75" t="s">
        <v>244</v>
      </c>
      <c r="J112" s="65">
        <v>52</v>
      </c>
      <c r="K112" s="96">
        <f>K111</f>
        <v>1686</v>
      </c>
      <c r="L112" s="65">
        <f t="shared" si="27"/>
        <v>87672</v>
      </c>
      <c r="M112" s="65">
        <f t="shared" si="36"/>
        <v>70338.104037641388</v>
      </c>
      <c r="N112" s="83">
        <f>+M112*References_BDI!$C$42</f>
        <v>45.719767624466748</v>
      </c>
      <c r="O112" s="83">
        <f>+N112/References_BDI!$G$45</f>
        <v>46.77692615558292</v>
      </c>
      <c r="P112" s="83">
        <f t="shared" si="29"/>
        <v>0.89955627222274848</v>
      </c>
      <c r="Q112" s="85">
        <v>131.1</v>
      </c>
      <c r="R112" s="86">
        <f>R111+22.56</f>
        <v>132.05955627222275</v>
      </c>
      <c r="S112" s="83">
        <f t="shared" si="30"/>
        <v>0</v>
      </c>
      <c r="T112" s="83">
        <f t="shared" si="31"/>
        <v>0</v>
      </c>
      <c r="U112" s="87">
        <f t="shared" si="38"/>
        <v>0</v>
      </c>
      <c r="W112" t="str">
        <f t="shared" si="33"/>
        <v>$132.06 (A)</v>
      </c>
      <c r="Y112" s="99"/>
      <c r="Z112" s="99"/>
    </row>
    <row r="113" spans="1:26" x14ac:dyDescent="0.3">
      <c r="A113">
        <v>107</v>
      </c>
      <c r="C113" s="7" t="s">
        <v>56</v>
      </c>
      <c r="E113" s="90"/>
      <c r="F113" s="1">
        <v>35</v>
      </c>
      <c r="G113" s="75" t="s">
        <v>245</v>
      </c>
      <c r="J113" s="65">
        <v>52</v>
      </c>
      <c r="K113" s="96">
        <f>K102</f>
        <v>2310</v>
      </c>
      <c r="L113" s="65">
        <f t="shared" si="27"/>
        <v>120120</v>
      </c>
      <c r="M113" s="65">
        <f t="shared" si="36"/>
        <v>96370.711937693719</v>
      </c>
      <c r="N113" s="83">
        <f>+M113*References_BDI!$C$42</f>
        <v>62.640962759500702</v>
      </c>
      <c r="O113" s="83">
        <f>+N113/References_BDI!$G$45</f>
        <v>64.089382811029978</v>
      </c>
      <c r="P113" s="83">
        <f t="shared" si="29"/>
        <v>1.2324881309813458</v>
      </c>
      <c r="Q113" s="85">
        <v>139.85</v>
      </c>
      <c r="R113" s="86">
        <f t="shared" si="37"/>
        <v>141.08248813098135</v>
      </c>
      <c r="S113" s="83">
        <f t="shared" si="30"/>
        <v>0</v>
      </c>
      <c r="T113" s="83">
        <f t="shared" si="31"/>
        <v>0</v>
      </c>
      <c r="U113" s="87">
        <f t="shared" si="38"/>
        <v>0</v>
      </c>
      <c r="W113" t="str">
        <f t="shared" si="33"/>
        <v>$141.08 (A)</v>
      </c>
      <c r="Y113" s="99"/>
      <c r="Z113" s="99"/>
    </row>
    <row r="114" spans="1:26" x14ac:dyDescent="0.3">
      <c r="A114">
        <v>108</v>
      </c>
      <c r="C114" s="7" t="s">
        <v>56</v>
      </c>
      <c r="E114" s="90"/>
      <c r="F114" s="1">
        <v>35</v>
      </c>
      <c r="G114" s="75" t="s">
        <v>246</v>
      </c>
      <c r="J114" s="65">
        <v>52</v>
      </c>
      <c r="K114" s="96">
        <f>K113</f>
        <v>2310</v>
      </c>
      <c r="L114" s="65">
        <f t="shared" si="27"/>
        <v>120120</v>
      </c>
      <c r="M114" s="65">
        <f t="shared" si="36"/>
        <v>96370.711937693719</v>
      </c>
      <c r="N114" s="83">
        <f>+M114*References_BDI!$C$42</f>
        <v>62.640962759500702</v>
      </c>
      <c r="O114" s="83">
        <f>+N114/References_BDI!$G$45</f>
        <v>64.089382811029978</v>
      </c>
      <c r="P114" s="83">
        <f t="shared" si="29"/>
        <v>1.2324881309813458</v>
      </c>
      <c r="Q114" s="85">
        <v>162.35</v>
      </c>
      <c r="R114" s="86">
        <f>R113+22.56</f>
        <v>163.64248813098135</v>
      </c>
      <c r="S114" s="83">
        <f t="shared" si="30"/>
        <v>0</v>
      </c>
      <c r="T114" s="83">
        <f t="shared" si="31"/>
        <v>0</v>
      </c>
      <c r="U114" s="87">
        <f t="shared" si="38"/>
        <v>0</v>
      </c>
      <c r="W114" t="str">
        <f t="shared" si="33"/>
        <v>$163.64 (A)</v>
      </c>
      <c r="Y114" s="99"/>
      <c r="Z114" s="99"/>
    </row>
    <row r="118" spans="1:26" x14ac:dyDescent="0.3">
      <c r="G118" s="125" t="s">
        <v>205</v>
      </c>
      <c r="H118" s="125"/>
    </row>
    <row r="119" spans="1:26" x14ac:dyDescent="0.3">
      <c r="G119" s="76"/>
      <c r="H119" s="77" t="s">
        <v>118</v>
      </c>
    </row>
    <row r="120" spans="1:26" x14ac:dyDescent="0.3">
      <c r="G120" s="76" t="s">
        <v>206</v>
      </c>
      <c r="H120" s="78">
        <f>'Tonnage Summary'!B2</f>
        <v>13378.365901423074</v>
      </c>
    </row>
    <row r="121" spans="1:26" x14ac:dyDescent="0.3">
      <c r="G121" s="76" t="s">
        <v>207</v>
      </c>
      <c r="H121" s="79">
        <f>+H120*2000</f>
        <v>26756731.802846149</v>
      </c>
      <c r="I121" s="2"/>
    </row>
    <row r="122" spans="1:26" x14ac:dyDescent="0.3">
      <c r="G122" s="76" t="s">
        <v>208</v>
      </c>
      <c r="H122" s="79">
        <f>J55</f>
        <v>327181.66666666669</v>
      </c>
    </row>
    <row r="123" spans="1:26" x14ac:dyDescent="0.3">
      <c r="G123" s="80" t="s">
        <v>209</v>
      </c>
      <c r="H123" s="81">
        <f>+H121/L55</f>
        <v>0.8022869791682794</v>
      </c>
    </row>
  </sheetData>
  <autoFilter ref="B6:U114"/>
  <mergeCells count="3">
    <mergeCell ref="E7:E13"/>
    <mergeCell ref="G118:H118"/>
    <mergeCell ref="A1:U1"/>
  </mergeCells>
  <dataValidations disablePrompts="1" count="1">
    <dataValidation type="list" allowBlank="1" showInputMessage="1" showErrorMessage="1" sqref="D7:D58 D60:D72 D74:D86 D89:D12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[15]References_EDS!#REF!</xm:f>
          </x14:formula1>
          <xm:sqref>D87:D88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pane xSplit="1" ySplit="7" topLeftCell="C104" activePane="bottomRight" state="frozen"/>
      <selection pane="topRight" activeCell="B1" sqref="B1"/>
      <selection pane="bottomLeft" activeCell="A3" sqref="A3"/>
      <selection pane="bottomRight" activeCell="L108" sqref="L108"/>
    </sheetView>
  </sheetViews>
  <sheetFormatPr defaultRowHeight="14.4" x14ac:dyDescent="0.3"/>
  <cols>
    <col min="1" max="1" width="8.88671875" style="101"/>
    <col min="2" max="2" width="51.88671875" style="101" bestFit="1" customWidth="1"/>
    <col min="3" max="4" width="8.88671875" style="101"/>
    <col min="5" max="5" width="10.5546875" style="101" customWidth="1"/>
    <col min="6" max="6" width="14.44140625" style="101" customWidth="1"/>
    <col min="7" max="11" width="8.88671875" style="101"/>
    <col min="12" max="12" width="11.109375" style="101" customWidth="1"/>
    <col min="13" max="13" width="11.6640625" style="101" customWidth="1"/>
    <col min="14" max="14" width="12.88671875" style="101" customWidth="1"/>
    <col min="15" max="16384" width="8.88671875" style="101"/>
  </cols>
  <sheetData>
    <row r="1" spans="2:14" x14ac:dyDescent="0.3">
      <c r="B1" s="139" t="s">
        <v>262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2:14" x14ac:dyDescent="0.3">
      <c r="B2" s="139" t="s">
        <v>263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6" spans="2:14" ht="28.8" x14ac:dyDescent="0.3">
      <c r="H6" s="140" t="s">
        <v>264</v>
      </c>
      <c r="I6" s="141"/>
      <c r="J6" s="140" t="s">
        <v>265</v>
      </c>
      <c r="M6" s="142" t="s">
        <v>266</v>
      </c>
      <c r="N6" s="142"/>
    </row>
    <row r="7" spans="2:14" ht="28.8" x14ac:dyDescent="0.3">
      <c r="E7" s="140" t="s">
        <v>267</v>
      </c>
      <c r="F7" s="140" t="s">
        <v>268</v>
      </c>
      <c r="G7" s="141"/>
      <c r="H7" s="143">
        <v>1.4999999999999999E-2</v>
      </c>
      <c r="I7" s="141"/>
      <c r="J7" s="144">
        <v>1.7500000000000002E-2</v>
      </c>
      <c r="K7" s="141" t="s">
        <v>5</v>
      </c>
      <c r="L7" s="140" t="s">
        <v>269</v>
      </c>
      <c r="M7" s="140" t="s">
        <v>270</v>
      </c>
      <c r="N7" s="140" t="s">
        <v>271</v>
      </c>
    </row>
    <row r="8" spans="2:14" x14ac:dyDescent="0.3">
      <c r="B8" s="101" t="s">
        <v>272</v>
      </c>
      <c r="C8" s="101">
        <v>50</v>
      </c>
      <c r="E8" s="100">
        <v>28</v>
      </c>
      <c r="F8" s="101">
        <v>14</v>
      </c>
      <c r="H8" s="100">
        <f>+E8*H7</f>
        <v>0.42</v>
      </c>
      <c r="J8" s="100">
        <f>+E8*J7</f>
        <v>0.49000000000000005</v>
      </c>
      <c r="K8" s="100">
        <f>+J8-H8</f>
        <v>7.0000000000000062E-2</v>
      </c>
      <c r="L8" s="100">
        <f>+E8+K8</f>
        <v>28.07</v>
      </c>
      <c r="M8" s="100">
        <f>+E8*F8</f>
        <v>392</v>
      </c>
      <c r="N8" s="100">
        <f>+L8*F8</f>
        <v>392.98</v>
      </c>
    </row>
    <row r="9" spans="2:14" x14ac:dyDescent="0.3">
      <c r="B9" s="101" t="s">
        <v>273</v>
      </c>
      <c r="C9" s="101">
        <v>51</v>
      </c>
      <c r="E9" s="100">
        <v>22.5</v>
      </c>
      <c r="F9" s="101">
        <v>4</v>
      </c>
      <c r="H9" s="100">
        <f>+$H$7*E9</f>
        <v>0.33749999999999997</v>
      </c>
      <c r="I9" s="100"/>
      <c r="J9" s="100">
        <f>+$J$7*E9</f>
        <v>0.39375000000000004</v>
      </c>
      <c r="K9" s="100">
        <f t="shared" ref="K9:K66" si="0">+J9-H9</f>
        <v>5.6250000000000078E-2</v>
      </c>
      <c r="L9" s="100">
        <f t="shared" ref="L9:L66" si="1">+E9+K9</f>
        <v>22.556249999999999</v>
      </c>
      <c r="M9" s="100">
        <f t="shared" ref="M9:M66" si="2">+E9*F9</f>
        <v>90</v>
      </c>
      <c r="N9" s="100">
        <f t="shared" ref="N9:N66" si="3">+L9*F9</f>
        <v>90.224999999999994</v>
      </c>
    </row>
    <row r="10" spans="2:14" x14ac:dyDescent="0.3">
      <c r="B10" s="101" t="s">
        <v>274</v>
      </c>
      <c r="C10" s="101">
        <v>52</v>
      </c>
      <c r="E10" s="100">
        <v>10</v>
      </c>
      <c r="F10" s="101">
        <v>50</v>
      </c>
      <c r="H10" s="100">
        <f>+$H$7*E10</f>
        <v>0.15</v>
      </c>
      <c r="I10" s="100"/>
      <c r="J10" s="100">
        <f>+$J$7*E10</f>
        <v>0.17500000000000002</v>
      </c>
      <c r="K10" s="100">
        <f t="shared" si="0"/>
        <v>2.5000000000000022E-2</v>
      </c>
      <c r="L10" s="100">
        <f t="shared" si="1"/>
        <v>10.025</v>
      </c>
      <c r="M10" s="100">
        <f t="shared" si="2"/>
        <v>500</v>
      </c>
      <c r="N10" s="100">
        <f t="shared" si="3"/>
        <v>501.25</v>
      </c>
    </row>
    <row r="11" spans="2:14" x14ac:dyDescent="0.3">
      <c r="B11" s="101" t="s">
        <v>275</v>
      </c>
      <c r="C11" s="101">
        <v>52</v>
      </c>
      <c r="E11" s="100">
        <v>22.5</v>
      </c>
      <c r="F11" s="101">
        <v>2</v>
      </c>
      <c r="H11" s="100">
        <f t="shared" ref="H11:H68" si="4">+$H$7*E11</f>
        <v>0.33749999999999997</v>
      </c>
      <c r="I11" s="100"/>
      <c r="J11" s="100">
        <f t="shared" ref="J11:J68" si="5">+$J$7*E11</f>
        <v>0.39375000000000004</v>
      </c>
      <c r="K11" s="100">
        <f t="shared" si="0"/>
        <v>5.6250000000000078E-2</v>
      </c>
      <c r="L11" s="100">
        <f t="shared" si="1"/>
        <v>22.556249999999999</v>
      </c>
      <c r="M11" s="100">
        <f t="shared" si="2"/>
        <v>45</v>
      </c>
      <c r="N11" s="100">
        <f t="shared" si="3"/>
        <v>45.112499999999997</v>
      </c>
    </row>
    <row r="12" spans="2:14" x14ac:dyDescent="0.3">
      <c r="B12" s="101" t="s">
        <v>274</v>
      </c>
      <c r="C12" s="101">
        <v>52</v>
      </c>
      <c r="E12" s="100">
        <v>56.5</v>
      </c>
      <c r="F12" s="101">
        <v>1</v>
      </c>
      <c r="H12" s="100">
        <f t="shared" si="4"/>
        <v>0.84749999999999992</v>
      </c>
      <c r="I12" s="100"/>
      <c r="J12" s="100">
        <f t="shared" si="5"/>
        <v>0.98875000000000013</v>
      </c>
      <c r="K12" s="100">
        <f t="shared" si="0"/>
        <v>0.14125000000000021</v>
      </c>
      <c r="L12" s="100">
        <f t="shared" si="1"/>
        <v>56.641249999999999</v>
      </c>
      <c r="M12" s="100">
        <f t="shared" si="2"/>
        <v>56.5</v>
      </c>
      <c r="N12" s="100">
        <f t="shared" si="3"/>
        <v>56.641249999999999</v>
      </c>
    </row>
    <row r="13" spans="2:14" x14ac:dyDescent="0.3">
      <c r="B13" s="101" t="s">
        <v>276</v>
      </c>
      <c r="C13" s="101">
        <v>55</v>
      </c>
      <c r="E13" s="100">
        <v>5.75</v>
      </c>
      <c r="F13" s="101">
        <f>243+149</f>
        <v>392</v>
      </c>
      <c r="H13" s="100">
        <f t="shared" si="4"/>
        <v>8.6249999999999993E-2</v>
      </c>
      <c r="I13" s="100"/>
      <c r="J13" s="100">
        <f t="shared" si="5"/>
        <v>0.10062500000000001</v>
      </c>
      <c r="K13" s="100">
        <f t="shared" si="0"/>
        <v>1.4375000000000013E-2</v>
      </c>
      <c r="L13" s="100">
        <f t="shared" si="1"/>
        <v>5.7643750000000002</v>
      </c>
      <c r="M13" s="100">
        <f t="shared" si="2"/>
        <v>2254</v>
      </c>
      <c r="N13" s="100">
        <f t="shared" si="3"/>
        <v>2259.6350000000002</v>
      </c>
    </row>
    <row r="14" spans="2:14" x14ac:dyDescent="0.3">
      <c r="B14" s="101" t="s">
        <v>277</v>
      </c>
      <c r="C14" s="101">
        <v>60</v>
      </c>
      <c r="E14" s="100">
        <v>94.82</v>
      </c>
      <c r="H14" s="100">
        <f t="shared" si="4"/>
        <v>1.4222999999999999</v>
      </c>
      <c r="I14" s="100"/>
      <c r="J14" s="100">
        <f t="shared" si="5"/>
        <v>1.6593500000000001</v>
      </c>
      <c r="K14" s="100">
        <f t="shared" si="0"/>
        <v>0.2370500000000002</v>
      </c>
      <c r="L14" s="100">
        <f t="shared" si="1"/>
        <v>95.05704999999999</v>
      </c>
      <c r="M14" s="100">
        <f t="shared" si="2"/>
        <v>0</v>
      </c>
      <c r="N14" s="100">
        <f t="shared" si="3"/>
        <v>0</v>
      </c>
    </row>
    <row r="15" spans="2:14" x14ac:dyDescent="0.3">
      <c r="B15" s="101" t="s">
        <v>278</v>
      </c>
      <c r="C15" s="101">
        <v>60</v>
      </c>
      <c r="E15" s="100">
        <f>E14/2</f>
        <v>47.41</v>
      </c>
      <c r="H15" s="100">
        <f t="shared" si="4"/>
        <v>0.71114999999999995</v>
      </c>
      <c r="I15" s="100"/>
      <c r="J15" s="100">
        <f t="shared" si="5"/>
        <v>0.82967500000000005</v>
      </c>
      <c r="K15" s="100">
        <f t="shared" si="0"/>
        <v>0.1185250000000001</v>
      </c>
      <c r="L15" s="100">
        <f t="shared" si="1"/>
        <v>47.528524999999995</v>
      </c>
      <c r="M15" s="100">
        <f t="shared" si="2"/>
        <v>0</v>
      </c>
      <c r="N15" s="100">
        <f t="shared" si="3"/>
        <v>0</v>
      </c>
    </row>
    <row r="16" spans="2:14" x14ac:dyDescent="0.3">
      <c r="B16" s="101" t="s">
        <v>279</v>
      </c>
      <c r="C16" s="101">
        <v>70</v>
      </c>
      <c r="E16" s="100">
        <v>10</v>
      </c>
      <c r="F16" s="101">
        <v>58</v>
      </c>
      <c r="H16" s="100">
        <f t="shared" si="4"/>
        <v>0.15</v>
      </c>
      <c r="I16" s="100"/>
      <c r="J16" s="100">
        <f t="shared" si="5"/>
        <v>0.17500000000000002</v>
      </c>
      <c r="K16" s="100">
        <f t="shared" si="0"/>
        <v>2.5000000000000022E-2</v>
      </c>
      <c r="L16" s="100">
        <f t="shared" si="1"/>
        <v>10.025</v>
      </c>
      <c r="M16" s="100">
        <f t="shared" si="2"/>
        <v>580</v>
      </c>
      <c r="N16" s="100">
        <f t="shared" si="3"/>
        <v>581.45000000000005</v>
      </c>
    </row>
    <row r="17" spans="2:14" x14ac:dyDescent="0.3">
      <c r="B17" s="101" t="s">
        <v>280</v>
      </c>
      <c r="C17" s="101">
        <v>70</v>
      </c>
      <c r="E17" s="100">
        <v>22.5</v>
      </c>
      <c r="F17" s="101">
        <v>3</v>
      </c>
      <c r="H17" s="100">
        <f t="shared" si="4"/>
        <v>0.33749999999999997</v>
      </c>
      <c r="I17" s="100"/>
      <c r="J17" s="100">
        <f t="shared" si="5"/>
        <v>0.39375000000000004</v>
      </c>
      <c r="K17" s="100">
        <f t="shared" si="0"/>
        <v>5.6250000000000078E-2</v>
      </c>
      <c r="L17" s="100">
        <f t="shared" si="1"/>
        <v>22.556249999999999</v>
      </c>
      <c r="M17" s="100">
        <f t="shared" si="2"/>
        <v>67.5</v>
      </c>
      <c r="N17" s="100">
        <f t="shared" si="3"/>
        <v>67.668749999999989</v>
      </c>
    </row>
    <row r="18" spans="2:14" x14ac:dyDescent="0.3">
      <c r="B18" s="101" t="s">
        <v>281</v>
      </c>
      <c r="C18" s="101">
        <v>50</v>
      </c>
      <c r="E18" s="100">
        <v>56.5</v>
      </c>
      <c r="H18" s="100">
        <f t="shared" si="4"/>
        <v>0.84749999999999992</v>
      </c>
      <c r="I18" s="100"/>
      <c r="J18" s="100">
        <f t="shared" si="5"/>
        <v>0.98875000000000013</v>
      </c>
      <c r="K18" s="100">
        <f t="shared" si="0"/>
        <v>0.14125000000000021</v>
      </c>
      <c r="L18" s="100">
        <f t="shared" si="1"/>
        <v>56.641249999999999</v>
      </c>
      <c r="M18" s="100">
        <f t="shared" si="2"/>
        <v>0</v>
      </c>
      <c r="N18" s="100">
        <f t="shared" si="3"/>
        <v>0</v>
      </c>
    </row>
    <row r="19" spans="2:14" x14ac:dyDescent="0.3">
      <c r="B19" s="101" t="s">
        <v>282</v>
      </c>
      <c r="C19" s="101">
        <v>80</v>
      </c>
      <c r="E19" s="100">
        <v>2.25</v>
      </c>
      <c r="F19" s="101">
        <v>12</v>
      </c>
      <c r="H19" s="100">
        <f t="shared" si="4"/>
        <v>3.3750000000000002E-2</v>
      </c>
      <c r="I19" s="100"/>
      <c r="J19" s="100">
        <f t="shared" si="5"/>
        <v>3.9375000000000007E-2</v>
      </c>
      <c r="K19" s="100">
        <f t="shared" si="0"/>
        <v>5.625000000000005E-3</v>
      </c>
      <c r="L19" s="100">
        <f t="shared" si="1"/>
        <v>2.2556250000000002</v>
      </c>
      <c r="M19" s="100">
        <f t="shared" si="2"/>
        <v>27</v>
      </c>
      <c r="N19" s="100">
        <f t="shared" si="3"/>
        <v>27.067500000000003</v>
      </c>
    </row>
    <row r="20" spans="2:14" x14ac:dyDescent="0.3">
      <c r="B20" s="101" t="s">
        <v>283</v>
      </c>
      <c r="C20" s="101">
        <v>80</v>
      </c>
      <c r="E20" s="100">
        <v>2.25</v>
      </c>
      <c r="F20" s="101">
        <f>2302+456</f>
        <v>2758</v>
      </c>
      <c r="H20" s="100">
        <f t="shared" si="4"/>
        <v>3.3750000000000002E-2</v>
      </c>
      <c r="I20" s="100"/>
      <c r="J20" s="100">
        <f t="shared" si="5"/>
        <v>3.9375000000000007E-2</v>
      </c>
      <c r="K20" s="100">
        <f t="shared" si="0"/>
        <v>5.625000000000005E-3</v>
      </c>
      <c r="L20" s="100">
        <f t="shared" si="1"/>
        <v>2.2556250000000002</v>
      </c>
      <c r="M20" s="100">
        <f t="shared" si="2"/>
        <v>6205.5</v>
      </c>
      <c r="N20" s="100">
        <f t="shared" si="3"/>
        <v>6221.013750000001</v>
      </c>
    </row>
    <row r="21" spans="2:14" x14ac:dyDescent="0.3">
      <c r="B21" s="101" t="s">
        <v>284</v>
      </c>
      <c r="C21" s="101">
        <v>80</v>
      </c>
      <c r="E21" s="100">
        <v>2.25</v>
      </c>
      <c r="F21" s="101">
        <f>274+55</f>
        <v>329</v>
      </c>
      <c r="H21" s="100">
        <f t="shared" si="4"/>
        <v>3.3750000000000002E-2</v>
      </c>
      <c r="I21" s="100"/>
      <c r="J21" s="100">
        <f t="shared" si="5"/>
        <v>3.9375000000000007E-2</v>
      </c>
      <c r="K21" s="100">
        <f t="shared" si="0"/>
        <v>5.625000000000005E-3</v>
      </c>
      <c r="L21" s="100">
        <f t="shared" si="1"/>
        <v>2.2556250000000002</v>
      </c>
      <c r="M21" s="100">
        <f t="shared" si="2"/>
        <v>740.25</v>
      </c>
      <c r="N21" s="100">
        <f t="shared" si="3"/>
        <v>742.10062500000004</v>
      </c>
    </row>
    <row r="22" spans="2:14" x14ac:dyDescent="0.3">
      <c r="B22" s="101" t="s">
        <v>285</v>
      </c>
      <c r="C22" s="101">
        <v>100</v>
      </c>
      <c r="E22" s="100">
        <v>3.25</v>
      </c>
      <c r="H22" s="100">
        <f t="shared" si="4"/>
        <v>4.8750000000000002E-2</v>
      </c>
      <c r="I22" s="100"/>
      <c r="J22" s="100">
        <f t="shared" si="5"/>
        <v>5.6875000000000009E-2</v>
      </c>
      <c r="K22" s="100">
        <f t="shared" si="0"/>
        <v>8.1250000000000072E-3</v>
      </c>
      <c r="L22" s="100">
        <f t="shared" si="1"/>
        <v>3.2581250000000002</v>
      </c>
      <c r="M22" s="100">
        <f t="shared" si="2"/>
        <v>0</v>
      </c>
      <c r="N22" s="100">
        <f t="shared" si="3"/>
        <v>0</v>
      </c>
    </row>
    <row r="23" spans="2:14" x14ac:dyDescent="0.3">
      <c r="B23" s="101" t="s">
        <v>286</v>
      </c>
      <c r="C23" s="101">
        <v>150</v>
      </c>
      <c r="E23" s="100">
        <v>3.36</v>
      </c>
      <c r="H23" s="100">
        <f t="shared" si="4"/>
        <v>5.0399999999999993E-2</v>
      </c>
      <c r="I23" s="100"/>
      <c r="J23" s="100">
        <f t="shared" si="5"/>
        <v>5.8800000000000005E-2</v>
      </c>
      <c r="K23" s="100">
        <f t="shared" si="0"/>
        <v>8.4000000000000116E-3</v>
      </c>
      <c r="L23" s="100">
        <f t="shared" si="1"/>
        <v>3.3683999999999998</v>
      </c>
      <c r="M23" s="100">
        <f t="shared" si="2"/>
        <v>0</v>
      </c>
      <c r="N23" s="100">
        <f t="shared" si="3"/>
        <v>0</v>
      </c>
    </row>
    <row r="24" spans="2:14" x14ac:dyDescent="0.3">
      <c r="B24" s="101" t="s">
        <v>287</v>
      </c>
      <c r="C24" s="101">
        <v>160</v>
      </c>
      <c r="E24" s="100">
        <v>84.53</v>
      </c>
      <c r="H24" s="100">
        <f t="shared" si="4"/>
        <v>1.2679499999999999</v>
      </c>
      <c r="I24" s="100"/>
      <c r="J24" s="100">
        <f t="shared" si="5"/>
        <v>1.4792750000000001</v>
      </c>
      <c r="K24" s="100">
        <f t="shared" si="0"/>
        <v>0.21132500000000021</v>
      </c>
      <c r="L24" s="100">
        <f t="shared" si="1"/>
        <v>84.741325000000003</v>
      </c>
      <c r="M24" s="100">
        <f t="shared" si="2"/>
        <v>0</v>
      </c>
      <c r="N24" s="100">
        <f t="shared" si="3"/>
        <v>0</v>
      </c>
    </row>
    <row r="25" spans="2:14" x14ac:dyDescent="0.3">
      <c r="B25" s="101" t="s">
        <v>288</v>
      </c>
      <c r="C25" s="101">
        <v>160</v>
      </c>
      <c r="E25" s="100">
        <v>101.05</v>
      </c>
      <c r="H25" s="100">
        <f t="shared" si="4"/>
        <v>1.5157499999999999</v>
      </c>
      <c r="I25" s="100"/>
      <c r="J25" s="100">
        <f t="shared" si="5"/>
        <v>1.768375</v>
      </c>
      <c r="K25" s="100">
        <f t="shared" si="0"/>
        <v>0.2526250000000001</v>
      </c>
      <c r="L25" s="100">
        <f t="shared" si="1"/>
        <v>101.30262499999999</v>
      </c>
      <c r="M25" s="100">
        <f t="shared" si="2"/>
        <v>0</v>
      </c>
      <c r="N25" s="100">
        <f t="shared" si="3"/>
        <v>0</v>
      </c>
    </row>
    <row r="26" spans="2:14" x14ac:dyDescent="0.3">
      <c r="B26" s="101" t="s">
        <v>289</v>
      </c>
      <c r="C26" s="101">
        <v>160</v>
      </c>
      <c r="E26" s="100">
        <v>101.05</v>
      </c>
      <c r="H26" s="100">
        <f t="shared" si="4"/>
        <v>1.5157499999999999</v>
      </c>
      <c r="I26" s="100"/>
      <c r="J26" s="100">
        <f t="shared" si="5"/>
        <v>1.768375</v>
      </c>
      <c r="K26" s="100">
        <f t="shared" si="0"/>
        <v>0.2526250000000001</v>
      </c>
      <c r="L26" s="100">
        <f t="shared" si="1"/>
        <v>101.30262499999999</v>
      </c>
      <c r="M26" s="100">
        <f t="shared" si="2"/>
        <v>0</v>
      </c>
      <c r="N26" s="100">
        <f t="shared" si="3"/>
        <v>0</v>
      </c>
    </row>
    <row r="27" spans="2:14" x14ac:dyDescent="0.3">
      <c r="B27" s="101" t="s">
        <v>290</v>
      </c>
      <c r="C27" s="101">
        <v>160</v>
      </c>
      <c r="E27" s="100">
        <v>46.14</v>
      </c>
      <c r="H27" s="100">
        <f t="shared" si="4"/>
        <v>0.69209999999999994</v>
      </c>
      <c r="I27" s="100"/>
      <c r="J27" s="100">
        <f t="shared" si="5"/>
        <v>0.80745000000000011</v>
      </c>
      <c r="K27" s="100">
        <f t="shared" si="0"/>
        <v>0.11535000000000017</v>
      </c>
      <c r="L27" s="100">
        <f t="shared" si="1"/>
        <v>46.25535</v>
      </c>
      <c r="M27" s="100">
        <f t="shared" si="2"/>
        <v>0</v>
      </c>
      <c r="N27" s="100">
        <f t="shared" si="3"/>
        <v>0</v>
      </c>
    </row>
    <row r="28" spans="2:14" x14ac:dyDescent="0.3">
      <c r="B28" s="101" t="s">
        <v>291</v>
      </c>
      <c r="C28" s="101">
        <v>160</v>
      </c>
      <c r="E28" s="100">
        <v>117</v>
      </c>
      <c r="H28" s="100">
        <f t="shared" si="4"/>
        <v>1.7549999999999999</v>
      </c>
      <c r="I28" s="100"/>
      <c r="J28" s="100">
        <f t="shared" si="5"/>
        <v>2.0475000000000003</v>
      </c>
      <c r="K28" s="100">
        <f t="shared" si="0"/>
        <v>0.29250000000000043</v>
      </c>
      <c r="L28" s="100">
        <f t="shared" si="1"/>
        <v>117.2925</v>
      </c>
      <c r="M28" s="100">
        <f t="shared" si="2"/>
        <v>0</v>
      </c>
      <c r="N28" s="100">
        <f t="shared" si="3"/>
        <v>0</v>
      </c>
    </row>
    <row r="29" spans="2:14" x14ac:dyDescent="0.3">
      <c r="B29" s="101" t="s">
        <v>292</v>
      </c>
      <c r="C29" s="101">
        <v>160</v>
      </c>
      <c r="E29" s="100">
        <v>117</v>
      </c>
      <c r="H29" s="100">
        <f t="shared" si="4"/>
        <v>1.7549999999999999</v>
      </c>
      <c r="I29" s="100"/>
      <c r="J29" s="100">
        <f t="shared" si="5"/>
        <v>2.0475000000000003</v>
      </c>
      <c r="K29" s="100">
        <f t="shared" si="0"/>
        <v>0.29250000000000043</v>
      </c>
      <c r="L29" s="100">
        <f t="shared" si="1"/>
        <v>117.2925</v>
      </c>
      <c r="M29" s="100">
        <f t="shared" si="2"/>
        <v>0</v>
      </c>
      <c r="N29" s="100">
        <f t="shared" si="3"/>
        <v>0</v>
      </c>
    </row>
    <row r="30" spans="2:14" x14ac:dyDescent="0.3">
      <c r="B30" s="101" t="s">
        <v>293</v>
      </c>
      <c r="C30" s="101">
        <v>160</v>
      </c>
      <c r="E30" s="100">
        <v>117</v>
      </c>
      <c r="F30" s="101">
        <f>103.75+105.25</f>
        <v>209</v>
      </c>
      <c r="H30" s="100">
        <f t="shared" si="4"/>
        <v>1.7549999999999999</v>
      </c>
      <c r="I30" s="100"/>
      <c r="J30" s="100">
        <f t="shared" si="5"/>
        <v>2.0475000000000003</v>
      </c>
      <c r="K30" s="100">
        <f t="shared" si="0"/>
        <v>0.29250000000000043</v>
      </c>
      <c r="L30" s="100">
        <f t="shared" si="1"/>
        <v>117.2925</v>
      </c>
      <c r="M30" s="100">
        <f t="shared" si="2"/>
        <v>24453</v>
      </c>
      <c r="N30" s="100">
        <f t="shared" si="3"/>
        <v>24514.1325</v>
      </c>
    </row>
    <row r="31" spans="2:14" x14ac:dyDescent="0.3">
      <c r="B31" s="101" t="s">
        <v>294</v>
      </c>
      <c r="C31" s="101">
        <v>160</v>
      </c>
      <c r="E31" s="100">
        <v>46.14</v>
      </c>
      <c r="H31" s="100">
        <f t="shared" si="4"/>
        <v>0.69209999999999994</v>
      </c>
      <c r="I31" s="100"/>
      <c r="J31" s="100">
        <f t="shared" si="5"/>
        <v>0.80745000000000011</v>
      </c>
      <c r="K31" s="100">
        <f t="shared" si="0"/>
        <v>0.11535000000000017</v>
      </c>
      <c r="L31" s="100">
        <f t="shared" si="1"/>
        <v>46.25535</v>
      </c>
      <c r="M31" s="100">
        <f t="shared" si="2"/>
        <v>0</v>
      </c>
      <c r="N31" s="100">
        <f t="shared" si="3"/>
        <v>0</v>
      </c>
    </row>
    <row r="32" spans="2:14" x14ac:dyDescent="0.3">
      <c r="B32" s="101" t="s">
        <v>278</v>
      </c>
      <c r="C32" s="101">
        <v>160</v>
      </c>
      <c r="E32" s="100">
        <v>46.14</v>
      </c>
      <c r="H32" s="100">
        <f t="shared" si="4"/>
        <v>0.69209999999999994</v>
      </c>
      <c r="I32" s="100"/>
      <c r="J32" s="100">
        <f t="shared" si="5"/>
        <v>0.80745000000000011</v>
      </c>
      <c r="K32" s="100">
        <f t="shared" si="0"/>
        <v>0.11535000000000017</v>
      </c>
      <c r="L32" s="100">
        <f t="shared" si="1"/>
        <v>46.25535</v>
      </c>
      <c r="M32" s="100">
        <f t="shared" si="2"/>
        <v>0</v>
      </c>
      <c r="N32" s="100">
        <f t="shared" si="3"/>
        <v>0</v>
      </c>
    </row>
    <row r="33" spans="2:14" x14ac:dyDescent="0.3">
      <c r="B33" s="101" t="s">
        <v>295</v>
      </c>
      <c r="C33" s="101">
        <v>205</v>
      </c>
      <c r="E33" s="100">
        <v>2.0499999999999998</v>
      </c>
      <c r="H33" s="100">
        <f t="shared" si="4"/>
        <v>3.0749999999999996E-2</v>
      </c>
      <c r="I33" s="100"/>
      <c r="J33" s="100">
        <f t="shared" si="5"/>
        <v>3.5874999999999997E-2</v>
      </c>
      <c r="K33" s="100">
        <f t="shared" si="0"/>
        <v>5.1250000000000011E-3</v>
      </c>
      <c r="L33" s="100">
        <f t="shared" si="1"/>
        <v>2.0551249999999999</v>
      </c>
      <c r="M33" s="100">
        <f t="shared" si="2"/>
        <v>0</v>
      </c>
      <c r="N33" s="100">
        <f t="shared" si="3"/>
        <v>0</v>
      </c>
    </row>
    <row r="34" spans="2:14" x14ac:dyDescent="0.3">
      <c r="B34" s="101" t="s">
        <v>296</v>
      </c>
      <c r="C34" s="101">
        <v>205</v>
      </c>
      <c r="E34" s="100">
        <v>1.61</v>
      </c>
      <c r="H34" s="100">
        <f t="shared" si="4"/>
        <v>2.4150000000000001E-2</v>
      </c>
      <c r="I34" s="100"/>
      <c r="J34" s="100">
        <f t="shared" si="5"/>
        <v>2.8175000000000006E-2</v>
      </c>
      <c r="K34" s="100">
        <f t="shared" si="0"/>
        <v>4.0250000000000043E-3</v>
      </c>
      <c r="L34" s="100">
        <f t="shared" si="1"/>
        <v>1.614025</v>
      </c>
      <c r="M34" s="100">
        <f t="shared" si="2"/>
        <v>0</v>
      </c>
      <c r="N34" s="100">
        <f t="shared" si="3"/>
        <v>0</v>
      </c>
    </row>
    <row r="35" spans="2:14" x14ac:dyDescent="0.3">
      <c r="B35" s="101" t="s">
        <v>297</v>
      </c>
      <c r="C35" s="101">
        <v>207</v>
      </c>
      <c r="E35" s="100">
        <v>3.38</v>
      </c>
      <c r="F35" s="101">
        <v>2</v>
      </c>
      <c r="H35" s="100">
        <f t="shared" si="4"/>
        <v>5.0699999999999995E-2</v>
      </c>
      <c r="I35" s="100"/>
      <c r="J35" s="100">
        <f t="shared" si="5"/>
        <v>5.9150000000000001E-2</v>
      </c>
      <c r="K35" s="100">
        <f t="shared" si="0"/>
        <v>8.4500000000000061E-3</v>
      </c>
      <c r="L35" s="100">
        <f t="shared" si="1"/>
        <v>3.3884499999999997</v>
      </c>
      <c r="M35" s="100">
        <f t="shared" si="2"/>
        <v>6.76</v>
      </c>
      <c r="N35" s="100">
        <f t="shared" si="3"/>
        <v>6.7768999999999995</v>
      </c>
    </row>
    <row r="36" spans="2:14" x14ac:dyDescent="0.3">
      <c r="B36" s="101" t="s">
        <v>298</v>
      </c>
      <c r="C36" s="101">
        <v>207</v>
      </c>
      <c r="E36" s="100">
        <v>19.2</v>
      </c>
      <c r="H36" s="100">
        <f t="shared" si="4"/>
        <v>0.28799999999999998</v>
      </c>
      <c r="I36" s="100"/>
      <c r="J36" s="100">
        <f t="shared" si="5"/>
        <v>0.33600000000000002</v>
      </c>
      <c r="K36" s="100">
        <f t="shared" si="0"/>
        <v>4.8000000000000043E-2</v>
      </c>
      <c r="L36" s="100">
        <f t="shared" si="1"/>
        <v>19.247999999999998</v>
      </c>
      <c r="M36" s="100">
        <f t="shared" si="2"/>
        <v>0</v>
      </c>
      <c r="N36" s="100">
        <f t="shared" si="3"/>
        <v>0</v>
      </c>
    </row>
    <row r="37" spans="2:14" x14ac:dyDescent="0.3">
      <c r="B37" s="101" t="s">
        <v>299</v>
      </c>
      <c r="C37" s="101">
        <v>207</v>
      </c>
      <c r="E37" s="100">
        <v>19.2</v>
      </c>
      <c r="H37" s="100">
        <f t="shared" si="4"/>
        <v>0.28799999999999998</v>
      </c>
      <c r="I37" s="100"/>
      <c r="J37" s="100">
        <f t="shared" si="5"/>
        <v>0.33600000000000002</v>
      </c>
      <c r="K37" s="100">
        <f t="shared" si="0"/>
        <v>4.8000000000000043E-2</v>
      </c>
      <c r="L37" s="100">
        <f t="shared" si="1"/>
        <v>19.247999999999998</v>
      </c>
      <c r="M37" s="100">
        <f t="shared" si="2"/>
        <v>0</v>
      </c>
      <c r="N37" s="100">
        <f t="shared" si="3"/>
        <v>0</v>
      </c>
    </row>
    <row r="38" spans="2:14" x14ac:dyDescent="0.3">
      <c r="B38" s="101" t="s">
        <v>300</v>
      </c>
      <c r="C38" s="101">
        <v>210</v>
      </c>
      <c r="E38" s="100">
        <v>31.12</v>
      </c>
      <c r="H38" s="100">
        <f t="shared" si="4"/>
        <v>0.46679999999999999</v>
      </c>
      <c r="I38" s="100"/>
      <c r="J38" s="100">
        <f t="shared" si="5"/>
        <v>0.54460000000000008</v>
      </c>
      <c r="K38" s="100">
        <f t="shared" si="0"/>
        <v>7.7800000000000091E-2</v>
      </c>
      <c r="L38" s="100">
        <f t="shared" si="1"/>
        <v>31.197800000000001</v>
      </c>
      <c r="M38" s="100">
        <f t="shared" si="2"/>
        <v>0</v>
      </c>
      <c r="N38" s="100">
        <f t="shared" si="3"/>
        <v>0</v>
      </c>
    </row>
    <row r="39" spans="2:14" x14ac:dyDescent="0.3">
      <c r="B39" s="101" t="s">
        <v>301</v>
      </c>
      <c r="C39" s="101">
        <v>210</v>
      </c>
      <c r="E39" s="100">
        <v>22.5</v>
      </c>
      <c r="H39" s="100">
        <f t="shared" si="4"/>
        <v>0.33749999999999997</v>
      </c>
      <c r="I39" s="100"/>
      <c r="J39" s="100">
        <f t="shared" si="5"/>
        <v>0.39375000000000004</v>
      </c>
      <c r="K39" s="100">
        <f t="shared" si="0"/>
        <v>5.6250000000000078E-2</v>
      </c>
      <c r="L39" s="100">
        <f t="shared" si="1"/>
        <v>22.556249999999999</v>
      </c>
      <c r="M39" s="100">
        <f t="shared" si="2"/>
        <v>0</v>
      </c>
      <c r="N39" s="100">
        <f t="shared" si="3"/>
        <v>0</v>
      </c>
    </row>
    <row r="40" spans="2:14" x14ac:dyDescent="0.3">
      <c r="B40" s="101" t="s">
        <v>302</v>
      </c>
      <c r="C40" s="101">
        <v>210</v>
      </c>
      <c r="E40" s="100">
        <v>56.5</v>
      </c>
      <c r="H40" s="100">
        <f t="shared" si="4"/>
        <v>0.84749999999999992</v>
      </c>
      <c r="I40" s="100"/>
      <c r="J40" s="100">
        <f t="shared" si="5"/>
        <v>0.98875000000000013</v>
      </c>
      <c r="K40" s="100">
        <f t="shared" si="0"/>
        <v>0.14125000000000021</v>
      </c>
      <c r="L40" s="100">
        <f t="shared" si="1"/>
        <v>56.641249999999999</v>
      </c>
      <c r="M40" s="100">
        <f t="shared" si="2"/>
        <v>0</v>
      </c>
      <c r="N40" s="100">
        <f t="shared" si="3"/>
        <v>0</v>
      </c>
    </row>
    <row r="41" spans="2:14" x14ac:dyDescent="0.3">
      <c r="B41" s="101" t="s">
        <v>303</v>
      </c>
      <c r="C41" s="101">
        <v>240</v>
      </c>
      <c r="E41" s="100">
        <v>14</v>
      </c>
      <c r="H41" s="100">
        <f t="shared" si="4"/>
        <v>0.21</v>
      </c>
      <c r="I41" s="100"/>
      <c r="J41" s="100">
        <f t="shared" si="5"/>
        <v>0.24500000000000002</v>
      </c>
      <c r="K41" s="100">
        <f t="shared" si="0"/>
        <v>3.5000000000000031E-2</v>
      </c>
      <c r="L41" s="100">
        <f t="shared" si="1"/>
        <v>14.035</v>
      </c>
      <c r="M41" s="100">
        <f t="shared" si="2"/>
        <v>0</v>
      </c>
      <c r="N41" s="100">
        <f t="shared" si="3"/>
        <v>0</v>
      </c>
    </row>
    <row r="42" spans="2:14" x14ac:dyDescent="0.3">
      <c r="B42" s="101" t="s">
        <v>304</v>
      </c>
      <c r="C42" s="101">
        <v>240</v>
      </c>
      <c r="E42" s="100">
        <v>22.5</v>
      </c>
      <c r="H42" s="100">
        <f t="shared" si="4"/>
        <v>0.33749999999999997</v>
      </c>
      <c r="I42" s="100"/>
      <c r="J42" s="100">
        <f t="shared" si="5"/>
        <v>0.39375000000000004</v>
      </c>
      <c r="K42" s="100">
        <f t="shared" si="0"/>
        <v>5.6250000000000078E-2</v>
      </c>
      <c r="L42" s="100">
        <f t="shared" si="1"/>
        <v>22.556249999999999</v>
      </c>
      <c r="M42" s="100">
        <f t="shared" si="2"/>
        <v>0</v>
      </c>
      <c r="N42" s="100">
        <f t="shared" si="3"/>
        <v>0</v>
      </c>
    </row>
    <row r="43" spans="2:14" x14ac:dyDescent="0.3">
      <c r="B43" s="101" t="s">
        <v>305</v>
      </c>
      <c r="C43" s="101">
        <v>240</v>
      </c>
      <c r="E43" s="100">
        <v>1.45</v>
      </c>
      <c r="H43" s="100">
        <f t="shared" si="4"/>
        <v>2.1749999999999999E-2</v>
      </c>
      <c r="I43" s="100"/>
      <c r="J43" s="100">
        <f t="shared" si="5"/>
        <v>2.5375000000000002E-2</v>
      </c>
      <c r="K43" s="100">
        <f t="shared" si="0"/>
        <v>3.6250000000000032E-3</v>
      </c>
      <c r="L43" s="100">
        <f t="shared" si="1"/>
        <v>1.4536249999999999</v>
      </c>
      <c r="M43" s="100">
        <f t="shared" si="2"/>
        <v>0</v>
      </c>
      <c r="N43" s="100">
        <f t="shared" si="3"/>
        <v>0</v>
      </c>
    </row>
    <row r="44" spans="2:14" x14ac:dyDescent="0.3">
      <c r="B44" s="101" t="s">
        <v>306</v>
      </c>
      <c r="C44" s="101">
        <v>240</v>
      </c>
      <c r="E44" s="100">
        <v>1.6</v>
      </c>
      <c r="F44" s="101">
        <v>232</v>
      </c>
      <c r="H44" s="100">
        <f t="shared" si="4"/>
        <v>2.4E-2</v>
      </c>
      <c r="I44" s="100"/>
      <c r="J44" s="100">
        <f t="shared" si="5"/>
        <v>2.8000000000000004E-2</v>
      </c>
      <c r="K44" s="100">
        <f t="shared" si="0"/>
        <v>4.0000000000000036E-3</v>
      </c>
      <c r="L44" s="100">
        <f t="shared" si="1"/>
        <v>1.6040000000000001</v>
      </c>
      <c r="M44" s="100">
        <f t="shared" si="2"/>
        <v>371.20000000000005</v>
      </c>
      <c r="N44" s="100">
        <f t="shared" si="3"/>
        <v>372.12800000000004</v>
      </c>
    </row>
    <row r="45" spans="2:14" x14ac:dyDescent="0.3">
      <c r="B45" s="101" t="s">
        <v>307</v>
      </c>
      <c r="C45" s="101">
        <v>240</v>
      </c>
      <c r="E45" s="100">
        <v>1.75</v>
      </c>
      <c r="F45" s="101">
        <v>284</v>
      </c>
      <c r="H45" s="100">
        <f t="shared" si="4"/>
        <v>2.6249999999999999E-2</v>
      </c>
      <c r="I45" s="100"/>
      <c r="J45" s="100">
        <f t="shared" si="5"/>
        <v>3.0625000000000003E-2</v>
      </c>
      <c r="K45" s="100">
        <f t="shared" si="0"/>
        <v>4.3750000000000039E-3</v>
      </c>
      <c r="L45" s="100">
        <f t="shared" si="1"/>
        <v>1.754375</v>
      </c>
      <c r="M45" s="100">
        <f t="shared" si="2"/>
        <v>497</v>
      </c>
      <c r="N45" s="100">
        <f t="shared" si="3"/>
        <v>498.24250000000001</v>
      </c>
    </row>
    <row r="46" spans="2:14" x14ac:dyDescent="0.3">
      <c r="B46" s="101" t="s">
        <v>308</v>
      </c>
      <c r="C46" s="101">
        <v>240</v>
      </c>
      <c r="E46" s="100">
        <v>2</v>
      </c>
      <c r="F46" s="101">
        <v>319</v>
      </c>
      <c r="H46" s="100">
        <f t="shared" si="4"/>
        <v>0.03</v>
      </c>
      <c r="I46" s="100"/>
      <c r="J46" s="100">
        <f t="shared" si="5"/>
        <v>3.5000000000000003E-2</v>
      </c>
      <c r="K46" s="100">
        <f t="shared" si="0"/>
        <v>5.0000000000000044E-3</v>
      </c>
      <c r="L46" s="100">
        <f t="shared" si="1"/>
        <v>2.0049999999999999</v>
      </c>
      <c r="M46" s="100">
        <f t="shared" si="2"/>
        <v>638</v>
      </c>
      <c r="N46" s="100">
        <f t="shared" si="3"/>
        <v>639.59499999999991</v>
      </c>
    </row>
    <row r="47" spans="2:14" x14ac:dyDescent="0.3">
      <c r="B47" s="101" t="s">
        <v>309</v>
      </c>
      <c r="C47" s="101">
        <v>240</v>
      </c>
      <c r="E47" s="100">
        <v>2.25</v>
      </c>
      <c r="F47" s="101">
        <f>824+98</f>
        <v>922</v>
      </c>
      <c r="H47" s="100">
        <f t="shared" si="4"/>
        <v>3.3750000000000002E-2</v>
      </c>
      <c r="I47" s="100"/>
      <c r="J47" s="100">
        <f t="shared" si="5"/>
        <v>3.9375000000000007E-2</v>
      </c>
      <c r="K47" s="100">
        <f t="shared" si="0"/>
        <v>5.625000000000005E-3</v>
      </c>
      <c r="L47" s="100">
        <f t="shared" si="1"/>
        <v>2.2556250000000002</v>
      </c>
      <c r="M47" s="100">
        <f t="shared" si="2"/>
        <v>2074.5</v>
      </c>
      <c r="N47" s="100">
        <f t="shared" si="3"/>
        <v>2079.6862500000002</v>
      </c>
    </row>
    <row r="48" spans="2:14" x14ac:dyDescent="0.3">
      <c r="B48" s="101" t="s">
        <v>310</v>
      </c>
      <c r="C48" s="101">
        <v>240</v>
      </c>
      <c r="E48" s="100">
        <v>2.75</v>
      </c>
      <c r="F48" s="101">
        <f>1432+73</f>
        <v>1505</v>
      </c>
      <c r="H48" s="100">
        <f t="shared" si="4"/>
        <v>4.1249999999999995E-2</v>
      </c>
      <c r="I48" s="100"/>
      <c r="J48" s="100">
        <f t="shared" si="5"/>
        <v>4.8125000000000001E-2</v>
      </c>
      <c r="K48" s="100">
        <f t="shared" si="0"/>
        <v>6.8750000000000061E-3</v>
      </c>
      <c r="L48" s="100">
        <f t="shared" si="1"/>
        <v>2.756875</v>
      </c>
      <c r="M48" s="100">
        <f t="shared" si="2"/>
        <v>4138.75</v>
      </c>
      <c r="N48" s="100">
        <f t="shared" si="3"/>
        <v>4149.0968750000002</v>
      </c>
    </row>
    <row r="49" spans="2:14" x14ac:dyDescent="0.3">
      <c r="B49" s="101" t="s">
        <v>311</v>
      </c>
      <c r="C49" s="101">
        <v>240</v>
      </c>
      <c r="E49" s="100">
        <v>3</v>
      </c>
      <c r="F49" s="101">
        <f>945+192</f>
        <v>1137</v>
      </c>
      <c r="H49" s="100">
        <f t="shared" si="4"/>
        <v>4.4999999999999998E-2</v>
      </c>
      <c r="I49" s="100"/>
      <c r="J49" s="100">
        <f t="shared" si="5"/>
        <v>5.2500000000000005E-2</v>
      </c>
      <c r="K49" s="100">
        <f t="shared" si="0"/>
        <v>7.5000000000000067E-3</v>
      </c>
      <c r="L49" s="100">
        <f t="shared" si="1"/>
        <v>3.0074999999999998</v>
      </c>
      <c r="M49" s="100">
        <f t="shared" si="2"/>
        <v>3411</v>
      </c>
      <c r="N49" s="100">
        <f t="shared" si="3"/>
        <v>3419.5274999999997</v>
      </c>
    </row>
    <row r="50" spans="2:14" x14ac:dyDescent="0.3">
      <c r="B50" s="101" t="s">
        <v>303</v>
      </c>
      <c r="C50" s="101">
        <v>245</v>
      </c>
      <c r="E50" s="100">
        <v>14</v>
      </c>
      <c r="H50" s="100">
        <f t="shared" si="4"/>
        <v>0.21</v>
      </c>
      <c r="I50" s="100"/>
      <c r="J50" s="100">
        <f t="shared" si="5"/>
        <v>0.24500000000000002</v>
      </c>
      <c r="K50" s="100">
        <f t="shared" si="0"/>
        <v>3.5000000000000031E-2</v>
      </c>
      <c r="L50" s="100">
        <f t="shared" si="1"/>
        <v>14.035</v>
      </c>
      <c r="M50" s="100">
        <f t="shared" si="2"/>
        <v>0</v>
      </c>
      <c r="N50" s="100">
        <f t="shared" si="3"/>
        <v>0</v>
      </c>
    </row>
    <row r="51" spans="2:14" x14ac:dyDescent="0.3">
      <c r="B51" s="101" t="s">
        <v>303</v>
      </c>
      <c r="C51" s="101">
        <v>250</v>
      </c>
      <c r="E51" s="100">
        <v>14</v>
      </c>
      <c r="H51" s="100">
        <f t="shared" si="4"/>
        <v>0.21</v>
      </c>
      <c r="I51" s="100"/>
      <c r="J51" s="100">
        <f t="shared" si="5"/>
        <v>0.24500000000000002</v>
      </c>
      <c r="K51" s="100">
        <f t="shared" si="0"/>
        <v>3.5000000000000031E-2</v>
      </c>
      <c r="L51" s="100">
        <f t="shared" si="1"/>
        <v>14.035</v>
      </c>
      <c r="M51" s="100">
        <f t="shared" si="2"/>
        <v>0</v>
      </c>
      <c r="N51" s="100">
        <f t="shared" si="3"/>
        <v>0</v>
      </c>
    </row>
    <row r="52" spans="2:14" x14ac:dyDescent="0.3">
      <c r="B52" s="101" t="s">
        <v>312</v>
      </c>
      <c r="C52" s="101">
        <v>250</v>
      </c>
      <c r="E52" s="100">
        <v>22.5</v>
      </c>
      <c r="H52" s="100">
        <f t="shared" si="4"/>
        <v>0.33749999999999997</v>
      </c>
      <c r="I52" s="100"/>
      <c r="J52" s="100">
        <f t="shared" si="5"/>
        <v>0.39375000000000004</v>
      </c>
      <c r="K52" s="100">
        <f t="shared" si="0"/>
        <v>5.6250000000000078E-2</v>
      </c>
      <c r="L52" s="100">
        <f t="shared" si="1"/>
        <v>22.556249999999999</v>
      </c>
      <c r="M52" s="100">
        <f t="shared" si="2"/>
        <v>0</v>
      </c>
      <c r="N52" s="100">
        <f t="shared" si="3"/>
        <v>0</v>
      </c>
    </row>
    <row r="53" spans="2:14" x14ac:dyDescent="0.3">
      <c r="B53" s="101" t="s">
        <v>313</v>
      </c>
      <c r="C53" s="101">
        <v>255</v>
      </c>
      <c r="E53" s="100">
        <v>14</v>
      </c>
      <c r="H53" s="100">
        <f t="shared" si="4"/>
        <v>0.21</v>
      </c>
      <c r="I53" s="100"/>
      <c r="J53" s="100">
        <f t="shared" si="5"/>
        <v>0.24500000000000002</v>
      </c>
      <c r="K53" s="100">
        <f t="shared" si="0"/>
        <v>3.5000000000000031E-2</v>
      </c>
      <c r="L53" s="100">
        <f t="shared" si="1"/>
        <v>14.035</v>
      </c>
      <c r="M53" s="100">
        <f t="shared" si="2"/>
        <v>0</v>
      </c>
      <c r="N53" s="100">
        <f t="shared" si="3"/>
        <v>0</v>
      </c>
    </row>
    <row r="54" spans="2:14" x14ac:dyDescent="0.3">
      <c r="B54" s="101" t="s">
        <v>314</v>
      </c>
      <c r="C54" s="101">
        <v>255</v>
      </c>
      <c r="E54" s="100">
        <v>22.5</v>
      </c>
      <c r="H54" s="100">
        <f t="shared" si="4"/>
        <v>0.33749999999999997</v>
      </c>
      <c r="I54" s="100"/>
      <c r="J54" s="100">
        <f t="shared" si="5"/>
        <v>0.39375000000000004</v>
      </c>
      <c r="K54" s="100">
        <f t="shared" si="0"/>
        <v>5.6250000000000078E-2</v>
      </c>
      <c r="L54" s="100">
        <f t="shared" si="1"/>
        <v>22.556249999999999</v>
      </c>
      <c r="M54" s="100">
        <f t="shared" si="2"/>
        <v>0</v>
      </c>
      <c r="N54" s="100">
        <f t="shared" si="3"/>
        <v>0</v>
      </c>
    </row>
    <row r="55" spans="2:14" x14ac:dyDescent="0.3">
      <c r="B55" s="101" t="s">
        <v>315</v>
      </c>
      <c r="C55" s="101">
        <v>260</v>
      </c>
      <c r="E55" s="100">
        <v>50</v>
      </c>
      <c r="F55" s="101">
        <v>52</v>
      </c>
      <c r="H55" s="100">
        <f t="shared" si="4"/>
        <v>0.75</v>
      </c>
      <c r="I55" s="100"/>
      <c r="J55" s="100">
        <f t="shared" si="5"/>
        <v>0.87500000000000011</v>
      </c>
      <c r="K55" s="100">
        <f t="shared" si="0"/>
        <v>0.12500000000000011</v>
      </c>
      <c r="L55" s="100">
        <f t="shared" si="1"/>
        <v>50.125</v>
      </c>
      <c r="M55" s="100">
        <f t="shared" si="2"/>
        <v>2600</v>
      </c>
      <c r="N55" s="100">
        <f t="shared" si="3"/>
        <v>2606.5</v>
      </c>
    </row>
    <row r="56" spans="2:14" x14ac:dyDescent="0.3">
      <c r="B56" s="101" t="s">
        <v>316</v>
      </c>
      <c r="C56" s="101">
        <v>260</v>
      </c>
      <c r="E56" s="100">
        <v>100</v>
      </c>
      <c r="F56" s="101">
        <f>2.71+63</f>
        <v>65.709999999999994</v>
      </c>
      <c r="H56" s="100">
        <f t="shared" si="4"/>
        <v>1.5</v>
      </c>
      <c r="I56" s="100"/>
      <c r="J56" s="100">
        <f t="shared" si="5"/>
        <v>1.7500000000000002</v>
      </c>
      <c r="K56" s="100">
        <f t="shared" si="0"/>
        <v>0.25000000000000022</v>
      </c>
      <c r="L56" s="100">
        <f t="shared" si="1"/>
        <v>100.25</v>
      </c>
      <c r="M56" s="100">
        <f t="shared" si="2"/>
        <v>6570.9999999999991</v>
      </c>
      <c r="N56" s="100">
        <f t="shared" si="3"/>
        <v>6587.4274999999998</v>
      </c>
    </row>
    <row r="57" spans="2:14" x14ac:dyDescent="0.3">
      <c r="B57" s="101" t="s">
        <v>317</v>
      </c>
      <c r="C57" s="101">
        <v>260</v>
      </c>
      <c r="E57" s="100">
        <v>100</v>
      </c>
      <c r="H57" s="100">
        <f t="shared" si="4"/>
        <v>1.5</v>
      </c>
      <c r="I57" s="100"/>
      <c r="J57" s="100">
        <f t="shared" si="5"/>
        <v>1.7500000000000002</v>
      </c>
      <c r="K57" s="100">
        <f t="shared" si="0"/>
        <v>0.25000000000000022</v>
      </c>
      <c r="L57" s="100">
        <f t="shared" si="1"/>
        <v>100.25</v>
      </c>
      <c r="M57" s="100">
        <f t="shared" si="2"/>
        <v>0</v>
      </c>
      <c r="N57" s="100">
        <f t="shared" si="3"/>
        <v>0</v>
      </c>
    </row>
    <row r="58" spans="2:14" x14ac:dyDescent="0.3">
      <c r="B58" s="101" t="s">
        <v>318</v>
      </c>
      <c r="C58" s="101">
        <v>260</v>
      </c>
      <c r="E58" s="100">
        <v>120</v>
      </c>
      <c r="F58" s="101">
        <f>23+2</f>
        <v>25</v>
      </c>
      <c r="H58" s="100">
        <f t="shared" si="4"/>
        <v>1.7999999999999998</v>
      </c>
      <c r="I58" s="100"/>
      <c r="J58" s="100">
        <f t="shared" si="5"/>
        <v>2.1</v>
      </c>
      <c r="K58" s="100">
        <f t="shared" si="0"/>
        <v>0.30000000000000027</v>
      </c>
      <c r="L58" s="100">
        <f t="shared" si="1"/>
        <v>120.3</v>
      </c>
      <c r="M58" s="100">
        <f t="shared" si="2"/>
        <v>3000</v>
      </c>
      <c r="N58" s="100">
        <f t="shared" si="3"/>
        <v>3007.5</v>
      </c>
    </row>
    <row r="59" spans="2:14" x14ac:dyDescent="0.3">
      <c r="B59" s="101" t="s">
        <v>319</v>
      </c>
      <c r="C59" s="101">
        <v>260</v>
      </c>
      <c r="E59" s="100">
        <v>56.5</v>
      </c>
      <c r="H59" s="100">
        <f t="shared" si="4"/>
        <v>0.84749999999999992</v>
      </c>
      <c r="I59" s="100"/>
      <c r="J59" s="100">
        <f t="shared" si="5"/>
        <v>0.98875000000000013</v>
      </c>
      <c r="K59" s="100">
        <f t="shared" si="0"/>
        <v>0.14125000000000021</v>
      </c>
      <c r="L59" s="100">
        <f t="shared" si="1"/>
        <v>56.641249999999999</v>
      </c>
      <c r="M59" s="100">
        <f t="shared" si="2"/>
        <v>0</v>
      </c>
      <c r="N59" s="100">
        <f t="shared" si="3"/>
        <v>0</v>
      </c>
    </row>
    <row r="60" spans="2:14" x14ac:dyDescent="0.3">
      <c r="B60" s="101" t="s">
        <v>320</v>
      </c>
      <c r="C60" s="101">
        <v>260</v>
      </c>
      <c r="E60" s="100">
        <v>4</v>
      </c>
      <c r="F60" s="101">
        <f>431+50</f>
        <v>481</v>
      </c>
      <c r="H60" s="100">
        <f t="shared" si="4"/>
        <v>0.06</v>
      </c>
      <c r="I60" s="100"/>
      <c r="J60" s="100">
        <f t="shared" si="5"/>
        <v>7.0000000000000007E-2</v>
      </c>
      <c r="K60" s="100">
        <f t="shared" si="0"/>
        <v>1.0000000000000009E-2</v>
      </c>
      <c r="L60" s="100">
        <f t="shared" si="1"/>
        <v>4.01</v>
      </c>
      <c r="M60" s="100">
        <f t="shared" si="2"/>
        <v>1924</v>
      </c>
      <c r="N60" s="100">
        <f t="shared" si="3"/>
        <v>1928.81</v>
      </c>
    </row>
    <row r="61" spans="2:14" x14ac:dyDescent="0.3">
      <c r="B61" s="101" t="s">
        <v>321</v>
      </c>
      <c r="C61" s="101">
        <v>260</v>
      </c>
      <c r="E61" s="100">
        <v>55</v>
      </c>
      <c r="F61" s="101">
        <f>359+61</f>
        <v>420</v>
      </c>
      <c r="H61" s="100">
        <f t="shared" si="4"/>
        <v>0.82499999999999996</v>
      </c>
      <c r="I61" s="100"/>
      <c r="J61" s="100">
        <f t="shared" si="5"/>
        <v>0.96250000000000013</v>
      </c>
      <c r="K61" s="100">
        <f t="shared" si="0"/>
        <v>0.13750000000000018</v>
      </c>
      <c r="L61" s="100">
        <f t="shared" si="1"/>
        <v>55.137500000000003</v>
      </c>
      <c r="M61" s="100">
        <f t="shared" si="2"/>
        <v>23100</v>
      </c>
      <c r="N61" s="100">
        <f t="shared" si="3"/>
        <v>23157.75</v>
      </c>
    </row>
    <row r="62" spans="2:14" x14ac:dyDescent="0.3">
      <c r="B62" s="101" t="s">
        <v>322</v>
      </c>
      <c r="C62" s="101">
        <v>260</v>
      </c>
      <c r="E62" s="100">
        <v>110</v>
      </c>
      <c r="F62" s="101">
        <f>1292+262</f>
        <v>1554</v>
      </c>
      <c r="H62" s="100">
        <f t="shared" si="4"/>
        <v>1.65</v>
      </c>
      <c r="I62" s="100"/>
      <c r="J62" s="100">
        <f t="shared" si="5"/>
        <v>1.9250000000000003</v>
      </c>
      <c r="K62" s="100">
        <f t="shared" si="0"/>
        <v>0.27500000000000036</v>
      </c>
      <c r="L62" s="100">
        <f t="shared" si="1"/>
        <v>110.27500000000001</v>
      </c>
      <c r="M62" s="100">
        <f t="shared" si="2"/>
        <v>170940</v>
      </c>
      <c r="N62" s="100">
        <f t="shared" si="3"/>
        <v>171367.35</v>
      </c>
    </row>
    <row r="63" spans="2:14" x14ac:dyDescent="0.3">
      <c r="B63" s="101" t="s">
        <v>323</v>
      </c>
      <c r="C63" s="101">
        <v>260</v>
      </c>
      <c r="E63" s="100">
        <v>110</v>
      </c>
      <c r="H63" s="100">
        <f t="shared" si="4"/>
        <v>1.65</v>
      </c>
      <c r="I63" s="100"/>
      <c r="J63" s="100">
        <f t="shared" si="5"/>
        <v>1.9250000000000003</v>
      </c>
      <c r="K63" s="100">
        <f t="shared" si="0"/>
        <v>0.27500000000000036</v>
      </c>
      <c r="L63" s="100">
        <f t="shared" si="1"/>
        <v>110.27500000000001</v>
      </c>
      <c r="M63" s="100">
        <f t="shared" si="2"/>
        <v>0</v>
      </c>
      <c r="N63" s="100">
        <f t="shared" si="3"/>
        <v>0</v>
      </c>
    </row>
    <row r="64" spans="2:14" x14ac:dyDescent="0.3">
      <c r="B64" s="101" t="s">
        <v>324</v>
      </c>
      <c r="C64" s="101">
        <v>260</v>
      </c>
      <c r="E64" s="100">
        <v>130</v>
      </c>
      <c r="F64" s="101">
        <f>100+7</f>
        <v>107</v>
      </c>
      <c r="H64" s="100">
        <f t="shared" si="4"/>
        <v>1.95</v>
      </c>
      <c r="I64" s="100"/>
      <c r="J64" s="100">
        <f t="shared" si="5"/>
        <v>2.2750000000000004</v>
      </c>
      <c r="K64" s="100">
        <f t="shared" si="0"/>
        <v>0.3250000000000004</v>
      </c>
      <c r="L64" s="100">
        <f t="shared" si="1"/>
        <v>130.32499999999999</v>
      </c>
      <c r="M64" s="100">
        <f t="shared" si="2"/>
        <v>13910</v>
      </c>
      <c r="N64" s="100">
        <f t="shared" si="3"/>
        <v>13944.775</v>
      </c>
    </row>
    <row r="65" spans="2:14" x14ac:dyDescent="0.3">
      <c r="B65" s="101" t="s">
        <v>325</v>
      </c>
      <c r="C65" s="101">
        <v>260</v>
      </c>
      <c r="E65" s="100">
        <v>56.5</v>
      </c>
      <c r="H65" s="100">
        <f t="shared" si="4"/>
        <v>0.84749999999999992</v>
      </c>
      <c r="I65" s="100"/>
      <c r="J65" s="100">
        <f t="shared" si="5"/>
        <v>0.98875000000000013</v>
      </c>
      <c r="K65" s="100">
        <f t="shared" si="0"/>
        <v>0.14125000000000021</v>
      </c>
      <c r="L65" s="100">
        <f t="shared" si="1"/>
        <v>56.641249999999999</v>
      </c>
      <c r="M65" s="100">
        <f t="shared" si="2"/>
        <v>0</v>
      </c>
      <c r="N65" s="100">
        <f t="shared" si="3"/>
        <v>0</v>
      </c>
    </row>
    <row r="66" spans="2:14" x14ac:dyDescent="0.3">
      <c r="B66" s="101" t="s">
        <v>320</v>
      </c>
      <c r="C66" s="101">
        <v>260</v>
      </c>
      <c r="E66" s="100">
        <v>5</v>
      </c>
      <c r="F66" s="101">
        <f>2248+297</f>
        <v>2545</v>
      </c>
      <c r="H66" s="100">
        <f t="shared" si="4"/>
        <v>7.4999999999999997E-2</v>
      </c>
      <c r="I66" s="100"/>
      <c r="J66" s="100">
        <f t="shared" si="5"/>
        <v>8.7500000000000008E-2</v>
      </c>
      <c r="K66" s="100">
        <f t="shared" si="0"/>
        <v>1.2500000000000011E-2</v>
      </c>
      <c r="L66" s="100">
        <f t="shared" si="1"/>
        <v>5.0125000000000002</v>
      </c>
      <c r="M66" s="100">
        <f t="shared" si="2"/>
        <v>12725</v>
      </c>
      <c r="N66" s="100">
        <f t="shared" si="3"/>
        <v>12756.8125</v>
      </c>
    </row>
    <row r="67" spans="2:14" x14ac:dyDescent="0.3">
      <c r="B67" s="101" t="s">
        <v>326</v>
      </c>
      <c r="C67" s="101">
        <v>260</v>
      </c>
      <c r="E67" s="100">
        <v>60</v>
      </c>
      <c r="F67" s="101">
        <f>205+52</f>
        <v>257</v>
      </c>
      <c r="H67" s="100">
        <f t="shared" si="4"/>
        <v>0.89999999999999991</v>
      </c>
      <c r="I67" s="100"/>
      <c r="J67" s="100">
        <f t="shared" si="5"/>
        <v>1.05</v>
      </c>
      <c r="K67" s="100">
        <f t="shared" ref="K67:K105" si="6">+J67-H67</f>
        <v>0.15000000000000013</v>
      </c>
      <c r="L67" s="100">
        <f t="shared" ref="L67:L105" si="7">+E67+K67</f>
        <v>60.15</v>
      </c>
      <c r="M67" s="100">
        <f t="shared" ref="M67:M105" si="8">+E67*F67</f>
        <v>15420</v>
      </c>
      <c r="N67" s="100">
        <f t="shared" ref="N67:N105" si="9">+L67*F67</f>
        <v>15458.55</v>
      </c>
    </row>
    <row r="68" spans="2:14" x14ac:dyDescent="0.3">
      <c r="B68" s="101" t="s">
        <v>327</v>
      </c>
      <c r="C68" s="101">
        <v>260</v>
      </c>
      <c r="E68" s="100">
        <v>110</v>
      </c>
      <c r="F68" s="101">
        <f>983+216</f>
        <v>1199</v>
      </c>
      <c r="H68" s="100">
        <f t="shared" si="4"/>
        <v>1.65</v>
      </c>
      <c r="I68" s="100"/>
      <c r="J68" s="100">
        <f t="shared" si="5"/>
        <v>1.9250000000000003</v>
      </c>
      <c r="K68" s="100">
        <f t="shared" si="6"/>
        <v>0.27500000000000036</v>
      </c>
      <c r="L68" s="100">
        <f t="shared" si="7"/>
        <v>110.27500000000001</v>
      </c>
      <c r="M68" s="100">
        <f t="shared" si="8"/>
        <v>131890</v>
      </c>
      <c r="N68" s="100">
        <f t="shared" si="9"/>
        <v>132219.72500000001</v>
      </c>
    </row>
    <row r="69" spans="2:14" x14ac:dyDescent="0.3">
      <c r="B69" s="101" t="s">
        <v>328</v>
      </c>
      <c r="C69" s="101">
        <v>260</v>
      </c>
      <c r="E69" s="100">
        <v>110</v>
      </c>
      <c r="H69" s="100">
        <f t="shared" ref="H69:H105" si="10">+$H$7*E69</f>
        <v>1.65</v>
      </c>
      <c r="I69" s="100"/>
      <c r="J69" s="100">
        <f t="shared" ref="J69:J105" si="11">+$J$7*E69</f>
        <v>1.9250000000000003</v>
      </c>
      <c r="K69" s="100">
        <f t="shared" si="6"/>
        <v>0.27500000000000036</v>
      </c>
      <c r="L69" s="100">
        <f t="shared" si="7"/>
        <v>110.27500000000001</v>
      </c>
      <c r="M69" s="100">
        <f t="shared" si="8"/>
        <v>0</v>
      </c>
      <c r="N69" s="100">
        <f t="shared" si="9"/>
        <v>0</v>
      </c>
    </row>
    <row r="70" spans="2:14" x14ac:dyDescent="0.3">
      <c r="B70" s="101" t="s">
        <v>329</v>
      </c>
      <c r="C70" s="101">
        <v>260</v>
      </c>
      <c r="E70" s="100">
        <v>130</v>
      </c>
      <c r="F70" s="101">
        <f>343+47</f>
        <v>390</v>
      </c>
      <c r="H70" s="100">
        <f t="shared" si="10"/>
        <v>1.95</v>
      </c>
      <c r="I70" s="100"/>
      <c r="J70" s="100">
        <f t="shared" si="11"/>
        <v>2.2750000000000004</v>
      </c>
      <c r="K70" s="100">
        <f t="shared" si="6"/>
        <v>0.3250000000000004</v>
      </c>
      <c r="L70" s="100">
        <f t="shared" si="7"/>
        <v>130.32499999999999</v>
      </c>
      <c r="M70" s="100">
        <f t="shared" si="8"/>
        <v>50700</v>
      </c>
      <c r="N70" s="100">
        <f t="shared" si="9"/>
        <v>50826.749999999993</v>
      </c>
    </row>
    <row r="71" spans="2:14" x14ac:dyDescent="0.3">
      <c r="B71" s="101" t="s">
        <v>330</v>
      </c>
      <c r="C71" s="101">
        <v>260</v>
      </c>
      <c r="E71" s="100">
        <v>56.5</v>
      </c>
      <c r="H71" s="100">
        <f t="shared" si="10"/>
        <v>0.84749999999999992</v>
      </c>
      <c r="I71" s="100"/>
      <c r="J71" s="100">
        <f t="shared" si="11"/>
        <v>0.98875000000000013</v>
      </c>
      <c r="K71" s="100">
        <f t="shared" si="6"/>
        <v>0.14125000000000021</v>
      </c>
      <c r="L71" s="100">
        <f t="shared" si="7"/>
        <v>56.641249999999999</v>
      </c>
      <c r="M71" s="100">
        <f t="shared" si="8"/>
        <v>0</v>
      </c>
      <c r="N71" s="100">
        <f t="shared" si="9"/>
        <v>0</v>
      </c>
    </row>
    <row r="72" spans="2:14" x14ac:dyDescent="0.3">
      <c r="B72" s="101" t="s">
        <v>320</v>
      </c>
      <c r="C72" s="101">
        <v>260</v>
      </c>
      <c r="E72" s="100">
        <v>5.75</v>
      </c>
      <c r="F72" s="101">
        <f>4454+972</f>
        <v>5426</v>
      </c>
      <c r="H72" s="100">
        <f t="shared" si="10"/>
        <v>8.6249999999999993E-2</v>
      </c>
      <c r="I72" s="100"/>
      <c r="J72" s="100">
        <f t="shared" si="11"/>
        <v>0.10062500000000001</v>
      </c>
      <c r="K72" s="100">
        <f t="shared" si="6"/>
        <v>1.4375000000000013E-2</v>
      </c>
      <c r="L72" s="100">
        <f t="shared" si="7"/>
        <v>5.7643750000000002</v>
      </c>
      <c r="M72" s="100">
        <f t="shared" si="8"/>
        <v>31199.5</v>
      </c>
      <c r="N72" s="100">
        <f t="shared" si="9"/>
        <v>31277.498750000002</v>
      </c>
    </row>
    <row r="73" spans="2:14" x14ac:dyDescent="0.3">
      <c r="B73" s="101" t="s">
        <v>331</v>
      </c>
      <c r="C73" s="101">
        <v>260</v>
      </c>
      <c r="E73" s="100">
        <v>70</v>
      </c>
      <c r="F73" s="101">
        <f>157+31</f>
        <v>188</v>
      </c>
      <c r="H73" s="100">
        <f t="shared" si="10"/>
        <v>1.05</v>
      </c>
      <c r="I73" s="100"/>
      <c r="J73" s="100">
        <f t="shared" si="11"/>
        <v>1.2250000000000001</v>
      </c>
      <c r="K73" s="100">
        <f t="shared" si="6"/>
        <v>0.17500000000000004</v>
      </c>
      <c r="L73" s="100">
        <f t="shared" si="7"/>
        <v>70.174999999999997</v>
      </c>
      <c r="M73" s="100">
        <f t="shared" si="8"/>
        <v>13160</v>
      </c>
      <c r="N73" s="100">
        <f t="shared" si="9"/>
        <v>13192.9</v>
      </c>
    </row>
    <row r="74" spans="2:14" x14ac:dyDescent="0.3">
      <c r="B74" s="101" t="s">
        <v>332</v>
      </c>
      <c r="C74" s="101">
        <v>260</v>
      </c>
      <c r="E74" s="100">
        <v>130</v>
      </c>
      <c r="F74" s="101">
        <f>392+82</f>
        <v>474</v>
      </c>
      <c r="H74" s="100">
        <f t="shared" si="10"/>
        <v>1.95</v>
      </c>
      <c r="I74" s="100"/>
      <c r="J74" s="100">
        <f t="shared" si="11"/>
        <v>2.2750000000000004</v>
      </c>
      <c r="K74" s="100">
        <f t="shared" si="6"/>
        <v>0.3250000000000004</v>
      </c>
      <c r="L74" s="100">
        <f t="shared" si="7"/>
        <v>130.32499999999999</v>
      </c>
      <c r="M74" s="100">
        <f t="shared" si="8"/>
        <v>61620</v>
      </c>
      <c r="N74" s="100">
        <f t="shared" si="9"/>
        <v>61774.049999999996</v>
      </c>
    </row>
    <row r="75" spans="2:14" x14ac:dyDescent="0.3">
      <c r="B75" s="101" t="s">
        <v>333</v>
      </c>
      <c r="C75" s="101">
        <v>260</v>
      </c>
      <c r="E75" s="100">
        <v>130</v>
      </c>
      <c r="H75" s="100">
        <f t="shared" si="10"/>
        <v>1.95</v>
      </c>
      <c r="I75" s="100"/>
      <c r="J75" s="100">
        <f t="shared" si="11"/>
        <v>2.2750000000000004</v>
      </c>
      <c r="K75" s="100">
        <f t="shared" si="6"/>
        <v>0.3250000000000004</v>
      </c>
      <c r="L75" s="100">
        <f t="shared" si="7"/>
        <v>130.32499999999999</v>
      </c>
      <c r="M75" s="100">
        <f t="shared" si="8"/>
        <v>0</v>
      </c>
      <c r="N75" s="100">
        <f t="shared" si="9"/>
        <v>0</v>
      </c>
    </row>
    <row r="76" spans="2:14" x14ac:dyDescent="0.3">
      <c r="B76" s="101" t="s">
        <v>334</v>
      </c>
      <c r="C76" s="101">
        <v>260</v>
      </c>
      <c r="E76" s="100">
        <v>160</v>
      </c>
      <c r="F76" s="101">
        <v>64</v>
      </c>
      <c r="H76" s="100">
        <f t="shared" si="10"/>
        <v>2.4</v>
      </c>
      <c r="I76" s="100"/>
      <c r="J76" s="100">
        <f t="shared" si="11"/>
        <v>2.8000000000000003</v>
      </c>
      <c r="K76" s="100">
        <f t="shared" si="6"/>
        <v>0.40000000000000036</v>
      </c>
      <c r="L76" s="100">
        <f t="shared" si="7"/>
        <v>160.4</v>
      </c>
      <c r="M76" s="100">
        <f t="shared" si="8"/>
        <v>10240</v>
      </c>
      <c r="N76" s="100">
        <f t="shared" si="9"/>
        <v>10265.6</v>
      </c>
    </row>
    <row r="77" spans="2:14" x14ac:dyDescent="0.3">
      <c r="B77" s="101" t="s">
        <v>335</v>
      </c>
      <c r="C77" s="101">
        <v>260</v>
      </c>
      <c r="E77" s="100">
        <v>56.5</v>
      </c>
      <c r="H77" s="100">
        <f t="shared" si="10"/>
        <v>0.84749999999999992</v>
      </c>
      <c r="I77" s="100"/>
      <c r="J77" s="100">
        <f t="shared" si="11"/>
        <v>0.98875000000000013</v>
      </c>
      <c r="K77" s="100">
        <f t="shared" si="6"/>
        <v>0.14125000000000021</v>
      </c>
      <c r="L77" s="100">
        <f t="shared" si="7"/>
        <v>56.641249999999999</v>
      </c>
      <c r="M77" s="100">
        <f t="shared" si="8"/>
        <v>0</v>
      </c>
      <c r="N77" s="100">
        <f t="shared" si="9"/>
        <v>0</v>
      </c>
    </row>
    <row r="78" spans="2:14" x14ac:dyDescent="0.3">
      <c r="B78" s="101" t="s">
        <v>320</v>
      </c>
      <c r="C78" s="101">
        <v>260</v>
      </c>
      <c r="E78" s="100">
        <v>6</v>
      </c>
      <c r="F78" s="101">
        <f>640+86</f>
        <v>726</v>
      </c>
      <c r="H78" s="100">
        <f t="shared" si="10"/>
        <v>0.09</v>
      </c>
      <c r="I78" s="100"/>
      <c r="J78" s="100">
        <f t="shared" si="11"/>
        <v>0.10500000000000001</v>
      </c>
      <c r="K78" s="100">
        <f t="shared" si="6"/>
        <v>1.5000000000000013E-2</v>
      </c>
      <c r="L78" s="100">
        <f t="shared" si="7"/>
        <v>6.0149999999999997</v>
      </c>
      <c r="M78" s="100">
        <f t="shared" si="8"/>
        <v>4356</v>
      </c>
      <c r="N78" s="100">
        <f t="shared" si="9"/>
        <v>4366.8899999999994</v>
      </c>
    </row>
    <row r="79" spans="2:14" x14ac:dyDescent="0.3">
      <c r="B79" s="101" t="s">
        <v>331</v>
      </c>
      <c r="C79" s="101">
        <v>260</v>
      </c>
      <c r="E79" s="100">
        <v>80</v>
      </c>
      <c r="F79" s="101">
        <f>157+31</f>
        <v>188</v>
      </c>
      <c r="H79" s="100">
        <f t="shared" si="10"/>
        <v>1.2</v>
      </c>
      <c r="I79" s="100"/>
      <c r="J79" s="100">
        <f t="shared" si="11"/>
        <v>1.4000000000000001</v>
      </c>
      <c r="K79" s="100">
        <f t="shared" si="6"/>
        <v>0.20000000000000018</v>
      </c>
      <c r="L79" s="100">
        <f t="shared" si="7"/>
        <v>80.2</v>
      </c>
      <c r="M79" s="100">
        <f t="shared" si="8"/>
        <v>15040</v>
      </c>
      <c r="N79" s="100">
        <f t="shared" si="9"/>
        <v>15077.6</v>
      </c>
    </row>
    <row r="80" spans="2:14" x14ac:dyDescent="0.3">
      <c r="B80" s="101" t="s">
        <v>332</v>
      </c>
      <c r="C80" s="101">
        <v>260</v>
      </c>
      <c r="E80" s="100">
        <v>130</v>
      </c>
      <c r="F80" s="101">
        <f>392+82</f>
        <v>474</v>
      </c>
      <c r="H80" s="100">
        <f t="shared" si="10"/>
        <v>1.95</v>
      </c>
      <c r="I80" s="100"/>
      <c r="J80" s="100">
        <f t="shared" si="11"/>
        <v>2.2750000000000004</v>
      </c>
      <c r="K80" s="100">
        <f t="shared" si="6"/>
        <v>0.3250000000000004</v>
      </c>
      <c r="L80" s="100">
        <f t="shared" si="7"/>
        <v>130.32499999999999</v>
      </c>
      <c r="M80" s="100">
        <f t="shared" si="8"/>
        <v>61620</v>
      </c>
      <c r="N80" s="100">
        <f t="shared" si="9"/>
        <v>61774.049999999996</v>
      </c>
    </row>
    <row r="81" spans="2:14" x14ac:dyDescent="0.3">
      <c r="B81" s="101" t="s">
        <v>333</v>
      </c>
      <c r="C81" s="101">
        <v>260</v>
      </c>
      <c r="E81" s="100">
        <v>130</v>
      </c>
      <c r="H81" s="100">
        <f t="shared" si="10"/>
        <v>1.95</v>
      </c>
      <c r="I81" s="100"/>
      <c r="J81" s="100">
        <f t="shared" si="11"/>
        <v>2.2750000000000004</v>
      </c>
      <c r="K81" s="100">
        <f t="shared" si="6"/>
        <v>0.3250000000000004</v>
      </c>
      <c r="L81" s="100">
        <f t="shared" si="7"/>
        <v>130.32499999999999</v>
      </c>
      <c r="M81" s="100">
        <f t="shared" si="8"/>
        <v>0</v>
      </c>
      <c r="N81" s="100">
        <f t="shared" si="9"/>
        <v>0</v>
      </c>
    </row>
    <row r="82" spans="2:14" x14ac:dyDescent="0.3">
      <c r="B82" s="101" t="s">
        <v>334</v>
      </c>
      <c r="C82" s="101">
        <v>260</v>
      </c>
      <c r="E82" s="100">
        <v>160</v>
      </c>
      <c r="F82" s="101">
        <f>50+14</f>
        <v>64</v>
      </c>
      <c r="H82" s="100">
        <f t="shared" si="10"/>
        <v>2.4</v>
      </c>
      <c r="I82" s="100"/>
      <c r="J82" s="100">
        <f t="shared" si="11"/>
        <v>2.8000000000000003</v>
      </c>
      <c r="K82" s="100">
        <f t="shared" si="6"/>
        <v>0.40000000000000036</v>
      </c>
      <c r="L82" s="100">
        <f t="shared" si="7"/>
        <v>160.4</v>
      </c>
      <c r="M82" s="100">
        <f t="shared" si="8"/>
        <v>10240</v>
      </c>
      <c r="N82" s="100">
        <f t="shared" si="9"/>
        <v>10265.6</v>
      </c>
    </row>
    <row r="83" spans="2:14" x14ac:dyDescent="0.3">
      <c r="B83" s="101" t="s">
        <v>335</v>
      </c>
      <c r="C83" s="101">
        <v>260</v>
      </c>
      <c r="E83" s="100">
        <v>56.5</v>
      </c>
      <c r="H83" s="100">
        <f t="shared" si="10"/>
        <v>0.84749999999999992</v>
      </c>
      <c r="I83" s="100"/>
      <c r="J83" s="100">
        <f t="shared" si="11"/>
        <v>0.98875000000000013</v>
      </c>
      <c r="K83" s="100">
        <f t="shared" si="6"/>
        <v>0.14125000000000021</v>
      </c>
      <c r="L83" s="100">
        <f t="shared" si="7"/>
        <v>56.641249999999999</v>
      </c>
      <c r="M83" s="100">
        <f t="shared" si="8"/>
        <v>0</v>
      </c>
      <c r="N83" s="100">
        <f t="shared" si="9"/>
        <v>0</v>
      </c>
    </row>
    <row r="84" spans="2:14" x14ac:dyDescent="0.3">
      <c r="B84" s="101" t="s">
        <v>320</v>
      </c>
      <c r="C84" s="101">
        <v>260</v>
      </c>
      <c r="E84" s="100">
        <v>6.5</v>
      </c>
      <c r="F84" s="101">
        <f>640+86</f>
        <v>726</v>
      </c>
      <c r="H84" s="100">
        <f t="shared" si="10"/>
        <v>9.7500000000000003E-2</v>
      </c>
      <c r="I84" s="100"/>
      <c r="J84" s="100">
        <f t="shared" si="11"/>
        <v>0.11375000000000002</v>
      </c>
      <c r="K84" s="100">
        <f t="shared" si="6"/>
        <v>1.6250000000000014E-2</v>
      </c>
      <c r="L84" s="100">
        <f t="shared" si="7"/>
        <v>6.5162500000000003</v>
      </c>
      <c r="M84" s="100">
        <f t="shared" si="8"/>
        <v>4719</v>
      </c>
      <c r="N84" s="100">
        <f t="shared" si="9"/>
        <v>4730.7975000000006</v>
      </c>
    </row>
    <row r="85" spans="2:14" x14ac:dyDescent="0.3">
      <c r="B85" s="101" t="s">
        <v>336</v>
      </c>
      <c r="C85" s="101">
        <v>260</v>
      </c>
      <c r="E85" s="100">
        <v>14</v>
      </c>
      <c r="H85" s="100">
        <f t="shared" si="10"/>
        <v>0.21</v>
      </c>
      <c r="I85" s="100"/>
      <c r="J85" s="100">
        <f t="shared" si="11"/>
        <v>0.24500000000000002</v>
      </c>
      <c r="K85" s="100">
        <f t="shared" si="6"/>
        <v>3.5000000000000031E-2</v>
      </c>
      <c r="L85" s="100">
        <f t="shared" si="7"/>
        <v>14.035</v>
      </c>
      <c r="M85" s="100">
        <f t="shared" si="8"/>
        <v>0</v>
      </c>
      <c r="N85" s="100">
        <f t="shared" si="9"/>
        <v>0</v>
      </c>
    </row>
    <row r="86" spans="2:14" x14ac:dyDescent="0.3">
      <c r="B86" s="101" t="s">
        <v>337</v>
      </c>
      <c r="C86" s="101">
        <v>260</v>
      </c>
      <c r="E86" s="100">
        <v>3.2</v>
      </c>
      <c r="H86" s="100">
        <f t="shared" si="10"/>
        <v>4.8000000000000001E-2</v>
      </c>
      <c r="I86" s="100"/>
      <c r="J86" s="100">
        <f t="shared" si="11"/>
        <v>5.6000000000000008E-2</v>
      </c>
      <c r="K86" s="100">
        <f t="shared" si="6"/>
        <v>8.0000000000000071E-3</v>
      </c>
      <c r="L86" s="100">
        <f t="shared" si="7"/>
        <v>3.2080000000000002</v>
      </c>
      <c r="M86" s="100">
        <f t="shared" si="8"/>
        <v>0</v>
      </c>
      <c r="N86" s="100">
        <f t="shared" si="9"/>
        <v>0</v>
      </c>
    </row>
    <row r="87" spans="2:14" x14ac:dyDescent="0.3">
      <c r="B87" s="101" t="s">
        <v>338</v>
      </c>
      <c r="C87" s="101">
        <v>270</v>
      </c>
      <c r="E87" s="100">
        <v>135</v>
      </c>
      <c r="F87" s="101">
        <v>7</v>
      </c>
      <c r="H87" s="100">
        <f t="shared" si="10"/>
        <v>2.0249999999999999</v>
      </c>
      <c r="I87" s="100"/>
      <c r="J87" s="100">
        <f t="shared" si="11"/>
        <v>2.3625000000000003</v>
      </c>
      <c r="K87" s="100">
        <f t="shared" si="6"/>
        <v>0.33750000000000036</v>
      </c>
      <c r="L87" s="100">
        <f t="shared" si="7"/>
        <v>135.33750000000001</v>
      </c>
      <c r="M87" s="100">
        <f t="shared" si="8"/>
        <v>945</v>
      </c>
      <c r="N87" s="100">
        <f t="shared" si="9"/>
        <v>947.36250000000007</v>
      </c>
    </row>
    <row r="88" spans="2:14" x14ac:dyDescent="0.3">
      <c r="B88" s="101" t="s">
        <v>339</v>
      </c>
      <c r="C88" s="101">
        <v>270</v>
      </c>
      <c r="E88" s="100">
        <v>85</v>
      </c>
      <c r="H88" s="100">
        <f t="shared" si="10"/>
        <v>1.2749999999999999</v>
      </c>
      <c r="I88" s="100"/>
      <c r="J88" s="100">
        <f t="shared" si="11"/>
        <v>1.4875</v>
      </c>
      <c r="K88" s="100">
        <f t="shared" si="6"/>
        <v>0.21250000000000013</v>
      </c>
      <c r="L88" s="100">
        <f t="shared" si="7"/>
        <v>85.212500000000006</v>
      </c>
      <c r="M88" s="100">
        <f t="shared" si="8"/>
        <v>0</v>
      </c>
      <c r="N88" s="100">
        <f t="shared" si="9"/>
        <v>0</v>
      </c>
    </row>
    <row r="89" spans="2:14" x14ac:dyDescent="0.3">
      <c r="B89" s="101" t="s">
        <v>340</v>
      </c>
      <c r="C89" s="101">
        <v>270</v>
      </c>
      <c r="E89" s="100">
        <v>135</v>
      </c>
      <c r="F89" s="101">
        <f>373+74</f>
        <v>447</v>
      </c>
      <c r="H89" s="100">
        <f t="shared" si="10"/>
        <v>2.0249999999999999</v>
      </c>
      <c r="I89" s="100"/>
      <c r="J89" s="100">
        <f t="shared" si="11"/>
        <v>2.3625000000000003</v>
      </c>
      <c r="K89" s="100">
        <f t="shared" si="6"/>
        <v>0.33750000000000036</v>
      </c>
      <c r="L89" s="100">
        <f t="shared" si="7"/>
        <v>135.33750000000001</v>
      </c>
      <c r="M89" s="100">
        <f t="shared" si="8"/>
        <v>60345</v>
      </c>
      <c r="N89" s="100">
        <f t="shared" si="9"/>
        <v>60495.862500000003</v>
      </c>
    </row>
    <row r="90" spans="2:14" x14ac:dyDescent="0.3">
      <c r="B90" s="101" t="s">
        <v>341</v>
      </c>
      <c r="C90" s="101">
        <v>270</v>
      </c>
      <c r="E90" s="100">
        <v>85</v>
      </c>
      <c r="H90" s="100">
        <f t="shared" si="10"/>
        <v>1.2749999999999999</v>
      </c>
      <c r="I90" s="100"/>
      <c r="J90" s="100">
        <f t="shared" si="11"/>
        <v>1.4875</v>
      </c>
      <c r="K90" s="100">
        <f t="shared" si="6"/>
        <v>0.21250000000000013</v>
      </c>
      <c r="L90" s="100">
        <f t="shared" si="7"/>
        <v>85.212500000000006</v>
      </c>
      <c r="M90" s="100">
        <f t="shared" si="8"/>
        <v>0</v>
      </c>
      <c r="N90" s="100">
        <f t="shared" si="9"/>
        <v>0</v>
      </c>
    </row>
    <row r="91" spans="2:14" x14ac:dyDescent="0.3">
      <c r="B91" s="101" t="s">
        <v>342</v>
      </c>
      <c r="C91" s="101">
        <v>270</v>
      </c>
      <c r="E91" s="100">
        <v>135</v>
      </c>
      <c r="H91" s="100">
        <f t="shared" si="10"/>
        <v>2.0249999999999999</v>
      </c>
      <c r="I91" s="100"/>
      <c r="J91" s="100">
        <f t="shared" si="11"/>
        <v>2.3625000000000003</v>
      </c>
      <c r="K91" s="100">
        <f t="shared" si="6"/>
        <v>0.33750000000000036</v>
      </c>
      <c r="L91" s="100">
        <f t="shared" si="7"/>
        <v>135.33750000000001</v>
      </c>
      <c r="M91" s="100">
        <f t="shared" si="8"/>
        <v>0</v>
      </c>
      <c r="N91" s="100">
        <f t="shared" si="9"/>
        <v>0</v>
      </c>
    </row>
    <row r="92" spans="2:14" x14ac:dyDescent="0.3">
      <c r="B92" s="101" t="s">
        <v>343</v>
      </c>
      <c r="C92" s="101">
        <v>270</v>
      </c>
      <c r="E92" s="100">
        <v>85</v>
      </c>
      <c r="H92" s="100">
        <f t="shared" si="10"/>
        <v>1.2749999999999999</v>
      </c>
      <c r="I92" s="100"/>
      <c r="J92" s="100">
        <f t="shared" si="11"/>
        <v>1.4875</v>
      </c>
      <c r="K92" s="100">
        <f t="shared" si="6"/>
        <v>0.21250000000000013</v>
      </c>
      <c r="L92" s="100">
        <f t="shared" si="7"/>
        <v>85.212500000000006</v>
      </c>
      <c r="M92" s="100">
        <f t="shared" si="8"/>
        <v>0</v>
      </c>
      <c r="N92" s="100">
        <f t="shared" si="9"/>
        <v>0</v>
      </c>
    </row>
    <row r="93" spans="2:14" x14ac:dyDescent="0.3">
      <c r="B93" s="101" t="s">
        <v>344</v>
      </c>
      <c r="C93" s="101">
        <v>270</v>
      </c>
      <c r="E93" s="100">
        <v>135</v>
      </c>
      <c r="H93" s="100">
        <f t="shared" si="10"/>
        <v>2.0249999999999999</v>
      </c>
      <c r="I93" s="100"/>
      <c r="J93" s="100">
        <f t="shared" si="11"/>
        <v>2.3625000000000003</v>
      </c>
      <c r="K93" s="100">
        <f t="shared" si="6"/>
        <v>0.33750000000000036</v>
      </c>
      <c r="L93" s="100">
        <f t="shared" si="7"/>
        <v>135.33750000000001</v>
      </c>
      <c r="M93" s="100">
        <f t="shared" si="8"/>
        <v>0</v>
      </c>
      <c r="N93" s="100">
        <f t="shared" si="9"/>
        <v>0</v>
      </c>
    </row>
    <row r="94" spans="2:14" x14ac:dyDescent="0.3">
      <c r="B94" s="101" t="s">
        <v>345</v>
      </c>
      <c r="C94" s="101">
        <v>270</v>
      </c>
      <c r="E94" s="100">
        <v>85</v>
      </c>
      <c r="H94" s="100">
        <f t="shared" si="10"/>
        <v>1.2749999999999999</v>
      </c>
      <c r="I94" s="100"/>
      <c r="J94" s="100">
        <f t="shared" si="11"/>
        <v>1.4875</v>
      </c>
      <c r="K94" s="100">
        <f t="shared" si="6"/>
        <v>0.21250000000000013</v>
      </c>
      <c r="L94" s="100">
        <f t="shared" si="7"/>
        <v>85.212500000000006</v>
      </c>
      <c r="M94" s="100">
        <f t="shared" si="8"/>
        <v>0</v>
      </c>
      <c r="N94" s="100">
        <f t="shared" si="9"/>
        <v>0</v>
      </c>
    </row>
    <row r="95" spans="2:14" x14ac:dyDescent="0.3">
      <c r="B95" s="101" t="s">
        <v>336</v>
      </c>
      <c r="C95" s="101">
        <v>270</v>
      </c>
      <c r="E95" s="100">
        <v>14</v>
      </c>
      <c r="H95" s="100">
        <f t="shared" si="10"/>
        <v>0.21</v>
      </c>
      <c r="I95" s="100"/>
      <c r="J95" s="100">
        <f t="shared" si="11"/>
        <v>0.24500000000000002</v>
      </c>
      <c r="K95" s="100">
        <f t="shared" si="6"/>
        <v>3.5000000000000031E-2</v>
      </c>
      <c r="L95" s="100">
        <f t="shared" si="7"/>
        <v>14.035</v>
      </c>
      <c r="M95" s="100">
        <f t="shared" si="8"/>
        <v>0</v>
      </c>
      <c r="N95" s="100">
        <f t="shared" si="9"/>
        <v>0</v>
      </c>
    </row>
    <row r="96" spans="2:14" x14ac:dyDescent="0.3">
      <c r="B96" s="101" t="s">
        <v>346</v>
      </c>
      <c r="C96" s="101">
        <v>270</v>
      </c>
      <c r="E96" s="100">
        <v>22.5</v>
      </c>
      <c r="H96" s="100">
        <f t="shared" si="10"/>
        <v>0.33749999999999997</v>
      </c>
      <c r="I96" s="100"/>
      <c r="J96" s="100">
        <f t="shared" si="11"/>
        <v>0.39375000000000004</v>
      </c>
      <c r="K96" s="100">
        <f t="shared" si="6"/>
        <v>5.6250000000000078E-2</v>
      </c>
      <c r="L96" s="100">
        <f t="shared" si="7"/>
        <v>22.556249999999999</v>
      </c>
      <c r="M96" s="100">
        <f t="shared" si="8"/>
        <v>0</v>
      </c>
      <c r="N96" s="100">
        <f t="shared" si="9"/>
        <v>0</v>
      </c>
    </row>
    <row r="97" spans="2:15" x14ac:dyDescent="0.3">
      <c r="B97" s="101" t="s">
        <v>347</v>
      </c>
      <c r="C97" s="101">
        <v>270</v>
      </c>
      <c r="E97" s="100">
        <v>3.2</v>
      </c>
      <c r="F97" s="102">
        <f>53775+10827</f>
        <v>64602</v>
      </c>
      <c r="H97" s="100">
        <f t="shared" si="10"/>
        <v>4.8000000000000001E-2</v>
      </c>
      <c r="I97" s="100"/>
      <c r="J97" s="100">
        <f t="shared" si="11"/>
        <v>5.6000000000000008E-2</v>
      </c>
      <c r="K97" s="100">
        <f t="shared" si="6"/>
        <v>8.0000000000000071E-3</v>
      </c>
      <c r="L97" s="100">
        <f t="shared" si="7"/>
        <v>3.2080000000000002</v>
      </c>
      <c r="M97" s="100">
        <f t="shared" si="8"/>
        <v>206726.40000000002</v>
      </c>
      <c r="N97" s="100">
        <f t="shared" si="9"/>
        <v>207243.21600000001</v>
      </c>
    </row>
    <row r="98" spans="2:15" x14ac:dyDescent="0.3">
      <c r="B98" s="101" t="s">
        <v>348</v>
      </c>
      <c r="C98" s="101">
        <v>275</v>
      </c>
      <c r="E98" s="100">
        <v>135</v>
      </c>
      <c r="H98" s="100">
        <f t="shared" si="10"/>
        <v>2.0249999999999999</v>
      </c>
      <c r="I98" s="100"/>
      <c r="J98" s="100">
        <f t="shared" si="11"/>
        <v>2.3625000000000003</v>
      </c>
      <c r="K98" s="100">
        <f t="shared" si="6"/>
        <v>0.33750000000000036</v>
      </c>
      <c r="L98" s="100">
        <f t="shared" si="7"/>
        <v>135.33750000000001</v>
      </c>
      <c r="M98" s="100">
        <f t="shared" si="8"/>
        <v>0</v>
      </c>
      <c r="N98" s="100">
        <f t="shared" si="9"/>
        <v>0</v>
      </c>
    </row>
    <row r="99" spans="2:15" x14ac:dyDescent="0.3">
      <c r="B99" s="101" t="s">
        <v>349</v>
      </c>
      <c r="C99" s="101">
        <v>275</v>
      </c>
      <c r="E99" s="100">
        <v>135</v>
      </c>
      <c r="H99" s="100">
        <f t="shared" si="10"/>
        <v>2.0249999999999999</v>
      </c>
      <c r="I99" s="100"/>
      <c r="J99" s="100">
        <f t="shared" si="11"/>
        <v>2.3625000000000003</v>
      </c>
      <c r="K99" s="100">
        <f t="shared" si="6"/>
        <v>0.33750000000000036</v>
      </c>
      <c r="L99" s="100">
        <f t="shared" si="7"/>
        <v>135.33750000000001</v>
      </c>
      <c r="M99" s="100">
        <f t="shared" si="8"/>
        <v>0</v>
      </c>
      <c r="N99" s="100">
        <f t="shared" si="9"/>
        <v>0</v>
      </c>
    </row>
    <row r="100" spans="2:15" x14ac:dyDescent="0.3">
      <c r="B100" s="101" t="s">
        <v>350</v>
      </c>
      <c r="C100" s="101">
        <v>275</v>
      </c>
      <c r="E100" s="100">
        <v>135</v>
      </c>
      <c r="H100" s="100">
        <f t="shared" si="10"/>
        <v>2.0249999999999999</v>
      </c>
      <c r="I100" s="100"/>
      <c r="J100" s="100">
        <f t="shared" si="11"/>
        <v>2.3625000000000003</v>
      </c>
      <c r="K100" s="100">
        <f t="shared" si="6"/>
        <v>0.33750000000000036</v>
      </c>
      <c r="L100" s="100">
        <f t="shared" si="7"/>
        <v>135.33750000000001</v>
      </c>
      <c r="M100" s="100">
        <f t="shared" si="8"/>
        <v>0</v>
      </c>
      <c r="N100" s="100">
        <f t="shared" si="9"/>
        <v>0</v>
      </c>
    </row>
    <row r="101" spans="2:15" x14ac:dyDescent="0.3">
      <c r="B101" s="101" t="s">
        <v>351</v>
      </c>
      <c r="C101" s="101">
        <v>275</v>
      </c>
      <c r="E101" s="100">
        <v>135</v>
      </c>
      <c r="H101" s="100">
        <f t="shared" si="10"/>
        <v>2.0249999999999999</v>
      </c>
      <c r="I101" s="100"/>
      <c r="J101" s="100">
        <f t="shared" si="11"/>
        <v>2.3625000000000003</v>
      </c>
      <c r="K101" s="100">
        <f t="shared" si="6"/>
        <v>0.33750000000000036</v>
      </c>
      <c r="L101" s="100">
        <f t="shared" si="7"/>
        <v>135.33750000000001</v>
      </c>
      <c r="M101" s="100">
        <f t="shared" si="8"/>
        <v>0</v>
      </c>
      <c r="N101" s="100">
        <f t="shared" si="9"/>
        <v>0</v>
      </c>
    </row>
    <row r="102" spans="2:15" x14ac:dyDescent="0.3">
      <c r="B102" s="101" t="s">
        <v>352</v>
      </c>
      <c r="C102" s="101">
        <v>275</v>
      </c>
      <c r="E102" s="100">
        <v>135</v>
      </c>
      <c r="H102" s="100">
        <f t="shared" si="10"/>
        <v>2.0249999999999999</v>
      </c>
      <c r="I102" s="100"/>
      <c r="J102" s="100">
        <f t="shared" si="11"/>
        <v>2.3625000000000003</v>
      </c>
      <c r="K102" s="100">
        <f t="shared" si="6"/>
        <v>0.33750000000000036</v>
      </c>
      <c r="L102" s="100">
        <f t="shared" si="7"/>
        <v>135.33750000000001</v>
      </c>
      <c r="M102" s="100">
        <f t="shared" si="8"/>
        <v>0</v>
      </c>
      <c r="N102" s="100">
        <f t="shared" si="9"/>
        <v>0</v>
      </c>
    </row>
    <row r="103" spans="2:15" x14ac:dyDescent="0.3">
      <c r="B103" s="101" t="s">
        <v>336</v>
      </c>
      <c r="C103" s="101">
        <v>275</v>
      </c>
      <c r="E103" s="100">
        <v>14</v>
      </c>
      <c r="H103" s="100">
        <f t="shared" si="10"/>
        <v>0.21</v>
      </c>
      <c r="I103" s="100"/>
      <c r="J103" s="100">
        <f t="shared" si="11"/>
        <v>0.24500000000000002</v>
      </c>
      <c r="K103" s="100">
        <f t="shared" si="6"/>
        <v>3.5000000000000031E-2</v>
      </c>
      <c r="L103" s="100">
        <f t="shared" si="7"/>
        <v>14.035</v>
      </c>
      <c r="M103" s="100">
        <f t="shared" si="8"/>
        <v>0</v>
      </c>
      <c r="N103" s="100">
        <f t="shared" si="9"/>
        <v>0</v>
      </c>
    </row>
    <row r="104" spans="2:15" x14ac:dyDescent="0.3">
      <c r="B104" s="101" t="s">
        <v>346</v>
      </c>
      <c r="C104" s="101">
        <v>275</v>
      </c>
      <c r="E104" s="100">
        <v>22.5</v>
      </c>
      <c r="H104" s="100">
        <f t="shared" si="10"/>
        <v>0.33749999999999997</v>
      </c>
      <c r="I104" s="100"/>
      <c r="J104" s="100">
        <f t="shared" si="11"/>
        <v>0.39375000000000004</v>
      </c>
      <c r="K104" s="100">
        <f t="shared" si="6"/>
        <v>5.6250000000000078E-2</v>
      </c>
      <c r="L104" s="100">
        <f t="shared" si="7"/>
        <v>22.556249999999999</v>
      </c>
      <c r="M104" s="100">
        <f t="shared" si="8"/>
        <v>0</v>
      </c>
      <c r="N104" s="100">
        <f t="shared" si="9"/>
        <v>0</v>
      </c>
    </row>
    <row r="105" spans="2:15" x14ac:dyDescent="0.3">
      <c r="B105" s="101" t="s">
        <v>347</v>
      </c>
      <c r="C105" s="101">
        <v>275</v>
      </c>
      <c r="E105" s="100">
        <v>3.2</v>
      </c>
      <c r="H105" s="100">
        <f t="shared" si="10"/>
        <v>4.8000000000000001E-2</v>
      </c>
      <c r="I105" s="100"/>
      <c r="J105" s="100">
        <f t="shared" si="11"/>
        <v>5.6000000000000008E-2</v>
      </c>
      <c r="K105" s="100">
        <f t="shared" si="6"/>
        <v>8.0000000000000071E-3</v>
      </c>
      <c r="L105" s="100">
        <f t="shared" si="7"/>
        <v>3.2080000000000002</v>
      </c>
      <c r="M105" s="103">
        <f t="shared" si="8"/>
        <v>0</v>
      </c>
      <c r="N105" s="103">
        <f t="shared" si="9"/>
        <v>0</v>
      </c>
    </row>
    <row r="106" spans="2:15" x14ac:dyDescent="0.3">
      <c r="M106" s="100">
        <f t="shared" ref="M106:N106" si="12">SUM(M8:M105)</f>
        <v>959538.86</v>
      </c>
      <c r="N106" s="100">
        <f t="shared" si="12"/>
        <v>961937.70715000015</v>
      </c>
      <c r="O106" s="145">
        <f>(N106-M106)/N106</f>
        <v>2.4937655860350801E-3</v>
      </c>
    </row>
  </sheetData>
  <mergeCells count="1">
    <mergeCell ref="M6:N6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T58"/>
  <sheetViews>
    <sheetView topLeftCell="A31" zoomScale="85" zoomScaleNormal="85" workbookViewId="0">
      <selection activeCell="E53" sqref="E53"/>
    </sheetView>
  </sheetViews>
  <sheetFormatPr defaultRowHeight="14.4" x14ac:dyDescent="0.3"/>
  <cols>
    <col min="1" max="1" width="37.109375" bestFit="1" customWidth="1"/>
    <col min="2" max="2" width="24.33203125" bestFit="1" customWidth="1"/>
    <col min="3" max="3" width="13.109375" customWidth="1"/>
    <col min="4" max="4" width="11" customWidth="1"/>
    <col min="5" max="5" width="11.109375" customWidth="1"/>
    <col min="6" max="6" width="14.33203125" customWidth="1"/>
    <col min="7" max="7" width="42.109375" bestFit="1" customWidth="1"/>
    <col min="8" max="8" width="12.44140625" bestFit="1" customWidth="1"/>
    <col min="13" max="13" width="25.88671875" bestFit="1" customWidth="1"/>
    <col min="14" max="14" width="22.6640625" bestFit="1" customWidth="1"/>
  </cols>
  <sheetData>
    <row r="1" spans="1:20" s="19" customFormat="1" x14ac:dyDescent="0.3">
      <c r="B1" s="19" t="s">
        <v>112</v>
      </c>
      <c r="G1" s="23"/>
      <c r="M1" s="127" t="s">
        <v>111</v>
      </c>
      <c r="N1" s="127"/>
      <c r="O1" s="127"/>
      <c r="P1" s="127"/>
      <c r="Q1" s="127"/>
      <c r="R1" s="127"/>
      <c r="S1" s="127"/>
      <c r="T1" s="127"/>
    </row>
    <row r="2" spans="1:20" s="19" customFormat="1" ht="28.8" x14ac:dyDescent="0.3">
      <c r="A2" s="19" t="s">
        <v>110</v>
      </c>
      <c r="B2" s="19" t="s">
        <v>109</v>
      </c>
      <c r="C2" s="19" t="s">
        <v>108</v>
      </c>
      <c r="D2" s="19" t="s">
        <v>107</v>
      </c>
      <c r="E2" s="19" t="s">
        <v>106</v>
      </c>
      <c r="M2" s="22" t="s">
        <v>105</v>
      </c>
      <c r="N2" s="20" t="s">
        <v>104</v>
      </c>
      <c r="O2" s="20" t="s">
        <v>103</v>
      </c>
      <c r="P2" s="20" t="s">
        <v>102</v>
      </c>
      <c r="Q2" s="21" t="s">
        <v>101</v>
      </c>
      <c r="R2" s="21" t="s">
        <v>100</v>
      </c>
      <c r="S2" s="21" t="s">
        <v>99</v>
      </c>
      <c r="T2" s="20" t="s">
        <v>98</v>
      </c>
    </row>
    <row r="3" spans="1:20" x14ac:dyDescent="0.3">
      <c r="A3" t="s">
        <v>81</v>
      </c>
      <c r="B3" s="7" t="s">
        <v>97</v>
      </c>
      <c r="C3" s="7">
        <v>20</v>
      </c>
      <c r="D3" s="9">
        <v>14.988000000000001</v>
      </c>
      <c r="E3" s="10"/>
      <c r="L3" s="16">
        <v>5</v>
      </c>
      <c r="M3" s="15" t="s">
        <v>96</v>
      </c>
      <c r="N3" s="14">
        <f>52*5/12</f>
        <v>21.666666666666668</v>
      </c>
      <c r="O3" s="17">
        <f>$N$3*2</f>
        <v>43.333333333333336</v>
      </c>
      <c r="P3" s="17">
        <f>$N$3*3</f>
        <v>65</v>
      </c>
      <c r="Q3" s="17">
        <f>$N$3*4</f>
        <v>86.666666666666671</v>
      </c>
      <c r="R3" s="17">
        <f>$N$3*5</f>
        <v>108.33333333333334</v>
      </c>
      <c r="S3" s="17">
        <f>$N$3*6</f>
        <v>130</v>
      </c>
      <c r="T3" s="17">
        <f>$N$3*7</f>
        <v>151.66666666666669</v>
      </c>
    </row>
    <row r="4" spans="1:20" x14ac:dyDescent="0.3">
      <c r="A4" t="s">
        <v>81</v>
      </c>
      <c r="B4" s="7" t="s">
        <v>95</v>
      </c>
      <c r="C4" s="7">
        <v>34</v>
      </c>
      <c r="D4" s="9">
        <v>25.479600000000001</v>
      </c>
      <c r="E4" s="10"/>
      <c r="L4" s="16">
        <v>4</v>
      </c>
      <c r="M4" s="15" t="s">
        <v>94</v>
      </c>
      <c r="N4" s="14">
        <f>52*4/12</f>
        <v>17.333333333333332</v>
      </c>
      <c r="O4" s="17">
        <f>$N$4*2</f>
        <v>34.666666666666664</v>
      </c>
      <c r="P4" s="17">
        <f>$N$4*3</f>
        <v>52</v>
      </c>
      <c r="Q4" s="17">
        <f>$N$4*4</f>
        <v>69.333333333333329</v>
      </c>
      <c r="R4" s="17">
        <f>$N$4*5</f>
        <v>86.666666666666657</v>
      </c>
      <c r="S4" s="17">
        <f>$N$4*6</f>
        <v>104</v>
      </c>
      <c r="T4" s="17">
        <f>$N$4*7</f>
        <v>121.33333333333333</v>
      </c>
    </row>
    <row r="5" spans="1:20" x14ac:dyDescent="0.3">
      <c r="A5" t="s">
        <v>81</v>
      </c>
      <c r="B5" s="7" t="s">
        <v>93</v>
      </c>
      <c r="C5" s="7">
        <v>51</v>
      </c>
      <c r="D5" s="9">
        <v>38.2194</v>
      </c>
      <c r="E5" s="10"/>
      <c r="H5" s="18"/>
      <c r="L5" s="16">
        <v>3</v>
      </c>
      <c r="M5" s="15" t="s">
        <v>92</v>
      </c>
      <c r="N5" s="14">
        <f>52*3/12</f>
        <v>13</v>
      </c>
      <c r="O5" s="17">
        <f>$N$5*2</f>
        <v>26</v>
      </c>
      <c r="P5" s="17">
        <f>$N$5*3</f>
        <v>39</v>
      </c>
      <c r="Q5" s="17">
        <f>$N$5*4</f>
        <v>52</v>
      </c>
      <c r="R5" s="17">
        <f>$N$5*5</f>
        <v>65</v>
      </c>
      <c r="S5" s="17">
        <f>$N$5*6</f>
        <v>78</v>
      </c>
      <c r="T5" s="17">
        <f>$N$5*7</f>
        <v>91</v>
      </c>
    </row>
    <row r="6" spans="1:20" x14ac:dyDescent="0.3">
      <c r="A6" t="s">
        <v>81</v>
      </c>
      <c r="B6" s="7" t="s">
        <v>91</v>
      </c>
      <c r="C6" s="7">
        <v>77</v>
      </c>
      <c r="D6" s="9">
        <v>57.703800000000008</v>
      </c>
      <c r="E6" s="10"/>
      <c r="L6" s="16">
        <v>2</v>
      </c>
      <c r="M6" s="15" t="s">
        <v>90</v>
      </c>
      <c r="N6" s="14">
        <f>52*2/12</f>
        <v>8.6666666666666661</v>
      </c>
      <c r="O6" s="10">
        <f>$N$6*2</f>
        <v>17.333333333333332</v>
      </c>
      <c r="P6" s="10">
        <f>$N$6*3</f>
        <v>26</v>
      </c>
      <c r="Q6" s="10">
        <f>$N$6*4</f>
        <v>34.666666666666664</v>
      </c>
      <c r="R6" s="10">
        <f>$N$6*5</f>
        <v>43.333333333333329</v>
      </c>
      <c r="S6" s="10">
        <f>$N$6*6</f>
        <v>52</v>
      </c>
      <c r="T6" s="10">
        <f>$N$6*7</f>
        <v>60.666666666666664</v>
      </c>
    </row>
    <row r="7" spans="1:20" x14ac:dyDescent="0.3">
      <c r="A7" t="s">
        <v>81</v>
      </c>
      <c r="B7" s="7" t="s">
        <v>89</v>
      </c>
      <c r="C7" s="7">
        <v>97</v>
      </c>
      <c r="D7" s="9">
        <v>72.691800000000001</v>
      </c>
      <c r="E7" s="10"/>
      <c r="L7" s="16">
        <v>1</v>
      </c>
      <c r="M7" s="15" t="s">
        <v>88</v>
      </c>
      <c r="N7" s="14">
        <f>52/12</f>
        <v>4.333333333333333</v>
      </c>
      <c r="O7" s="10">
        <f>$N$7*2</f>
        <v>8.6666666666666661</v>
      </c>
      <c r="P7" s="10">
        <f>$N$7*3</f>
        <v>13</v>
      </c>
      <c r="Q7" s="10">
        <f>$N$7*4</f>
        <v>17.333333333333332</v>
      </c>
      <c r="R7" s="10">
        <f>$N$7*5</f>
        <v>21.666666666666664</v>
      </c>
      <c r="S7" s="10">
        <f>$N$7*6</f>
        <v>26</v>
      </c>
      <c r="T7" s="10">
        <f>$N$7*7</f>
        <v>30.333333333333332</v>
      </c>
    </row>
    <row r="8" spans="1:20" x14ac:dyDescent="0.3">
      <c r="A8" t="s">
        <v>81</v>
      </c>
      <c r="B8" s="7" t="s">
        <v>87</v>
      </c>
      <c r="C8" s="7">
        <v>117</v>
      </c>
      <c r="D8" s="9">
        <v>87.679800000000014</v>
      </c>
      <c r="E8" s="10"/>
      <c r="L8" s="16">
        <v>0.5</v>
      </c>
      <c r="M8" s="15" t="s">
        <v>86</v>
      </c>
      <c r="N8" s="14">
        <f>26/12</f>
        <v>2.1666666666666665</v>
      </c>
      <c r="O8" s="10">
        <f>$N$8*2</f>
        <v>4.333333333333333</v>
      </c>
      <c r="P8" s="10">
        <f>$N$8*3</f>
        <v>6.5</v>
      </c>
      <c r="Q8" s="10">
        <f>$N$8*4</f>
        <v>8.6666666666666661</v>
      </c>
      <c r="R8" s="10">
        <f>$N$8*5</f>
        <v>10.833333333333332</v>
      </c>
      <c r="S8" s="10">
        <f>$N$8*6</f>
        <v>13</v>
      </c>
      <c r="T8" s="10">
        <f>$N$8*7</f>
        <v>15.166666666666666</v>
      </c>
    </row>
    <row r="9" spans="1:20" x14ac:dyDescent="0.3">
      <c r="A9" t="s">
        <v>81</v>
      </c>
      <c r="B9" s="7" t="s">
        <v>85</v>
      </c>
      <c r="C9" s="7">
        <v>157</v>
      </c>
      <c r="D9" s="9">
        <v>117.65580000000001</v>
      </c>
      <c r="E9" s="10"/>
      <c r="L9" s="16">
        <v>8.3333333333333329E-2</v>
      </c>
      <c r="M9" s="15" t="s">
        <v>84</v>
      </c>
      <c r="N9" s="14">
        <f>12/12</f>
        <v>1</v>
      </c>
      <c r="O9" s="10">
        <f>$N$9*2</f>
        <v>2</v>
      </c>
      <c r="P9" s="10">
        <f>$N$9*3</f>
        <v>3</v>
      </c>
      <c r="Q9" s="10">
        <f>$N$9*4</f>
        <v>4</v>
      </c>
      <c r="R9" s="10">
        <f>$N$9*5</f>
        <v>5</v>
      </c>
      <c r="S9" s="10">
        <f>$N$9*6</f>
        <v>6</v>
      </c>
      <c r="T9" s="10">
        <f>$N$9*7</f>
        <v>7</v>
      </c>
    </row>
    <row r="10" spans="1:20" x14ac:dyDescent="0.3">
      <c r="A10" t="s">
        <v>81</v>
      </c>
      <c r="B10" s="7" t="s">
        <v>43</v>
      </c>
      <c r="C10" s="7">
        <v>37</v>
      </c>
      <c r="D10" s="9">
        <v>27.727800000000002</v>
      </c>
      <c r="E10" s="10" t="s">
        <v>74</v>
      </c>
    </row>
    <row r="11" spans="1:20" x14ac:dyDescent="0.3">
      <c r="A11" t="s">
        <v>81</v>
      </c>
      <c r="B11" s="7" t="s">
        <v>41</v>
      </c>
      <c r="C11" s="7">
        <v>47</v>
      </c>
      <c r="D11" s="13">
        <v>32.5</v>
      </c>
      <c r="E11" s="10"/>
    </row>
    <row r="12" spans="1:20" x14ac:dyDescent="0.3">
      <c r="A12" t="s">
        <v>81</v>
      </c>
      <c r="B12" s="7" t="s">
        <v>15</v>
      </c>
      <c r="C12" s="7">
        <v>68</v>
      </c>
      <c r="D12" s="13">
        <v>54</v>
      </c>
      <c r="E12" s="10"/>
    </row>
    <row r="13" spans="1:20" x14ac:dyDescent="0.3">
      <c r="A13" t="s">
        <v>81</v>
      </c>
      <c r="B13" s="7" t="s">
        <v>83</v>
      </c>
      <c r="C13" s="7">
        <v>34</v>
      </c>
      <c r="D13" s="9">
        <v>25.479600000000001</v>
      </c>
      <c r="E13" s="10"/>
      <c r="M13" s="128" t="s">
        <v>82</v>
      </c>
      <c r="N13" s="128"/>
    </row>
    <row r="14" spans="1:20" x14ac:dyDescent="0.3">
      <c r="A14" t="s">
        <v>81</v>
      </c>
      <c r="B14" s="7" t="s">
        <v>37</v>
      </c>
      <c r="C14" s="7">
        <v>34</v>
      </c>
      <c r="D14" s="13">
        <v>20</v>
      </c>
      <c r="E14" s="10"/>
      <c r="M14" s="12" t="s">
        <v>70</v>
      </c>
      <c r="N14" s="12" t="s">
        <v>69</v>
      </c>
    </row>
    <row r="15" spans="1:20" x14ac:dyDescent="0.3">
      <c r="A15" t="s">
        <v>75</v>
      </c>
      <c r="B15" s="7" t="s">
        <v>63</v>
      </c>
      <c r="C15" s="7">
        <v>29</v>
      </c>
      <c r="D15" s="9">
        <v>21.732600000000001</v>
      </c>
      <c r="E15" s="10"/>
      <c r="M15" t="s">
        <v>68</v>
      </c>
      <c r="N15" s="11" t="s">
        <v>34</v>
      </c>
    </row>
    <row r="16" spans="1:20" x14ac:dyDescent="0.3">
      <c r="A16" t="s">
        <v>75</v>
      </c>
      <c r="B16" s="7" t="s">
        <v>34</v>
      </c>
      <c r="C16" s="7">
        <v>175</v>
      </c>
      <c r="D16" s="9">
        <v>131.14500000000001</v>
      </c>
      <c r="E16" s="10"/>
      <c r="M16" t="s">
        <v>67</v>
      </c>
      <c r="N16" s="11" t="s">
        <v>34</v>
      </c>
    </row>
    <row r="17" spans="1:14" x14ac:dyDescent="0.3">
      <c r="A17" t="s">
        <v>75</v>
      </c>
      <c r="B17" s="7" t="s">
        <v>26</v>
      </c>
      <c r="C17" s="7">
        <v>250</v>
      </c>
      <c r="D17" s="9">
        <v>187.35000000000002</v>
      </c>
      <c r="E17" s="10"/>
      <c r="M17" t="s">
        <v>66</v>
      </c>
      <c r="N17" s="11" t="s">
        <v>26</v>
      </c>
    </row>
    <row r="18" spans="1:14" x14ac:dyDescent="0.3">
      <c r="A18" t="s">
        <v>75</v>
      </c>
      <c r="B18" s="7" t="s">
        <v>31</v>
      </c>
      <c r="C18" s="7">
        <v>324</v>
      </c>
      <c r="D18" s="9">
        <v>242.80560000000003</v>
      </c>
      <c r="E18" s="10"/>
      <c r="M18" t="s">
        <v>64</v>
      </c>
      <c r="N18" s="7" t="s">
        <v>63</v>
      </c>
    </row>
    <row r="19" spans="1:14" x14ac:dyDescent="0.3">
      <c r="A19" t="s">
        <v>75</v>
      </c>
      <c r="B19" s="7" t="s">
        <v>28</v>
      </c>
      <c r="C19" s="7">
        <v>473</v>
      </c>
      <c r="D19" s="9">
        <v>354.46620000000001</v>
      </c>
      <c r="E19" s="10"/>
      <c r="M19" t="s">
        <v>62</v>
      </c>
      <c r="N19" s="7" t="s">
        <v>41</v>
      </c>
    </row>
    <row r="20" spans="1:14" x14ac:dyDescent="0.3">
      <c r="A20" t="s">
        <v>75</v>
      </c>
      <c r="B20" s="7" t="s">
        <v>23</v>
      </c>
      <c r="C20" s="7">
        <v>613</v>
      </c>
      <c r="D20" s="9">
        <v>459.38220000000007</v>
      </c>
      <c r="E20" s="10"/>
      <c r="M20" t="s">
        <v>61</v>
      </c>
      <c r="N20" s="7" t="s">
        <v>15</v>
      </c>
    </row>
    <row r="21" spans="1:14" x14ac:dyDescent="0.3">
      <c r="A21" t="s">
        <v>75</v>
      </c>
      <c r="B21" s="7" t="s">
        <v>20</v>
      </c>
      <c r="C21" s="7">
        <v>840</v>
      </c>
      <c r="D21" s="9">
        <v>629.49600000000009</v>
      </c>
      <c r="E21" s="10"/>
      <c r="M21" t="s">
        <v>47</v>
      </c>
      <c r="N21" s="7" t="s">
        <v>38</v>
      </c>
    </row>
    <row r="22" spans="1:14" x14ac:dyDescent="0.3">
      <c r="A22" t="s">
        <v>75</v>
      </c>
      <c r="B22" s="7" t="s">
        <v>17</v>
      </c>
      <c r="C22" s="7">
        <v>980</v>
      </c>
      <c r="D22" s="9">
        <v>734.41200000000003</v>
      </c>
      <c r="E22" s="10"/>
      <c r="M22" t="s">
        <v>57</v>
      </c>
      <c r="N22" s="7" t="s">
        <v>56</v>
      </c>
    </row>
    <row r="23" spans="1:14" x14ac:dyDescent="0.3">
      <c r="A23" t="s">
        <v>75</v>
      </c>
      <c r="B23" s="7" t="s">
        <v>80</v>
      </c>
      <c r="C23" s="7">
        <v>482</v>
      </c>
      <c r="D23" s="9">
        <v>361.21080000000001</v>
      </c>
      <c r="E23" s="10" t="s">
        <v>74</v>
      </c>
      <c r="M23" t="s">
        <v>35</v>
      </c>
      <c r="N23" s="7" t="s">
        <v>34</v>
      </c>
    </row>
    <row r="24" spans="1:14" x14ac:dyDescent="0.3">
      <c r="A24" t="s">
        <v>75</v>
      </c>
      <c r="B24" s="7" t="s">
        <v>79</v>
      </c>
      <c r="C24" s="7">
        <v>689</v>
      </c>
      <c r="D24" s="9">
        <v>516.33660000000009</v>
      </c>
      <c r="E24" s="10" t="s">
        <v>74</v>
      </c>
      <c r="M24" t="s">
        <v>55</v>
      </c>
      <c r="N24" s="11" t="s">
        <v>34</v>
      </c>
    </row>
    <row r="25" spans="1:14" x14ac:dyDescent="0.3">
      <c r="A25" t="s">
        <v>75</v>
      </c>
      <c r="B25" s="7" t="s">
        <v>60</v>
      </c>
      <c r="C25" s="7">
        <v>892</v>
      </c>
      <c r="D25" s="9">
        <v>668.46480000000008</v>
      </c>
      <c r="E25" s="10" t="s">
        <v>74</v>
      </c>
      <c r="M25" t="s">
        <v>27</v>
      </c>
      <c r="N25" s="7" t="s">
        <v>26</v>
      </c>
    </row>
    <row r="26" spans="1:14" x14ac:dyDescent="0.3">
      <c r="A26" t="s">
        <v>75</v>
      </c>
      <c r="B26" s="7" t="s">
        <v>59</v>
      </c>
      <c r="C26" s="7">
        <v>1301</v>
      </c>
      <c r="D26" s="9">
        <v>974.96940000000006</v>
      </c>
      <c r="E26" s="10"/>
      <c r="M26" t="s">
        <v>32</v>
      </c>
      <c r="N26" s="7" t="s">
        <v>31</v>
      </c>
    </row>
    <row r="27" spans="1:14" x14ac:dyDescent="0.3">
      <c r="A27" t="s">
        <v>75</v>
      </c>
      <c r="B27" s="7" t="s">
        <v>58</v>
      </c>
      <c r="C27" s="7">
        <v>1686</v>
      </c>
      <c r="D27" s="9">
        <v>1263.4884000000002</v>
      </c>
      <c r="E27" s="10"/>
      <c r="M27" t="s">
        <v>29</v>
      </c>
      <c r="N27" s="7" t="s">
        <v>28</v>
      </c>
    </row>
    <row r="28" spans="1:14" x14ac:dyDescent="0.3">
      <c r="A28" t="s">
        <v>75</v>
      </c>
      <c r="B28" s="7" t="s">
        <v>78</v>
      </c>
      <c r="C28" s="7">
        <v>2046</v>
      </c>
      <c r="D28" s="9">
        <v>1533.2724000000001</v>
      </c>
      <c r="E28" s="10"/>
      <c r="M28" t="s">
        <v>24</v>
      </c>
      <c r="N28" s="7" t="s">
        <v>23</v>
      </c>
    </row>
    <row r="29" spans="1:14" x14ac:dyDescent="0.3">
      <c r="A29" t="s">
        <v>75</v>
      </c>
      <c r="B29" s="7" t="s">
        <v>56</v>
      </c>
      <c r="C29" s="7">
        <v>2310</v>
      </c>
      <c r="D29" s="9">
        <v>1731.1140000000003</v>
      </c>
      <c r="E29" s="10"/>
      <c r="M29" t="s">
        <v>21</v>
      </c>
      <c r="N29" s="7" t="s">
        <v>20</v>
      </c>
    </row>
    <row r="30" spans="1:14" x14ac:dyDescent="0.3">
      <c r="A30" t="s">
        <v>75</v>
      </c>
      <c r="B30" s="7" t="s">
        <v>77</v>
      </c>
      <c r="C30" s="7">
        <v>2800</v>
      </c>
      <c r="D30" s="9">
        <v>2098.3200000000002</v>
      </c>
      <c r="E30" s="10" t="s">
        <v>74</v>
      </c>
      <c r="M30" t="s">
        <v>18</v>
      </c>
      <c r="N30" s="7" t="s">
        <v>17</v>
      </c>
    </row>
    <row r="31" spans="1:14" x14ac:dyDescent="0.3">
      <c r="A31" t="s">
        <v>75</v>
      </c>
      <c r="B31" s="7" t="s">
        <v>38</v>
      </c>
      <c r="C31" s="7">
        <v>125</v>
      </c>
      <c r="D31" s="9">
        <v>93.675000000000011</v>
      </c>
      <c r="M31" t="s">
        <v>76</v>
      </c>
      <c r="N31" s="7" t="s">
        <v>72</v>
      </c>
    </row>
    <row r="32" spans="1:14" x14ac:dyDescent="0.3">
      <c r="A32" t="s">
        <v>75</v>
      </c>
      <c r="B32" s="7" t="s">
        <v>54</v>
      </c>
      <c r="C32" s="7">
        <v>206.25</v>
      </c>
      <c r="D32" s="9">
        <v>154.56375000000003</v>
      </c>
      <c r="E32" s="8" t="s">
        <v>74</v>
      </c>
      <c r="M32" t="s">
        <v>73</v>
      </c>
      <c r="N32" s="7" t="s">
        <v>72</v>
      </c>
    </row>
    <row r="33" spans="1:14" x14ac:dyDescent="0.3">
      <c r="M33" t="s">
        <v>44</v>
      </c>
      <c r="N33" s="7" t="s">
        <v>43</v>
      </c>
    </row>
    <row r="34" spans="1:14" x14ac:dyDescent="0.3">
      <c r="D34" s="8" t="s">
        <v>71</v>
      </c>
      <c r="M34" t="s">
        <v>42</v>
      </c>
      <c r="N34" s="7" t="s">
        <v>41</v>
      </c>
    </row>
    <row r="35" spans="1:14" x14ac:dyDescent="0.3">
      <c r="M35" t="s">
        <v>16</v>
      </c>
      <c r="N35" s="7" t="s">
        <v>15</v>
      </c>
    </row>
    <row r="36" spans="1:14" x14ac:dyDescent="0.3">
      <c r="M36" t="s">
        <v>40</v>
      </c>
      <c r="N36" s="7" t="s">
        <v>37</v>
      </c>
    </row>
    <row r="39" spans="1:14" x14ac:dyDescent="0.3">
      <c r="A39" s="24" t="s">
        <v>131</v>
      </c>
      <c r="B39" s="25" t="s">
        <v>12</v>
      </c>
      <c r="C39" s="25" t="s">
        <v>113</v>
      </c>
      <c r="D39" s="15"/>
      <c r="E39" s="15"/>
      <c r="F39" s="129" t="s">
        <v>114</v>
      </c>
      <c r="G39" s="129"/>
      <c r="H39" s="15"/>
      <c r="I39" s="15"/>
    </row>
    <row r="40" spans="1:14" x14ac:dyDescent="0.3">
      <c r="A40" s="26" t="s">
        <v>13</v>
      </c>
      <c r="B40" s="27">
        <v>51.96</v>
      </c>
      <c r="C40" s="28">
        <f>B40/2000</f>
        <v>2.598E-2</v>
      </c>
      <c r="D40" s="15"/>
      <c r="E40" s="15"/>
      <c r="F40" s="15" t="s">
        <v>115</v>
      </c>
      <c r="G40" s="94">
        <f>0.0175</f>
        <v>1.7500000000000002E-2</v>
      </c>
      <c r="H40" s="15"/>
      <c r="I40" s="15"/>
    </row>
    <row r="41" spans="1:14" x14ac:dyDescent="0.3">
      <c r="A41" s="26" t="s">
        <v>14</v>
      </c>
      <c r="B41" s="29">
        <v>53.26</v>
      </c>
      <c r="C41" s="30">
        <f>B41/2000</f>
        <v>2.6629999999999997E-2</v>
      </c>
      <c r="D41" s="15"/>
      <c r="E41" s="15"/>
      <c r="F41" s="15" t="s">
        <v>116</v>
      </c>
      <c r="G41" s="31">
        <v>5.1000000000000004E-3</v>
      </c>
      <c r="H41" s="15"/>
      <c r="I41" s="15"/>
    </row>
    <row r="42" spans="1:14" x14ac:dyDescent="0.3">
      <c r="A42" s="7" t="s">
        <v>5</v>
      </c>
      <c r="B42" s="27">
        <f>B41-B40</f>
        <v>1.2999999999999972</v>
      </c>
      <c r="C42" s="32">
        <f>C41-C40</f>
        <v>6.499999999999978E-4</v>
      </c>
      <c r="D42" s="15"/>
      <c r="E42" s="15"/>
      <c r="F42" s="15" t="s">
        <v>117</v>
      </c>
      <c r="G42" s="33"/>
      <c r="H42" s="15"/>
      <c r="I42" s="15"/>
    </row>
    <row r="43" spans="1:14" x14ac:dyDescent="0.3">
      <c r="A43" s="15"/>
      <c r="B43" s="15"/>
      <c r="C43" s="15"/>
      <c r="D43" s="15"/>
      <c r="E43" s="15"/>
      <c r="F43" s="15" t="s">
        <v>118</v>
      </c>
      <c r="G43" s="34">
        <f>SUM(G40:G42)</f>
        <v>2.2600000000000002E-2</v>
      </c>
      <c r="H43" s="15"/>
      <c r="I43" s="15"/>
    </row>
    <row r="44" spans="1:14" x14ac:dyDescent="0.3">
      <c r="A44" s="15"/>
      <c r="B44" s="35" t="s">
        <v>119</v>
      </c>
      <c r="C44" s="15"/>
      <c r="D44" s="15"/>
      <c r="E44" s="15"/>
      <c r="F44" s="15"/>
      <c r="G44" s="15"/>
      <c r="H44" s="15"/>
      <c r="I44" s="15"/>
    </row>
    <row r="45" spans="1:14" x14ac:dyDescent="0.3">
      <c r="A45" s="15" t="s">
        <v>120</v>
      </c>
      <c r="B45" s="36">
        <f>B42</f>
        <v>1.2999999999999972</v>
      </c>
      <c r="C45" s="15"/>
      <c r="D45" s="15"/>
      <c r="E45" s="15"/>
      <c r="F45" s="15" t="s">
        <v>121</v>
      </c>
      <c r="G45" s="37">
        <f>1-G43</f>
        <v>0.97740000000000005</v>
      </c>
      <c r="H45" s="15"/>
      <c r="I45" s="15"/>
    </row>
    <row r="46" spans="1:14" x14ac:dyDescent="0.3">
      <c r="A46" s="15" t="s">
        <v>122</v>
      </c>
      <c r="B46" s="36">
        <f>B45/$G$45</f>
        <v>1.330059341109062</v>
      </c>
      <c r="C46" s="15"/>
      <c r="D46" s="15"/>
      <c r="E46" s="15"/>
      <c r="F46" s="15"/>
      <c r="G46" s="15"/>
      <c r="H46" s="15"/>
      <c r="I46" s="15"/>
    </row>
    <row r="47" spans="1:14" x14ac:dyDescent="0.3">
      <c r="A47" s="15" t="s">
        <v>123</v>
      </c>
      <c r="B47" s="38">
        <f>'Tonnage Summary'!B2</f>
        <v>13378.365901423074</v>
      </c>
      <c r="C47" s="15"/>
      <c r="D47" s="15"/>
      <c r="E47" s="15"/>
      <c r="F47" s="15"/>
      <c r="G47" s="15"/>
      <c r="H47" s="15"/>
      <c r="I47" s="15"/>
    </row>
    <row r="48" spans="1:14" x14ac:dyDescent="0.3">
      <c r="A48" s="39" t="s">
        <v>124</v>
      </c>
      <c r="B48" s="40">
        <f>B46*B47</f>
        <v>17794.020535962718</v>
      </c>
      <c r="C48" s="15"/>
      <c r="D48" s="15"/>
      <c r="E48" s="15"/>
      <c r="F48" s="15"/>
      <c r="G48" s="15"/>
      <c r="H48" s="15"/>
      <c r="I48" s="15"/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3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5" thickBot="1" x14ac:dyDescent="0.3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3">
      <c r="A52" s="41" t="s">
        <v>125</v>
      </c>
      <c r="B52" s="42" t="s">
        <v>126</v>
      </c>
      <c r="C52" s="15"/>
      <c r="D52" s="36"/>
      <c r="E52" s="15"/>
      <c r="F52" s="15"/>
      <c r="G52" s="15"/>
      <c r="H52" s="15"/>
      <c r="I52" s="15"/>
    </row>
    <row r="53" spans="1:9" x14ac:dyDescent="0.3">
      <c r="A53" s="43" t="s">
        <v>127</v>
      </c>
      <c r="B53" s="44">
        <f>'BDI_Disp Increase Calculation'!U55</f>
        <v>17795.88053596258</v>
      </c>
      <c r="C53" s="15"/>
      <c r="D53" s="15"/>
      <c r="E53" s="15"/>
      <c r="F53" s="15"/>
      <c r="G53" s="15"/>
      <c r="H53" s="15"/>
      <c r="I53" s="15"/>
    </row>
    <row r="54" spans="1:9" x14ac:dyDescent="0.3">
      <c r="A54" s="43" t="s">
        <v>128</v>
      </c>
      <c r="B54" s="44">
        <f>B53-B48</f>
        <v>1.8599999998623389</v>
      </c>
      <c r="C54" s="15"/>
      <c r="D54" s="15"/>
      <c r="E54" s="15"/>
      <c r="F54" s="15"/>
      <c r="G54" s="15"/>
      <c r="H54" s="15"/>
      <c r="I54" s="15"/>
    </row>
    <row r="55" spans="1:9" x14ac:dyDescent="0.3">
      <c r="A55" s="43"/>
      <c r="B55" s="45"/>
      <c r="C55" s="15"/>
      <c r="D55" s="15"/>
      <c r="E55" s="15"/>
      <c r="F55" s="15"/>
      <c r="G55" s="15"/>
      <c r="H55" s="15"/>
      <c r="I55" s="15"/>
    </row>
    <row r="56" spans="1:9" x14ac:dyDescent="0.3">
      <c r="A56" s="46" t="s">
        <v>129</v>
      </c>
      <c r="B56" s="47" t="s">
        <v>126</v>
      </c>
      <c r="C56" s="15"/>
      <c r="D56" s="15"/>
      <c r="E56" s="15"/>
      <c r="F56" s="15"/>
      <c r="G56" s="15"/>
      <c r="H56" s="15"/>
      <c r="I56" s="15"/>
    </row>
    <row r="57" spans="1:9" x14ac:dyDescent="0.3">
      <c r="A57" s="43" t="s">
        <v>130</v>
      </c>
      <c r="B57" s="48">
        <f>'BDI_Disp Increase Calculation'!U55</f>
        <v>17795.88053596258</v>
      </c>
      <c r="C57" s="15"/>
      <c r="D57" s="15"/>
      <c r="E57" s="15"/>
      <c r="F57" s="15"/>
      <c r="G57" s="15"/>
      <c r="H57" s="15"/>
      <c r="I57" s="15"/>
    </row>
    <row r="58" spans="1:9" ht="15" thickBot="1" x14ac:dyDescent="0.35">
      <c r="A58" s="49" t="s">
        <v>128</v>
      </c>
      <c r="B58" s="50">
        <f>B57-B48</f>
        <v>1.8599999998623389</v>
      </c>
      <c r="C58" s="36">
        <f>B54-B58</f>
        <v>0</v>
      </c>
      <c r="D58" s="15"/>
      <c r="E58" s="15"/>
      <c r="F58" s="15"/>
      <c r="G58" s="15"/>
      <c r="H58" s="15"/>
      <c r="I58" s="15"/>
    </row>
  </sheetData>
  <mergeCells count="3">
    <mergeCell ref="M1:T1"/>
    <mergeCell ref="M13:N13"/>
    <mergeCell ref="F39:G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2"/>
  <sheetViews>
    <sheetView workbookViewId="0">
      <selection activeCell="H17" sqref="H17"/>
    </sheetView>
  </sheetViews>
  <sheetFormatPr defaultRowHeight="14.4" x14ac:dyDescent="0.3"/>
  <cols>
    <col min="1" max="1" width="22" customWidth="1"/>
    <col min="7" max="7" width="2.33203125" customWidth="1"/>
    <col min="9" max="9" width="2.33203125" customWidth="1"/>
    <col min="11" max="11" width="2.33203125" customWidth="1"/>
    <col min="12" max="12" width="10.109375" bestFit="1" customWidth="1"/>
    <col min="13" max="13" width="8.88671875" customWidth="1"/>
    <col min="14" max="14" width="2.109375" customWidth="1"/>
    <col min="15" max="15" width="10" bestFit="1" customWidth="1"/>
    <col min="16" max="16" width="2.44140625" customWidth="1"/>
    <col min="17" max="17" width="10" bestFit="1" customWidth="1"/>
    <col min="18" max="18" width="2" customWidth="1"/>
    <col min="19" max="19" width="7.88671875" bestFit="1" customWidth="1"/>
    <col min="20" max="20" width="1.6640625" customWidth="1"/>
    <col min="21" max="21" width="10.109375" bestFit="1" customWidth="1"/>
  </cols>
  <sheetData>
    <row r="1" spans="1:25" ht="18" x14ac:dyDescent="0.3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31" t="s">
        <v>0</v>
      </c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/>
    </row>
    <row r="2" spans="1:25" ht="18" x14ac:dyDescent="0.3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34" t="s">
        <v>1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</row>
    <row r="3" spans="1:25" ht="18" x14ac:dyDescent="0.35">
      <c r="A3" s="136">
        <v>44197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  <c r="M3" s="137">
        <v>44197</v>
      </c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</row>
    <row r="4" spans="1:25" ht="18" x14ac:dyDescent="0.35">
      <c r="A4" s="133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134" t="s">
        <v>261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</row>
    <row r="5" spans="1:25" x14ac:dyDescent="0.3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6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6"/>
    </row>
    <row r="6" spans="1:25" x14ac:dyDescent="0.3">
      <c r="A6" s="104"/>
      <c r="B6" s="105"/>
      <c r="C6" s="105"/>
      <c r="D6" s="105"/>
      <c r="E6" s="105"/>
      <c r="F6" s="107" t="s">
        <v>3</v>
      </c>
      <c r="G6" s="107"/>
      <c r="H6" s="107" t="s">
        <v>4</v>
      </c>
      <c r="I6" s="107"/>
      <c r="J6" s="107" t="s">
        <v>5</v>
      </c>
      <c r="K6" s="105"/>
      <c r="L6" s="114" t="s">
        <v>5</v>
      </c>
      <c r="M6" s="107"/>
      <c r="N6" s="105"/>
      <c r="O6" s="107" t="s">
        <v>3</v>
      </c>
      <c r="P6" s="107"/>
      <c r="Q6" s="107" t="s">
        <v>4</v>
      </c>
      <c r="R6" s="107"/>
      <c r="S6" s="107" t="s">
        <v>5</v>
      </c>
      <c r="T6" s="105"/>
      <c r="U6" s="107" t="s">
        <v>5</v>
      </c>
      <c r="V6" s="105"/>
      <c r="W6" s="105"/>
      <c r="X6" s="106"/>
    </row>
    <row r="7" spans="1:25" x14ac:dyDescent="0.3">
      <c r="A7" s="104"/>
      <c r="B7" s="105"/>
      <c r="C7" s="105"/>
      <c r="D7" s="105"/>
      <c r="E7" s="105"/>
      <c r="F7" s="107" t="s">
        <v>6</v>
      </c>
      <c r="G7" s="107"/>
      <c r="H7" s="107" t="s">
        <v>6</v>
      </c>
      <c r="I7" s="107"/>
      <c r="J7" s="107" t="s">
        <v>7</v>
      </c>
      <c r="K7" s="105"/>
      <c r="L7" s="114" t="s">
        <v>8</v>
      </c>
      <c r="M7" s="107"/>
      <c r="N7" s="105"/>
      <c r="O7" s="107" t="s">
        <v>6</v>
      </c>
      <c r="P7" s="107"/>
      <c r="Q7" s="107" t="s">
        <v>6</v>
      </c>
      <c r="R7" s="107"/>
      <c r="S7" s="107" t="s">
        <v>7</v>
      </c>
      <c r="T7" s="105"/>
      <c r="U7" s="107" t="s">
        <v>8</v>
      </c>
      <c r="V7" s="105"/>
      <c r="W7" s="105"/>
      <c r="X7" s="106"/>
    </row>
    <row r="8" spans="1:25" ht="15" thickBot="1" x14ac:dyDescent="0.35">
      <c r="A8" s="104" t="s">
        <v>9</v>
      </c>
      <c r="B8" s="105"/>
      <c r="C8" s="105"/>
      <c r="D8" s="105"/>
      <c r="E8" s="105"/>
      <c r="F8" s="115">
        <f>'BDI_Disp Increase Calculation'!S15</f>
        <v>1474102.5600000003</v>
      </c>
      <c r="G8" s="105"/>
      <c r="H8" s="115">
        <f>'BDI_Disp Increase Calculation'!T15</f>
        <v>1483702.7572119297</v>
      </c>
      <c r="I8" s="105"/>
      <c r="J8" s="115">
        <f>+H8-F8</f>
        <v>9600.1972119293641</v>
      </c>
      <c r="K8" s="105"/>
      <c r="L8" s="116">
        <f>+H8/F8-1</f>
        <v>6.5125707480824246E-3</v>
      </c>
      <c r="M8" s="113"/>
      <c r="N8" s="108"/>
      <c r="O8" s="109">
        <f>'B&amp;O Tax Increase Calculations'!M106</f>
        <v>959538.86</v>
      </c>
      <c r="P8" s="108"/>
      <c r="Q8" s="109">
        <f>'B&amp;O Tax Increase Calculations'!N106</f>
        <v>961937.70715000015</v>
      </c>
      <c r="R8" s="108"/>
      <c r="S8" s="110">
        <f>Q8-O8</f>
        <v>2398.8471500001615</v>
      </c>
      <c r="T8" s="108"/>
      <c r="U8" s="111">
        <f>(Q8-O8)/O8</f>
        <v>2.5000000000001683E-3</v>
      </c>
      <c r="V8" s="108"/>
      <c r="W8" s="110"/>
      <c r="X8" s="112"/>
      <c r="Y8" s="3"/>
    </row>
    <row r="9" spans="1:25" x14ac:dyDescent="0.3">
      <c r="A9" s="104" t="s">
        <v>10</v>
      </c>
      <c r="B9" s="105"/>
      <c r="C9" s="105"/>
      <c r="D9" s="105"/>
      <c r="E9" s="105"/>
      <c r="F9" s="115">
        <f>'BDI_Disp Increase Calculation'!S54</f>
        <v>1038780.4199999998</v>
      </c>
      <c r="G9" s="105"/>
      <c r="H9" s="115">
        <f>'BDI_Disp Increase Calculation'!T54</f>
        <v>1046976.1033240329</v>
      </c>
      <c r="I9" s="105"/>
      <c r="J9" s="115">
        <f>+H9-F9</f>
        <v>8195.6833240330452</v>
      </c>
      <c r="K9" s="105"/>
      <c r="L9" s="116">
        <f>+H9/F9-1</f>
        <v>7.8897167931148982E-3</v>
      </c>
    </row>
    <row r="10" spans="1:25" x14ac:dyDescent="0.3">
      <c r="A10" s="104" t="s">
        <v>136</v>
      </c>
      <c r="B10" s="115">
        <f>'Tonnage Summary'!$B$3</f>
        <v>21385.176175121844</v>
      </c>
      <c r="C10" s="105"/>
      <c r="D10" s="105"/>
      <c r="E10" s="105"/>
      <c r="F10" s="4">
        <f>'Tonnage Summary'!$B$3*D20</f>
        <v>1111173.754059331</v>
      </c>
      <c r="G10" s="115"/>
      <c r="H10" s="4">
        <f>'Tonnage Summary'!$B$3*D21</f>
        <v>1138974.4830869893</v>
      </c>
      <c r="I10" s="105"/>
      <c r="J10" s="4">
        <f>+H10-F10</f>
        <v>27800.729027658235</v>
      </c>
      <c r="K10" s="105"/>
      <c r="L10" s="117">
        <f>+H10/F10-1</f>
        <v>2.5019245573517868E-2</v>
      </c>
    </row>
    <row r="11" spans="1:25" x14ac:dyDescent="0.3">
      <c r="A11" s="104"/>
      <c r="B11" s="105"/>
      <c r="C11" s="105"/>
      <c r="D11" s="105"/>
      <c r="E11" s="105"/>
      <c r="F11" s="115">
        <f>SUM(F8:F10)</f>
        <v>3624056.734059331</v>
      </c>
      <c r="G11" s="115"/>
      <c r="H11" s="115">
        <f>SUM(H8:H10)</f>
        <v>3669653.3436229518</v>
      </c>
      <c r="I11" s="115"/>
      <c r="J11" s="115">
        <f>SUM(J8:J10)</f>
        <v>45596.609563620645</v>
      </c>
      <c r="K11" s="105"/>
      <c r="L11" s="116">
        <f>+H11/F11-1</f>
        <v>1.258164893918412E-2</v>
      </c>
    </row>
    <row r="12" spans="1:25" x14ac:dyDescent="0.3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25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25" x14ac:dyDescent="0.3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25" x14ac:dyDescent="0.3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6"/>
    </row>
    <row r="16" spans="1:25" x14ac:dyDescent="0.3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x14ac:dyDescent="0.3">
      <c r="A17" s="104" t="s">
        <v>11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2" x14ac:dyDescent="0.3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2" x14ac:dyDescent="0.3">
      <c r="A19" s="118" t="s">
        <v>250</v>
      </c>
      <c r="B19" s="105"/>
      <c r="C19" s="105"/>
      <c r="D19" s="5" t="s">
        <v>12</v>
      </c>
      <c r="E19" s="105"/>
      <c r="F19" s="105"/>
      <c r="G19" s="105"/>
      <c r="H19" s="105"/>
      <c r="I19" s="105"/>
      <c r="J19" s="105"/>
      <c r="K19" s="105"/>
      <c r="L19" s="106"/>
    </row>
    <row r="20" spans="1:12" x14ac:dyDescent="0.3">
      <c r="A20" s="119" t="s">
        <v>13</v>
      </c>
      <c r="B20" s="105"/>
      <c r="C20" s="105"/>
      <c r="D20" s="120">
        <f>References_BDI!B40</f>
        <v>51.96</v>
      </c>
      <c r="E20" s="105"/>
      <c r="F20" s="105"/>
      <c r="G20" s="105"/>
      <c r="H20" s="105"/>
      <c r="I20" s="105"/>
      <c r="J20" s="105"/>
      <c r="K20" s="105"/>
      <c r="L20" s="106"/>
    </row>
    <row r="21" spans="1:12" x14ac:dyDescent="0.3">
      <c r="A21" s="119" t="s">
        <v>14</v>
      </c>
      <c r="B21" s="105"/>
      <c r="C21" s="105"/>
      <c r="D21" s="6">
        <f>References_BDI!B41</f>
        <v>53.26</v>
      </c>
      <c r="E21" s="105"/>
      <c r="F21" s="105"/>
      <c r="G21" s="105"/>
      <c r="H21" s="105"/>
      <c r="I21" s="105"/>
      <c r="J21" s="105"/>
      <c r="K21" s="105"/>
      <c r="L21" s="106"/>
    </row>
    <row r="22" spans="1:12" ht="15" thickBot="1" x14ac:dyDescent="0.35">
      <c r="A22" s="121" t="s">
        <v>5</v>
      </c>
      <c r="B22" s="108"/>
      <c r="C22" s="108"/>
      <c r="D22" s="122">
        <f>D21-D20</f>
        <v>1.2999999999999972</v>
      </c>
      <c r="E22" s="108"/>
      <c r="F22" s="108"/>
      <c r="G22" s="108"/>
      <c r="H22" s="108"/>
      <c r="I22" s="108"/>
      <c r="J22" s="108"/>
      <c r="K22" s="108"/>
      <c r="L22" s="112"/>
    </row>
  </sheetData>
  <mergeCells count="8">
    <mergeCell ref="A1:L1"/>
    <mergeCell ref="A2:L2"/>
    <mergeCell ref="A3:L3"/>
    <mergeCell ref="A4:L4"/>
    <mergeCell ref="M1:X1"/>
    <mergeCell ref="M2:X2"/>
    <mergeCell ref="M3:X3"/>
    <mergeCell ref="M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"/>
  <sheetViews>
    <sheetView workbookViewId="0">
      <selection activeCell="D15" sqref="D15"/>
    </sheetView>
  </sheetViews>
  <sheetFormatPr defaultRowHeight="14.4" x14ac:dyDescent="0.3"/>
  <cols>
    <col min="1" max="1" width="12.5546875" customWidth="1"/>
  </cols>
  <sheetData>
    <row r="1" spans="1:4" x14ac:dyDescent="0.3">
      <c r="B1" s="62" t="s">
        <v>132</v>
      </c>
      <c r="C1" s="62" t="s">
        <v>133</v>
      </c>
      <c r="D1" s="62" t="s">
        <v>118</v>
      </c>
    </row>
    <row r="2" spans="1:4" x14ac:dyDescent="0.3">
      <c r="A2" s="61" t="s">
        <v>134</v>
      </c>
      <c r="B2" s="63">
        <f>+[16]UnitAllocation!$E$2+[16]UnitAllocation!$F$2+[16]UnitAllocation!$G$2+[16]UnitAllocation!$I$2</f>
        <v>13378.365901423074</v>
      </c>
      <c r="C2" s="63">
        <f>+[16]UnitAllocation!$H$2</f>
        <v>7321.8417845646463</v>
      </c>
      <c r="D2" s="63">
        <f>SUM(B2:C2)</f>
        <v>20700.20768598772</v>
      </c>
    </row>
    <row r="3" spans="1:4" x14ac:dyDescent="0.3">
      <c r="A3" s="61" t="s">
        <v>135</v>
      </c>
      <c r="B3" s="63">
        <v>21385.176175121844</v>
      </c>
      <c r="C3" s="63">
        <v>2984.2135544971202</v>
      </c>
      <c r="D3" s="63">
        <f>SUM(B3:C3)</f>
        <v>24369.389729618964</v>
      </c>
    </row>
    <row r="4" spans="1:4" x14ac:dyDescent="0.3">
      <c r="A4" s="61" t="s">
        <v>118</v>
      </c>
      <c r="B4" s="63">
        <f>SUM(B2:B3)</f>
        <v>34763.542076544916</v>
      </c>
      <c r="C4" s="63">
        <f>SUM(C2:C3)</f>
        <v>10306.055339061766</v>
      </c>
      <c r="D4" s="63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2020-11-16T08:00:00+00:00</OpenedDate>
    <SignificantOrder xmlns="dc463f71-b30c-4ab2-9473-d307f9d35888">false</SignificantOrder>
    <Date1 xmlns="dc463f71-b30c-4ab2-9473-d307f9d35888">2020-11-16T08:00:00+00:00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200931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E301FB0D72454681DC89E5938912F3" ma:contentTypeVersion="19" ma:contentTypeDescription="" ma:contentTypeScope="" ma:versionID="e1b945ea2011ff1ec1501b2857e4ec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6CA06AD9D5DB4F9655B27517D4159D" ma:contentTypeVersion="44" ma:contentTypeDescription="" ma:contentTypeScope="" ma:versionID="9e1c79bde4a7f33c232698c82841f6b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191A19-BF4A-45AB-8D10-6F212F01E0CB}">
  <ds:schemaRefs>
    <ds:schemaRef ds:uri="dc463f71-b30c-4ab2-9473-d307f9d35888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ED75DDB-9650-4209-B2C2-EAACD7E4A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85E7CF-2E31-4F2C-8D67-F54A7FCA6DFA}"/>
</file>

<file path=customXml/itemProps4.xml><?xml version="1.0" encoding="utf-8"?>
<ds:datastoreItem xmlns:ds="http://schemas.openxmlformats.org/officeDocument/2006/customXml" ds:itemID="{07F71FB8-CD16-4C85-AC16-8EB0ECEBC2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E42BB49-05B5-4E5F-8F27-C67C35107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BDI_Disp Increase Calculation</vt:lpstr>
      <vt:lpstr>B&amp;O Tax Increase Calculations</vt:lpstr>
      <vt:lpstr>References_BDI</vt:lpstr>
      <vt:lpstr>BDI_RevenueIncrease</vt:lpstr>
      <vt:lpstr>Tonnage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Francisco Alcala</cp:lastModifiedBy>
  <dcterms:created xsi:type="dcterms:W3CDTF">2018-10-09T22:34:20Z</dcterms:created>
  <dcterms:modified xsi:type="dcterms:W3CDTF">2020-11-13T18:44:17Z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0x0101006E56B4D1795A2E4DB2F0B01679ED314A00C56CA06AD9D5DB4F9655B27517D4159D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