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tabRatio="886" activeTab="1"/>
  </bookViews>
  <sheets>
    <sheet name="References" sheetId="1" r:id="rId1"/>
    <sheet name="Calcs" sheetId="2" r:id="rId2"/>
  </sheets>
  <definedNames>
    <definedName name="_xlfn.IFERROR" hidden="1">#NAME?</definedName>
    <definedName name="_xlnm.Print_Area" localSheetId="1">'Calcs'!$C$1:$S$92</definedName>
    <definedName name="_xlnm.Print_Titles" localSheetId="1">'Calcs'!$1:$1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Mike Young</author>
  </authors>
  <commentList>
    <comment ref="Q41" authorId="0">
      <text>
        <r>
          <rPr>
            <b/>
            <sz val="9"/>
            <rFont val="Tahoma"/>
            <family val="2"/>
          </rPr>
          <t>Mike Young:</t>
        </r>
        <r>
          <rPr>
            <sz val="9"/>
            <rFont val="Tahoma"/>
            <family val="2"/>
          </rPr>
          <t xml:space="preserve">
check this on revised tariff pages</t>
        </r>
      </text>
    </comment>
  </commentList>
</comments>
</file>

<file path=xl/sharedStrings.xml><?xml version="1.0" encoding="utf-8"?>
<sst xmlns="http://schemas.openxmlformats.org/spreadsheetml/2006/main" count="227" uniqueCount="193">
  <si>
    <t>Total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</si>
  <si>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</si>
  <si>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</si>
  <si>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</si>
  <si>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</si>
  <si>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</si>
  <si>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</si>
  <si>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</si>
  <si>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</si>
  <si>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</si>
  <si>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</si>
  <si>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</si>
  <si>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</si>
  <si>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</si>
  <si>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</si>
  <si>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</si>
  <si>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</si>
  <si>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</si>
  <si>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</si>
  <si>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</si>
  <si>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</si>
  <si>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</si>
  <si>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</si>
  <si>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</si>
  <si>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</si>
  <si>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</si>
  <si>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</si>
  <si>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</si>
  <si>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</si>
  <si>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</si>
  <si>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</si>
  <si>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</si>
  <si>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</si>
  <si>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</si>
  <si>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</si>
  <si>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</si>
  <si>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</si>
  <si>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</si>
  <si>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</si>
  <si>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</si>
  <si>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</si>
  <si>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</si>
  <si>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</si>
  <si>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</si>
  <si>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</si>
  <si>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</si>
  <si>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</si>
  <si>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</si>
  <si>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</si>
  <si>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</si>
  <si>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</si>
  <si>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</si>
  <si>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</si>
  <si>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</si>
  <si>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</si>
  <si>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</si>
  <si>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</si>
  <si>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</si>
  <si>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</si>
  <si>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</si>
  <si>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</si>
  <si>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</si>
  <si>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</si>
  <si>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</si>
  <si>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</si>
  <si>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</si>
  <si>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</si>
  <si>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</si>
  <si>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</si>
  <si>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</si>
  <si>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</si>
  <si>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</si>
  <si>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</si>
  <si>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Staff Revised Rates</t>
  </si>
  <si>
    <t>Revenue from Revised Rates</t>
  </si>
  <si>
    <t>Tariff Page</t>
  </si>
  <si>
    <t>Scheduled Service</t>
  </si>
  <si>
    <t>Monthly Customers</t>
  </si>
  <si>
    <t>Annual PU's</t>
  </si>
  <si>
    <t>Adjusted Annual Pounds</t>
  </si>
  <si>
    <t>Gross Up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</si>
  <si>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</si>
  <si>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</si>
  <si>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</si>
  <si>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</si>
  <si>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</si>
  <si>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</si>
  <si>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</si>
  <si>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</si>
  <si>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</si>
  <si>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Total Tonnage</t>
  </si>
  <si>
    <t>Total Pounds</t>
  </si>
  <si>
    <t>Total Pick Ups</t>
  </si>
  <si>
    <t>Adjustment factor</t>
  </si>
  <si>
    <t>C3M 32 GAL CAN MSW 1X MO</t>
  </si>
  <si>
    <t>T5M 35 GAL CART MSW 1X MO</t>
  </si>
  <si>
    <t>C21 1-20 GAL MINI CAN MSW</t>
  </si>
  <si>
    <t>C2T 20 GAL CART MSW</t>
  </si>
  <si>
    <t>C31 1-32 GAL CAN MSW</t>
  </si>
  <si>
    <t>C32 2-32 GAL CANS MSW</t>
  </si>
  <si>
    <t>C33 3-32 GAL CANS MSW</t>
  </si>
  <si>
    <t>C34 4-32 GAL CANS MSW</t>
  </si>
  <si>
    <t>C35 5-32 GAL CANS MSW</t>
  </si>
  <si>
    <t>T51 1-35 GAL CART MSW</t>
  </si>
  <si>
    <t>T52 2-35 GAL CARTS MSW</t>
  </si>
  <si>
    <t>T53 3-35 GAL CARTS MSW</t>
  </si>
  <si>
    <t>T54 4-35 GAL CARTS MSW</t>
  </si>
  <si>
    <t>T61 1-64 GAL CART MSW</t>
  </si>
  <si>
    <t>T62 2-64 GAL CARTS MSW</t>
  </si>
  <si>
    <t>T63 3-64 GAL CARTS MSW</t>
  </si>
  <si>
    <t>T91 1-96 GAL CART MSW</t>
  </si>
  <si>
    <t>T92 2-96 GAL CARTS MSW</t>
  </si>
  <si>
    <t>1AM 1-32 GAL CAN MSW</t>
  </si>
  <si>
    <t>2AM 2-32 GAL CANS MSW</t>
  </si>
  <si>
    <t>3AM 3-32 GAL CANS MSW</t>
  </si>
  <si>
    <t>4AM 4-32 GAL CANS MSW</t>
  </si>
  <si>
    <t>5AM 5-32 GAL CANS MSW</t>
  </si>
  <si>
    <t>BH0 28-32 GAL CANS MSW</t>
  </si>
  <si>
    <t>CM1 35 GAL CART MSW 1X WK</t>
  </si>
  <si>
    <t>CT2 2-35 GAL CARTS MSW</t>
  </si>
  <si>
    <t>CT4 4-35 GAL CARTS MSW</t>
  </si>
  <si>
    <t>1DM 1-64 GAL CART MSW</t>
  </si>
  <si>
    <t>2DM 2-64 GAL CARTS MSW</t>
  </si>
  <si>
    <t>1EM 1-96 GAL CART MSW</t>
  </si>
  <si>
    <t>2EM 2-96 GAL CARTS MSW</t>
  </si>
  <si>
    <t>1FE 1 YD MSW EOW</t>
  </si>
  <si>
    <t>111 1-1 YD 1X PER WEEK</t>
  </si>
  <si>
    <t>211 2-1 YD 1X PER WEEK</t>
  </si>
  <si>
    <t>112 1-1 YD 2X PER WEEK</t>
  </si>
  <si>
    <t>5FE 1.5 YD MSW EOW</t>
  </si>
  <si>
    <t>151 1-1.5 YD 1X PER WEEK</t>
  </si>
  <si>
    <t>2FE 2 YD MSW EOW</t>
  </si>
  <si>
    <t>121 1-2 YD 1X PER WEEK</t>
  </si>
  <si>
    <t>221 2-2 YD 1X PER WEEK</t>
  </si>
  <si>
    <t>321 3-2 YD 1X PER WEEK</t>
  </si>
  <si>
    <t>122 1-2 YD 2X PER WEEK</t>
  </si>
  <si>
    <t>222 2-2 YD 2X PER WEEK</t>
  </si>
  <si>
    <t>3FE 3 YD MSW EOW</t>
  </si>
  <si>
    <t>131 1-3 YD 1X PER WEEK</t>
  </si>
  <si>
    <t>132 1-3 YD 2X PER WEEK</t>
  </si>
  <si>
    <t>4FE 4 YD MSW EOW</t>
  </si>
  <si>
    <t>141 1-4 YD 1X PER WEEK</t>
  </si>
  <si>
    <t>241 2-4 YD 1X PER WEEK</t>
  </si>
  <si>
    <t>142 1-4 YD 2X PER WEEK</t>
  </si>
  <si>
    <t>242 2-4 YD 2X PER WEEK</t>
  </si>
  <si>
    <t>143 1-4 YD 3X PER WEEK</t>
  </si>
  <si>
    <t>6FE 6 YD MSW EOW</t>
  </si>
  <si>
    <t>161 1-6 YD 1X PER WEEK</t>
  </si>
  <si>
    <t>261 2-6 YD 1X PER WEEK</t>
  </si>
  <si>
    <t>361 3-6 YD 1X PER WEEK</t>
  </si>
  <si>
    <t>461 4-6 YD 1X PER WEEK</t>
  </si>
  <si>
    <t>561 5-6 YD 1X PER WEEK</t>
  </si>
  <si>
    <t>162 1-6 YD 2X PER WEEK</t>
  </si>
  <si>
    <t>262 2-6 YD 2X PER WEEK</t>
  </si>
  <si>
    <t>163 1-6 YD 3X PER WEEK</t>
  </si>
  <si>
    <t>463 4-6 YD 3X PER WEEK</t>
  </si>
  <si>
    <t>8FE 8 YD MSW EOW</t>
  </si>
  <si>
    <t>181 1-8 YD 1X PER WEEK</t>
  </si>
  <si>
    <t>281 2-8 YD 1X PER WEEK</t>
  </si>
  <si>
    <t>381 3-8 YD 1X PER WEEK</t>
  </si>
  <si>
    <t>581 5-8 YD 1X PER WEEK</t>
  </si>
  <si>
    <t>681 6-8 YD 1X PER WEEK</t>
  </si>
  <si>
    <t>182 1-8 YD 2X PER WEEK</t>
  </si>
  <si>
    <t>282 2-8 YD 2X PER WEEK</t>
  </si>
  <si>
    <t>183 1-8 YD 3X PER WEEK</t>
  </si>
  <si>
    <t>283 2-8 YD 3X PER WEEK</t>
  </si>
  <si>
    <t>184 1-8 YD 4X PER WEEK</t>
  </si>
  <si>
    <t>185 1-8 YD 5X PER WEEK</t>
  </si>
  <si>
    <t>2C1 2 YD COMPACTOR 1X WK</t>
  </si>
  <si>
    <t>2C2 2 YD COMPACTOR 2X WK</t>
  </si>
  <si>
    <t>3C1 3 YD COMPACTOR 1X WK</t>
  </si>
  <si>
    <t>4CE 4 YD COMPACTOR EOW</t>
  </si>
  <si>
    <t>4C1 4 YD COMPACTOR 1X WK</t>
  </si>
  <si>
    <t>4C2 4 YD COMPACTOR 2X WK</t>
  </si>
  <si>
    <t>YDC YARDAGE MSW</t>
  </si>
  <si>
    <t>OFC SNAPSHOT EXCESS YARDS</t>
  </si>
  <si>
    <t>Valley TS</t>
  </si>
  <si>
    <t>Jan - Apr 13</t>
  </si>
  <si>
    <t>May - Dec 13</t>
  </si>
  <si>
    <t>Spokane TS</t>
  </si>
  <si>
    <t>WTE</t>
  </si>
  <si>
    <t>Transfer Stations</t>
  </si>
  <si>
    <t>Valley &amp; Spokane TS</t>
  </si>
  <si>
    <t>Tariff Rate Inc. (dec.)</t>
  </si>
  <si>
    <t>Company Calculated Rate</t>
  </si>
  <si>
    <t>Co. Calculated Revenue</t>
  </si>
  <si>
    <t>Monthly   Frequency</t>
  </si>
  <si>
    <t>Calculated  Annual  Pounds</t>
  </si>
  <si>
    <t>Regulated Tons delivered to Transfer Stations</t>
  </si>
  <si>
    <t>Regulated Tons delivered to WTE</t>
  </si>
  <si>
    <t>C36 6-32 GAL CANS MSW</t>
  </si>
  <si>
    <t>5C1 5 YD COMPACTOR 1X WK</t>
  </si>
  <si>
    <t>6C1 6 YD COMPACTOR 1X WK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</si>
</sst>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3" tint="0.39998000860214233"/>
      <name val="Calibri"/>
      <family val="2"/>
    </font>
    <font>
      <u val="singleAccounting"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4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" fillId="0" borderId="9">
      <alignment horizontal="center"/>
      <protection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47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7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88" fontId="0" fillId="0" borderId="0" xfId="42" applyNumberFormat="1" applyFont="1" applyAlignment="1">
      <alignment/>
    </xf>
    <xf numFmtId="188" fontId="0" fillId="0" borderId="0" xfId="42" applyNumberFormat="1" applyFont="1" applyBorder="1" applyAlignment="1">
      <alignment/>
    </xf>
    <xf numFmtId="188" fontId="0" fillId="0" borderId="11" xfId="42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44" fontId="47" fillId="0" borderId="0" xfId="0" applyNumberFormat="1" applyFont="1" applyAlignment="1">
      <alignment/>
    </xf>
    <xf numFmtId="0" fontId="47" fillId="0" borderId="12" xfId="0" applyFont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44" fontId="0" fillId="0" borderId="15" xfId="53" applyFont="1" applyBorder="1" applyAlignment="1">
      <alignment/>
    </xf>
    <xf numFmtId="0" fontId="0" fillId="0" borderId="15" xfId="0" applyFont="1" applyBorder="1" applyAlignment="1">
      <alignment/>
    </xf>
    <xf numFmtId="0" fontId="47" fillId="0" borderId="14" xfId="0" applyFont="1" applyBorder="1" applyAlignment="1">
      <alignment/>
    </xf>
    <xf numFmtId="0" fontId="0" fillId="36" borderId="16" xfId="0" applyFont="1" applyFill="1" applyBorder="1" applyAlignment="1">
      <alignment horizontal="center"/>
    </xf>
    <xf numFmtId="44" fontId="0" fillId="0" borderId="15" xfId="53" applyFont="1" applyBorder="1" applyAlignment="1">
      <alignment/>
    </xf>
    <xf numFmtId="0" fontId="0" fillId="0" borderId="17" xfId="0" applyFont="1" applyBorder="1" applyAlignment="1">
      <alignment horizontal="left"/>
    </xf>
    <xf numFmtId="44" fontId="0" fillId="0" borderId="18" xfId="53" applyFont="1" applyBorder="1" applyAlignment="1">
      <alignment/>
    </xf>
    <xf numFmtId="0" fontId="47" fillId="36" borderId="11" xfId="0" applyFont="1" applyFill="1" applyBorder="1" applyAlignment="1">
      <alignment horizontal="center" wrapText="1"/>
    </xf>
    <xf numFmtId="0" fontId="47" fillId="36" borderId="11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wrapText="1"/>
    </xf>
    <xf numFmtId="166" fontId="47" fillId="36" borderId="11" xfId="42" applyNumberFormat="1" applyFont="1" applyFill="1" applyBorder="1" applyAlignment="1">
      <alignment horizontal="center" wrapText="1"/>
    </xf>
    <xf numFmtId="0" fontId="47" fillId="36" borderId="1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0" borderId="0" xfId="53" applyFont="1" applyFill="1" applyBorder="1" applyAlignment="1">
      <alignment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27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27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28" fillId="36" borderId="11" xfId="78" applyFont="1" applyFill="1" applyBorder="1" applyAlignment="1">
      <alignment horizontal="left"/>
      <protection/>
    </xf>
    <xf numFmtId="3" fontId="47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166" fontId="47" fillId="36" borderId="11" xfId="0" applyNumberFormat="1" applyFont="1" applyFill="1" applyBorder="1" applyAlignment="1">
      <alignment/>
    </xf>
    <xf numFmtId="3" fontId="47" fillId="36" borderId="11" xfId="0" applyNumberFormat="1" applyFont="1" applyFill="1" applyBorder="1" applyAlignment="1">
      <alignment/>
    </xf>
    <xf numFmtId="166" fontId="47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47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2" fillId="0" borderId="0" xfId="42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8" fillId="0" borderId="0" xfId="78" applyFont="1" applyFill="1" applyBorder="1" applyAlignment="1">
      <alignment horizontal="left"/>
      <protection/>
    </xf>
    <xf numFmtId="166" fontId="47" fillId="0" borderId="0" xfId="42" applyNumberFormat="1" applyFont="1" applyBorder="1" applyAlignment="1">
      <alignment horizontal="right"/>
    </xf>
    <xf numFmtId="44" fontId="47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48" fillId="0" borderId="0" xfId="74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47" fillId="0" borderId="11" xfId="42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166" fontId="27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0" fontId="0" fillId="0" borderId="0" xfId="81" applyNumberFormat="1" applyFont="1" applyBorder="1" applyAlignment="1">
      <alignment horizontal="right"/>
    </xf>
    <xf numFmtId="10" fontId="0" fillId="0" borderId="0" xfId="81" applyNumberFormat="1" applyFont="1" applyBorder="1" applyAlignment="1">
      <alignment/>
    </xf>
    <xf numFmtId="0" fontId="27" fillId="0" borderId="0" xfId="78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4" fontId="0" fillId="0" borderId="0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166" fontId="2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43" fontId="7" fillId="0" borderId="19" xfId="49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47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49" fillId="0" borderId="0" xfId="73" applyFont="1">
      <alignment/>
      <protection/>
    </xf>
    <xf numFmtId="166" fontId="0" fillId="0" borderId="0" xfId="46" applyNumberFormat="1" applyFont="1" applyAlignment="1">
      <alignment/>
    </xf>
    <xf numFmtId="166" fontId="0" fillId="0" borderId="0" xfId="46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10" fontId="0" fillId="0" borderId="0" xfId="81" applyNumberFormat="1" applyFont="1" applyBorder="1" applyAlignment="1">
      <alignment/>
    </xf>
    <xf numFmtId="44" fontId="0" fillId="35" borderId="0" xfId="53" applyFont="1" applyFill="1" applyBorder="1" applyAlignment="1">
      <alignment/>
    </xf>
    <xf numFmtId="0" fontId="0" fillId="0" borderId="0" xfId="42" applyNumberFormat="1" applyFont="1" applyFill="1" applyBorder="1" applyAlignment="1">
      <alignment/>
    </xf>
    <xf numFmtId="0" fontId="50" fillId="0" borderId="0" xfId="42" applyNumberFormat="1" applyFont="1" applyFill="1" applyBorder="1" applyAlignment="1">
      <alignment horizontal="left"/>
    </xf>
    <xf numFmtId="10" fontId="0" fillId="0" borderId="0" xfId="81" applyNumberFormat="1" applyFont="1" applyBorder="1" applyAlignment="1">
      <alignment/>
    </xf>
    <xf numFmtId="44" fontId="47" fillId="0" borderId="0" xfId="53" applyFont="1" applyFill="1" applyBorder="1" applyAlignment="1">
      <alignment horizontal="right"/>
    </xf>
    <xf numFmtId="0" fontId="47" fillId="36" borderId="11" xfId="0" applyFont="1" applyFill="1" applyBorder="1" applyAlignment="1">
      <alignment horizontal="center"/>
    </xf>
    <xf numFmtId="174" fontId="47" fillId="36" borderId="0" xfId="53" applyNumberFormat="1" applyFont="1" applyFill="1" applyBorder="1" applyAlignment="1">
      <alignment horizontal="center" wrapText="1"/>
    </xf>
    <xf numFmtId="174" fontId="0" fillId="37" borderId="0" xfId="53" applyNumberFormat="1" applyFont="1" applyFill="1" applyBorder="1" applyAlignment="1">
      <alignment/>
    </xf>
    <xf numFmtId="174" fontId="47" fillId="36" borderId="11" xfId="53" applyNumberFormat="1" applyFont="1" applyFill="1" applyBorder="1" applyAlignment="1">
      <alignment/>
    </xf>
    <xf numFmtId="174" fontId="47" fillId="0" borderId="0" xfId="53" applyNumberFormat="1" applyFont="1" applyBorder="1" applyAlignment="1">
      <alignment horizontal="right"/>
    </xf>
    <xf numFmtId="174" fontId="0" fillId="0" borderId="0" xfId="53" applyNumberFormat="1" applyFont="1" applyBorder="1" applyAlignment="1">
      <alignment/>
    </xf>
    <xf numFmtId="174" fontId="47" fillId="36" borderId="11" xfId="53" applyNumberFormat="1" applyFont="1" applyFill="1" applyBorder="1" applyAlignment="1">
      <alignment horizontal="center" wrapText="1"/>
    </xf>
    <xf numFmtId="174" fontId="0" fillId="0" borderId="0" xfId="53" applyNumberFormat="1" applyFont="1" applyFill="1" applyBorder="1" applyAlignment="1">
      <alignment/>
    </xf>
    <xf numFmtId="174" fontId="0" fillId="0" borderId="0" xfId="53" applyNumberFormat="1" applyFont="1" applyBorder="1" applyAlignment="1">
      <alignment horizontal="right"/>
    </xf>
    <xf numFmtId="174" fontId="0" fillId="0" borderId="0" xfId="53" applyNumberFormat="1" applyFont="1" applyBorder="1" applyAlignment="1">
      <alignment horizontal="center" wrapText="1"/>
    </xf>
    <xf numFmtId="174" fontId="0" fillId="0" borderId="0" xfId="53" applyNumberFormat="1" applyFont="1" applyBorder="1" applyAlignment="1">
      <alignment/>
    </xf>
    <xf numFmtId="172" fontId="0" fillId="0" borderId="0" xfId="81" applyNumberFormat="1" applyFont="1" applyBorder="1" applyAlignment="1">
      <alignment/>
    </xf>
    <xf numFmtId="44" fontId="0" fillId="0" borderId="0" xfId="0" applyNumberFormat="1" applyFont="1" applyFill="1" applyBorder="1" applyAlignment="1">
      <alignment/>
    </xf>
    <xf numFmtId="10" fontId="0" fillId="0" borderId="0" xfId="81" applyNumberFormat="1" applyFont="1" applyFill="1" applyBorder="1" applyAlignment="1">
      <alignment/>
    </xf>
    <xf numFmtId="172" fontId="0" fillId="0" borderId="0" xfId="81" applyNumberFormat="1" applyFont="1" applyAlignment="1">
      <alignment/>
    </xf>
    <xf numFmtId="43" fontId="51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4" fontId="48" fillId="0" borderId="11" xfId="53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7" fillId="36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right"/>
    </xf>
    <xf numFmtId="10" fontId="0" fillId="0" borderId="0" xfId="81" applyNumberFormat="1" applyFont="1" applyFill="1" applyBorder="1" applyAlignment="1">
      <alignment/>
    </xf>
    <xf numFmtId="10" fontId="47" fillId="0" borderId="0" xfId="81" applyNumberFormat="1" applyFont="1" applyFill="1" applyBorder="1" applyAlignment="1">
      <alignment/>
    </xf>
    <xf numFmtId="44" fontId="0" fillId="0" borderId="0" xfId="53" applyFont="1" applyBorder="1" applyAlignment="1">
      <alignment/>
    </xf>
    <xf numFmtId="44" fontId="0" fillId="0" borderId="0" xfId="53" applyFont="1" applyFill="1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11" xfId="55"/>
    <cellStyle name="Currency 2" xfId="56"/>
    <cellStyle name="Currency 2 6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2" xfId="70"/>
    <cellStyle name="Normal 2 2 2 2 3" xfId="71"/>
    <cellStyle name="Normal 2 8" xfId="72"/>
    <cellStyle name="Normal 21" xfId="73"/>
    <cellStyle name="Normal 90" xfId="74"/>
    <cellStyle name="Normal 93" xfId="75"/>
    <cellStyle name="Normal 94" xfId="76"/>
    <cellStyle name="Normal 98" xfId="77"/>
    <cellStyle name="Normal_Price out" xfId="78"/>
    <cellStyle name="Note" xfId="79"/>
    <cellStyle name="Output" xfId="80"/>
    <cellStyle name="Percent" xfId="81"/>
    <cellStyle name="Percent 2" xfId="82"/>
    <cellStyle name="Percent 2 6" xfId="83"/>
    <cellStyle name="Percent 3" xfId="84"/>
    <cellStyle name="PS_Comma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Title" xfId="92"/>
    <cellStyle name="Total" xfId="93"/>
    <cellStyle name="Warning Text" xfId="94"/>
    <cellStyle name="WM_STANDARD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71"/>
  <sheetViews>
    <sheetView zoomScalePageLayoutView="0" workbookViewId="0" topLeftCell="A43">
      <selection activeCell="B47" sqref="B47"/>
    </sheetView>
  </sheetViews>
  <sheetFormatPr defaultColWidth="9.140625" defaultRowHeight="15"/>
  <cols>
    <col min="1" max="1" width="36.421875" style="0" customWidth="1"/>
    <col min="2" max="2" width="16.7109375" style="0" customWidth="1"/>
    <col min="3" max="3" width="15.57421875" style="0" customWidth="1"/>
    <col min="5" max="5" width="12.57421875" style="0" bestFit="1" customWidth="1"/>
    <col min="6" max="6" width="12.421875" style="0" customWidth="1"/>
    <col min="7" max="7" width="10.7109375" style="0" customWidth="1"/>
  </cols>
  <sheetData>
    <row r="1" spans="1:8" ht="15">
      <c r="A1" s="136" t="s">
        <v>1</v>
      </c>
      <c r="B1" s="136"/>
      <c r="C1" s="136"/>
      <c r="D1" s="136"/>
      <c r="E1" s="136"/>
      <c r="F1" s="136"/>
      <c r="G1" s="136"/>
      <c r="H1" s="136"/>
    </row>
    <row r="2" spans="1:8" ht="15">
      <c r="A2" s="5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7" t="s">
        <v>7</v>
      </c>
      <c r="G2" s="7" t="s">
        <v>8</v>
      </c>
      <c r="H2" s="6" t="s">
        <v>9</v>
      </c>
    </row>
    <row r="3" spans="1:8" ht="15">
      <c r="A3" s="5" t="s">
        <v>10</v>
      </c>
      <c r="B3" s="8">
        <f>52*5/12</f>
        <v>21.666666666666668</v>
      </c>
      <c r="C3" s="9">
        <f>$B$3*2</f>
        <v>43.333333333333336</v>
      </c>
      <c r="D3" s="9">
        <f>$B$3*3</f>
        <v>65</v>
      </c>
      <c r="E3" s="9">
        <f>$B$3*4</f>
        <v>86.66666666666667</v>
      </c>
      <c r="F3" s="9">
        <f>$B$3*5</f>
        <v>108.33333333333334</v>
      </c>
      <c r="G3" s="9">
        <f>$B$3*6</f>
        <v>130</v>
      </c>
      <c r="H3" s="9">
        <f>$B$3*7</f>
        <v>151.66666666666669</v>
      </c>
    </row>
    <row r="4" spans="1:8" ht="15">
      <c r="A4" s="5" t="s">
        <v>11</v>
      </c>
      <c r="B4" s="8">
        <f>52*4/12</f>
        <v>17.333333333333332</v>
      </c>
      <c r="C4" s="9">
        <f>$B$4*2</f>
        <v>34.666666666666664</v>
      </c>
      <c r="D4" s="9">
        <f>$B$4*3</f>
        <v>52</v>
      </c>
      <c r="E4" s="9">
        <f>$B$4*4</f>
        <v>69.33333333333333</v>
      </c>
      <c r="F4" s="9">
        <f>$B$4*5</f>
        <v>86.66666666666666</v>
      </c>
      <c r="G4" s="9">
        <f>$B$4*6</f>
        <v>104</v>
      </c>
      <c r="H4" s="9">
        <f>$B$4*7</f>
        <v>121.33333333333333</v>
      </c>
    </row>
    <row r="5" spans="1:8" ht="15">
      <c r="A5" s="5" t="s">
        <v>12</v>
      </c>
      <c r="B5" s="8">
        <f>52*3/12</f>
        <v>13</v>
      </c>
      <c r="C5" s="9">
        <f>$B$5*2</f>
        <v>26</v>
      </c>
      <c r="D5" s="9">
        <f>$B$5*3</f>
        <v>39</v>
      </c>
      <c r="E5" s="9">
        <f>$B$5*4</f>
        <v>52</v>
      </c>
      <c r="F5" s="9">
        <f>$B$5*5</f>
        <v>65</v>
      </c>
      <c r="G5" s="9">
        <f>$B$5*6</f>
        <v>78</v>
      </c>
      <c r="H5" s="9">
        <f>$B$5*7</f>
        <v>91</v>
      </c>
    </row>
    <row r="6" spans="1:8" ht="15">
      <c r="A6" s="5" t="s">
        <v>13</v>
      </c>
      <c r="B6" s="8">
        <f>52*2/12</f>
        <v>8.666666666666666</v>
      </c>
      <c r="C6" s="10">
        <f>$B$6*2</f>
        <v>17.333333333333332</v>
      </c>
      <c r="D6" s="10">
        <f>$B$6*3</f>
        <v>26</v>
      </c>
      <c r="E6" s="10">
        <f>$B$6*4</f>
        <v>34.666666666666664</v>
      </c>
      <c r="F6" s="10">
        <f>$B$6*5</f>
        <v>43.33333333333333</v>
      </c>
      <c r="G6" s="10">
        <f>$B$6*6</f>
        <v>52</v>
      </c>
      <c r="H6" s="10">
        <f>$B$6*7</f>
        <v>60.666666666666664</v>
      </c>
    </row>
    <row r="7" spans="1:8" ht="15">
      <c r="A7" s="5" t="s">
        <v>14</v>
      </c>
      <c r="B7" s="8">
        <f>52/12</f>
        <v>4.333333333333333</v>
      </c>
      <c r="C7" s="10">
        <f>$B$7*2</f>
        <v>8.666666666666666</v>
      </c>
      <c r="D7" s="10">
        <f>$B$7*3</f>
        <v>13</v>
      </c>
      <c r="E7" s="10">
        <f>$B$7*4</f>
        <v>17.333333333333332</v>
      </c>
      <c r="F7" s="10">
        <f>$B$7*5</f>
        <v>21.666666666666664</v>
      </c>
      <c r="G7" s="10">
        <f>$B$7*6</f>
        <v>26</v>
      </c>
      <c r="H7" s="10">
        <f>$B$7*7</f>
        <v>30.333333333333332</v>
      </c>
    </row>
    <row r="8" spans="1:8" ht="15">
      <c r="A8" s="5" t="s">
        <v>15</v>
      </c>
      <c r="B8" s="8">
        <f>26/12</f>
        <v>2.1666666666666665</v>
      </c>
      <c r="C8" s="10">
        <f>$B$8*2</f>
        <v>4.333333333333333</v>
      </c>
      <c r="D8" s="10">
        <f>$B$8*3</f>
        <v>6.5</v>
      </c>
      <c r="E8" s="10">
        <f>$B$8*4</f>
        <v>8.666666666666666</v>
      </c>
      <c r="F8" s="10">
        <f>$B$8*5</f>
        <v>10.833333333333332</v>
      </c>
      <c r="G8" s="10">
        <f>$B$8*6</f>
        <v>13</v>
      </c>
      <c r="H8" s="10">
        <f>$B$8*7</f>
        <v>15.166666666666666</v>
      </c>
    </row>
    <row r="9" spans="1:8" ht="15">
      <c r="A9" s="5" t="s">
        <v>16</v>
      </c>
      <c r="B9" s="8">
        <f>12/12</f>
        <v>1</v>
      </c>
      <c r="C9" s="10">
        <f>$B$9*2</f>
        <v>2</v>
      </c>
      <c r="D9" s="10">
        <f>$B$9*3</f>
        <v>3</v>
      </c>
      <c r="E9" s="10">
        <f>$B$9*4</f>
        <v>4</v>
      </c>
      <c r="F9" s="10">
        <f>$B$9*5</f>
        <v>5</v>
      </c>
      <c r="G9" s="10">
        <f>$B$9*6</f>
        <v>6</v>
      </c>
      <c r="H9" s="10">
        <f>$B$9*7</f>
        <v>7</v>
      </c>
    </row>
    <row r="10" spans="1:8" ht="15">
      <c r="A10" s="5"/>
      <c r="B10" s="8"/>
      <c r="C10" s="10"/>
      <c r="D10" s="10"/>
      <c r="E10" s="10"/>
      <c r="F10" s="10"/>
      <c r="G10" s="10"/>
      <c r="H10" s="10"/>
    </row>
    <row r="11" spans="1:8" ht="15">
      <c r="A11" s="136" t="s">
        <v>17</v>
      </c>
      <c r="B11" s="136"/>
      <c r="C11" s="10"/>
      <c r="D11" s="10"/>
      <c r="E11" s="10"/>
      <c r="F11" s="10"/>
      <c r="G11" s="10"/>
      <c r="H11" s="10"/>
    </row>
    <row r="12" spans="1:8" ht="15">
      <c r="A12" s="11" t="s">
        <v>18</v>
      </c>
      <c r="B12" s="12" t="s">
        <v>19</v>
      </c>
      <c r="C12" s="10"/>
      <c r="D12" s="10"/>
      <c r="E12" s="10"/>
      <c r="F12" s="10"/>
      <c r="G12" s="10"/>
      <c r="H12" s="10"/>
    </row>
    <row r="13" spans="1:8" ht="15">
      <c r="A13" s="13" t="s">
        <v>20</v>
      </c>
      <c r="B13" s="14">
        <v>20</v>
      </c>
      <c r="C13" s="10"/>
      <c r="D13" s="10"/>
      <c r="E13" s="10"/>
      <c r="F13" s="10"/>
      <c r="G13" s="10"/>
      <c r="H13" s="10"/>
    </row>
    <row r="14" spans="1:8" ht="15">
      <c r="A14" s="13" t="s">
        <v>21</v>
      </c>
      <c r="B14" s="14">
        <v>34</v>
      </c>
      <c r="C14" s="10"/>
      <c r="D14" s="10"/>
      <c r="E14" s="10"/>
      <c r="F14" s="10"/>
      <c r="G14" s="10"/>
      <c r="H14" s="10"/>
    </row>
    <row r="15" spans="1:8" ht="15">
      <c r="A15" s="13" t="s">
        <v>22</v>
      </c>
      <c r="B15" s="14">
        <v>51</v>
      </c>
      <c r="C15" s="10"/>
      <c r="D15" s="10"/>
      <c r="E15" s="10"/>
      <c r="F15" s="10"/>
      <c r="G15" s="10"/>
      <c r="H15" s="10"/>
    </row>
    <row r="16" spans="1:8" ht="15">
      <c r="A16" s="13" t="s">
        <v>23</v>
      </c>
      <c r="B16" s="14">
        <v>77</v>
      </c>
      <c r="C16" s="10"/>
      <c r="D16" s="10"/>
      <c r="E16" s="10"/>
      <c r="F16" s="5" t="s">
        <v>24</v>
      </c>
      <c r="G16" s="14">
        <v>2000</v>
      </c>
      <c r="H16" s="10"/>
    </row>
    <row r="17" spans="1:8" ht="15">
      <c r="A17" s="13" t="s">
        <v>25</v>
      </c>
      <c r="B17" s="14">
        <v>97</v>
      </c>
      <c r="C17" s="10"/>
      <c r="D17" s="10"/>
      <c r="E17" s="10"/>
      <c r="F17" s="5" t="s">
        <v>26</v>
      </c>
      <c r="G17" s="15" t="s">
        <v>27</v>
      </c>
      <c r="H17" s="10"/>
    </row>
    <row r="18" spans="1:8" ht="15">
      <c r="A18" s="13" t="s">
        <v>28</v>
      </c>
      <c r="B18" s="14">
        <v>117</v>
      </c>
      <c r="C18" s="10"/>
      <c r="D18" s="10"/>
      <c r="E18" s="10"/>
      <c r="F18" s="5"/>
      <c r="G18" s="5"/>
      <c r="H18" s="10"/>
    </row>
    <row r="19" spans="1:8" ht="15">
      <c r="A19" s="13" t="s">
        <v>29</v>
      </c>
      <c r="B19" s="14">
        <v>157</v>
      </c>
      <c r="C19" s="10"/>
      <c r="D19" s="10"/>
      <c r="E19" s="10"/>
      <c r="F19" s="16"/>
      <c r="G19" s="17"/>
      <c r="H19" s="10"/>
    </row>
    <row r="20" spans="1:8" ht="15">
      <c r="A20" s="13" t="s">
        <v>30</v>
      </c>
      <c r="B20" s="14">
        <v>37</v>
      </c>
      <c r="C20" s="10" t="s">
        <v>31</v>
      </c>
      <c r="D20" s="10"/>
      <c r="E20" s="10"/>
      <c r="F20" s="16"/>
      <c r="G20" s="17"/>
      <c r="H20" s="10"/>
    </row>
    <row r="21" spans="1:8" ht="15">
      <c r="A21" s="13" t="s">
        <v>32</v>
      </c>
      <c r="B21" s="14">
        <v>47</v>
      </c>
      <c r="C21" s="10"/>
      <c r="D21" s="10"/>
      <c r="E21" s="10"/>
      <c r="F21" s="10"/>
      <c r="G21" s="10"/>
      <c r="H21" s="10"/>
    </row>
    <row r="22" spans="1:8" ht="15">
      <c r="A22" s="13" t="s">
        <v>33</v>
      </c>
      <c r="B22" s="14">
        <v>68</v>
      </c>
      <c r="C22" s="10"/>
      <c r="D22" s="10"/>
      <c r="E22" s="10"/>
      <c r="F22" s="10"/>
      <c r="G22" s="10"/>
      <c r="H22" s="10"/>
    </row>
    <row r="23" spans="1:8" ht="15">
      <c r="A23" s="13" t="s">
        <v>34</v>
      </c>
      <c r="B23" s="14">
        <v>34</v>
      </c>
      <c r="C23" s="10"/>
      <c r="D23" s="10"/>
      <c r="E23" s="10"/>
      <c r="F23" s="10"/>
      <c r="G23" s="10"/>
      <c r="H23" s="10"/>
    </row>
    <row r="24" spans="1:8" ht="15">
      <c r="A24" s="13" t="s">
        <v>35</v>
      </c>
      <c r="B24" s="14">
        <v>34</v>
      </c>
      <c r="C24" s="10"/>
      <c r="D24" s="10"/>
      <c r="E24" s="10"/>
      <c r="F24" s="10"/>
      <c r="G24" s="10"/>
      <c r="H24" s="10"/>
    </row>
    <row r="25" spans="1:8" ht="15">
      <c r="A25" s="11" t="s">
        <v>36</v>
      </c>
      <c r="B25" s="14"/>
      <c r="C25" s="10"/>
      <c r="D25" s="10"/>
      <c r="E25" s="10"/>
      <c r="F25" s="10"/>
      <c r="G25" s="10"/>
      <c r="H25" s="10"/>
    </row>
    <row r="26" spans="1:8" ht="15">
      <c r="A26" s="13" t="s">
        <v>37</v>
      </c>
      <c r="B26" s="14">
        <v>29</v>
      </c>
      <c r="C26" s="10"/>
      <c r="D26" s="10"/>
      <c r="E26" s="10"/>
      <c r="F26" s="10"/>
      <c r="G26" s="10"/>
      <c r="H26" s="10"/>
    </row>
    <row r="27" spans="1:8" ht="15">
      <c r="A27" s="13" t="s">
        <v>38</v>
      </c>
      <c r="B27" s="14">
        <v>175</v>
      </c>
      <c r="C27" s="10"/>
      <c r="D27" s="10"/>
      <c r="E27" s="10"/>
      <c r="F27" s="10"/>
      <c r="G27" s="10"/>
      <c r="H27" s="10"/>
    </row>
    <row r="28" spans="1:8" ht="15">
      <c r="A28" s="13" t="s">
        <v>39</v>
      </c>
      <c r="B28" s="14">
        <v>250</v>
      </c>
      <c r="C28" s="10"/>
      <c r="D28" s="10"/>
      <c r="E28" s="10"/>
      <c r="F28" s="10"/>
      <c r="G28" s="10"/>
      <c r="H28" s="10"/>
    </row>
    <row r="29" spans="1:8" ht="15">
      <c r="A29" s="13" t="s">
        <v>40</v>
      </c>
      <c r="B29" s="14">
        <v>324</v>
      </c>
      <c r="C29" s="10"/>
      <c r="D29" s="10"/>
      <c r="E29" s="10"/>
      <c r="F29" s="10"/>
      <c r="G29" s="10"/>
      <c r="H29" s="10"/>
    </row>
    <row r="30" spans="1:8" ht="15">
      <c r="A30" s="13" t="s">
        <v>41</v>
      </c>
      <c r="B30" s="14">
        <v>473</v>
      </c>
      <c r="C30" s="10"/>
      <c r="D30" s="10"/>
      <c r="E30" s="10"/>
      <c r="F30" s="10"/>
      <c r="G30" s="10"/>
      <c r="H30" s="10"/>
    </row>
    <row r="31" spans="1:8" ht="15">
      <c r="A31" s="13" t="s">
        <v>42</v>
      </c>
      <c r="B31" s="14">
        <v>613</v>
      </c>
      <c r="C31" s="10"/>
      <c r="D31" s="10"/>
      <c r="E31" s="10"/>
      <c r="F31" s="10"/>
      <c r="G31" s="10"/>
      <c r="H31" s="10"/>
    </row>
    <row r="32" spans="1:8" ht="15">
      <c r="A32" s="13" t="s">
        <v>43</v>
      </c>
      <c r="B32" s="14">
        <v>840</v>
      </c>
      <c r="C32" s="10"/>
      <c r="D32" s="10"/>
      <c r="E32" s="10"/>
      <c r="F32" s="10"/>
      <c r="G32" s="10"/>
      <c r="H32" s="10"/>
    </row>
    <row r="33" spans="1:8" ht="15">
      <c r="A33" s="13" t="s">
        <v>44</v>
      </c>
      <c r="B33" s="14">
        <v>980</v>
      </c>
      <c r="C33" s="10"/>
      <c r="D33" s="10"/>
      <c r="E33" s="10"/>
      <c r="F33" s="10"/>
      <c r="G33" s="10"/>
      <c r="H33" s="10"/>
    </row>
    <row r="34" spans="1:8" ht="15">
      <c r="A34" s="13" t="s">
        <v>45</v>
      </c>
      <c r="B34" s="14">
        <v>482</v>
      </c>
      <c r="C34" s="10" t="s">
        <v>31</v>
      </c>
      <c r="D34" s="10"/>
      <c r="E34" s="10"/>
      <c r="F34" s="10"/>
      <c r="G34" s="10"/>
      <c r="H34" s="10"/>
    </row>
    <row r="35" spans="1:8" ht="15">
      <c r="A35" s="13" t="s">
        <v>46</v>
      </c>
      <c r="B35" s="14">
        <v>689</v>
      </c>
      <c r="C35" s="10" t="s">
        <v>31</v>
      </c>
      <c r="D35" s="10"/>
      <c r="E35" s="10"/>
      <c r="F35" s="10"/>
      <c r="G35" s="10"/>
      <c r="H35" s="10"/>
    </row>
    <row r="36" spans="1:8" ht="15">
      <c r="A36" s="13" t="s">
        <v>47</v>
      </c>
      <c r="B36" s="14">
        <v>892</v>
      </c>
      <c r="C36" s="10" t="s">
        <v>31</v>
      </c>
      <c r="D36" s="10"/>
      <c r="E36" s="10"/>
      <c r="F36" s="10"/>
      <c r="G36" s="10"/>
      <c r="H36" s="10"/>
    </row>
    <row r="37" spans="1:8" ht="15">
      <c r="A37" s="13" t="s">
        <v>48</v>
      </c>
      <c r="B37" s="14">
        <v>1301</v>
      </c>
      <c r="C37" s="10"/>
      <c r="D37" s="10"/>
      <c r="E37" s="10"/>
      <c r="F37" s="10"/>
      <c r="G37" s="10"/>
      <c r="H37" s="10"/>
    </row>
    <row r="38" spans="1:8" ht="15">
      <c r="A38" s="13" t="s">
        <v>49</v>
      </c>
      <c r="B38" s="14">
        <v>1686</v>
      </c>
      <c r="C38" s="10"/>
      <c r="D38" s="10"/>
      <c r="E38" s="10"/>
      <c r="F38" s="10"/>
      <c r="G38" s="10"/>
      <c r="H38" s="10"/>
    </row>
    <row r="39" spans="1:8" ht="15">
      <c r="A39" s="13" t="s">
        <v>50</v>
      </c>
      <c r="B39" s="14">
        <v>2046</v>
      </c>
      <c r="C39" s="10"/>
      <c r="D39" s="10"/>
      <c r="E39" s="10"/>
      <c r="F39" s="10"/>
      <c r="G39" s="10"/>
      <c r="H39" s="10"/>
    </row>
    <row r="40" spans="1:8" ht="15">
      <c r="A40" s="13" t="s">
        <v>51</v>
      </c>
      <c r="B40" s="14">
        <v>2310</v>
      </c>
      <c r="C40" s="10"/>
      <c r="D40" s="10"/>
      <c r="E40" s="10"/>
      <c r="F40" s="10"/>
      <c r="G40" s="10"/>
      <c r="H40" s="10"/>
    </row>
    <row r="41" spans="1:8" ht="15">
      <c r="A41" s="13" t="s">
        <v>52</v>
      </c>
      <c r="B41" s="14">
        <v>2800</v>
      </c>
      <c r="C41" s="10" t="s">
        <v>31</v>
      </c>
      <c r="D41" s="10"/>
      <c r="E41" s="10"/>
      <c r="F41" s="10"/>
      <c r="G41" s="10"/>
      <c r="H41" s="10"/>
    </row>
    <row r="42" spans="1:8" ht="15">
      <c r="A42" s="13" t="s">
        <v>53</v>
      </c>
      <c r="B42" s="14">
        <v>125</v>
      </c>
      <c r="C42" s="10"/>
      <c r="D42" s="10"/>
      <c r="E42" s="10"/>
      <c r="F42" s="10"/>
      <c r="G42" s="10"/>
      <c r="H42" s="10"/>
    </row>
    <row r="43" spans="1:8" ht="15">
      <c r="A43" s="5"/>
      <c r="B43" s="137" t="s">
        <v>54</v>
      </c>
      <c r="C43" s="137"/>
      <c r="D43" s="5"/>
      <c r="E43" s="5"/>
      <c r="F43" s="5"/>
      <c r="G43" s="5"/>
      <c r="H43" s="5"/>
    </row>
    <row r="44" spans="1:8" ht="15">
      <c r="A44" s="5"/>
      <c r="B44" s="5"/>
      <c r="C44" s="5"/>
      <c r="D44" s="5"/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18" t="s">
        <v>180</v>
      </c>
      <c r="B46" s="19" t="s">
        <v>55</v>
      </c>
      <c r="C46" s="19" t="s">
        <v>56</v>
      </c>
      <c r="D46" s="5"/>
      <c r="E46" s="5"/>
      <c r="F46" s="138" t="s">
        <v>57</v>
      </c>
      <c r="G46" s="138"/>
      <c r="H46" s="5"/>
    </row>
    <row r="47" spans="1:8" ht="15">
      <c r="A47" s="20" t="s">
        <v>58</v>
      </c>
      <c r="B47" s="91">
        <v>110.65</v>
      </c>
      <c r="C47" s="92">
        <f>B47/2000</f>
        <v>0.055325000000000006</v>
      </c>
      <c r="D47" s="5"/>
      <c r="E47" s="5"/>
      <c r="F47" s="5" t="s">
        <v>59</v>
      </c>
      <c r="G47" s="21">
        <f>0.0175</f>
        <v>0.0175</v>
      </c>
      <c r="H47" s="5"/>
    </row>
    <row r="48" spans="1:8" ht="15">
      <c r="A48" s="20" t="s">
        <v>60</v>
      </c>
      <c r="B48" s="135">
        <v>113.86</v>
      </c>
      <c r="C48" s="93">
        <f>B48/2000</f>
        <v>0.05693</v>
      </c>
      <c r="D48" s="5"/>
      <c r="E48" s="5"/>
      <c r="F48" s="5" t="s">
        <v>61</v>
      </c>
      <c r="G48" s="22">
        <f>0.0051</f>
        <v>0.0051</v>
      </c>
      <c r="H48" s="5"/>
    </row>
    <row r="49" spans="1:8" ht="15">
      <c r="A49" s="13" t="s">
        <v>62</v>
      </c>
      <c r="B49" s="91">
        <f>B48-B47</f>
        <v>3.2099999999999937</v>
      </c>
      <c r="C49" s="94">
        <f>C48-C47</f>
        <v>0.0016049999999999953</v>
      </c>
      <c r="D49" s="5"/>
      <c r="E49" s="5"/>
      <c r="F49" s="5" t="s">
        <v>63</v>
      </c>
      <c r="G49" s="23">
        <v>0.0075</v>
      </c>
      <c r="H49" s="5"/>
    </row>
    <row r="50" spans="1:8" ht="15">
      <c r="A50" s="5"/>
      <c r="B50" s="132">
        <f>+B49/B47</f>
        <v>0.02901039313149565</v>
      </c>
      <c r="C50" s="5"/>
      <c r="D50" s="5"/>
      <c r="E50" s="5"/>
      <c r="F50" s="5" t="s">
        <v>0</v>
      </c>
      <c r="G50" s="24">
        <f>SUM(G47:G49)</f>
        <v>0.030100000000000002</v>
      </c>
      <c r="H50" s="5"/>
    </row>
    <row r="51" spans="1:8" ht="15">
      <c r="A51" s="18" t="s">
        <v>182</v>
      </c>
      <c r="B51" s="19" t="s">
        <v>55</v>
      </c>
      <c r="C51" s="19" t="s">
        <v>56</v>
      </c>
      <c r="D51" s="5"/>
      <c r="E51" s="5"/>
      <c r="F51" s="5"/>
      <c r="G51" s="24"/>
      <c r="H51" s="5"/>
    </row>
    <row r="52" spans="1:8" ht="15">
      <c r="A52" s="98" t="s">
        <v>58</v>
      </c>
      <c r="B52" s="91">
        <v>108</v>
      </c>
      <c r="C52" s="92">
        <f>B52/2000</f>
        <v>0.054</v>
      </c>
      <c r="D52" s="5"/>
      <c r="E52" s="5"/>
      <c r="F52" s="5"/>
      <c r="G52" s="24"/>
      <c r="H52" s="5"/>
    </row>
    <row r="53" spans="1:8" ht="15">
      <c r="A53" s="98" t="s">
        <v>60</v>
      </c>
      <c r="B53" s="135">
        <v>110</v>
      </c>
      <c r="C53" s="93">
        <f>B53/2000</f>
        <v>0.055</v>
      </c>
      <c r="D53" s="5"/>
      <c r="E53" s="5"/>
      <c r="F53" s="5" t="s">
        <v>65</v>
      </c>
      <c r="G53" s="27">
        <f>1-G50</f>
        <v>0.9699</v>
      </c>
      <c r="H53" s="5"/>
    </row>
    <row r="54" spans="1:8" ht="15">
      <c r="A54" s="13" t="s">
        <v>62</v>
      </c>
      <c r="B54" s="91">
        <f>B53-B52</f>
        <v>2</v>
      </c>
      <c r="C54" s="94">
        <f>C53-C52</f>
        <v>0.0010000000000000009</v>
      </c>
      <c r="D54" s="5"/>
      <c r="E54" s="5"/>
      <c r="F54" s="5"/>
      <c r="G54" s="24"/>
      <c r="H54" s="5"/>
    </row>
    <row r="55" spans="1:8" ht="15">
      <c r="A55" s="5"/>
      <c r="B55" s="132">
        <f>+B54/B52</f>
        <v>0.018518518518518517</v>
      </c>
      <c r="C55" s="5"/>
      <c r="D55" s="5"/>
      <c r="E55" s="5"/>
      <c r="F55" s="5"/>
      <c r="G55" s="24"/>
      <c r="H55" s="5"/>
    </row>
    <row r="56" spans="1:8" ht="15">
      <c r="A56" s="5"/>
      <c r="B56" s="5"/>
      <c r="C56" s="5"/>
      <c r="D56" s="5"/>
      <c r="E56" s="5"/>
      <c r="F56" s="5"/>
      <c r="G56" s="24"/>
      <c r="H56" s="5"/>
    </row>
    <row r="57" spans="1:8" ht="15">
      <c r="A57" s="5"/>
      <c r="B57" s="25" t="s">
        <v>180</v>
      </c>
      <c r="C57" s="25" t="s">
        <v>181</v>
      </c>
      <c r="D57" s="5"/>
      <c r="E57" s="5"/>
      <c r="F57" s="5"/>
      <c r="G57" s="5"/>
      <c r="H57" s="5"/>
    </row>
    <row r="58" spans="1:8" ht="15">
      <c r="A58" s="5" t="s">
        <v>64</v>
      </c>
      <c r="B58" s="26">
        <f>B49</f>
        <v>3.2099999999999937</v>
      </c>
      <c r="C58" s="26">
        <f>B54</f>
        <v>2</v>
      </c>
      <c r="D58" s="5"/>
      <c r="E58" s="5"/>
      <c r="H58" s="5"/>
    </row>
    <row r="59" spans="1:8" ht="15">
      <c r="A59" s="5" t="s">
        <v>66</v>
      </c>
      <c r="B59" s="26">
        <f>B58/$G$53</f>
        <v>3.309619548407046</v>
      </c>
      <c r="C59" s="26">
        <f>C58/$G$53</f>
        <v>2.0620682544592226</v>
      </c>
      <c r="D59" s="5"/>
      <c r="E59" s="5"/>
      <c r="F59" s="5"/>
      <c r="G59" s="5"/>
      <c r="H59" s="5"/>
    </row>
    <row r="60" spans="1:8" ht="15">
      <c r="A60" s="5" t="s">
        <v>67</v>
      </c>
      <c r="B60" s="28">
        <f>Calcs!F104</f>
        <v>1193.08</v>
      </c>
      <c r="C60" s="28">
        <f>Calcs!F103</f>
        <v>29072.72</v>
      </c>
      <c r="D60" s="5"/>
      <c r="E60" s="5"/>
      <c r="F60" s="5"/>
      <c r="G60" s="5"/>
      <c r="H60" s="5"/>
    </row>
    <row r="61" spans="1:8" ht="15">
      <c r="A61" s="11" t="s">
        <v>68</v>
      </c>
      <c r="B61" s="29">
        <f>B59*B60</f>
        <v>3948.640890813478</v>
      </c>
      <c r="C61" s="29">
        <f>C59*C60</f>
        <v>59949.932982781735</v>
      </c>
      <c r="D61" s="5"/>
      <c r="E61" s="26">
        <f>B61+C61</f>
        <v>63898.57387359521</v>
      </c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  <row r="63" spans="1:8" ht="15">
      <c r="A63" s="5"/>
      <c r="B63" s="5"/>
      <c r="C63" s="5"/>
      <c r="D63" s="5"/>
      <c r="E63" s="5"/>
      <c r="F63" s="5"/>
      <c r="G63" s="5"/>
      <c r="H63" s="5"/>
    </row>
    <row r="64" spans="1:8" ht="15.75" thickBot="1">
      <c r="A64" s="5"/>
      <c r="B64" s="5"/>
      <c r="C64" s="5"/>
      <c r="D64" s="5"/>
      <c r="E64" s="5"/>
      <c r="F64" s="5"/>
      <c r="G64" s="5"/>
      <c r="H64" s="5"/>
    </row>
    <row r="65" spans="1:8" ht="15">
      <c r="A65" s="30" t="s">
        <v>69</v>
      </c>
      <c r="B65" s="31" t="s">
        <v>70</v>
      </c>
      <c r="C65" s="5"/>
      <c r="D65" s="26"/>
      <c r="E65" s="5"/>
      <c r="F65" s="5"/>
      <c r="G65" s="5"/>
      <c r="H65" s="5"/>
    </row>
    <row r="66" spans="1:8" ht="15">
      <c r="A66" s="32" t="s">
        <v>71</v>
      </c>
      <c r="B66" s="33">
        <f>+Calcs!S92</f>
        <v>64597.8395729387</v>
      </c>
      <c r="C66" s="5"/>
      <c r="D66" s="5"/>
      <c r="E66" s="5"/>
      <c r="F66" s="5"/>
      <c r="G66" s="5"/>
      <c r="H66" s="5"/>
    </row>
    <row r="67" spans="1:8" ht="15">
      <c r="A67" s="32" t="s">
        <v>72</v>
      </c>
      <c r="B67" s="33">
        <f>B66-C61-B61</f>
        <v>699.2656993434848</v>
      </c>
      <c r="C67" s="5"/>
      <c r="D67" s="5"/>
      <c r="E67" s="5"/>
      <c r="F67" s="5"/>
      <c r="G67" s="5"/>
      <c r="H67" s="5"/>
    </row>
    <row r="68" spans="1:8" ht="15">
      <c r="A68" s="32"/>
      <c r="B68" s="34"/>
      <c r="C68" s="5"/>
      <c r="D68" s="5"/>
      <c r="E68" s="5"/>
      <c r="F68" s="5"/>
      <c r="G68" s="5"/>
      <c r="H68" s="5"/>
    </row>
    <row r="69" spans="1:8" ht="15">
      <c r="A69" s="35" t="s">
        <v>73</v>
      </c>
      <c r="B69" s="36" t="s">
        <v>70</v>
      </c>
      <c r="C69" s="5"/>
      <c r="D69" s="5"/>
      <c r="E69" s="5"/>
      <c r="F69" s="5"/>
      <c r="G69" s="5"/>
      <c r="H69" s="5"/>
    </row>
    <row r="70" spans="1:8" ht="15">
      <c r="A70" s="32" t="s">
        <v>74</v>
      </c>
      <c r="B70" s="37">
        <f>Calcs!S92</f>
        <v>64597.8395729387</v>
      </c>
      <c r="C70" s="5"/>
      <c r="D70" s="5"/>
      <c r="E70" s="5"/>
      <c r="F70" s="5"/>
      <c r="G70" s="5"/>
      <c r="H70" s="5"/>
    </row>
    <row r="71" spans="1:8" ht="15.75" thickBot="1">
      <c r="A71" s="38" t="s">
        <v>72</v>
      </c>
      <c r="B71" s="39">
        <f>B70-B61-C61</f>
        <v>699.2656993434866</v>
      </c>
      <c r="C71" s="26"/>
      <c r="D71" s="5"/>
      <c r="E71" s="5"/>
      <c r="F71" s="5"/>
      <c r="G71" s="5"/>
      <c r="H71" s="5"/>
    </row>
  </sheetData>
  <sheetProtection/>
  <mergeCells count="4">
    <mergeCell ref="A1:H1"/>
    <mergeCell ref="A11:B11"/>
    <mergeCell ref="B43:C43"/>
    <mergeCell ref="F46:G46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129"/>
  <sheetViews>
    <sheetView tabSelected="1" zoomScale="80" zoomScaleNormal="80" zoomScalePageLayoutView="0" workbookViewId="0" topLeftCell="C1">
      <pane xSplit="2" ySplit="1" topLeftCell="I79" activePane="bottomRight" state="frozen"/>
      <selection pane="topLeft" activeCell="C1" sqref="C1"/>
      <selection pane="topRight" activeCell="E1" sqref="E1"/>
      <selection pane="bottomLeft" activeCell="C2" sqref="C2"/>
      <selection pane="bottomRight" activeCell="Q86" sqref="Q86"/>
    </sheetView>
  </sheetViews>
  <sheetFormatPr defaultColWidth="8.8515625" defaultRowHeight="15"/>
  <cols>
    <col min="1" max="1" width="4.57421875" style="45" customWidth="1"/>
    <col min="2" max="2" width="16.8515625" style="67" customWidth="1"/>
    <col min="3" max="3" width="31.421875" style="45" bestFit="1" customWidth="1"/>
    <col min="4" max="4" width="13.00390625" style="71" customWidth="1"/>
    <col min="5" max="5" width="13.57421875" style="45" customWidth="1"/>
    <col min="6" max="6" width="13.28125" style="45" customWidth="1"/>
    <col min="7" max="7" width="11.28125" style="45" bestFit="1" customWidth="1"/>
    <col min="8" max="8" width="19.57421875" style="45" bestFit="1" customWidth="1"/>
    <col min="9" max="9" width="13.28125" style="65" customWidth="1"/>
    <col min="10" max="10" width="14.140625" style="45" customWidth="1"/>
    <col min="11" max="11" width="14.28125" style="45" customWidth="1"/>
    <col min="12" max="13" width="10.7109375" style="45" customWidth="1"/>
    <col min="14" max="14" width="10.7109375" style="49" customWidth="1"/>
    <col min="15" max="15" width="15.00390625" style="123" bestFit="1" customWidth="1"/>
    <col min="16" max="16" width="14.8515625" style="123" customWidth="1"/>
    <col min="17" max="17" width="13.57421875" style="45" bestFit="1" customWidth="1"/>
    <col min="18" max="18" width="13.421875" style="123" bestFit="1" customWidth="1"/>
    <col min="19" max="19" width="11.421875" style="123" customWidth="1"/>
    <col min="20" max="21" width="8.8515625" style="45" customWidth="1"/>
    <col min="22" max="22" width="8.8515625" style="144" customWidth="1"/>
    <col min="23" max="16384" width="8.8515625" style="45" customWidth="1"/>
  </cols>
  <sheetData>
    <row r="1" spans="1:19" ht="60">
      <c r="A1" s="18"/>
      <c r="B1" s="40" t="s">
        <v>75</v>
      </c>
      <c r="C1" s="41" t="s">
        <v>76</v>
      </c>
      <c r="D1" s="40" t="s">
        <v>77</v>
      </c>
      <c r="E1" s="40" t="s">
        <v>186</v>
      </c>
      <c r="F1" s="118" t="s">
        <v>78</v>
      </c>
      <c r="G1" s="40" t="s">
        <v>17</v>
      </c>
      <c r="H1" s="42" t="s">
        <v>187</v>
      </c>
      <c r="I1" s="43" t="s">
        <v>79</v>
      </c>
      <c r="J1" s="44" t="s">
        <v>62</v>
      </c>
      <c r="K1" s="40" t="s">
        <v>80</v>
      </c>
      <c r="L1" s="42" t="s">
        <v>183</v>
      </c>
      <c r="M1" s="42" t="s">
        <v>81</v>
      </c>
      <c r="N1" s="42" t="s">
        <v>184</v>
      </c>
      <c r="O1" s="119" t="s">
        <v>82</v>
      </c>
      <c r="P1" s="119" t="s">
        <v>185</v>
      </c>
      <c r="Q1" s="40" t="s">
        <v>83</v>
      </c>
      <c r="R1" s="119" t="s">
        <v>84</v>
      </c>
      <c r="S1" s="124" t="s">
        <v>85</v>
      </c>
    </row>
    <row r="2" spans="1:26" s="49" customFormat="1" ht="15">
      <c r="A2" s="139" t="s">
        <v>86</v>
      </c>
      <c r="B2" s="46"/>
      <c r="C2" s="104" t="s">
        <v>94</v>
      </c>
      <c r="D2" s="105">
        <v>118</v>
      </c>
      <c r="E2" s="52">
        <v>1</v>
      </c>
      <c r="F2" s="88">
        <f>D2*E2*12</f>
        <v>1416</v>
      </c>
      <c r="G2" s="99">
        <f>References!$B$14</f>
        <v>34</v>
      </c>
      <c r="H2" s="73">
        <f aca="true" t="shared" si="0" ref="H2:H21">G2*F2</f>
        <v>48144</v>
      </c>
      <c r="I2" s="51">
        <f>$C$101*H2</f>
        <v>28693.993426083463</v>
      </c>
      <c r="J2" s="47">
        <f>((References!$C$49*I2)*$G$104)+((References!$C$54*I2)*$G$103)</f>
        <v>29.37832058592921</v>
      </c>
      <c r="K2" s="47">
        <f>J2/References!$G$53</f>
        <v>30.290051124785247</v>
      </c>
      <c r="L2" s="47">
        <f>(K2/F2)*E2</f>
        <v>0.021391279042927435</v>
      </c>
      <c r="M2" s="90">
        <v>7.15</v>
      </c>
      <c r="N2" s="113">
        <f aca="true" t="shared" si="1" ref="N2:N21">L2+M2</f>
        <v>7.171391279042928</v>
      </c>
      <c r="O2" s="125">
        <f>D2*M2*12</f>
        <v>10124.400000000001</v>
      </c>
      <c r="P2" s="125">
        <f>D2*N2*12</f>
        <v>10154.690051124786</v>
      </c>
      <c r="Q2" s="48">
        <f aca="true" t="shared" si="2" ref="Q2:Q21">N2</f>
        <v>7.171391279042928</v>
      </c>
      <c r="R2" s="120">
        <f>D2*Q2*12</f>
        <v>10154.690051124786</v>
      </c>
      <c r="S2" s="120">
        <f aca="true" t="shared" si="3" ref="S2:S21">R2-O2</f>
        <v>30.29005112478444</v>
      </c>
      <c r="T2" s="131">
        <f>+N2/M2-1</f>
        <v>0.0029917872787310618</v>
      </c>
      <c r="U2" s="130"/>
      <c r="V2" s="90"/>
      <c r="Z2" s="90"/>
    </row>
    <row r="3" spans="1:26" s="49" customFormat="1" ht="15">
      <c r="A3" s="139"/>
      <c r="B3" s="46"/>
      <c r="C3" s="104" t="s">
        <v>95</v>
      </c>
      <c r="D3" s="105">
        <v>129</v>
      </c>
      <c r="E3" s="52">
        <f>+E2</f>
        <v>1</v>
      </c>
      <c r="F3" s="88">
        <f>D3*E3*12</f>
        <v>1548</v>
      </c>
      <c r="G3" s="99">
        <f>References!B20</f>
        <v>37</v>
      </c>
      <c r="H3" s="73">
        <f t="shared" si="0"/>
        <v>57276</v>
      </c>
      <c r="I3" s="51">
        <f>$C$101*H3</f>
        <v>34136.69756298514</v>
      </c>
      <c r="J3" s="90">
        <f>((References!$C$49*I3)*$G$104)+((References!$C$54*I3)*$G$103)</f>
        <v>34.95082855349954</v>
      </c>
      <c r="K3" s="47">
        <f>J3/References!$G$53</f>
        <v>36.03549701360918</v>
      </c>
      <c r="L3" s="90">
        <f aca="true" t="shared" si="4" ref="L3:L21">(K3/F3)*E3</f>
        <v>0.023278744840832803</v>
      </c>
      <c r="M3" s="90">
        <v>8.36</v>
      </c>
      <c r="N3" s="113">
        <f t="shared" si="1"/>
        <v>8.383278744840831</v>
      </c>
      <c r="O3" s="125">
        <f>D3*M3*12</f>
        <v>12941.279999999999</v>
      </c>
      <c r="P3" s="125">
        <f>D3*N3*12</f>
        <v>12977.31549701361</v>
      </c>
      <c r="Q3" s="48">
        <f t="shared" si="2"/>
        <v>8.383278744840831</v>
      </c>
      <c r="R3" s="120">
        <f>D3*Q3*12</f>
        <v>12977.31549701361</v>
      </c>
      <c r="S3" s="120">
        <f t="shared" si="3"/>
        <v>36.03549701361044</v>
      </c>
      <c r="T3" s="131">
        <f aca="true" t="shared" si="5" ref="T3:T21">+N3/M3-1</f>
        <v>0.002784538856558827</v>
      </c>
      <c r="U3" s="130"/>
      <c r="V3" s="90"/>
      <c r="Z3" s="90"/>
    </row>
    <row r="4" spans="1:26" s="49" customFormat="1" ht="15">
      <c r="A4" s="139"/>
      <c r="B4" s="46"/>
      <c r="C4" s="104" t="s">
        <v>96</v>
      </c>
      <c r="D4" s="105">
        <v>147</v>
      </c>
      <c r="E4" s="52">
        <f>+E5</f>
        <v>4.333333333333333</v>
      </c>
      <c r="F4" s="88">
        <f>D4*E4*12</f>
        <v>7644</v>
      </c>
      <c r="G4" s="99">
        <f>References!B13</f>
        <v>20</v>
      </c>
      <c r="H4" s="73">
        <f t="shared" si="0"/>
        <v>152880</v>
      </c>
      <c r="I4" s="51">
        <f>$C$101*H4</f>
        <v>91117.01800805167</v>
      </c>
      <c r="J4" s="90">
        <f>((References!$C$49*I4)*$G$104)+((References!$C$54*I4)*$G$103)</f>
        <v>93.29008082371341</v>
      </c>
      <c r="K4" s="47">
        <f>J4/References!$G$53</f>
        <v>96.18525706125726</v>
      </c>
      <c r="L4" s="90">
        <f t="shared" si="4"/>
        <v>0.05452678971726602</v>
      </c>
      <c r="M4" s="90">
        <v>10.98</v>
      </c>
      <c r="N4" s="113">
        <f t="shared" si="1"/>
        <v>11.034526789717267</v>
      </c>
      <c r="O4" s="125">
        <f>D4*M4*12</f>
        <v>19368.72</v>
      </c>
      <c r="P4" s="125">
        <f>D4*N4*12</f>
        <v>19464.90525706126</v>
      </c>
      <c r="Q4" s="48">
        <f t="shared" si="2"/>
        <v>11.034526789717267</v>
      </c>
      <c r="R4" s="120">
        <f>D4*Q4*12</f>
        <v>19464.90525706126</v>
      </c>
      <c r="S4" s="120">
        <f t="shared" si="3"/>
        <v>96.18525706125729</v>
      </c>
      <c r="T4" s="131">
        <f t="shared" si="5"/>
        <v>0.0049660099924651036</v>
      </c>
      <c r="U4" s="130"/>
      <c r="V4" s="90"/>
      <c r="Z4" s="90"/>
    </row>
    <row r="5" spans="1:26" s="49" customFormat="1" ht="15">
      <c r="A5" s="139"/>
      <c r="B5" s="46"/>
      <c r="C5" s="104" t="s">
        <v>97</v>
      </c>
      <c r="D5" s="105">
        <v>1120</v>
      </c>
      <c r="E5" s="52">
        <f>References!B7</f>
        <v>4.333333333333333</v>
      </c>
      <c r="F5" s="88">
        <f>D5*E5*12</f>
        <v>58240</v>
      </c>
      <c r="G5" s="99">
        <f>References!B13</f>
        <v>20</v>
      </c>
      <c r="H5" s="73">
        <f t="shared" si="0"/>
        <v>1164800</v>
      </c>
      <c r="I5" s="51">
        <f>$C$101*H5</f>
        <v>694224.8991089652</v>
      </c>
      <c r="J5" s="90">
        <f>((References!$C$49*I5)*$G$104)+((References!$C$54*I5)*$G$103)</f>
        <v>710.7815681806736</v>
      </c>
      <c r="K5" s="47">
        <f>J5/References!$G$53</f>
        <v>732.8400538000553</v>
      </c>
      <c r="L5" s="90">
        <f t="shared" si="4"/>
        <v>0.05452678971726602</v>
      </c>
      <c r="M5" s="90">
        <v>11.98</v>
      </c>
      <c r="N5" s="113">
        <f t="shared" si="1"/>
        <v>12.034526789717267</v>
      </c>
      <c r="O5" s="125">
        <f>F5*M5</f>
        <v>697715.2000000001</v>
      </c>
      <c r="P5" s="125">
        <f>N5*F5</f>
        <v>700890.8402331336</v>
      </c>
      <c r="Q5" s="48">
        <f t="shared" si="2"/>
        <v>12.034526789717267</v>
      </c>
      <c r="R5" s="120">
        <f>F5*Q5</f>
        <v>700890.8402331336</v>
      </c>
      <c r="S5" s="120">
        <f t="shared" si="3"/>
        <v>3175.6402331335703</v>
      </c>
      <c r="T5" s="131">
        <f t="shared" si="5"/>
        <v>0.004551484951357931</v>
      </c>
      <c r="U5" s="130"/>
      <c r="V5" s="90">
        <v>6.62</v>
      </c>
      <c r="W5" s="49">
        <f>+V5*T5</f>
        <v>0.030130830377989505</v>
      </c>
      <c r="X5" s="130">
        <f>+W5+V5</f>
        <v>6.650130830377989</v>
      </c>
      <c r="Z5" s="90"/>
    </row>
    <row r="6" spans="1:26" s="49" customFormat="1" ht="15">
      <c r="A6" s="139"/>
      <c r="B6" s="46"/>
      <c r="C6" s="104" t="s">
        <v>98</v>
      </c>
      <c r="D6" s="105">
        <v>4049</v>
      </c>
      <c r="E6" s="52">
        <f>References!B7</f>
        <v>4.333333333333333</v>
      </c>
      <c r="F6" s="88">
        <f>D6*E6*12</f>
        <v>210547.99999999997</v>
      </c>
      <c r="G6" s="99">
        <f>References!$B$14</f>
        <v>34</v>
      </c>
      <c r="H6" s="73">
        <f t="shared" si="0"/>
        <v>7158631.999999999</v>
      </c>
      <c r="I6" s="51">
        <f>$C$101*H6</f>
        <v>4266569.864318517</v>
      </c>
      <c r="J6" s="90">
        <f>((References!$C$49*I6)*$G$104)+((References!$C$54*I6)*$G$103)</f>
        <v>4368.323900230383</v>
      </c>
      <c r="K6" s="47">
        <f>J6/References!$G$53</f>
        <v>4503.8910199302845</v>
      </c>
      <c r="L6" s="90">
        <f t="shared" si="4"/>
        <v>0.09269554251935219</v>
      </c>
      <c r="M6" s="90">
        <v>14.39</v>
      </c>
      <c r="N6" s="113">
        <f t="shared" si="1"/>
        <v>14.482695542519354</v>
      </c>
      <c r="O6" s="125">
        <f aca="true" t="shared" si="6" ref="O6:O20">D6*M6*12</f>
        <v>699181.3200000001</v>
      </c>
      <c r="P6" s="125">
        <f aca="true" t="shared" si="7" ref="P6:P20">D6*N6*12</f>
        <v>703685.2110199303</v>
      </c>
      <c r="Q6" s="48">
        <f t="shared" si="2"/>
        <v>14.482695542519354</v>
      </c>
      <c r="R6" s="120">
        <f aca="true" t="shared" si="8" ref="R6:R20">D6*Q6*12</f>
        <v>703685.2110199303</v>
      </c>
      <c r="S6" s="120">
        <f t="shared" si="3"/>
        <v>4503.891019930248</v>
      </c>
      <c r="T6" s="131">
        <f t="shared" si="5"/>
        <v>0.0064416638303927964</v>
      </c>
      <c r="U6" s="130"/>
      <c r="V6" s="90"/>
      <c r="Z6" s="90"/>
    </row>
    <row r="7" spans="1:26" s="49" customFormat="1" ht="15">
      <c r="A7" s="139"/>
      <c r="B7" s="46"/>
      <c r="C7" s="104" t="s">
        <v>99</v>
      </c>
      <c r="D7" s="105">
        <v>1155</v>
      </c>
      <c r="E7" s="52">
        <f>+E6</f>
        <v>4.333333333333333</v>
      </c>
      <c r="F7" s="88">
        <f>D7*E7*12*2</f>
        <v>120120</v>
      </c>
      <c r="G7" s="99">
        <f>References!$B$14</f>
        <v>34</v>
      </c>
      <c r="H7" s="73">
        <f t="shared" si="0"/>
        <v>4084080</v>
      </c>
      <c r="I7" s="51">
        <f>$C$101*H7</f>
        <v>2434126.052500809</v>
      </c>
      <c r="J7" s="90">
        <f>((References!$C$49*I7)*$G$104)+((References!$C$54*I7)*$G$103)</f>
        <v>2492.1778734334866</v>
      </c>
      <c r="K7" s="47">
        <f>J7/References!$G$53</f>
        <v>2569.5204386364435</v>
      </c>
      <c r="L7" s="90">
        <f t="shared" si="4"/>
        <v>0.0926955425193522</v>
      </c>
      <c r="M7" s="90">
        <v>22.48</v>
      </c>
      <c r="N7" s="113">
        <f t="shared" si="1"/>
        <v>22.57269554251935</v>
      </c>
      <c r="O7" s="125">
        <f t="shared" si="6"/>
        <v>311572.80000000005</v>
      </c>
      <c r="P7" s="125">
        <f t="shared" si="7"/>
        <v>312857.5602193182</v>
      </c>
      <c r="Q7" s="48">
        <f t="shared" si="2"/>
        <v>22.57269554251935</v>
      </c>
      <c r="R7" s="120">
        <f t="shared" si="8"/>
        <v>312857.5602193182</v>
      </c>
      <c r="S7" s="120">
        <f t="shared" si="3"/>
        <v>1284.760219318152</v>
      </c>
      <c r="T7" s="131">
        <f t="shared" si="5"/>
        <v>0.004123467193921426</v>
      </c>
      <c r="U7" s="130"/>
      <c r="V7" s="90"/>
      <c r="Z7" s="90"/>
    </row>
    <row r="8" spans="1:26" s="49" customFormat="1" ht="15">
      <c r="A8" s="139"/>
      <c r="B8" s="46"/>
      <c r="C8" s="104" t="s">
        <v>100</v>
      </c>
      <c r="D8" s="105">
        <v>64</v>
      </c>
      <c r="E8" s="52">
        <f>+E7</f>
        <v>4.333333333333333</v>
      </c>
      <c r="F8" s="85">
        <f>D8*E8*12*3</f>
        <v>9984</v>
      </c>
      <c r="G8" s="99">
        <f>References!$B$14</f>
        <v>34</v>
      </c>
      <c r="H8" s="73">
        <f t="shared" si="0"/>
        <v>339456</v>
      </c>
      <c r="I8" s="51">
        <f>$C$101*H8</f>
        <v>202316.97059746983</v>
      </c>
      <c r="J8" s="90">
        <f>((References!$C$49*I8)*$G$104)+((References!$C$54*I8)*$G$103)</f>
        <v>207.14205701265342</v>
      </c>
      <c r="K8" s="47">
        <f>J8/References!$G$53</f>
        <v>213.5705299645875</v>
      </c>
      <c r="L8" s="90">
        <f t="shared" si="4"/>
        <v>0.0926955425193522</v>
      </c>
      <c r="M8" s="90">
        <v>30.57</v>
      </c>
      <c r="N8" s="113">
        <f t="shared" si="1"/>
        <v>30.66269554251935</v>
      </c>
      <c r="O8" s="125">
        <f t="shared" si="6"/>
        <v>23477.760000000002</v>
      </c>
      <c r="P8" s="125">
        <f t="shared" si="7"/>
        <v>23548.950176654864</v>
      </c>
      <c r="Q8" s="48">
        <f t="shared" si="2"/>
        <v>30.66269554251935</v>
      </c>
      <c r="R8" s="120">
        <f t="shared" si="8"/>
        <v>23548.950176654864</v>
      </c>
      <c r="S8" s="120">
        <f t="shared" si="3"/>
        <v>71.19017665486172</v>
      </c>
      <c r="T8" s="131">
        <f t="shared" si="5"/>
        <v>0.003032238878617921</v>
      </c>
      <c r="U8" s="130"/>
      <c r="V8" s="90"/>
      <c r="Z8" s="90"/>
    </row>
    <row r="9" spans="1:26" s="49" customFormat="1" ht="15">
      <c r="A9" s="139"/>
      <c r="B9" s="46"/>
      <c r="C9" s="104" t="s">
        <v>101</v>
      </c>
      <c r="D9" s="105">
        <v>13</v>
      </c>
      <c r="E9" s="52">
        <f>+E8</f>
        <v>4.333333333333333</v>
      </c>
      <c r="F9" s="85">
        <f>D9*E9*12*4</f>
        <v>2704</v>
      </c>
      <c r="G9" s="99">
        <f>References!$B$14</f>
        <v>34</v>
      </c>
      <c r="H9" s="73">
        <f t="shared" si="0"/>
        <v>91936</v>
      </c>
      <c r="I9" s="51">
        <f>$C$101*H9</f>
        <v>54794.17953681475</v>
      </c>
      <c r="J9" s="90">
        <f>((References!$C$49*I9)*$G$104)+((References!$C$54*I9)*$G$103)</f>
        <v>56.10097377426031</v>
      </c>
      <c r="K9" s="47">
        <f>J9/References!$G$53</f>
        <v>57.84201853207579</v>
      </c>
      <c r="L9" s="90">
        <f t="shared" si="4"/>
        <v>0.09269554251935223</v>
      </c>
      <c r="M9" s="90">
        <v>38.66</v>
      </c>
      <c r="N9" s="113">
        <f t="shared" si="1"/>
        <v>38.75269554251935</v>
      </c>
      <c r="O9" s="125">
        <f t="shared" si="6"/>
        <v>6030.959999999999</v>
      </c>
      <c r="P9" s="125">
        <f t="shared" si="7"/>
        <v>6045.420504633018</v>
      </c>
      <c r="Q9" s="48">
        <f t="shared" si="2"/>
        <v>38.75269554251935</v>
      </c>
      <c r="R9" s="120">
        <f t="shared" si="8"/>
        <v>6045.420504633018</v>
      </c>
      <c r="S9" s="120">
        <f t="shared" si="3"/>
        <v>14.4605046330189</v>
      </c>
      <c r="T9" s="131">
        <f t="shared" si="5"/>
        <v>0.0023977119120370816</v>
      </c>
      <c r="U9" s="130"/>
      <c r="V9" s="90"/>
      <c r="Z9" s="90"/>
    </row>
    <row r="10" spans="1:26" s="49" customFormat="1" ht="15">
      <c r="A10" s="139"/>
      <c r="B10" s="46"/>
      <c r="C10" s="104" t="s">
        <v>102</v>
      </c>
      <c r="D10" s="105">
        <v>3</v>
      </c>
      <c r="E10" s="52">
        <f>+E9</f>
        <v>4.333333333333333</v>
      </c>
      <c r="F10" s="85">
        <f>D10*E10*12*5</f>
        <v>780</v>
      </c>
      <c r="G10" s="99">
        <f>References!$B$14</f>
        <v>34</v>
      </c>
      <c r="H10" s="73">
        <f t="shared" si="0"/>
        <v>26520</v>
      </c>
      <c r="I10" s="51">
        <f>$C$101*H10</f>
        <v>15806.01332792733</v>
      </c>
      <c r="J10" s="90">
        <f>((References!$C$49*I10)*$G$104)+((References!$C$54*I10)*$G$103)</f>
        <v>16.182973204113548</v>
      </c>
      <c r="K10" s="47">
        <f>J10/References!$G$53</f>
        <v>16.6851976534834</v>
      </c>
      <c r="L10" s="90">
        <f t="shared" si="4"/>
        <v>0.0926955425193522</v>
      </c>
      <c r="M10" s="90">
        <v>46.76</v>
      </c>
      <c r="N10" s="113">
        <f t="shared" si="1"/>
        <v>46.85269554251935</v>
      </c>
      <c r="O10" s="125">
        <f t="shared" si="6"/>
        <v>1683.3600000000001</v>
      </c>
      <c r="P10" s="125">
        <f t="shared" si="7"/>
        <v>1686.6970395306967</v>
      </c>
      <c r="Q10" s="48">
        <f t="shared" si="2"/>
        <v>46.85269554251935</v>
      </c>
      <c r="R10" s="120">
        <f t="shared" si="8"/>
        <v>1686.6970395306967</v>
      </c>
      <c r="S10" s="120">
        <f t="shared" si="3"/>
        <v>3.3370395306965293</v>
      </c>
      <c r="T10" s="131">
        <f t="shared" si="5"/>
        <v>0.001982368317351435</v>
      </c>
      <c r="U10" s="130"/>
      <c r="V10" s="90"/>
      <c r="Z10" s="90"/>
    </row>
    <row r="11" spans="1:26" s="49" customFormat="1" ht="15">
      <c r="A11" s="139"/>
      <c r="B11" s="46"/>
      <c r="C11" s="104" t="s">
        <v>190</v>
      </c>
      <c r="D11" s="106">
        <v>0.0001</v>
      </c>
      <c r="E11" s="52">
        <f>+E10</f>
        <v>4.333333333333333</v>
      </c>
      <c r="F11" s="88">
        <f>D11*E11*12*6</f>
        <v>0.0312</v>
      </c>
      <c r="G11" s="99">
        <f>References!$B$14</f>
        <v>34</v>
      </c>
      <c r="H11" s="88">
        <f>G11*F11</f>
        <v>1.0608</v>
      </c>
      <c r="I11" s="89">
        <f>$C$101*H11</f>
        <v>0.6322405331170933</v>
      </c>
      <c r="J11" s="90">
        <f>((References!$C$49*I11)*$G$104)+((References!$C$54*I11)*$G$103)</f>
        <v>0.000647318928164542</v>
      </c>
      <c r="K11" s="90">
        <f>J11/References!$G$53</f>
        <v>0.000667407906139336</v>
      </c>
      <c r="L11" s="90">
        <f>(K11/F11)*E11</f>
        <v>0.09269554251935223</v>
      </c>
      <c r="M11" s="90">
        <v>54.8</v>
      </c>
      <c r="N11" s="113">
        <f>L11+M11</f>
        <v>54.89269554251935</v>
      </c>
      <c r="O11" s="125">
        <f>D11*M11*12</f>
        <v>0.06576</v>
      </c>
      <c r="P11" s="125">
        <f>D11*N11*12</f>
        <v>0.06587123465102322</v>
      </c>
      <c r="Q11" s="48">
        <f>N11</f>
        <v>54.89269554251935</v>
      </c>
      <c r="R11" s="120">
        <f>D11*Q11*12</f>
        <v>0.06587123465102322</v>
      </c>
      <c r="S11" s="120">
        <f>R11-O11</f>
        <v>0.00011123465102322316</v>
      </c>
      <c r="T11" s="131">
        <f>+N11/M11-1</f>
        <v>0.001691524498528274</v>
      </c>
      <c r="U11" s="130"/>
      <c r="V11" s="90"/>
      <c r="Z11" s="90"/>
    </row>
    <row r="12" spans="1:26" s="49" customFormat="1" ht="15">
      <c r="A12" s="139"/>
      <c r="B12" s="46"/>
      <c r="C12" s="104" t="s">
        <v>103</v>
      </c>
      <c r="D12" s="105">
        <v>8197</v>
      </c>
      <c r="E12" s="52">
        <f>References!B7</f>
        <v>4.333333333333333</v>
      </c>
      <c r="F12" s="85">
        <f>D12*E12*12</f>
        <v>426243.99999999994</v>
      </c>
      <c r="G12" s="99">
        <f>References!$B$20</f>
        <v>37</v>
      </c>
      <c r="H12" s="73">
        <f t="shared" si="0"/>
        <v>15771027.999999998</v>
      </c>
      <c r="I12" s="51">
        <f>$C$101*H12</f>
        <v>9399588.188654415</v>
      </c>
      <c r="J12" s="90">
        <f>((References!$C$49*I12)*$G$104)+((References!$C$54*I12)*$G$103)</f>
        <v>9623.760313926263</v>
      </c>
      <c r="K12" s="47">
        <f>J12/References!$G$53</f>
        <v>9922.425315935934</v>
      </c>
      <c r="L12" s="90">
        <f t="shared" si="4"/>
        <v>0.10087456097694213</v>
      </c>
      <c r="M12" s="90">
        <v>15.52</v>
      </c>
      <c r="N12" s="113">
        <f t="shared" si="1"/>
        <v>15.620874560976942</v>
      </c>
      <c r="O12" s="125">
        <f t="shared" si="6"/>
        <v>1526609.28</v>
      </c>
      <c r="P12" s="125">
        <f t="shared" si="7"/>
        <v>1536531.705315936</v>
      </c>
      <c r="Q12" s="48">
        <f t="shared" si="2"/>
        <v>15.620874560976942</v>
      </c>
      <c r="R12" s="120">
        <f t="shared" si="8"/>
        <v>1536531.705315936</v>
      </c>
      <c r="S12" s="120">
        <f t="shared" si="3"/>
        <v>9922.425315935863</v>
      </c>
      <c r="T12" s="131">
        <f t="shared" si="5"/>
        <v>0.006499649547483388</v>
      </c>
      <c r="U12" s="130"/>
      <c r="V12" s="90">
        <v>8.63</v>
      </c>
      <c r="W12" s="49">
        <f>+V12*T12</f>
        <v>0.05609197559478164</v>
      </c>
      <c r="X12" s="130">
        <f>+W12+V12</f>
        <v>8.686091975594783</v>
      </c>
      <c r="Z12" s="90"/>
    </row>
    <row r="13" spans="1:26" s="49" customFormat="1" ht="15">
      <c r="A13" s="139"/>
      <c r="B13" s="46"/>
      <c r="C13" s="104" t="s">
        <v>104</v>
      </c>
      <c r="D13" s="105">
        <v>24</v>
      </c>
      <c r="E13" s="52">
        <f>+E12</f>
        <v>4.333333333333333</v>
      </c>
      <c r="F13" s="85">
        <f>D13*E13*12*2</f>
        <v>2496</v>
      </c>
      <c r="G13" s="99">
        <f>References!$B$20</f>
        <v>37</v>
      </c>
      <c r="H13" s="73">
        <f t="shared" si="0"/>
        <v>92352</v>
      </c>
      <c r="I13" s="51">
        <f>$C$101*H13</f>
        <v>55042.11700078224</v>
      </c>
      <c r="J13" s="90">
        <f>((References!$C$49*I13)*$G$104)+((References!$C$54*I13)*$G$103)</f>
        <v>56.35482433432483</v>
      </c>
      <c r="K13" s="47">
        <f>J13/References!$G$53</f>
        <v>58.103747122718666</v>
      </c>
      <c r="L13" s="90">
        <f t="shared" si="4"/>
        <v>0.10087456097694213</v>
      </c>
      <c r="M13" s="90">
        <f>15.52+8.63</f>
        <v>24.15</v>
      </c>
      <c r="N13" s="113">
        <f t="shared" si="1"/>
        <v>24.25087456097694</v>
      </c>
      <c r="O13" s="125">
        <f t="shared" si="6"/>
        <v>6955.199999999999</v>
      </c>
      <c r="P13" s="125">
        <f t="shared" si="7"/>
        <v>6984.2518735613585</v>
      </c>
      <c r="Q13" s="48">
        <f t="shared" si="2"/>
        <v>24.25087456097694</v>
      </c>
      <c r="R13" s="120">
        <f t="shared" si="8"/>
        <v>6984.2518735613585</v>
      </c>
      <c r="S13" s="120">
        <f t="shared" si="3"/>
        <v>29.05187356135957</v>
      </c>
      <c r="T13" s="131">
        <f t="shared" si="5"/>
        <v>0.004177000454531621</v>
      </c>
      <c r="U13" s="130"/>
      <c r="V13" s="90"/>
      <c r="Z13" s="90"/>
    </row>
    <row r="14" spans="1:26" s="49" customFormat="1" ht="15">
      <c r="A14" s="139"/>
      <c r="B14" s="46"/>
      <c r="C14" s="104" t="s">
        <v>105</v>
      </c>
      <c r="D14" s="105">
        <v>1</v>
      </c>
      <c r="E14" s="52">
        <f>+E13</f>
        <v>4.333333333333333</v>
      </c>
      <c r="F14" s="85">
        <f>D14*E14*12*3</f>
        <v>156</v>
      </c>
      <c r="G14" s="99">
        <f>References!$B$20</f>
        <v>37</v>
      </c>
      <c r="H14" s="73">
        <f t="shared" si="0"/>
        <v>5772</v>
      </c>
      <c r="I14" s="51">
        <f>$C$101*H14</f>
        <v>3440.13231254889</v>
      </c>
      <c r="J14" s="90">
        <f>((References!$C$49*I14)*$G$104)+((References!$C$54*I14)*$G$103)</f>
        <v>3.522176520895302</v>
      </c>
      <c r="K14" s="47">
        <f>J14/References!$G$53</f>
        <v>3.6314841951699166</v>
      </c>
      <c r="L14" s="90">
        <f t="shared" si="4"/>
        <v>0.10087456097694213</v>
      </c>
      <c r="M14" s="90">
        <f>+M13+8.63</f>
        <v>32.78</v>
      </c>
      <c r="N14" s="113">
        <f t="shared" si="1"/>
        <v>32.88087456097694</v>
      </c>
      <c r="O14" s="125">
        <f t="shared" si="6"/>
        <v>393.36</v>
      </c>
      <c r="P14" s="125">
        <f t="shared" si="7"/>
        <v>394.57049473172333</v>
      </c>
      <c r="Q14" s="48">
        <f t="shared" si="2"/>
        <v>32.88087456097694</v>
      </c>
      <c r="R14" s="120">
        <f t="shared" si="8"/>
        <v>394.57049473172333</v>
      </c>
      <c r="S14" s="120">
        <f t="shared" si="3"/>
        <v>1.2104947317233155</v>
      </c>
      <c r="T14" s="131">
        <f t="shared" si="5"/>
        <v>0.0030773203470695343</v>
      </c>
      <c r="U14" s="130"/>
      <c r="V14" s="90"/>
      <c r="Z14" s="90"/>
    </row>
    <row r="15" spans="1:26" s="49" customFormat="1" ht="15">
      <c r="A15" s="139"/>
      <c r="B15" s="46"/>
      <c r="C15" s="104" t="s">
        <v>106</v>
      </c>
      <c r="D15" s="105">
        <v>2</v>
      </c>
      <c r="E15" s="52">
        <f>+E14</f>
        <v>4.333333333333333</v>
      </c>
      <c r="F15" s="85">
        <f>D15*E15*12*4</f>
        <v>416</v>
      </c>
      <c r="G15" s="99">
        <f>References!$B$20</f>
        <v>37</v>
      </c>
      <c r="H15" s="73">
        <f t="shared" si="0"/>
        <v>15392</v>
      </c>
      <c r="I15" s="51">
        <f>$C$101*H15</f>
        <v>9173.686166797039</v>
      </c>
      <c r="J15" s="90">
        <f>((References!$C$49*I15)*$G$104)+((References!$C$54*I15)*$G$103)</f>
        <v>9.392470722387472</v>
      </c>
      <c r="K15" s="47">
        <f>J15/References!$G$53</f>
        <v>9.683957853786444</v>
      </c>
      <c r="L15" s="90">
        <f t="shared" si="4"/>
        <v>0.10087456097694211</v>
      </c>
      <c r="M15" s="90">
        <f>+M14+8.63</f>
        <v>41.410000000000004</v>
      </c>
      <c r="N15" s="113">
        <f t="shared" si="1"/>
        <v>41.510874560976944</v>
      </c>
      <c r="O15" s="125">
        <f t="shared" si="6"/>
        <v>993.8400000000001</v>
      </c>
      <c r="P15" s="125">
        <f t="shared" si="7"/>
        <v>996.2609894634467</v>
      </c>
      <c r="Q15" s="48">
        <f t="shared" si="2"/>
        <v>41.510874560976944</v>
      </c>
      <c r="R15" s="120">
        <f t="shared" si="8"/>
        <v>996.2609894634467</v>
      </c>
      <c r="S15" s="120">
        <f t="shared" si="3"/>
        <v>2.420989463446517</v>
      </c>
      <c r="T15" s="131">
        <f t="shared" si="5"/>
        <v>0.0024359951938406343</v>
      </c>
      <c r="U15" s="130"/>
      <c r="V15" s="90"/>
      <c r="Z15" s="90"/>
    </row>
    <row r="16" spans="1:26" s="49" customFormat="1" ht="15">
      <c r="A16" s="139"/>
      <c r="B16" s="46"/>
      <c r="C16" s="104" t="s">
        <v>107</v>
      </c>
      <c r="D16" s="105">
        <v>7933</v>
      </c>
      <c r="E16" s="52">
        <f>References!B7</f>
        <v>4.333333333333333</v>
      </c>
      <c r="F16" s="85">
        <f>D16*E16*12</f>
        <v>412515.99999999994</v>
      </c>
      <c r="G16" s="100">
        <f>References!$B$21</f>
        <v>47</v>
      </c>
      <c r="H16" s="73">
        <f t="shared" si="0"/>
        <v>19388251.999999996</v>
      </c>
      <c r="I16" s="51">
        <f>$C$101*H16</f>
        <v>11555466.42221771</v>
      </c>
      <c r="J16" s="90">
        <f>((References!$C$49*I16)*$G$104)+((References!$C$54*I16)*$G$103)</f>
        <v>11831.054396327334</v>
      </c>
      <c r="K16" s="47">
        <f>J16/References!$G$53</f>
        <v>12198.22084372341</v>
      </c>
      <c r="L16" s="90">
        <f t="shared" si="4"/>
        <v>0.12813795583557513</v>
      </c>
      <c r="M16" s="90">
        <v>23.32</v>
      </c>
      <c r="N16" s="113">
        <f t="shared" si="1"/>
        <v>23.448137955835577</v>
      </c>
      <c r="O16" s="125">
        <f t="shared" si="6"/>
        <v>2219970.7199999997</v>
      </c>
      <c r="P16" s="125">
        <f t="shared" si="7"/>
        <v>2232168.9408437237</v>
      </c>
      <c r="Q16" s="48">
        <f t="shared" si="2"/>
        <v>23.448137955835577</v>
      </c>
      <c r="R16" s="120">
        <f t="shared" si="8"/>
        <v>2232168.9408437237</v>
      </c>
      <c r="S16" s="120">
        <f t="shared" si="3"/>
        <v>12198.220843723975</v>
      </c>
      <c r="T16" s="131">
        <f t="shared" si="5"/>
        <v>0.005494766545264929</v>
      </c>
      <c r="U16" s="130"/>
      <c r="V16" s="90"/>
      <c r="Z16" s="90"/>
    </row>
    <row r="17" spans="1:26" s="49" customFormat="1" ht="15">
      <c r="A17" s="139"/>
      <c r="B17" s="46"/>
      <c r="C17" s="104" t="s">
        <v>108</v>
      </c>
      <c r="D17" s="105">
        <v>59</v>
      </c>
      <c r="E17" s="52">
        <f>+E16</f>
        <v>4.333333333333333</v>
      </c>
      <c r="F17" s="85">
        <f>D17*E17*12*2</f>
        <v>6136</v>
      </c>
      <c r="G17" s="100">
        <f>References!$B$21</f>
        <v>47</v>
      </c>
      <c r="H17" s="73">
        <f t="shared" si="0"/>
        <v>288392</v>
      </c>
      <c r="I17" s="51">
        <f>$C$101*H17</f>
        <v>171882.64689546076</v>
      </c>
      <c r="J17" s="90">
        <f>((References!$C$49*I17)*$G$104)+((References!$C$54*I17)*$G$103)</f>
        <v>175.98190076473287</v>
      </c>
      <c r="K17" s="47">
        <f>J17/References!$G$53</f>
        <v>181.4433454631744</v>
      </c>
      <c r="L17" s="90">
        <f t="shared" si="4"/>
        <v>0.12813795583557513</v>
      </c>
      <c r="M17" s="90">
        <f>+M16+12.89</f>
        <v>36.21</v>
      </c>
      <c r="N17" s="113">
        <f t="shared" si="1"/>
        <v>36.33813795583558</v>
      </c>
      <c r="O17" s="125">
        <f t="shared" si="6"/>
        <v>25636.68</v>
      </c>
      <c r="P17" s="125">
        <f t="shared" si="7"/>
        <v>25727.40167273159</v>
      </c>
      <c r="Q17" s="48">
        <f t="shared" si="2"/>
        <v>36.33813795583558</v>
      </c>
      <c r="R17" s="120">
        <f t="shared" si="8"/>
        <v>25727.40167273159</v>
      </c>
      <c r="S17" s="120">
        <f t="shared" si="3"/>
        <v>90.72167273158993</v>
      </c>
      <c r="T17" s="131">
        <f t="shared" si="5"/>
        <v>0.0035387449830317497</v>
      </c>
      <c r="U17" s="130"/>
      <c r="V17" s="90">
        <f>+N17-N16</f>
        <v>12.89</v>
      </c>
      <c r="W17" s="49">
        <f>+V17*T17</f>
        <v>0.045614422831279255</v>
      </c>
      <c r="X17" s="130">
        <f>+W17+V17</f>
        <v>12.93561442283128</v>
      </c>
      <c r="Z17" s="90"/>
    </row>
    <row r="18" spans="1:26" s="49" customFormat="1" ht="15">
      <c r="A18" s="139"/>
      <c r="B18" s="46"/>
      <c r="C18" s="104" t="s">
        <v>109</v>
      </c>
      <c r="D18" s="105">
        <v>4</v>
      </c>
      <c r="E18" s="52">
        <f>+E17</f>
        <v>4.333333333333333</v>
      </c>
      <c r="F18" s="85">
        <f>D18*E18*12*3</f>
        <v>624</v>
      </c>
      <c r="G18" s="100">
        <f>References!$B$21</f>
        <v>47</v>
      </c>
      <c r="H18" s="73">
        <f t="shared" si="0"/>
        <v>29328</v>
      </c>
      <c r="I18" s="51">
        <f>$C$101*H18</f>
        <v>17479.591209707873</v>
      </c>
      <c r="J18" s="90">
        <f>((References!$C$49*I18)*$G$104)+((References!$C$54*I18)*$G$103)</f>
        <v>17.8964644845491</v>
      </c>
      <c r="K18" s="47">
        <f>J18/References!$G$53</f>
        <v>18.451865640322815</v>
      </c>
      <c r="L18" s="90">
        <f t="shared" si="4"/>
        <v>0.1281379558355751</v>
      </c>
      <c r="M18" s="90">
        <f>+M17+12.89</f>
        <v>49.1</v>
      </c>
      <c r="N18" s="113">
        <f t="shared" si="1"/>
        <v>49.22813795583558</v>
      </c>
      <c r="O18" s="125">
        <f t="shared" si="6"/>
        <v>2356.8</v>
      </c>
      <c r="P18" s="125">
        <f t="shared" si="7"/>
        <v>2362.950621880108</v>
      </c>
      <c r="Q18" s="48">
        <f t="shared" si="2"/>
        <v>49.22813795583558</v>
      </c>
      <c r="R18" s="120">
        <f t="shared" si="8"/>
        <v>2362.950621880108</v>
      </c>
      <c r="S18" s="120">
        <f t="shared" si="3"/>
        <v>6.150621880107792</v>
      </c>
      <c r="T18" s="131">
        <f t="shared" si="5"/>
        <v>0.0026097343347368795</v>
      </c>
      <c r="U18" s="130"/>
      <c r="V18" s="90">
        <f>+N18-N17</f>
        <v>12.89</v>
      </c>
      <c r="Z18" s="90"/>
    </row>
    <row r="19" spans="1:26" s="49" customFormat="1" ht="15">
      <c r="A19" s="139"/>
      <c r="B19" s="46"/>
      <c r="C19" s="104" t="s">
        <v>110</v>
      </c>
      <c r="D19" s="105">
        <v>2045</v>
      </c>
      <c r="E19" s="52">
        <f>References!B7</f>
        <v>4.333333333333333</v>
      </c>
      <c r="F19" s="85">
        <f>D19*E19*12</f>
        <v>106340</v>
      </c>
      <c r="G19" s="100">
        <f>References!$B$22</f>
        <v>68</v>
      </c>
      <c r="H19" s="73">
        <f t="shared" si="0"/>
        <v>7231120</v>
      </c>
      <c r="I19" s="51">
        <f>$C$101*H19</f>
        <v>4309772.967414852</v>
      </c>
      <c r="J19" s="90">
        <f>((References!$C$49*I19)*$G$104)+((References!$C$54*I19)*$G$103)</f>
        <v>4412.557360321627</v>
      </c>
      <c r="K19" s="47">
        <f>J19/References!$G$53</f>
        <v>4549.497226849807</v>
      </c>
      <c r="L19" s="90">
        <f t="shared" si="4"/>
        <v>0.1853910850387044</v>
      </c>
      <c r="M19" s="90">
        <v>31.24</v>
      </c>
      <c r="N19" s="113">
        <f t="shared" si="1"/>
        <v>31.425391085038704</v>
      </c>
      <c r="O19" s="125">
        <f t="shared" si="6"/>
        <v>766629.6</v>
      </c>
      <c r="P19" s="125">
        <f t="shared" si="7"/>
        <v>771179.0972268498</v>
      </c>
      <c r="Q19" s="48">
        <f t="shared" si="2"/>
        <v>31.425391085038704</v>
      </c>
      <c r="R19" s="120">
        <f t="shared" si="8"/>
        <v>771179.0972268498</v>
      </c>
      <c r="S19" s="120">
        <f t="shared" si="3"/>
        <v>4549.49722684978</v>
      </c>
      <c r="T19" s="131">
        <f t="shared" si="5"/>
        <v>0.005934413733633459</v>
      </c>
      <c r="U19" s="130"/>
      <c r="V19" s="90"/>
      <c r="Z19" s="90"/>
    </row>
    <row r="20" spans="1:26" s="49" customFormat="1" ht="15">
      <c r="A20" s="139"/>
      <c r="B20" s="46"/>
      <c r="C20" s="104" t="s">
        <v>111</v>
      </c>
      <c r="D20" s="106">
        <v>53</v>
      </c>
      <c r="E20" s="52">
        <f>+E19</f>
        <v>4.333333333333333</v>
      </c>
      <c r="F20" s="85">
        <f>D20*E20*12*2</f>
        <v>5512</v>
      </c>
      <c r="G20" s="100">
        <f>References!$B$22</f>
        <v>68</v>
      </c>
      <c r="H20" s="73">
        <f t="shared" si="0"/>
        <v>374816</v>
      </c>
      <c r="I20" s="51">
        <f>$C$101*H20</f>
        <v>223391.6550347063</v>
      </c>
      <c r="J20" s="90">
        <f>((References!$C$49*I20)*$G$104)+((References!$C$54*I20)*$G$103)</f>
        <v>228.71935461813814</v>
      </c>
      <c r="K20" s="47">
        <f>J20/References!$G$53</f>
        <v>235.81746016923202</v>
      </c>
      <c r="L20" s="90">
        <f t="shared" si="4"/>
        <v>0.18539108503870438</v>
      </c>
      <c r="M20" s="90">
        <f>+M19+17.29</f>
        <v>48.53</v>
      </c>
      <c r="N20" s="113">
        <f t="shared" si="1"/>
        <v>48.7153910850387</v>
      </c>
      <c r="O20" s="125">
        <f t="shared" si="6"/>
        <v>30865.08</v>
      </c>
      <c r="P20" s="125">
        <f t="shared" si="7"/>
        <v>30982.988730084613</v>
      </c>
      <c r="Q20" s="48">
        <f t="shared" si="2"/>
        <v>48.7153910850387</v>
      </c>
      <c r="R20" s="120">
        <f t="shared" si="8"/>
        <v>30982.988730084613</v>
      </c>
      <c r="S20" s="120">
        <f t="shared" si="3"/>
        <v>117.9087300846113</v>
      </c>
      <c r="T20" s="131">
        <f t="shared" si="5"/>
        <v>0.0038201336294807486</v>
      </c>
      <c r="U20" s="130"/>
      <c r="V20" s="90">
        <f>+N20-N19</f>
        <v>17.29</v>
      </c>
      <c r="W20" s="49">
        <f>+V20*T20</f>
        <v>0.06605011045372214</v>
      </c>
      <c r="X20" s="130">
        <f>+W20+V20</f>
        <v>17.356050110453722</v>
      </c>
      <c r="Z20" s="90"/>
    </row>
    <row r="21" spans="1:26" s="49" customFormat="1" ht="15">
      <c r="A21" s="139"/>
      <c r="B21" s="46"/>
      <c r="C21" s="104" t="s">
        <v>35</v>
      </c>
      <c r="D21" s="106"/>
      <c r="E21" s="52">
        <v>1</v>
      </c>
      <c r="F21" s="85">
        <v>2942</v>
      </c>
      <c r="G21" s="100">
        <f>References!B24</f>
        <v>34</v>
      </c>
      <c r="H21" s="73">
        <f t="shared" si="0"/>
        <v>100028</v>
      </c>
      <c r="I21" s="51">
        <f>$C$101*H21</f>
        <v>59617.040013797705</v>
      </c>
      <c r="J21" s="90">
        <f>((References!$C$49*I21)*$G$104)+((References!$C$54*I21)*$G$103)</f>
        <v>61.03885534166931</v>
      </c>
      <c r="K21" s="47">
        <f>J21/References!$G$53</f>
        <v>62.93314294429252</v>
      </c>
      <c r="L21" s="90">
        <f t="shared" si="4"/>
        <v>0.02139127904292744</v>
      </c>
      <c r="M21" s="90">
        <v>3.92</v>
      </c>
      <c r="N21" s="113">
        <f t="shared" si="1"/>
        <v>3.9413912790429273</v>
      </c>
      <c r="O21" s="125">
        <f>F21*M21</f>
        <v>11532.64</v>
      </c>
      <c r="P21" s="125">
        <f>F21*N21</f>
        <v>11595.573142944291</v>
      </c>
      <c r="Q21" s="48">
        <f t="shared" si="2"/>
        <v>3.9413912790429273</v>
      </c>
      <c r="R21" s="120">
        <f>F21*Q21</f>
        <v>11595.573142944291</v>
      </c>
      <c r="S21" s="120">
        <f t="shared" si="3"/>
        <v>62.93314294429183</v>
      </c>
      <c r="T21" s="131">
        <f t="shared" si="5"/>
        <v>0.0054569589395223606</v>
      </c>
      <c r="U21" s="130"/>
      <c r="V21" s="90"/>
      <c r="Z21" s="90"/>
    </row>
    <row r="22" spans="1:26" s="49" customFormat="1" ht="15">
      <c r="A22" s="139"/>
      <c r="B22" s="46"/>
      <c r="C22" s="1"/>
      <c r="D22" s="85"/>
      <c r="E22" s="52"/>
      <c r="F22" s="88"/>
      <c r="G22" s="99"/>
      <c r="H22" s="85"/>
      <c r="I22" s="51"/>
      <c r="J22" s="47"/>
      <c r="K22" s="47"/>
      <c r="L22" s="47"/>
      <c r="M22" s="90"/>
      <c r="N22" s="90"/>
      <c r="O22" s="125"/>
      <c r="P22" s="125"/>
      <c r="Q22" s="48"/>
      <c r="R22" s="120"/>
      <c r="S22" s="120"/>
      <c r="T22" s="131"/>
      <c r="U22" s="130"/>
      <c r="V22" s="90"/>
      <c r="Z22" s="90"/>
    </row>
    <row r="23" spans="1:26" s="49" customFormat="1" ht="15">
      <c r="A23" s="55"/>
      <c r="B23" s="56"/>
      <c r="C23" s="57" t="s">
        <v>0</v>
      </c>
      <c r="D23" s="58">
        <f>SUM(D2:D22)</f>
        <v>25116.0001</v>
      </c>
      <c r="E23" s="59"/>
      <c r="F23" s="60">
        <f>SUM(F2:F22)</f>
        <v>1376366.0311999999</v>
      </c>
      <c r="G23" s="101"/>
      <c r="H23" s="61">
        <f>SUM(H2:H22)</f>
        <v>56420205.06079999</v>
      </c>
      <c r="I23" s="62">
        <f>SUM(I2:I22)</f>
        <v>33626640.76754893</v>
      </c>
      <c r="J23" s="63"/>
      <c r="K23" s="63"/>
      <c r="L23" s="63"/>
      <c r="M23" s="63"/>
      <c r="N23" s="63"/>
      <c r="O23" s="121">
        <f>SUM(O2:O22)</f>
        <v>6374039.065759999</v>
      </c>
      <c r="P23" s="121">
        <f>SUM(P2:P22)</f>
        <v>6410235.3967815405</v>
      </c>
      <c r="Q23" s="64"/>
      <c r="R23" s="121">
        <f>SUM(R2:R22)</f>
        <v>6410235.3967815405</v>
      </c>
      <c r="S23" s="121">
        <f>SUM(S2:S22)</f>
        <v>36196.331021541606</v>
      </c>
      <c r="T23" s="142">
        <f>+S23/O23</f>
        <v>0.005678711825909682</v>
      </c>
      <c r="U23" s="130"/>
      <c r="V23" s="90"/>
      <c r="Z23" s="90"/>
    </row>
    <row r="24" spans="1:26" s="49" customFormat="1" ht="15" customHeight="1">
      <c r="A24" s="140" t="s">
        <v>87</v>
      </c>
      <c r="B24" s="46"/>
      <c r="C24" s="107" t="s">
        <v>112</v>
      </c>
      <c r="D24" s="85">
        <v>4</v>
      </c>
      <c r="E24" s="50">
        <v>1</v>
      </c>
      <c r="F24" s="66">
        <f>E24*52</f>
        <v>52</v>
      </c>
      <c r="G24" s="100">
        <f>References!$B$26</f>
        <v>29</v>
      </c>
      <c r="H24" s="54">
        <f>F24*G24</f>
        <v>1508</v>
      </c>
      <c r="I24" s="51">
        <f>$C$101*H24</f>
        <v>898.7733068821424</v>
      </c>
      <c r="J24" s="90">
        <f>ROUND(((References!$C$49*I24)*$G$104)+((References!$C$54*I24)*$G$103),2)</f>
        <v>0.92</v>
      </c>
      <c r="K24" s="47">
        <f>J24/References!$G$53</f>
        <v>0.9485513970512425</v>
      </c>
      <c r="L24" s="90">
        <f>(K24/F24)</f>
        <v>0.018241373020216202</v>
      </c>
      <c r="M24" s="90">
        <v>3.74</v>
      </c>
      <c r="N24" s="113">
        <f aca="true" t="shared" si="9" ref="N24:N74">L24+M24</f>
        <v>3.7582413730202164</v>
      </c>
      <c r="O24" s="125">
        <f aca="true" t="shared" si="10" ref="O24:O55">F24*M24</f>
        <v>194.48000000000002</v>
      </c>
      <c r="P24" s="125">
        <f aca="true" t="shared" si="11" ref="P24:P55">F24*N24</f>
        <v>195.42855139705125</v>
      </c>
      <c r="Q24" s="48">
        <f aca="true" t="shared" si="12" ref="Q24:Q55">N24</f>
        <v>3.7582413730202164</v>
      </c>
      <c r="R24" s="120">
        <f aca="true" t="shared" si="13" ref="R24:R55">F24*Q24</f>
        <v>195.42855139705125</v>
      </c>
      <c r="S24" s="120">
        <f aca="true" t="shared" si="14" ref="S24:S55">R24-O24</f>
        <v>0.9485513970512329</v>
      </c>
      <c r="U24" s="130"/>
      <c r="V24" s="90"/>
      <c r="Z24" s="90"/>
    </row>
    <row r="25" spans="1:26" s="49" customFormat="1" ht="15">
      <c r="A25" s="139"/>
      <c r="B25" s="46"/>
      <c r="C25" s="107" t="s">
        <v>113</v>
      </c>
      <c r="D25" s="85">
        <v>12</v>
      </c>
      <c r="E25" s="50">
        <v>1</v>
      </c>
      <c r="F25" s="66">
        <f>D25*E25*52*2</f>
        <v>1248</v>
      </c>
      <c r="G25" s="100">
        <f>References!$B$26</f>
        <v>29</v>
      </c>
      <c r="H25" s="54">
        <f aca="true" t="shared" si="15" ref="H25:H89">F25*G25</f>
        <v>36192</v>
      </c>
      <c r="I25" s="51">
        <f>$C$101*H25</f>
        <v>21570.559365171415</v>
      </c>
      <c r="J25" s="90">
        <f>ROUND(((References!$C$49*I25)*$G$104)+((References!$C$54*I25)*$G$103),2)</f>
        <v>22.08</v>
      </c>
      <c r="K25" s="47">
        <f>ROUND(J25/References!$G$53,2)</f>
        <v>22.77</v>
      </c>
      <c r="L25" s="90">
        <f aca="true" t="shared" si="16" ref="L25:L89">(K25/F25)</f>
        <v>0.018245192307692306</v>
      </c>
      <c r="M25" s="90">
        <f>+M24</f>
        <v>3.74</v>
      </c>
      <c r="N25" s="113">
        <f t="shared" si="9"/>
        <v>3.7582451923076925</v>
      </c>
      <c r="O25" s="125">
        <f t="shared" si="10"/>
        <v>4667.52</v>
      </c>
      <c r="P25" s="125">
        <f t="shared" si="11"/>
        <v>4690.29</v>
      </c>
      <c r="Q25" s="48">
        <f t="shared" si="12"/>
        <v>3.7582451923076925</v>
      </c>
      <c r="R25" s="120">
        <f t="shared" si="13"/>
        <v>4690.29</v>
      </c>
      <c r="S25" s="120">
        <f t="shared" si="14"/>
        <v>22.769999999999527</v>
      </c>
      <c r="T25" s="131">
        <f>+N25/M25-1</f>
        <v>0.004878393665158409</v>
      </c>
      <c r="U25" s="130"/>
      <c r="V25" s="90">
        <v>22.37</v>
      </c>
      <c r="W25" s="49">
        <f>+V25*T25</f>
        <v>0.10912966628959361</v>
      </c>
      <c r="X25" s="130">
        <f>+W25+V25</f>
        <v>22.479129666289595</v>
      </c>
      <c r="Z25" s="90"/>
    </row>
    <row r="26" spans="1:26" s="49" customFormat="1" ht="15">
      <c r="A26" s="139"/>
      <c r="B26" s="46"/>
      <c r="C26" s="107" t="s">
        <v>114</v>
      </c>
      <c r="D26" s="85">
        <v>3</v>
      </c>
      <c r="E26" s="50">
        <v>1</v>
      </c>
      <c r="F26" s="66">
        <f>D26*E26*52*3</f>
        <v>468</v>
      </c>
      <c r="G26" s="100">
        <f>References!$B$26</f>
        <v>29</v>
      </c>
      <c r="H26" s="54">
        <f t="shared" si="15"/>
        <v>13572</v>
      </c>
      <c r="I26" s="51">
        <f>$C$101*H26</f>
        <v>8088.959761939281</v>
      </c>
      <c r="J26" s="90">
        <f>ROUND(((References!$C$49*I26)*$G$104)+((References!$C$54*I26)*$G$103),2)</f>
        <v>8.28</v>
      </c>
      <c r="K26" s="90">
        <f>ROUND(J26/References!$G$53,2)</f>
        <v>8.54</v>
      </c>
      <c r="L26" s="90">
        <f t="shared" si="16"/>
        <v>0.018247863247863247</v>
      </c>
      <c r="M26" s="90">
        <f>+M25</f>
        <v>3.74</v>
      </c>
      <c r="N26" s="113">
        <f t="shared" si="9"/>
        <v>3.7582478632478633</v>
      </c>
      <c r="O26" s="125">
        <f t="shared" si="10"/>
        <v>1750.3200000000002</v>
      </c>
      <c r="P26" s="125">
        <f t="shared" si="11"/>
        <v>1758.8600000000001</v>
      </c>
      <c r="Q26" s="48">
        <f t="shared" si="12"/>
        <v>3.7582478632478633</v>
      </c>
      <c r="R26" s="120">
        <f t="shared" si="13"/>
        <v>1758.8600000000001</v>
      </c>
      <c r="S26" s="120">
        <f t="shared" si="14"/>
        <v>8.539999999999964</v>
      </c>
      <c r="T26" s="131">
        <f>+N26/M26-1</f>
        <v>0.004879107820284334</v>
      </c>
      <c r="U26" s="130"/>
      <c r="V26" s="90"/>
      <c r="Z26" s="90"/>
    </row>
    <row r="27" spans="1:26" s="49" customFormat="1" ht="15">
      <c r="A27" s="139"/>
      <c r="B27" s="46"/>
      <c r="C27" s="107" t="s">
        <v>115</v>
      </c>
      <c r="D27" s="85">
        <v>8</v>
      </c>
      <c r="E27" s="50">
        <v>1</v>
      </c>
      <c r="F27" s="66">
        <f>D27*E27*52*4</f>
        <v>1664</v>
      </c>
      <c r="G27" s="100">
        <f>References!$B$26</f>
        <v>29</v>
      </c>
      <c r="H27" s="54">
        <f t="shared" si="15"/>
        <v>48256</v>
      </c>
      <c r="I27" s="51">
        <f>$C$101*H27</f>
        <v>28760.745820228556</v>
      </c>
      <c r="J27" s="90">
        <f>ROUND(((References!$C$49*I27)*$G$104)+((References!$C$54*I27)*$G$103),2)</f>
        <v>29.45</v>
      </c>
      <c r="K27" s="90">
        <f>ROUND(J27/References!$G$53,2)</f>
        <v>30.36</v>
      </c>
      <c r="L27" s="90">
        <f t="shared" si="16"/>
        <v>0.018245192307692306</v>
      </c>
      <c r="M27" s="90">
        <f>+M26</f>
        <v>3.74</v>
      </c>
      <c r="N27" s="113">
        <f t="shared" si="9"/>
        <v>3.7582451923076925</v>
      </c>
      <c r="O27" s="125">
        <f t="shared" si="10"/>
        <v>6223.360000000001</v>
      </c>
      <c r="P27" s="125">
        <f t="shared" si="11"/>
        <v>6253.72</v>
      </c>
      <c r="Q27" s="48">
        <f t="shared" si="12"/>
        <v>3.7582451923076925</v>
      </c>
      <c r="R27" s="120">
        <f t="shared" si="13"/>
        <v>6253.72</v>
      </c>
      <c r="S27" s="120">
        <f t="shared" si="14"/>
        <v>30.359999999999673</v>
      </c>
      <c r="T27" s="131">
        <f aca="true" t="shared" si="17" ref="T27:T89">+N27/M27-1</f>
        <v>0.004878393665158409</v>
      </c>
      <c r="U27" s="130"/>
      <c r="V27" s="90"/>
      <c r="Z27" s="90"/>
    </row>
    <row r="28" spans="1:26" s="49" customFormat="1" ht="15">
      <c r="A28" s="139"/>
      <c r="B28" s="46"/>
      <c r="C28" s="107" t="s">
        <v>116</v>
      </c>
      <c r="D28" s="85">
        <v>5</v>
      </c>
      <c r="E28" s="50">
        <v>1</v>
      </c>
      <c r="F28" s="66">
        <f>D28*E28*52*5</f>
        <v>1300</v>
      </c>
      <c r="G28" s="100">
        <f>References!$B$26</f>
        <v>29</v>
      </c>
      <c r="H28" s="54">
        <f t="shared" si="15"/>
        <v>37700</v>
      </c>
      <c r="I28" s="51">
        <f>$C$101*H28</f>
        <v>22469.33267205356</v>
      </c>
      <c r="J28" s="90">
        <f>ROUND(((References!$C$49*I28)*$G$104)+((References!$C$54*I28)*$G$103),2)</f>
        <v>23.01</v>
      </c>
      <c r="K28" s="90">
        <f>ROUND(J28/References!$G$53,2)</f>
        <v>23.72</v>
      </c>
      <c r="L28" s="90">
        <f t="shared" si="16"/>
        <v>0.018246153846153846</v>
      </c>
      <c r="M28" s="90">
        <f>+M27</f>
        <v>3.74</v>
      </c>
      <c r="N28" s="113">
        <f t="shared" si="9"/>
        <v>3.7582461538461542</v>
      </c>
      <c r="O28" s="125">
        <f t="shared" si="10"/>
        <v>4862</v>
      </c>
      <c r="P28" s="125">
        <f t="shared" si="11"/>
        <v>4885.72</v>
      </c>
      <c r="Q28" s="48">
        <f t="shared" si="12"/>
        <v>3.7582461538461542</v>
      </c>
      <c r="R28" s="120">
        <f t="shared" si="13"/>
        <v>4885.72</v>
      </c>
      <c r="S28" s="120">
        <f t="shared" si="14"/>
        <v>23.720000000000255</v>
      </c>
      <c r="T28" s="131">
        <f t="shared" si="17"/>
        <v>0.004878650761003689</v>
      </c>
      <c r="U28" s="130"/>
      <c r="V28" s="90"/>
      <c r="Z28" s="90"/>
    </row>
    <row r="29" spans="1:26" s="49" customFormat="1" ht="15">
      <c r="A29" s="139"/>
      <c r="B29" s="46"/>
      <c r="C29" s="108" t="s">
        <v>117</v>
      </c>
      <c r="D29" s="85">
        <v>28</v>
      </c>
      <c r="E29" s="50">
        <v>1</v>
      </c>
      <c r="F29" s="66">
        <f>D29*E29*52*28</f>
        <v>40768</v>
      </c>
      <c r="G29" s="100">
        <f>References!$B$26</f>
        <v>29</v>
      </c>
      <c r="H29" s="54">
        <f t="shared" si="15"/>
        <v>1182272</v>
      </c>
      <c r="I29" s="51">
        <f>$C$101*H29</f>
        <v>704638.2725955996</v>
      </c>
      <c r="J29" s="90">
        <f>ROUND(((References!$C$49*I29)*$G$104)+((References!$C$54*I29)*$G$103),2)</f>
        <v>721.44</v>
      </c>
      <c r="K29" s="90">
        <f>ROUND(J29/References!$G$53,2)</f>
        <v>743.83</v>
      </c>
      <c r="L29" s="90">
        <f t="shared" si="16"/>
        <v>0.01824543759811617</v>
      </c>
      <c r="M29" s="90">
        <f>+M28</f>
        <v>3.74</v>
      </c>
      <c r="N29" s="113">
        <f t="shared" si="9"/>
        <v>3.7582454375981165</v>
      </c>
      <c r="O29" s="125">
        <f t="shared" si="10"/>
        <v>152472.32</v>
      </c>
      <c r="P29" s="125">
        <f t="shared" si="11"/>
        <v>153216.15000000002</v>
      </c>
      <c r="Q29" s="48">
        <f t="shared" si="12"/>
        <v>3.7582454375981165</v>
      </c>
      <c r="R29" s="120">
        <f t="shared" si="13"/>
        <v>153216.15000000002</v>
      </c>
      <c r="S29" s="120">
        <f t="shared" si="14"/>
        <v>743.8300000000163</v>
      </c>
      <c r="T29" s="131">
        <f t="shared" si="17"/>
        <v>0.0048784592508333</v>
      </c>
      <c r="U29" s="130"/>
      <c r="V29" s="90"/>
      <c r="Z29" s="90"/>
    </row>
    <row r="30" spans="1:26" s="49" customFormat="1" ht="15">
      <c r="A30" s="139"/>
      <c r="B30" s="46"/>
      <c r="C30" s="108" t="s">
        <v>118</v>
      </c>
      <c r="D30" s="88">
        <v>18</v>
      </c>
      <c r="E30" s="87">
        <v>1</v>
      </c>
      <c r="F30" s="95">
        <f aca="true" t="shared" si="18" ref="F30:F37">D30*E30*52</f>
        <v>936</v>
      </c>
      <c r="G30" s="100">
        <v>37</v>
      </c>
      <c r="H30" s="54">
        <f t="shared" si="15"/>
        <v>34632</v>
      </c>
      <c r="I30" s="89">
        <f>$C$101*H30</f>
        <v>20640.793875293337</v>
      </c>
      <c r="J30" s="90">
        <f>ROUND(((References!$C$49*I30)*$G$104)+((References!$C$54*I30)*$G$103),2)</f>
        <v>21.13</v>
      </c>
      <c r="K30" s="90">
        <f>ROUND(J30/References!$G$53,2)</f>
        <v>21.79</v>
      </c>
      <c r="L30" s="90">
        <f t="shared" si="16"/>
        <v>0.023279914529914528</v>
      </c>
      <c r="M30" s="90">
        <v>3.95</v>
      </c>
      <c r="N30" s="113">
        <f t="shared" si="9"/>
        <v>3.9732799145299147</v>
      </c>
      <c r="O30" s="125">
        <f t="shared" si="10"/>
        <v>3697.2000000000003</v>
      </c>
      <c r="P30" s="125">
        <f t="shared" si="11"/>
        <v>3718.9900000000002</v>
      </c>
      <c r="Q30" s="48">
        <f t="shared" si="12"/>
        <v>3.9732799145299147</v>
      </c>
      <c r="R30" s="120">
        <f t="shared" si="13"/>
        <v>3718.9900000000002</v>
      </c>
      <c r="S30" s="120">
        <f t="shared" si="14"/>
        <v>21.789999999999964</v>
      </c>
      <c r="T30" s="131">
        <f t="shared" si="17"/>
        <v>0.005893649248079669</v>
      </c>
      <c r="U30" s="130"/>
      <c r="V30" s="90"/>
      <c r="Z30" s="90"/>
    </row>
    <row r="31" spans="1:26" s="49" customFormat="1" ht="15">
      <c r="A31" s="139"/>
      <c r="B31" s="46"/>
      <c r="C31" s="108" t="s">
        <v>119</v>
      </c>
      <c r="D31" s="85">
        <v>4</v>
      </c>
      <c r="E31" s="50">
        <v>1</v>
      </c>
      <c r="F31" s="66">
        <f>D31*E31*52*2</f>
        <v>416</v>
      </c>
      <c r="G31" s="100">
        <f>References!B20</f>
        <v>37</v>
      </c>
      <c r="H31" s="54">
        <f t="shared" si="15"/>
        <v>15392</v>
      </c>
      <c r="I31" s="51">
        <f>$C$101*H31</f>
        <v>9173.686166797039</v>
      </c>
      <c r="J31" s="90">
        <f>ROUND(((References!$C$49*I31)*$G$104)+((References!$C$54*I31)*$G$103),2)</f>
        <v>9.39</v>
      </c>
      <c r="K31" s="90">
        <f>ROUND(J31/References!$G$53,2)</f>
        <v>9.68</v>
      </c>
      <c r="L31" s="90">
        <f t="shared" si="16"/>
        <v>0.023269230769230768</v>
      </c>
      <c r="M31" s="90">
        <f>+M30</f>
        <v>3.95</v>
      </c>
      <c r="N31" s="113">
        <f t="shared" si="9"/>
        <v>3.973269230769231</v>
      </c>
      <c r="O31" s="125">
        <f t="shared" si="10"/>
        <v>1643.2</v>
      </c>
      <c r="P31" s="125">
        <f t="shared" si="11"/>
        <v>1652.88</v>
      </c>
      <c r="Q31" s="48">
        <f t="shared" si="12"/>
        <v>3.973269230769231</v>
      </c>
      <c r="R31" s="120">
        <f t="shared" si="13"/>
        <v>1652.88</v>
      </c>
      <c r="S31" s="120">
        <f t="shared" si="14"/>
        <v>9.680000000000064</v>
      </c>
      <c r="T31" s="131">
        <f t="shared" si="17"/>
        <v>0.005890944498539552</v>
      </c>
      <c r="U31" s="130"/>
      <c r="V31" s="90"/>
      <c r="Z31" s="90"/>
    </row>
    <row r="32" spans="1:26" s="49" customFormat="1" ht="15">
      <c r="A32" s="139"/>
      <c r="B32" s="46"/>
      <c r="C32" s="108" t="s">
        <v>120</v>
      </c>
      <c r="D32" s="85">
        <v>4</v>
      </c>
      <c r="E32" s="50">
        <v>1</v>
      </c>
      <c r="F32" s="66">
        <f>D32*E32*52*4</f>
        <v>832</v>
      </c>
      <c r="G32" s="100">
        <f>References!B20</f>
        <v>37</v>
      </c>
      <c r="H32" s="54">
        <f t="shared" si="15"/>
        <v>30784</v>
      </c>
      <c r="I32" s="51">
        <f>$C$101*H32</f>
        <v>18347.372333594078</v>
      </c>
      <c r="J32" s="90">
        <f>ROUND(((References!$C$49*I32)*$G$104)+((References!$C$54*I32)*$G$103),2)</f>
        <v>18.78</v>
      </c>
      <c r="K32" s="90">
        <f>ROUND(J32/References!$G$53,2)</f>
        <v>19.36</v>
      </c>
      <c r="L32" s="90">
        <f t="shared" si="16"/>
        <v>0.023269230769230768</v>
      </c>
      <c r="M32" s="90">
        <f>+M31</f>
        <v>3.95</v>
      </c>
      <c r="N32" s="113">
        <f t="shared" si="9"/>
        <v>3.973269230769231</v>
      </c>
      <c r="O32" s="125">
        <f t="shared" si="10"/>
        <v>3286.4</v>
      </c>
      <c r="P32" s="125">
        <f t="shared" si="11"/>
        <v>3305.76</v>
      </c>
      <c r="Q32" s="48">
        <f t="shared" si="12"/>
        <v>3.973269230769231</v>
      </c>
      <c r="R32" s="120">
        <f t="shared" si="13"/>
        <v>3305.76</v>
      </c>
      <c r="S32" s="120">
        <f t="shared" si="14"/>
        <v>19.360000000000127</v>
      </c>
      <c r="T32" s="131">
        <f t="shared" si="17"/>
        <v>0.005890944498539552</v>
      </c>
      <c r="U32" s="130"/>
      <c r="V32" s="90"/>
      <c r="Z32" s="90"/>
    </row>
    <row r="33" spans="1:26" s="49" customFormat="1" ht="15">
      <c r="A33" s="139"/>
      <c r="B33" s="46"/>
      <c r="C33" s="108" t="s">
        <v>121</v>
      </c>
      <c r="D33" s="85">
        <v>26</v>
      </c>
      <c r="E33" s="50">
        <v>1</v>
      </c>
      <c r="F33" s="66">
        <f t="shared" si="18"/>
        <v>1352</v>
      </c>
      <c r="G33" s="100">
        <f>References!$B$21</f>
        <v>47</v>
      </c>
      <c r="H33" s="54">
        <f t="shared" si="15"/>
        <v>63544</v>
      </c>
      <c r="I33" s="51">
        <f>$C$101*H33</f>
        <v>37872.44762103372</v>
      </c>
      <c r="J33" s="90">
        <f>ROUND(((References!$C$49*I33)*$G$104)+((References!$C$54*I33)*$G$103),2)</f>
        <v>38.78</v>
      </c>
      <c r="K33" s="90">
        <f>ROUND(J33/References!$G$53,2)</f>
        <v>39.98</v>
      </c>
      <c r="L33" s="90">
        <f t="shared" si="16"/>
        <v>0.029571005917159762</v>
      </c>
      <c r="M33" s="90">
        <v>7</v>
      </c>
      <c r="N33" s="113">
        <f t="shared" si="9"/>
        <v>7.02957100591716</v>
      </c>
      <c r="O33" s="125">
        <f t="shared" si="10"/>
        <v>9464</v>
      </c>
      <c r="P33" s="125">
        <f t="shared" si="11"/>
        <v>9503.98</v>
      </c>
      <c r="Q33" s="48">
        <f t="shared" si="12"/>
        <v>7.02957100591716</v>
      </c>
      <c r="R33" s="120">
        <f t="shared" si="13"/>
        <v>9503.98</v>
      </c>
      <c r="S33" s="120">
        <f t="shared" si="14"/>
        <v>39.97999999999956</v>
      </c>
      <c r="T33" s="131">
        <f t="shared" si="17"/>
        <v>0.004224429416737063</v>
      </c>
      <c r="U33" s="130"/>
      <c r="V33" s="90"/>
      <c r="Z33" s="90"/>
    </row>
    <row r="34" spans="1:26" s="49" customFormat="1" ht="15">
      <c r="A34" s="139"/>
      <c r="B34" s="46"/>
      <c r="C34" s="108" t="s">
        <v>122</v>
      </c>
      <c r="D34" s="85">
        <v>4</v>
      </c>
      <c r="E34" s="50">
        <v>1</v>
      </c>
      <c r="F34" s="66">
        <f>D34*E34*52*2</f>
        <v>416</v>
      </c>
      <c r="G34" s="100">
        <f>References!$B$21</f>
        <v>47</v>
      </c>
      <c r="H34" s="54">
        <f t="shared" si="15"/>
        <v>19552</v>
      </c>
      <c r="I34" s="51">
        <f>$C$101*H34</f>
        <v>11653.060806471914</v>
      </c>
      <c r="J34" s="90">
        <f>ROUND(((References!$C$49*I34)*$G$104)+((References!$C$54*I34)*$G$103),2)</f>
        <v>11.93</v>
      </c>
      <c r="K34" s="90">
        <f>ROUND(J34/References!$G$53,2)</f>
        <v>12.3</v>
      </c>
      <c r="L34" s="90">
        <f t="shared" si="16"/>
        <v>0.029567307692307695</v>
      </c>
      <c r="M34" s="90">
        <f>+M33</f>
        <v>7</v>
      </c>
      <c r="N34" s="113">
        <f t="shared" si="9"/>
        <v>7.029567307692307</v>
      </c>
      <c r="O34" s="125">
        <f t="shared" si="10"/>
        <v>2912</v>
      </c>
      <c r="P34" s="125">
        <f t="shared" si="11"/>
        <v>2924.2999999999997</v>
      </c>
      <c r="Q34" s="48">
        <f t="shared" si="12"/>
        <v>7.029567307692307</v>
      </c>
      <c r="R34" s="120">
        <f t="shared" si="13"/>
        <v>2924.2999999999997</v>
      </c>
      <c r="S34" s="120">
        <f t="shared" si="14"/>
        <v>12.299999999999727</v>
      </c>
      <c r="T34" s="131">
        <f t="shared" si="17"/>
        <v>0.004223901098901139</v>
      </c>
      <c r="U34" s="130"/>
      <c r="V34" s="90"/>
      <c r="Z34" s="90"/>
    </row>
    <row r="35" spans="1:26" s="49" customFormat="1" ht="15">
      <c r="A35" s="139"/>
      <c r="B35" s="46"/>
      <c r="C35" s="2" t="s">
        <v>123</v>
      </c>
      <c r="D35" s="85">
        <v>20</v>
      </c>
      <c r="E35" s="50">
        <v>1</v>
      </c>
      <c r="F35" s="66">
        <f t="shared" si="18"/>
        <v>1040</v>
      </c>
      <c r="G35" s="100">
        <f>References!$B$22</f>
        <v>68</v>
      </c>
      <c r="H35" s="54">
        <f t="shared" si="15"/>
        <v>70720</v>
      </c>
      <c r="I35" s="51">
        <f>$C$101*H35</f>
        <v>42149.368874472886</v>
      </c>
      <c r="J35" s="90">
        <f>ROUND(((References!$C$49*I35)*$G$104)+((References!$C$54*I35)*$G$103),2)</f>
        <v>43.15</v>
      </c>
      <c r="K35" s="90">
        <f>ROUND(J35/References!$G$53,2)</f>
        <v>44.49</v>
      </c>
      <c r="L35" s="90">
        <f t="shared" si="16"/>
        <v>0.04277884615384615</v>
      </c>
      <c r="M35" s="90">
        <v>10.1</v>
      </c>
      <c r="N35" s="113">
        <f t="shared" si="9"/>
        <v>10.142778846153846</v>
      </c>
      <c r="O35" s="125">
        <f t="shared" si="10"/>
        <v>10504</v>
      </c>
      <c r="P35" s="125">
        <f t="shared" si="11"/>
        <v>10548.49</v>
      </c>
      <c r="Q35" s="48">
        <f t="shared" si="12"/>
        <v>10.142778846153846</v>
      </c>
      <c r="R35" s="120">
        <f t="shared" si="13"/>
        <v>10548.49</v>
      </c>
      <c r="S35" s="120">
        <f t="shared" si="14"/>
        <v>44.48999999999978</v>
      </c>
      <c r="T35" s="131">
        <f t="shared" si="17"/>
        <v>0.004235529322162979</v>
      </c>
      <c r="U35" s="130"/>
      <c r="V35" s="90"/>
      <c r="Z35" s="90"/>
    </row>
    <row r="36" spans="1:26" s="49" customFormat="1" ht="15">
      <c r="A36" s="139"/>
      <c r="B36" s="46"/>
      <c r="C36" s="2" t="s">
        <v>124</v>
      </c>
      <c r="D36" s="85">
        <v>8</v>
      </c>
      <c r="E36" s="50">
        <v>1</v>
      </c>
      <c r="F36" s="66">
        <f>D36*E36*52*2</f>
        <v>832</v>
      </c>
      <c r="G36" s="100">
        <f>References!$B$22</f>
        <v>68</v>
      </c>
      <c r="H36" s="54">
        <f t="shared" si="15"/>
        <v>56576</v>
      </c>
      <c r="I36" s="51">
        <f>$C$101*H36</f>
        <v>33719.49509957831</v>
      </c>
      <c r="J36" s="90">
        <f>ROUND(((References!$C$49*I36)*$G$104)+((References!$C$54*I36)*$G$103),2)</f>
        <v>34.52</v>
      </c>
      <c r="K36" s="90">
        <f>ROUND(J36/References!$G$53,2)</f>
        <v>35.59</v>
      </c>
      <c r="L36" s="90">
        <f t="shared" si="16"/>
        <v>0.042776442307692314</v>
      </c>
      <c r="M36" s="90">
        <f>+M35</f>
        <v>10.1</v>
      </c>
      <c r="N36" s="113">
        <f t="shared" si="9"/>
        <v>10.142776442307692</v>
      </c>
      <c r="O36" s="125">
        <f t="shared" si="10"/>
        <v>8403.199999999999</v>
      </c>
      <c r="P36" s="125">
        <f t="shared" si="11"/>
        <v>8438.79</v>
      </c>
      <c r="Q36" s="48">
        <f t="shared" si="12"/>
        <v>10.142776442307692</v>
      </c>
      <c r="R36" s="120">
        <f t="shared" si="13"/>
        <v>8438.79</v>
      </c>
      <c r="S36" s="120">
        <f t="shared" si="14"/>
        <v>35.590000000001965</v>
      </c>
      <c r="T36" s="131">
        <f t="shared" si="17"/>
        <v>0.00423529131759337</v>
      </c>
      <c r="U36" s="130"/>
      <c r="V36" s="90"/>
      <c r="Z36" s="90"/>
    </row>
    <row r="37" spans="1:26" s="49" customFormat="1" ht="15">
      <c r="A37" s="139"/>
      <c r="B37" s="46"/>
      <c r="C37" s="2" t="s">
        <v>125</v>
      </c>
      <c r="D37" s="85">
        <v>104</v>
      </c>
      <c r="E37" s="50">
        <v>0.5</v>
      </c>
      <c r="F37" s="66">
        <f t="shared" si="18"/>
        <v>2704</v>
      </c>
      <c r="G37" s="100">
        <f>References!$B$27</f>
        <v>175</v>
      </c>
      <c r="H37" s="54">
        <f t="shared" si="15"/>
        <v>473200</v>
      </c>
      <c r="I37" s="51">
        <f>$C$101*H37</f>
        <v>282028.86526301707</v>
      </c>
      <c r="J37" s="90">
        <f>ROUND(((References!$C$49*I37)*$G$104)+((References!$C$54*I37)*$G$103),2)</f>
        <v>288.76</v>
      </c>
      <c r="K37" s="90">
        <f>ROUND(J37/References!$G$53,2)</f>
        <v>297.72</v>
      </c>
      <c r="L37" s="90">
        <f t="shared" si="16"/>
        <v>0.110103550295858</v>
      </c>
      <c r="M37" s="90">
        <v>16.39</v>
      </c>
      <c r="N37" s="113">
        <f t="shared" si="9"/>
        <v>16.500103550295858</v>
      </c>
      <c r="O37" s="125">
        <f t="shared" si="10"/>
        <v>44318.560000000005</v>
      </c>
      <c r="P37" s="125">
        <f t="shared" si="11"/>
        <v>44616.28</v>
      </c>
      <c r="Q37" s="48">
        <f t="shared" si="12"/>
        <v>16.500103550295858</v>
      </c>
      <c r="R37" s="120">
        <f t="shared" si="13"/>
        <v>44616.28</v>
      </c>
      <c r="S37" s="120">
        <f t="shared" si="14"/>
        <v>297.7199999999939</v>
      </c>
      <c r="T37" s="131">
        <f t="shared" si="17"/>
        <v>0.0067177272907783525</v>
      </c>
      <c r="U37" s="130"/>
      <c r="V37" s="90"/>
      <c r="Z37" s="90"/>
    </row>
    <row r="38" spans="1:26" s="49" customFormat="1" ht="15">
      <c r="A38" s="139"/>
      <c r="B38" s="46"/>
      <c r="C38" s="2" t="s">
        <v>126</v>
      </c>
      <c r="D38" s="85">
        <v>101</v>
      </c>
      <c r="E38" s="50">
        <v>1</v>
      </c>
      <c r="F38" s="66">
        <f>D38*E38*52</f>
        <v>5252</v>
      </c>
      <c r="G38" s="100">
        <f>References!$B$27</f>
        <v>175</v>
      </c>
      <c r="H38" s="54">
        <f t="shared" si="15"/>
        <v>919100</v>
      </c>
      <c r="I38" s="51">
        <f>$C$101*H38</f>
        <v>547786.8344531677</v>
      </c>
      <c r="J38" s="90">
        <f>ROUND(((References!$C$49*I38)*$G$104)+((References!$C$54*I38)*$G$103),2)</f>
        <v>560.85</v>
      </c>
      <c r="K38" s="90">
        <f>ROUND(J38/References!$G$53,2)</f>
        <v>578.26</v>
      </c>
      <c r="L38" s="90">
        <f t="shared" si="16"/>
        <v>0.11010281797410511</v>
      </c>
      <c r="M38" s="90">
        <f>+M37</f>
        <v>16.39</v>
      </c>
      <c r="N38" s="113">
        <f t="shared" si="9"/>
        <v>16.500102817974106</v>
      </c>
      <c r="O38" s="125">
        <f t="shared" si="10"/>
        <v>86080.28</v>
      </c>
      <c r="P38" s="125">
        <f t="shared" si="11"/>
        <v>86658.54000000001</v>
      </c>
      <c r="Q38" s="48">
        <f t="shared" si="12"/>
        <v>16.500102817974106</v>
      </c>
      <c r="R38" s="120">
        <f t="shared" si="13"/>
        <v>86658.54000000001</v>
      </c>
      <c r="S38" s="120">
        <f t="shared" si="14"/>
        <v>578.2600000000093</v>
      </c>
      <c r="T38" s="131">
        <f t="shared" si="17"/>
        <v>0.006717682609768572</v>
      </c>
      <c r="U38" s="130"/>
      <c r="V38" s="90">
        <v>29.75</v>
      </c>
      <c r="W38" s="145">
        <f>+V38*T38</f>
        <v>0.199851057640615</v>
      </c>
      <c r="X38" s="130">
        <f>+W38+V38</f>
        <v>29.949851057640615</v>
      </c>
      <c r="Z38" s="90"/>
    </row>
    <row r="39" spans="1:26" s="49" customFormat="1" ht="15">
      <c r="A39" s="139"/>
      <c r="B39" s="46"/>
      <c r="C39" s="3" t="s">
        <v>127</v>
      </c>
      <c r="D39" s="85">
        <v>4</v>
      </c>
      <c r="E39" s="50">
        <v>1</v>
      </c>
      <c r="F39" s="66">
        <f>D39*E39*52*2</f>
        <v>416</v>
      </c>
      <c r="G39" s="100">
        <f>References!$B$27</f>
        <v>175</v>
      </c>
      <c r="H39" s="54">
        <f t="shared" si="15"/>
        <v>72800</v>
      </c>
      <c r="I39" s="51">
        <f>$C$101*H39</f>
        <v>43389.056194310324</v>
      </c>
      <c r="J39" s="90">
        <f>ROUND(((References!$C$49*I39)*$G$104)+((References!$C$54*I39)*$G$103),2)</f>
        <v>44.42</v>
      </c>
      <c r="K39" s="90">
        <f>ROUND(J39/References!$G$53,2)</f>
        <v>45.8</v>
      </c>
      <c r="L39" s="90">
        <f t="shared" si="16"/>
        <v>0.11009615384615384</v>
      </c>
      <c r="M39" s="90">
        <f>+M38</f>
        <v>16.39</v>
      </c>
      <c r="N39" s="113">
        <f t="shared" si="9"/>
        <v>16.500096153846155</v>
      </c>
      <c r="O39" s="125">
        <f t="shared" si="10"/>
        <v>6818.24</v>
      </c>
      <c r="P39" s="125">
        <f t="shared" si="11"/>
        <v>6864.04</v>
      </c>
      <c r="Q39" s="48">
        <f t="shared" si="12"/>
        <v>16.500096153846155</v>
      </c>
      <c r="R39" s="120">
        <f t="shared" si="13"/>
        <v>6864.04</v>
      </c>
      <c r="S39" s="120">
        <f t="shared" si="14"/>
        <v>45.80000000000018</v>
      </c>
      <c r="T39" s="131">
        <f t="shared" si="17"/>
        <v>0.0067172760125779885</v>
      </c>
      <c r="U39" s="130"/>
      <c r="V39" s="90"/>
      <c r="W39" s="145"/>
      <c r="Z39" s="90"/>
    </row>
    <row r="40" spans="1:26" s="49" customFormat="1" ht="15">
      <c r="A40" s="139"/>
      <c r="B40" s="46"/>
      <c r="C40" s="3" t="s">
        <v>128</v>
      </c>
      <c r="D40" s="85">
        <v>2</v>
      </c>
      <c r="E40" s="50">
        <v>1</v>
      </c>
      <c r="F40" s="66">
        <f>D40*E40*52*2</f>
        <v>208</v>
      </c>
      <c r="G40" s="100">
        <f>References!$B$27</f>
        <v>175</v>
      </c>
      <c r="H40" s="54">
        <f t="shared" si="15"/>
        <v>36400</v>
      </c>
      <c r="I40" s="51">
        <f>$C$101*H40</f>
        <v>21694.528097155162</v>
      </c>
      <c r="J40" s="90">
        <f>ROUND(((References!$C$49*I40)*$G$104)+((References!$C$54*I40)*$G$103),2)</f>
        <v>22.21</v>
      </c>
      <c r="K40" s="90">
        <f>ROUND(J40/References!$G$53,2)</f>
        <v>22.9</v>
      </c>
      <c r="L40" s="90">
        <f t="shared" si="16"/>
        <v>0.11009615384615384</v>
      </c>
      <c r="M40" s="90">
        <f>+M39</f>
        <v>16.39</v>
      </c>
      <c r="N40" s="113">
        <f t="shared" si="9"/>
        <v>16.500096153846155</v>
      </c>
      <c r="O40" s="125">
        <f t="shared" si="10"/>
        <v>3409.12</v>
      </c>
      <c r="P40" s="125">
        <f t="shared" si="11"/>
        <v>3432.02</v>
      </c>
      <c r="Q40" s="48">
        <f t="shared" si="12"/>
        <v>16.500096153846155</v>
      </c>
      <c r="R40" s="120">
        <f t="shared" si="13"/>
        <v>3432.02</v>
      </c>
      <c r="S40" s="120">
        <f t="shared" si="14"/>
        <v>22.90000000000009</v>
      </c>
      <c r="T40" s="131">
        <f t="shared" si="17"/>
        <v>0.0067172760125779885</v>
      </c>
      <c r="U40" s="130"/>
      <c r="V40" s="90"/>
      <c r="W40" s="145"/>
      <c r="Z40" s="90"/>
    </row>
    <row r="41" spans="1:26" s="49" customFormat="1" ht="15">
      <c r="A41" s="139"/>
      <c r="B41" s="46"/>
      <c r="C41" s="2" t="s">
        <v>129</v>
      </c>
      <c r="D41" s="85">
        <v>40</v>
      </c>
      <c r="E41" s="50">
        <v>1</v>
      </c>
      <c r="F41" s="66">
        <f>D41*E41*26</f>
        <v>1040</v>
      </c>
      <c r="G41" s="100">
        <f>References!$B$28</f>
        <v>250</v>
      </c>
      <c r="H41" s="54">
        <f t="shared" si="15"/>
        <v>260000</v>
      </c>
      <c r="I41" s="51">
        <f>$C$101*H41</f>
        <v>154960.9149796797</v>
      </c>
      <c r="J41" s="90">
        <f>ROUND(((References!$C$49*I41)*$G$104)+((References!$C$54*I41)*$G$103),2)</f>
        <v>158.66</v>
      </c>
      <c r="K41" s="90">
        <f>ROUND(J41/References!$G$53,2)</f>
        <v>163.58</v>
      </c>
      <c r="L41" s="90">
        <f t="shared" si="16"/>
        <v>0.15728846153846154</v>
      </c>
      <c r="M41" s="90">
        <v>23.52</v>
      </c>
      <c r="N41" s="113">
        <f t="shared" si="9"/>
        <v>23.67728846153846</v>
      </c>
      <c r="O41" s="125">
        <f t="shared" si="10"/>
        <v>24460.8</v>
      </c>
      <c r="P41" s="125">
        <f t="shared" si="11"/>
        <v>24624.379999999997</v>
      </c>
      <c r="Q41" s="48">
        <f t="shared" si="12"/>
        <v>23.67728846153846</v>
      </c>
      <c r="R41" s="120">
        <f t="shared" si="13"/>
        <v>24624.379999999997</v>
      </c>
      <c r="S41" s="120">
        <f t="shared" si="14"/>
        <v>163.5799999999981</v>
      </c>
      <c r="T41" s="131">
        <f t="shared" si="17"/>
        <v>0.006687434589220276</v>
      </c>
      <c r="U41" s="130"/>
      <c r="V41" s="90"/>
      <c r="W41" s="145"/>
      <c r="Z41" s="90"/>
    </row>
    <row r="42" spans="1:26" s="49" customFormat="1" ht="15">
      <c r="A42" s="139"/>
      <c r="B42" s="46"/>
      <c r="C42" s="2" t="s">
        <v>130</v>
      </c>
      <c r="D42" s="85">
        <v>31</v>
      </c>
      <c r="E42" s="50">
        <v>1</v>
      </c>
      <c r="F42" s="66">
        <f>D42*E42*52</f>
        <v>1612</v>
      </c>
      <c r="G42" s="100">
        <f>References!$B$28</f>
        <v>250</v>
      </c>
      <c r="H42" s="54">
        <f t="shared" si="15"/>
        <v>403000</v>
      </c>
      <c r="I42" s="51">
        <f>$C$101*H42</f>
        <v>240189.41821850356</v>
      </c>
      <c r="J42" s="90">
        <f>ROUND(((References!$C$49*I42)*$G$104)+((References!$C$54*I42)*$G$103),2)</f>
        <v>245.92</v>
      </c>
      <c r="K42" s="90">
        <f>ROUND(J42/References!$G$53,2)</f>
        <v>253.55</v>
      </c>
      <c r="L42" s="90">
        <f t="shared" si="16"/>
        <v>0.15728908188585608</v>
      </c>
      <c r="M42" s="90">
        <f>+M41</f>
        <v>23.52</v>
      </c>
      <c r="N42" s="113">
        <f t="shared" si="9"/>
        <v>23.677289081885856</v>
      </c>
      <c r="O42" s="125">
        <f t="shared" si="10"/>
        <v>37914.24</v>
      </c>
      <c r="P42" s="125">
        <f t="shared" si="11"/>
        <v>38167.79</v>
      </c>
      <c r="Q42" s="48">
        <f t="shared" si="12"/>
        <v>23.677289081885856</v>
      </c>
      <c r="R42" s="120">
        <f t="shared" si="13"/>
        <v>38167.79</v>
      </c>
      <c r="S42" s="120">
        <f t="shared" si="14"/>
        <v>253.5500000000029</v>
      </c>
      <c r="T42" s="131">
        <f t="shared" si="17"/>
        <v>0.006687460964534653</v>
      </c>
      <c r="U42" s="130"/>
      <c r="V42" s="90">
        <v>36.92</v>
      </c>
      <c r="W42" s="145">
        <f aca="true" t="shared" si="19" ref="W42:W53">+V42*T42</f>
        <v>0.24690105881061938</v>
      </c>
      <c r="X42" s="130">
        <f>+W42+V42</f>
        <v>37.16690105881062</v>
      </c>
      <c r="Z42" s="90"/>
    </row>
    <row r="43" spans="1:26" s="49" customFormat="1" ht="15">
      <c r="A43" s="139"/>
      <c r="B43" s="46"/>
      <c r="C43" s="2" t="s">
        <v>131</v>
      </c>
      <c r="D43" s="85">
        <v>50</v>
      </c>
      <c r="E43" s="87">
        <v>0.5</v>
      </c>
      <c r="F43" s="66">
        <f>D43*E43*52</f>
        <v>1300</v>
      </c>
      <c r="G43" s="100">
        <f>References!$B$29</f>
        <v>324</v>
      </c>
      <c r="H43" s="54">
        <f t="shared" si="15"/>
        <v>421200</v>
      </c>
      <c r="I43" s="51">
        <f>$C$101*H43</f>
        <v>251036.68226708114</v>
      </c>
      <c r="J43" s="90">
        <f>ROUND(((References!$C$49*I43)*$G$104)+((References!$C$54*I43)*$G$103),2)</f>
        <v>257.02</v>
      </c>
      <c r="K43" s="90">
        <f>ROUND(J43/References!$G$53,2)</f>
        <v>265</v>
      </c>
      <c r="L43" s="90">
        <f t="shared" si="16"/>
        <v>0.20384615384615384</v>
      </c>
      <c r="M43" s="90">
        <v>29.42</v>
      </c>
      <c r="N43" s="113">
        <f t="shared" si="9"/>
        <v>29.623846153846156</v>
      </c>
      <c r="O43" s="125">
        <f t="shared" si="10"/>
        <v>38246</v>
      </c>
      <c r="P43" s="125">
        <f t="shared" si="11"/>
        <v>38511</v>
      </c>
      <c r="Q43" s="48">
        <f t="shared" si="12"/>
        <v>29.623846153846156</v>
      </c>
      <c r="R43" s="120">
        <f t="shared" si="13"/>
        <v>38511</v>
      </c>
      <c r="S43" s="120">
        <f t="shared" si="14"/>
        <v>265</v>
      </c>
      <c r="T43" s="131">
        <f t="shared" si="17"/>
        <v>0.006928829158604932</v>
      </c>
      <c r="U43" s="130"/>
      <c r="V43" s="90"/>
      <c r="W43" s="145"/>
      <c r="Z43" s="90"/>
    </row>
    <row r="44" spans="1:26" s="49" customFormat="1" ht="15">
      <c r="A44" s="139"/>
      <c r="B44" s="46"/>
      <c r="C44" s="2" t="s">
        <v>132</v>
      </c>
      <c r="D44" s="85">
        <v>127</v>
      </c>
      <c r="E44" s="50">
        <v>1</v>
      </c>
      <c r="F44" s="66">
        <f>D44*E44*52</f>
        <v>6604</v>
      </c>
      <c r="G44" s="100">
        <f>References!$B$29</f>
        <v>324</v>
      </c>
      <c r="H44" s="54">
        <f t="shared" si="15"/>
        <v>2139696</v>
      </c>
      <c r="I44" s="51">
        <f>$C$101*H44</f>
        <v>1275266.3459167723</v>
      </c>
      <c r="J44" s="90">
        <f>ROUND(((References!$C$49*I44)*$G$104)+((References!$C$54*I44)*$G$103),2)</f>
        <v>1305.68</v>
      </c>
      <c r="K44" s="90">
        <f>ROUND(J44/References!$G$53,2)</f>
        <v>1346.2</v>
      </c>
      <c r="L44" s="90">
        <f t="shared" si="16"/>
        <v>0.20384615384615384</v>
      </c>
      <c r="M44" s="90">
        <f>+M43</f>
        <v>29.42</v>
      </c>
      <c r="N44" s="113">
        <f t="shared" si="9"/>
        <v>29.623846153846156</v>
      </c>
      <c r="O44" s="125">
        <f t="shared" si="10"/>
        <v>194289.68000000002</v>
      </c>
      <c r="P44" s="125">
        <f t="shared" si="11"/>
        <v>195635.88</v>
      </c>
      <c r="Q44" s="48">
        <f t="shared" si="12"/>
        <v>29.623846153846156</v>
      </c>
      <c r="R44" s="120">
        <f t="shared" si="13"/>
        <v>195635.88</v>
      </c>
      <c r="S44" s="120">
        <f t="shared" si="14"/>
        <v>1346.1999999999825</v>
      </c>
      <c r="T44" s="131">
        <f t="shared" si="17"/>
        <v>0.006928829158604932</v>
      </c>
      <c r="U44" s="130"/>
      <c r="V44" s="90">
        <v>42.84</v>
      </c>
      <c r="W44" s="145">
        <f t="shared" si="19"/>
        <v>0.2968310411546353</v>
      </c>
      <c r="X44" s="130">
        <f>+W44+V44</f>
        <v>43.136831041154636</v>
      </c>
      <c r="Z44" s="90"/>
    </row>
    <row r="45" spans="1:26" s="49" customFormat="1" ht="15">
      <c r="A45" s="139"/>
      <c r="B45" s="46"/>
      <c r="C45" s="2" t="s">
        <v>133</v>
      </c>
      <c r="D45" s="85">
        <v>6</v>
      </c>
      <c r="E45" s="50">
        <v>1</v>
      </c>
      <c r="F45" s="66">
        <f>D45*E45*52*2</f>
        <v>624</v>
      </c>
      <c r="G45" s="100">
        <f>References!$B$29</f>
        <v>324</v>
      </c>
      <c r="H45" s="54">
        <f t="shared" si="15"/>
        <v>202176</v>
      </c>
      <c r="I45" s="51">
        <f>$C$101*H45</f>
        <v>120497.60748819895</v>
      </c>
      <c r="J45" s="90">
        <f>ROUND(((References!$C$49*I45)*$G$104)+((References!$C$54*I45)*$G$103),2)</f>
        <v>123.37</v>
      </c>
      <c r="K45" s="90">
        <f>ROUND(J45/References!$G$53,2)</f>
        <v>127.2</v>
      </c>
      <c r="L45" s="90">
        <f t="shared" si="16"/>
        <v>0.20384615384615384</v>
      </c>
      <c r="M45" s="90">
        <f>+M44</f>
        <v>29.42</v>
      </c>
      <c r="N45" s="113">
        <f t="shared" si="9"/>
        <v>29.623846153846156</v>
      </c>
      <c r="O45" s="125">
        <f t="shared" si="10"/>
        <v>18358.08</v>
      </c>
      <c r="P45" s="125">
        <f t="shared" si="11"/>
        <v>18485.280000000002</v>
      </c>
      <c r="Q45" s="48">
        <f t="shared" si="12"/>
        <v>29.623846153846156</v>
      </c>
      <c r="R45" s="120">
        <f t="shared" si="13"/>
        <v>18485.280000000002</v>
      </c>
      <c r="S45" s="120">
        <f t="shared" si="14"/>
        <v>127.20000000000073</v>
      </c>
      <c r="T45" s="131">
        <f t="shared" si="17"/>
        <v>0.006928829158604932</v>
      </c>
      <c r="U45" s="130"/>
      <c r="V45" s="90"/>
      <c r="W45" s="145"/>
      <c r="Z45" s="90"/>
    </row>
    <row r="46" spans="1:26" s="49" customFormat="1" ht="15">
      <c r="A46" s="139"/>
      <c r="B46" s="46"/>
      <c r="C46" s="2" t="s">
        <v>134</v>
      </c>
      <c r="D46" s="85">
        <v>3</v>
      </c>
      <c r="E46" s="50">
        <v>1</v>
      </c>
      <c r="F46" s="66">
        <f>D46*E46*52*3</f>
        <v>468</v>
      </c>
      <c r="G46" s="100">
        <f>References!$B$29</f>
        <v>324</v>
      </c>
      <c r="H46" s="54">
        <f t="shared" si="15"/>
        <v>151632</v>
      </c>
      <c r="I46" s="51">
        <f>$C$101*H46</f>
        <v>90373.20561614921</v>
      </c>
      <c r="J46" s="90">
        <f>ROUND(((References!$C$49*I46)*$G$104)+((References!$C$54*I46)*$G$103),2)</f>
        <v>92.53</v>
      </c>
      <c r="K46" s="90">
        <f>ROUND(J46/References!$G$53,2)</f>
        <v>95.4</v>
      </c>
      <c r="L46" s="90">
        <f t="shared" si="16"/>
        <v>0.20384615384615387</v>
      </c>
      <c r="M46" s="90">
        <f>+M45</f>
        <v>29.42</v>
      </c>
      <c r="N46" s="113">
        <f t="shared" si="9"/>
        <v>29.623846153846156</v>
      </c>
      <c r="O46" s="125">
        <f t="shared" si="10"/>
        <v>13768.560000000001</v>
      </c>
      <c r="P46" s="125">
        <f t="shared" si="11"/>
        <v>13863.960000000001</v>
      </c>
      <c r="Q46" s="48">
        <f t="shared" si="12"/>
        <v>29.623846153846156</v>
      </c>
      <c r="R46" s="120">
        <f t="shared" si="13"/>
        <v>13863.960000000001</v>
      </c>
      <c r="S46" s="120">
        <f t="shared" si="14"/>
        <v>95.39999999999964</v>
      </c>
      <c r="T46" s="131">
        <f t="shared" si="17"/>
        <v>0.006928829158604932</v>
      </c>
      <c r="U46" s="130"/>
      <c r="V46" s="90"/>
      <c r="W46" s="145"/>
      <c r="Z46" s="90"/>
    </row>
    <row r="47" spans="1:26" s="49" customFormat="1" ht="15">
      <c r="A47" s="139"/>
      <c r="B47" s="46"/>
      <c r="C47" s="2" t="s">
        <v>135</v>
      </c>
      <c r="D47" s="85">
        <v>5</v>
      </c>
      <c r="E47" s="50">
        <v>2</v>
      </c>
      <c r="F47" s="66">
        <f>D47*E47*52</f>
        <v>520</v>
      </c>
      <c r="G47" s="100">
        <f>References!$B$29</f>
        <v>324</v>
      </c>
      <c r="H47" s="54">
        <f t="shared" si="15"/>
        <v>168480</v>
      </c>
      <c r="I47" s="51">
        <f>$C$101*H47</f>
        <v>100414.67290683245</v>
      </c>
      <c r="J47" s="90">
        <f>ROUND(((References!$C$49*I47)*$G$104)+((References!$C$54*I47)*$G$103),2)</f>
        <v>102.81</v>
      </c>
      <c r="K47" s="90">
        <f>ROUND(J47/References!$G$53,2)</f>
        <v>106</v>
      </c>
      <c r="L47" s="90">
        <f t="shared" si="16"/>
        <v>0.20384615384615384</v>
      </c>
      <c r="M47" s="90">
        <f>+M46</f>
        <v>29.42</v>
      </c>
      <c r="N47" s="113">
        <f t="shared" si="9"/>
        <v>29.623846153846156</v>
      </c>
      <c r="O47" s="125">
        <f t="shared" si="10"/>
        <v>15298.400000000001</v>
      </c>
      <c r="P47" s="125">
        <f t="shared" si="11"/>
        <v>15404.400000000001</v>
      </c>
      <c r="Q47" s="48">
        <f t="shared" si="12"/>
        <v>29.623846153846156</v>
      </c>
      <c r="R47" s="120">
        <f t="shared" si="13"/>
        <v>15404.400000000001</v>
      </c>
      <c r="S47" s="120">
        <f t="shared" si="14"/>
        <v>106</v>
      </c>
      <c r="T47" s="131">
        <f t="shared" si="17"/>
        <v>0.006928829158604932</v>
      </c>
      <c r="U47" s="130"/>
      <c r="V47" s="90"/>
      <c r="W47" s="145"/>
      <c r="Z47" s="90"/>
    </row>
    <row r="48" spans="1:26" s="49" customFormat="1" ht="15">
      <c r="A48" s="139"/>
      <c r="B48" s="46"/>
      <c r="C48" s="2" t="s">
        <v>136</v>
      </c>
      <c r="D48" s="85">
        <v>2</v>
      </c>
      <c r="E48" s="50">
        <v>2</v>
      </c>
      <c r="F48" s="66">
        <f>D48*E48*52*2</f>
        <v>416</v>
      </c>
      <c r="G48" s="100">
        <f>References!$B$29</f>
        <v>324</v>
      </c>
      <c r="H48" s="54">
        <f t="shared" si="15"/>
        <v>134784</v>
      </c>
      <c r="I48" s="51">
        <f>$C$101*H48</f>
        <v>80331.73832546597</v>
      </c>
      <c r="J48" s="90">
        <f>ROUND(((References!$C$49*I48)*$G$104)+((References!$C$54*I48)*$G$103),2)</f>
        <v>82.25</v>
      </c>
      <c r="K48" s="90">
        <f>ROUND(J48/References!$G$53,2)</f>
        <v>84.8</v>
      </c>
      <c r="L48" s="90">
        <f t="shared" si="16"/>
        <v>0.20384615384615384</v>
      </c>
      <c r="M48" s="90">
        <f>+M47</f>
        <v>29.42</v>
      </c>
      <c r="N48" s="113">
        <f t="shared" si="9"/>
        <v>29.623846153846156</v>
      </c>
      <c r="O48" s="125">
        <f t="shared" si="10"/>
        <v>12238.720000000001</v>
      </c>
      <c r="P48" s="125">
        <f t="shared" si="11"/>
        <v>12323.52</v>
      </c>
      <c r="Q48" s="48">
        <f t="shared" si="12"/>
        <v>29.623846153846156</v>
      </c>
      <c r="R48" s="120">
        <f t="shared" si="13"/>
        <v>12323.52</v>
      </c>
      <c r="S48" s="120">
        <f t="shared" si="14"/>
        <v>84.79999999999927</v>
      </c>
      <c r="T48" s="131">
        <f t="shared" si="17"/>
        <v>0.006928829158604932</v>
      </c>
      <c r="U48" s="130"/>
      <c r="V48" s="90"/>
      <c r="W48" s="145"/>
      <c r="Z48" s="90"/>
    </row>
    <row r="49" spans="1:26" s="49" customFormat="1" ht="15">
      <c r="A49" s="139"/>
      <c r="B49" s="46"/>
      <c r="C49" s="2" t="s">
        <v>137</v>
      </c>
      <c r="D49" s="85">
        <v>24</v>
      </c>
      <c r="E49" s="87">
        <v>0.5</v>
      </c>
      <c r="F49" s="66">
        <f>D49*E49*52*2</f>
        <v>1248</v>
      </c>
      <c r="G49" s="100">
        <f>References!$B$30</f>
        <v>473</v>
      </c>
      <c r="H49" s="54">
        <f t="shared" si="15"/>
        <v>590304</v>
      </c>
      <c r="I49" s="51">
        <f>$C$101*H49</f>
        <v>351823.2613698648</v>
      </c>
      <c r="J49" s="90">
        <f>ROUND(((References!$C$49*I49)*$G$104)+((References!$C$54*I49)*$G$103),2)</f>
        <v>360.21</v>
      </c>
      <c r="K49" s="90">
        <f>ROUND(J49/References!$G$53,2)</f>
        <v>371.39</v>
      </c>
      <c r="L49" s="90">
        <f t="shared" si="16"/>
        <v>0.297588141025641</v>
      </c>
      <c r="M49" s="90">
        <v>40.72</v>
      </c>
      <c r="N49" s="113">
        <f t="shared" si="9"/>
        <v>41.01758814102564</v>
      </c>
      <c r="O49" s="125">
        <f t="shared" si="10"/>
        <v>50818.56</v>
      </c>
      <c r="P49" s="125">
        <f t="shared" si="11"/>
        <v>51189.95</v>
      </c>
      <c r="Q49" s="48">
        <f t="shared" si="12"/>
        <v>41.01758814102564</v>
      </c>
      <c r="R49" s="120">
        <f t="shared" si="13"/>
        <v>51189.95</v>
      </c>
      <c r="S49" s="120">
        <f t="shared" si="14"/>
        <v>371.3899999999994</v>
      </c>
      <c r="T49" s="131">
        <f t="shared" si="17"/>
        <v>0.007308156704951996</v>
      </c>
      <c r="U49" s="130"/>
      <c r="V49" s="90"/>
      <c r="W49" s="145"/>
      <c r="Z49" s="90"/>
    </row>
    <row r="50" spans="1:26" s="49" customFormat="1" ht="15">
      <c r="A50" s="139"/>
      <c r="B50" s="46"/>
      <c r="C50" s="2" t="s">
        <v>138</v>
      </c>
      <c r="D50" s="85">
        <v>69</v>
      </c>
      <c r="E50" s="50">
        <v>1</v>
      </c>
      <c r="F50" s="66">
        <f>D50*E50*52</f>
        <v>3588</v>
      </c>
      <c r="G50" s="100">
        <f>References!$B$30</f>
        <v>473</v>
      </c>
      <c r="H50" s="54">
        <f t="shared" si="15"/>
        <v>1697124</v>
      </c>
      <c r="I50" s="51">
        <f>$C$101*H50</f>
        <v>1011491.8764383614</v>
      </c>
      <c r="J50" s="90">
        <f>ROUND(((References!$C$49*I50)*$G$104)+((References!$C$54*I50)*$G$103),2)</f>
        <v>1035.62</v>
      </c>
      <c r="K50" s="90">
        <f>ROUND(J50/References!$G$53,2)</f>
        <v>1067.76</v>
      </c>
      <c r="L50" s="90">
        <f t="shared" si="16"/>
        <v>0.29759197324414716</v>
      </c>
      <c r="M50" s="90">
        <f>+M49</f>
        <v>40.72</v>
      </c>
      <c r="N50" s="113">
        <f t="shared" si="9"/>
        <v>41.017591973244144</v>
      </c>
      <c r="O50" s="125">
        <f t="shared" si="10"/>
        <v>146103.36</v>
      </c>
      <c r="P50" s="125">
        <f t="shared" si="11"/>
        <v>147171.12</v>
      </c>
      <c r="Q50" s="48">
        <f t="shared" si="12"/>
        <v>41.017591973244144</v>
      </c>
      <c r="R50" s="120">
        <f t="shared" si="13"/>
        <v>147171.12</v>
      </c>
      <c r="S50" s="120">
        <f t="shared" si="14"/>
        <v>1067.7600000000093</v>
      </c>
      <c r="T50" s="131">
        <f t="shared" si="17"/>
        <v>0.007308250816408179</v>
      </c>
      <c r="U50" s="130"/>
      <c r="V50" s="90">
        <v>54.2</v>
      </c>
      <c r="W50" s="145">
        <f t="shared" si="19"/>
        <v>0.39610719424932334</v>
      </c>
      <c r="X50" s="130">
        <f>+W50+V50</f>
        <v>54.59610719424933</v>
      </c>
      <c r="Z50" s="90"/>
    </row>
    <row r="51" spans="1:26" s="49" customFormat="1" ht="15">
      <c r="A51" s="139"/>
      <c r="B51" s="46"/>
      <c r="C51" s="2" t="s">
        <v>139</v>
      </c>
      <c r="D51" s="85">
        <v>2</v>
      </c>
      <c r="E51" s="50">
        <v>2</v>
      </c>
      <c r="F51" s="66">
        <f>D51*E51*52</f>
        <v>208</v>
      </c>
      <c r="G51" s="100">
        <f>References!$B$30</f>
        <v>473</v>
      </c>
      <c r="H51" s="54">
        <f t="shared" si="15"/>
        <v>98384</v>
      </c>
      <c r="I51" s="51">
        <f>$C$101*H51</f>
        <v>58637.2102283108</v>
      </c>
      <c r="J51" s="90">
        <f>ROUND(((References!$C$49*I51)*$G$104)+((References!$C$54*I51)*$G$103),2)</f>
        <v>60.04</v>
      </c>
      <c r="K51" s="90">
        <f>ROUND(J51/References!$G$53,2)</f>
        <v>61.9</v>
      </c>
      <c r="L51" s="90">
        <f t="shared" si="16"/>
        <v>0.29759615384615384</v>
      </c>
      <c r="M51" s="90">
        <f>+M50</f>
        <v>40.72</v>
      </c>
      <c r="N51" s="113">
        <f t="shared" si="9"/>
        <v>41.01759615384615</v>
      </c>
      <c r="O51" s="125">
        <f t="shared" si="10"/>
        <v>8469.76</v>
      </c>
      <c r="P51" s="125">
        <f t="shared" si="11"/>
        <v>8531.66</v>
      </c>
      <c r="Q51" s="48">
        <f t="shared" si="12"/>
        <v>41.01759615384615</v>
      </c>
      <c r="R51" s="120">
        <f t="shared" si="13"/>
        <v>8531.66</v>
      </c>
      <c r="S51" s="120">
        <f t="shared" si="14"/>
        <v>61.899999999999636</v>
      </c>
      <c r="T51" s="131">
        <f t="shared" si="17"/>
        <v>0.007308353483451713</v>
      </c>
      <c r="U51" s="130"/>
      <c r="V51" s="90"/>
      <c r="W51" s="145"/>
      <c r="Z51" s="90"/>
    </row>
    <row r="52" spans="1:26" s="49" customFormat="1" ht="15">
      <c r="A52" s="139"/>
      <c r="B52" s="46"/>
      <c r="C52" s="2" t="s">
        <v>140</v>
      </c>
      <c r="D52" s="85">
        <v>25</v>
      </c>
      <c r="E52" s="87">
        <v>0.5</v>
      </c>
      <c r="F52" s="66">
        <f>D52*E52*52</f>
        <v>650</v>
      </c>
      <c r="G52" s="100">
        <f>References!$B$31</f>
        <v>613</v>
      </c>
      <c r="H52" s="54">
        <f t="shared" si="15"/>
        <v>398450</v>
      </c>
      <c r="I52" s="51">
        <f>$C$101*H52</f>
        <v>237477.60220635915</v>
      </c>
      <c r="J52" s="90">
        <f>ROUND(((References!$C$49*I52)*$G$104)+((References!$C$54*I52)*$G$103),2)</f>
        <v>243.14</v>
      </c>
      <c r="K52" s="90">
        <f>ROUND(J52/References!$G$53,2)</f>
        <v>250.69</v>
      </c>
      <c r="L52" s="90">
        <f t="shared" si="16"/>
        <v>0.3856769230769231</v>
      </c>
      <c r="M52" s="90">
        <v>49.73</v>
      </c>
      <c r="N52" s="113">
        <f t="shared" si="9"/>
        <v>50.11567692307692</v>
      </c>
      <c r="O52" s="125">
        <f t="shared" si="10"/>
        <v>32324.499999999996</v>
      </c>
      <c r="P52" s="125">
        <f t="shared" si="11"/>
        <v>32575.19</v>
      </c>
      <c r="Q52" s="48">
        <f t="shared" si="12"/>
        <v>50.11567692307692</v>
      </c>
      <c r="R52" s="120">
        <f t="shared" si="13"/>
        <v>32575.19</v>
      </c>
      <c r="S52" s="120">
        <f t="shared" si="14"/>
        <v>250.69000000000233</v>
      </c>
      <c r="T52" s="131">
        <f t="shared" si="17"/>
        <v>0.007755417717211444</v>
      </c>
      <c r="U52" s="130"/>
      <c r="V52" s="90"/>
      <c r="W52" s="145"/>
      <c r="Z52" s="90"/>
    </row>
    <row r="53" spans="1:26" s="49" customFormat="1" ht="15">
      <c r="A53" s="139"/>
      <c r="B53" s="46"/>
      <c r="C53" s="2" t="s">
        <v>141</v>
      </c>
      <c r="D53" s="85">
        <v>89</v>
      </c>
      <c r="E53" s="50">
        <v>1</v>
      </c>
      <c r="F53" s="66">
        <f>D53*E53*52</f>
        <v>4628</v>
      </c>
      <c r="G53" s="100">
        <f>References!$B$31</f>
        <v>613</v>
      </c>
      <c r="H53" s="54">
        <f t="shared" si="15"/>
        <v>2836964</v>
      </c>
      <c r="I53" s="51">
        <f>$C$101*H53</f>
        <v>1690840.5277092773</v>
      </c>
      <c r="J53" s="90">
        <f>ROUND(((References!$C$49*I53)*$G$104)+((References!$C$54*I53)*$G$103),2)</f>
        <v>1731.17</v>
      </c>
      <c r="K53" s="90">
        <f>ROUND(J53/References!$G$53,2)</f>
        <v>1784.9</v>
      </c>
      <c r="L53" s="90">
        <f t="shared" si="16"/>
        <v>0.3856741573033708</v>
      </c>
      <c r="M53" s="90">
        <f>+M52</f>
        <v>49.73</v>
      </c>
      <c r="N53" s="113">
        <f t="shared" si="9"/>
        <v>50.11567415730337</v>
      </c>
      <c r="O53" s="125">
        <f t="shared" si="10"/>
        <v>230150.43999999997</v>
      </c>
      <c r="P53" s="125">
        <f t="shared" si="11"/>
        <v>231935.34</v>
      </c>
      <c r="Q53" s="48">
        <f t="shared" si="12"/>
        <v>50.11567415730337</v>
      </c>
      <c r="R53" s="120">
        <f t="shared" si="13"/>
        <v>231935.34</v>
      </c>
      <c r="S53" s="120">
        <f t="shared" si="14"/>
        <v>1784.9000000000233</v>
      </c>
      <c r="T53" s="131">
        <f t="shared" si="17"/>
        <v>0.007755362101415031</v>
      </c>
      <c r="U53" s="130"/>
      <c r="V53" s="90">
        <v>63.22</v>
      </c>
      <c r="W53" s="145">
        <f t="shared" si="19"/>
        <v>0.49029399205145824</v>
      </c>
      <c r="X53" s="130">
        <f>+W53+V53</f>
        <v>63.710293992051454</v>
      </c>
      <c r="Z53" s="90"/>
    </row>
    <row r="54" spans="1:26" s="49" customFormat="1" ht="15">
      <c r="A54" s="139"/>
      <c r="B54" s="46"/>
      <c r="C54" s="2" t="s">
        <v>142</v>
      </c>
      <c r="D54" s="85">
        <v>4</v>
      </c>
      <c r="E54" s="50">
        <v>1</v>
      </c>
      <c r="F54" s="66">
        <f>D54*E54*52*2</f>
        <v>416</v>
      </c>
      <c r="G54" s="100">
        <f>References!$B$31</f>
        <v>613</v>
      </c>
      <c r="H54" s="54">
        <f t="shared" si="15"/>
        <v>255008</v>
      </c>
      <c r="I54" s="51">
        <f>$C$101*H54</f>
        <v>151985.66541206985</v>
      </c>
      <c r="J54" s="90">
        <f>ROUND(((References!$C$49*I54)*$G$104)+((References!$C$54*I54)*$G$103),2)</f>
        <v>155.61</v>
      </c>
      <c r="K54" s="90">
        <f>ROUND(J54/References!$G$53,2)</f>
        <v>160.44</v>
      </c>
      <c r="L54" s="90">
        <f t="shared" si="16"/>
        <v>0.3856730769230769</v>
      </c>
      <c r="M54" s="90">
        <f>+M53</f>
        <v>49.73</v>
      </c>
      <c r="N54" s="113">
        <f t="shared" si="9"/>
        <v>50.11567307692307</v>
      </c>
      <c r="O54" s="125">
        <f t="shared" si="10"/>
        <v>20687.68</v>
      </c>
      <c r="P54" s="125">
        <f t="shared" si="11"/>
        <v>20848.12</v>
      </c>
      <c r="Q54" s="48">
        <f t="shared" si="12"/>
        <v>50.11567307692307</v>
      </c>
      <c r="R54" s="120">
        <f t="shared" si="13"/>
        <v>20848.12</v>
      </c>
      <c r="S54" s="120">
        <f t="shared" si="14"/>
        <v>160.4399999999987</v>
      </c>
      <c r="T54" s="131">
        <f t="shared" si="17"/>
        <v>0.007755340376494502</v>
      </c>
      <c r="U54" s="130"/>
      <c r="V54" s="90"/>
      <c r="Z54" s="90"/>
    </row>
    <row r="55" spans="1:26" s="49" customFormat="1" ht="15">
      <c r="A55" s="139"/>
      <c r="B55" s="46"/>
      <c r="C55" s="2" t="s">
        <v>143</v>
      </c>
      <c r="D55" s="85">
        <v>8</v>
      </c>
      <c r="E55" s="50">
        <v>2</v>
      </c>
      <c r="F55" s="66">
        <f>D55*E55*52</f>
        <v>832</v>
      </c>
      <c r="G55" s="100">
        <f>References!$B$31</f>
        <v>613</v>
      </c>
      <c r="H55" s="54">
        <f t="shared" si="15"/>
        <v>510016</v>
      </c>
      <c r="I55" s="51">
        <f>$C$101*H55</f>
        <v>303971.3308241397</v>
      </c>
      <c r="J55" s="90">
        <f>ROUND(((References!$C$49*I55)*$G$104)+((References!$C$54*I55)*$G$103),2)</f>
        <v>311.22</v>
      </c>
      <c r="K55" s="90">
        <f>ROUND(J55/References!$G$53,2)</f>
        <v>320.88</v>
      </c>
      <c r="L55" s="90">
        <f t="shared" si="16"/>
        <v>0.3856730769230769</v>
      </c>
      <c r="M55" s="90">
        <f>+M54</f>
        <v>49.73</v>
      </c>
      <c r="N55" s="113">
        <f t="shared" si="9"/>
        <v>50.11567307692307</v>
      </c>
      <c r="O55" s="125">
        <f t="shared" si="10"/>
        <v>41375.36</v>
      </c>
      <c r="P55" s="125">
        <f t="shared" si="11"/>
        <v>41696.24</v>
      </c>
      <c r="Q55" s="48">
        <f t="shared" si="12"/>
        <v>50.11567307692307</v>
      </c>
      <c r="R55" s="120">
        <f t="shared" si="13"/>
        <v>41696.24</v>
      </c>
      <c r="S55" s="120">
        <f t="shared" si="14"/>
        <v>320.8799999999974</v>
      </c>
      <c r="T55" s="131">
        <f t="shared" si="17"/>
        <v>0.007755340376494502</v>
      </c>
      <c r="U55" s="130"/>
      <c r="V55" s="90"/>
      <c r="Z55" s="90"/>
    </row>
    <row r="56" spans="1:26" s="49" customFormat="1" ht="15">
      <c r="A56" s="139"/>
      <c r="B56" s="46"/>
      <c r="C56" s="2" t="s">
        <v>144</v>
      </c>
      <c r="D56" s="85">
        <v>2</v>
      </c>
      <c r="E56" s="50">
        <v>1</v>
      </c>
      <c r="F56" s="66">
        <f>D56*E56*52*2</f>
        <v>208</v>
      </c>
      <c r="G56" s="100">
        <f>References!$B$31</f>
        <v>613</v>
      </c>
      <c r="H56" s="54">
        <f t="shared" si="15"/>
        <v>127504</v>
      </c>
      <c r="I56" s="51">
        <f>$C$101*H56</f>
        <v>75992.83270603493</v>
      </c>
      <c r="J56" s="90">
        <f>ROUND(((References!$C$49*I56)*$G$104)+((References!$C$54*I56)*$G$103),2)</f>
        <v>77.81</v>
      </c>
      <c r="K56" s="90">
        <f>ROUND(J56/References!$G$53,2)</f>
        <v>80.22</v>
      </c>
      <c r="L56" s="90">
        <f t="shared" si="16"/>
        <v>0.3856730769230769</v>
      </c>
      <c r="M56" s="90">
        <f>+M55</f>
        <v>49.73</v>
      </c>
      <c r="N56" s="113">
        <f t="shared" si="9"/>
        <v>50.11567307692307</v>
      </c>
      <c r="O56" s="125">
        <f aca="true" t="shared" si="20" ref="O56:O89">F56*M56</f>
        <v>10343.84</v>
      </c>
      <c r="P56" s="125">
        <f aca="true" t="shared" si="21" ref="P56:P89">F56*N56</f>
        <v>10424.06</v>
      </c>
      <c r="Q56" s="48">
        <f aca="true" t="shared" si="22" ref="Q56:Q89">N56</f>
        <v>50.11567307692307</v>
      </c>
      <c r="R56" s="120">
        <f aca="true" t="shared" si="23" ref="R56:R89">F56*Q56</f>
        <v>10424.06</v>
      </c>
      <c r="S56" s="120">
        <f aca="true" t="shared" si="24" ref="S56:S89">R56-O56</f>
        <v>80.21999999999935</v>
      </c>
      <c r="T56" s="131">
        <f t="shared" si="17"/>
        <v>0.007755340376494502</v>
      </c>
      <c r="U56" s="130"/>
      <c r="V56" s="90"/>
      <c r="Z56" s="90"/>
    </row>
    <row r="57" spans="1:26" s="49" customFormat="1" ht="15">
      <c r="A57" s="139"/>
      <c r="B57" s="46"/>
      <c r="C57" s="2" t="s">
        <v>145</v>
      </c>
      <c r="D57" s="85">
        <v>1</v>
      </c>
      <c r="E57" s="50">
        <v>1</v>
      </c>
      <c r="F57" s="66">
        <f>D57*E57*52*3</f>
        <v>156</v>
      </c>
      <c r="G57" s="100">
        <f>References!$B$31</f>
        <v>613</v>
      </c>
      <c r="H57" s="54">
        <f t="shared" si="15"/>
        <v>95628</v>
      </c>
      <c r="I57" s="51">
        <f>$C$101*H57</f>
        <v>56994.6245295262</v>
      </c>
      <c r="J57" s="90">
        <f>ROUND(((References!$C$49*I57)*$G$104)+((References!$C$54*I57)*$G$103),2)</f>
        <v>58.35</v>
      </c>
      <c r="K57" s="90">
        <f>ROUND(J57/References!$G$53,2)</f>
        <v>60.16</v>
      </c>
      <c r="L57" s="90">
        <f t="shared" si="16"/>
        <v>0.3856410256410256</v>
      </c>
      <c r="M57" s="90">
        <f>+M56</f>
        <v>49.73</v>
      </c>
      <c r="N57" s="113">
        <f t="shared" si="9"/>
        <v>50.115641025641025</v>
      </c>
      <c r="O57" s="125">
        <f t="shared" si="20"/>
        <v>7757.879999999999</v>
      </c>
      <c r="P57" s="125">
        <f t="shared" si="21"/>
        <v>7818.04</v>
      </c>
      <c r="Q57" s="48">
        <f t="shared" si="22"/>
        <v>50.115641025641025</v>
      </c>
      <c r="R57" s="120">
        <f t="shared" si="23"/>
        <v>7818.04</v>
      </c>
      <c r="S57" s="120">
        <f t="shared" si="24"/>
        <v>60.160000000000764</v>
      </c>
      <c r="T57" s="131">
        <f t="shared" si="17"/>
        <v>0.007754695870521466</v>
      </c>
      <c r="U57" s="130"/>
      <c r="V57" s="90"/>
      <c r="Z57" s="90"/>
    </row>
    <row r="58" spans="1:26" s="49" customFormat="1" ht="15">
      <c r="A58" s="139"/>
      <c r="B58" s="46"/>
      <c r="C58" s="2" t="s">
        <v>146</v>
      </c>
      <c r="D58" s="85">
        <v>18</v>
      </c>
      <c r="E58" s="87">
        <v>0.5</v>
      </c>
      <c r="F58" s="66">
        <f>D58*E58*52</f>
        <v>468</v>
      </c>
      <c r="G58" s="100">
        <f>References!$B$32</f>
        <v>840</v>
      </c>
      <c r="H58" s="54">
        <f t="shared" si="15"/>
        <v>393120</v>
      </c>
      <c r="I58" s="51">
        <f>$C$101*H58</f>
        <v>234300.90344927573</v>
      </c>
      <c r="J58" s="90">
        <f>ROUND(((References!$C$49*I58)*$G$104)+((References!$C$54*I58)*$G$103),2)</f>
        <v>239.89</v>
      </c>
      <c r="K58" s="90">
        <f>ROUND(J58/References!$G$53,2)</f>
        <v>247.33</v>
      </c>
      <c r="L58" s="90">
        <f t="shared" si="16"/>
        <v>0.528482905982906</v>
      </c>
      <c r="M58" s="90">
        <v>67.63</v>
      </c>
      <c r="N58" s="113">
        <f t="shared" si="9"/>
        <v>68.15848290598291</v>
      </c>
      <c r="O58" s="125">
        <f t="shared" si="20"/>
        <v>31650.839999999997</v>
      </c>
      <c r="P58" s="125">
        <f t="shared" si="21"/>
        <v>31898.170000000002</v>
      </c>
      <c r="Q58" s="48">
        <f t="shared" si="22"/>
        <v>68.15848290598291</v>
      </c>
      <c r="R58" s="120">
        <f t="shared" si="23"/>
        <v>31898.170000000002</v>
      </c>
      <c r="S58" s="120">
        <f t="shared" si="24"/>
        <v>247.33000000000538</v>
      </c>
      <c r="T58" s="131">
        <f t="shared" si="17"/>
        <v>0.007814326570795727</v>
      </c>
      <c r="U58" s="130"/>
      <c r="V58" s="90"/>
      <c r="Z58" s="90"/>
    </row>
    <row r="59" spans="1:26" s="49" customFormat="1" ht="15">
      <c r="A59" s="139"/>
      <c r="B59" s="46"/>
      <c r="C59" s="2" t="s">
        <v>147</v>
      </c>
      <c r="D59" s="85">
        <v>103</v>
      </c>
      <c r="E59" s="50">
        <v>1</v>
      </c>
      <c r="F59" s="66">
        <f>D59*E59*52</f>
        <v>5356</v>
      </c>
      <c r="G59" s="100">
        <f>References!$B$32</f>
        <v>840</v>
      </c>
      <c r="H59" s="54">
        <f t="shared" si="15"/>
        <v>4499040</v>
      </c>
      <c r="I59" s="51">
        <f>$C$101*H59</f>
        <v>2681443.672808378</v>
      </c>
      <c r="J59" s="90">
        <f>ROUND(((References!$C$49*I59)*$G$104)+((References!$C$54*I59)*$G$103),2)</f>
        <v>2745.39</v>
      </c>
      <c r="K59" s="90">
        <f>ROUND(J59/References!$G$53,2)</f>
        <v>2830.59</v>
      </c>
      <c r="L59" s="90">
        <f t="shared" si="16"/>
        <v>0.5284895444361464</v>
      </c>
      <c r="M59" s="90">
        <f>+M58</f>
        <v>67.63</v>
      </c>
      <c r="N59" s="113">
        <f t="shared" si="9"/>
        <v>68.15848954443614</v>
      </c>
      <c r="O59" s="125">
        <f t="shared" si="20"/>
        <v>362226.27999999997</v>
      </c>
      <c r="P59" s="125">
        <f t="shared" si="21"/>
        <v>365056.86999999994</v>
      </c>
      <c r="Q59" s="48">
        <f t="shared" si="22"/>
        <v>68.15848954443614</v>
      </c>
      <c r="R59" s="120">
        <f t="shared" si="23"/>
        <v>365056.86999999994</v>
      </c>
      <c r="S59" s="120">
        <f t="shared" si="24"/>
        <v>2830.5899999999674</v>
      </c>
      <c r="T59" s="131">
        <f t="shared" si="17"/>
        <v>0.007814424729205127</v>
      </c>
      <c r="U59" s="130"/>
      <c r="V59" s="90">
        <v>81.22</v>
      </c>
      <c r="W59" s="145">
        <f>+V59*T59</f>
        <v>0.6346875765060405</v>
      </c>
      <c r="X59" s="130">
        <f>+W59+V59</f>
        <v>81.85468757650604</v>
      </c>
      <c r="Z59" s="90"/>
    </row>
    <row r="60" spans="1:26" s="49" customFormat="1" ht="15">
      <c r="A60" s="139"/>
      <c r="B60" s="46"/>
      <c r="C60" s="2" t="s">
        <v>148</v>
      </c>
      <c r="D60" s="85">
        <v>10</v>
      </c>
      <c r="E60" s="50">
        <v>1</v>
      </c>
      <c r="F60" s="66">
        <f>D60*E60*52*2</f>
        <v>1040</v>
      </c>
      <c r="G60" s="100">
        <f>References!$B$32</f>
        <v>840</v>
      </c>
      <c r="H60" s="54">
        <f t="shared" si="15"/>
        <v>873600</v>
      </c>
      <c r="I60" s="51">
        <f>$C$101*H60</f>
        <v>520668.6743317238</v>
      </c>
      <c r="J60" s="90">
        <f>ROUND(((References!$C$49*I60)*$G$104)+((References!$C$54*I60)*$G$103),2)</f>
        <v>533.09</v>
      </c>
      <c r="K60" s="90">
        <f>ROUND(J60/References!$G$53,2)</f>
        <v>549.63</v>
      </c>
      <c r="L60" s="90">
        <f t="shared" si="16"/>
        <v>0.5284903846153846</v>
      </c>
      <c r="M60" s="90">
        <f aca="true" t="shared" si="25" ref="M60:M67">+M59</f>
        <v>67.63</v>
      </c>
      <c r="N60" s="113">
        <f t="shared" si="9"/>
        <v>68.15849038461538</v>
      </c>
      <c r="O60" s="125">
        <f t="shared" si="20"/>
        <v>70335.2</v>
      </c>
      <c r="P60" s="125">
        <f t="shared" si="21"/>
        <v>70884.82999999999</v>
      </c>
      <c r="Q60" s="48">
        <f t="shared" si="22"/>
        <v>68.15849038461538</v>
      </c>
      <c r="R60" s="120">
        <f t="shared" si="23"/>
        <v>70884.82999999999</v>
      </c>
      <c r="S60" s="120">
        <f t="shared" si="24"/>
        <v>549.6299999999901</v>
      </c>
      <c r="T60" s="131">
        <f t="shared" si="17"/>
        <v>0.00781443715237895</v>
      </c>
      <c r="U60" s="130"/>
      <c r="V60" s="90"/>
      <c r="Z60" s="90"/>
    </row>
    <row r="61" spans="1:26" s="49" customFormat="1" ht="15">
      <c r="A61" s="139"/>
      <c r="B61" s="46"/>
      <c r="C61" s="2" t="s">
        <v>149</v>
      </c>
      <c r="D61" s="85">
        <v>15</v>
      </c>
      <c r="E61" s="50">
        <v>1</v>
      </c>
      <c r="F61" s="66">
        <f>D61*E61*52*3</f>
        <v>2340</v>
      </c>
      <c r="G61" s="100">
        <f>References!$B$32</f>
        <v>840</v>
      </c>
      <c r="H61" s="54">
        <f t="shared" si="15"/>
        <v>1965600</v>
      </c>
      <c r="I61" s="51">
        <f>$C$101*H61</f>
        <v>1171504.5172463786</v>
      </c>
      <c r="J61" s="90">
        <f>ROUND(((References!$C$49*I61)*$G$104)+((References!$C$54*I61)*$G$103),2)</f>
        <v>1199.44</v>
      </c>
      <c r="K61" s="90">
        <f>ROUND(J61/References!$G$53,2)</f>
        <v>1236.66</v>
      </c>
      <c r="L61" s="90">
        <f t="shared" si="16"/>
        <v>0.5284871794871795</v>
      </c>
      <c r="M61" s="90">
        <f t="shared" si="25"/>
        <v>67.63</v>
      </c>
      <c r="N61" s="113">
        <f t="shared" si="9"/>
        <v>68.15848717948718</v>
      </c>
      <c r="O61" s="125">
        <f t="shared" si="20"/>
        <v>158254.19999999998</v>
      </c>
      <c r="P61" s="125">
        <f t="shared" si="21"/>
        <v>159490.86000000002</v>
      </c>
      <c r="Q61" s="48">
        <f t="shared" si="22"/>
        <v>68.15848717948718</v>
      </c>
      <c r="R61" s="120">
        <f t="shared" si="23"/>
        <v>159490.86000000002</v>
      </c>
      <c r="S61" s="120">
        <f t="shared" si="24"/>
        <v>1236.6600000000326</v>
      </c>
      <c r="T61" s="131">
        <f t="shared" si="17"/>
        <v>0.007814389760271823</v>
      </c>
      <c r="U61" s="130"/>
      <c r="V61" s="90"/>
      <c r="Z61" s="90"/>
    </row>
    <row r="62" spans="1:26" s="49" customFormat="1" ht="15">
      <c r="A62" s="139"/>
      <c r="B62" s="46"/>
      <c r="C62" s="2" t="s">
        <v>150</v>
      </c>
      <c r="D62" s="85">
        <v>4</v>
      </c>
      <c r="E62" s="50">
        <v>1</v>
      </c>
      <c r="F62" s="66">
        <f>D62*E62*52*4</f>
        <v>832</v>
      </c>
      <c r="G62" s="100">
        <f>References!$B$32</f>
        <v>840</v>
      </c>
      <c r="H62" s="54">
        <f t="shared" si="15"/>
        <v>698880</v>
      </c>
      <c r="I62" s="51">
        <f>$C$101*H62</f>
        <v>416534.93946537905</v>
      </c>
      <c r="J62" s="90">
        <f>ROUND(((References!$C$49*I62)*$G$104)+((References!$C$54*I62)*$G$103),2)</f>
        <v>426.47</v>
      </c>
      <c r="K62" s="90">
        <f>ROUND(J62/References!$G$53,2)</f>
        <v>439.71</v>
      </c>
      <c r="L62" s="90">
        <f t="shared" si="16"/>
        <v>0.5284975961538462</v>
      </c>
      <c r="M62" s="90">
        <f t="shared" si="25"/>
        <v>67.63</v>
      </c>
      <c r="N62" s="113">
        <f t="shared" si="9"/>
        <v>68.15849759615384</v>
      </c>
      <c r="O62" s="125">
        <f t="shared" si="20"/>
        <v>56268.159999999996</v>
      </c>
      <c r="P62" s="125">
        <f t="shared" si="21"/>
        <v>56707.869999999995</v>
      </c>
      <c r="Q62" s="48">
        <f t="shared" si="22"/>
        <v>68.15849759615384</v>
      </c>
      <c r="R62" s="120">
        <f t="shared" si="23"/>
        <v>56707.869999999995</v>
      </c>
      <c r="S62" s="120">
        <f t="shared" si="24"/>
        <v>439.7099999999991</v>
      </c>
      <c r="T62" s="131">
        <f t="shared" si="17"/>
        <v>0.007814543784619765</v>
      </c>
      <c r="U62" s="130"/>
      <c r="V62" s="90"/>
      <c r="Z62" s="90"/>
    </row>
    <row r="63" spans="1:26" s="49" customFormat="1" ht="15">
      <c r="A63" s="139"/>
      <c r="B63" s="46"/>
      <c r="C63" s="2" t="s">
        <v>151</v>
      </c>
      <c r="D63" s="85">
        <v>10</v>
      </c>
      <c r="E63" s="50">
        <v>1</v>
      </c>
      <c r="F63" s="66">
        <f>D63*E63*52*5</f>
        <v>2600</v>
      </c>
      <c r="G63" s="100">
        <f>References!$B$32</f>
        <v>840</v>
      </c>
      <c r="H63" s="54">
        <f t="shared" si="15"/>
        <v>2184000</v>
      </c>
      <c r="I63" s="51">
        <f>$C$101*H63</f>
        <v>1301671.6858293095</v>
      </c>
      <c r="J63" s="90">
        <f>ROUND(((References!$C$49*I63)*$G$104)+((References!$C$54*I63)*$G$103),2)</f>
        <v>1332.72</v>
      </c>
      <c r="K63" s="90">
        <f>ROUND(J63/References!$G$53,2)</f>
        <v>1374.08</v>
      </c>
      <c r="L63" s="90">
        <f t="shared" si="16"/>
        <v>0.5284923076923077</v>
      </c>
      <c r="M63" s="90">
        <f t="shared" si="25"/>
        <v>67.63</v>
      </c>
      <c r="N63" s="113">
        <f t="shared" si="9"/>
        <v>68.1584923076923</v>
      </c>
      <c r="O63" s="125">
        <f t="shared" si="20"/>
        <v>175838</v>
      </c>
      <c r="P63" s="125">
        <f t="shared" si="21"/>
        <v>177212.08</v>
      </c>
      <c r="Q63" s="48">
        <f t="shared" si="22"/>
        <v>68.1584923076923</v>
      </c>
      <c r="R63" s="120">
        <f t="shared" si="23"/>
        <v>177212.08</v>
      </c>
      <c r="S63" s="120">
        <f t="shared" si="24"/>
        <v>1374.0799999999872</v>
      </c>
      <c r="T63" s="131">
        <f t="shared" si="17"/>
        <v>0.007814465587643094</v>
      </c>
      <c r="U63" s="130"/>
      <c r="V63" s="90"/>
      <c r="Z63" s="90"/>
    </row>
    <row r="64" spans="1:26" s="49" customFormat="1" ht="15">
      <c r="A64" s="139"/>
      <c r="B64" s="46"/>
      <c r="C64" s="2" t="s">
        <v>152</v>
      </c>
      <c r="D64" s="85">
        <v>26</v>
      </c>
      <c r="E64" s="50">
        <v>2</v>
      </c>
      <c r="F64" s="66">
        <f>D64*E64*52</f>
        <v>2704</v>
      </c>
      <c r="G64" s="100">
        <f>References!$B$32</f>
        <v>840</v>
      </c>
      <c r="H64" s="54">
        <f t="shared" si="15"/>
        <v>2271360</v>
      </c>
      <c r="I64" s="51">
        <f>$C$101*H64</f>
        <v>1353738.553262482</v>
      </c>
      <c r="J64" s="90">
        <f>ROUND(((References!$C$49*I64)*$G$104)+((References!$C$54*I64)*$G$103),2)</f>
        <v>1386.02</v>
      </c>
      <c r="K64" s="90">
        <f>ROUND(J64/References!$G$53,2)</f>
        <v>1429.03</v>
      </c>
      <c r="L64" s="90">
        <f t="shared" si="16"/>
        <v>0.5284874260355029</v>
      </c>
      <c r="M64" s="90">
        <f t="shared" si="25"/>
        <v>67.63</v>
      </c>
      <c r="N64" s="113">
        <f t="shared" si="9"/>
        <v>68.15848742603549</v>
      </c>
      <c r="O64" s="125">
        <f t="shared" si="20"/>
        <v>182871.52</v>
      </c>
      <c r="P64" s="125">
        <f t="shared" si="21"/>
        <v>184300.54999999996</v>
      </c>
      <c r="Q64" s="48">
        <f t="shared" si="22"/>
        <v>68.15848742603549</v>
      </c>
      <c r="R64" s="120">
        <f t="shared" si="23"/>
        <v>184300.54999999996</v>
      </c>
      <c r="S64" s="120">
        <f t="shared" si="24"/>
        <v>1429.0299999999697</v>
      </c>
      <c r="T64" s="131">
        <f t="shared" si="17"/>
        <v>0.007814393405818354</v>
      </c>
      <c r="U64" s="130"/>
      <c r="V64" s="90"/>
      <c r="Z64" s="90"/>
    </row>
    <row r="65" spans="1:26" s="49" customFormat="1" ht="15">
      <c r="A65" s="139"/>
      <c r="B65" s="46"/>
      <c r="C65" s="2" t="s">
        <v>153</v>
      </c>
      <c r="D65" s="85">
        <v>6</v>
      </c>
      <c r="E65" s="50">
        <v>2</v>
      </c>
      <c r="F65" s="66">
        <f>D65*E65*52*2</f>
        <v>1248</v>
      </c>
      <c r="G65" s="100">
        <f>References!$B$32</f>
        <v>840</v>
      </c>
      <c r="H65" s="54">
        <f t="shared" si="15"/>
        <v>1048320</v>
      </c>
      <c r="I65" s="51">
        <f>$C$101*H65</f>
        <v>624802.4091980687</v>
      </c>
      <c r="J65" s="90">
        <f>ROUND(((References!$C$49*I65)*$G$104)+((References!$C$54*I65)*$G$103),2)</f>
        <v>639.7</v>
      </c>
      <c r="K65" s="90">
        <f>ROUND(J65/References!$G$53,2)</f>
        <v>659.55</v>
      </c>
      <c r="L65" s="90">
        <f t="shared" si="16"/>
        <v>0.5284855769230768</v>
      </c>
      <c r="M65" s="90">
        <f t="shared" si="25"/>
        <v>67.63</v>
      </c>
      <c r="N65" s="113">
        <f t="shared" si="9"/>
        <v>68.15848557692307</v>
      </c>
      <c r="O65" s="125">
        <f t="shared" si="20"/>
        <v>84402.23999999999</v>
      </c>
      <c r="P65" s="125">
        <f t="shared" si="21"/>
        <v>85061.79</v>
      </c>
      <c r="Q65" s="48">
        <f t="shared" si="22"/>
        <v>68.15848557692307</v>
      </c>
      <c r="R65" s="120">
        <f t="shared" si="23"/>
        <v>85061.79</v>
      </c>
      <c r="S65" s="120">
        <f t="shared" si="24"/>
        <v>659.5500000000029</v>
      </c>
      <c r="T65" s="131">
        <f t="shared" si="17"/>
        <v>0.007814366064218259</v>
      </c>
      <c r="U65" s="130"/>
      <c r="V65" s="90"/>
      <c r="Z65" s="90"/>
    </row>
    <row r="66" spans="1:26" s="49" customFormat="1" ht="15">
      <c r="A66" s="139"/>
      <c r="B66" s="46"/>
      <c r="C66" s="2" t="s">
        <v>154</v>
      </c>
      <c r="D66" s="85">
        <v>5</v>
      </c>
      <c r="E66" s="50">
        <v>3</v>
      </c>
      <c r="F66" s="66">
        <f>D66*E66*52</f>
        <v>780</v>
      </c>
      <c r="G66" s="100">
        <f>References!$B$32</f>
        <v>840</v>
      </c>
      <c r="H66" s="54">
        <f t="shared" si="15"/>
        <v>655200</v>
      </c>
      <c r="I66" s="51">
        <f>$C$101*H66</f>
        <v>390501.5057487929</v>
      </c>
      <c r="J66" s="90">
        <f>ROUND(((References!$C$49*I66)*$G$104)+((References!$C$54*I66)*$G$103),2)</f>
        <v>399.81</v>
      </c>
      <c r="K66" s="90">
        <f>ROUND(J66/References!$G$53,2)</f>
        <v>412.22</v>
      </c>
      <c r="L66" s="90">
        <f t="shared" si="16"/>
        <v>0.5284871794871795</v>
      </c>
      <c r="M66" s="90">
        <f t="shared" si="25"/>
        <v>67.63</v>
      </c>
      <c r="N66" s="113">
        <f t="shared" si="9"/>
        <v>68.15848717948718</v>
      </c>
      <c r="O66" s="125">
        <f t="shared" si="20"/>
        <v>52751.399999999994</v>
      </c>
      <c r="P66" s="125">
        <f t="shared" si="21"/>
        <v>53163.62</v>
      </c>
      <c r="Q66" s="48">
        <f t="shared" si="22"/>
        <v>68.15848717948718</v>
      </c>
      <c r="R66" s="120">
        <f t="shared" si="23"/>
        <v>53163.62</v>
      </c>
      <c r="S66" s="120">
        <f t="shared" si="24"/>
        <v>412.22000000000844</v>
      </c>
      <c r="T66" s="131">
        <f t="shared" si="17"/>
        <v>0.007814389760271823</v>
      </c>
      <c r="U66" s="130"/>
      <c r="V66" s="90"/>
      <c r="Z66" s="90"/>
    </row>
    <row r="67" spans="1:26" s="49" customFormat="1" ht="15">
      <c r="A67" s="139"/>
      <c r="B67" s="46"/>
      <c r="C67" s="2" t="s">
        <v>155</v>
      </c>
      <c r="D67" s="85">
        <v>4</v>
      </c>
      <c r="E67" s="50">
        <v>3</v>
      </c>
      <c r="F67" s="66">
        <f>D67*E67*52*4</f>
        <v>2496</v>
      </c>
      <c r="G67" s="100">
        <f>References!$B$32</f>
        <v>840</v>
      </c>
      <c r="H67" s="54">
        <f t="shared" si="15"/>
        <v>2096640</v>
      </c>
      <c r="I67" s="51">
        <f>$C$101*H67</f>
        <v>1249604.8183961373</v>
      </c>
      <c r="J67" s="90">
        <f>ROUND(((References!$C$49*I67)*$G$104)+((References!$C$54*I67)*$G$103),2)</f>
        <v>1279.41</v>
      </c>
      <c r="K67" s="90">
        <f>ROUND(J67/References!$G$53,2)</f>
        <v>1319.12</v>
      </c>
      <c r="L67" s="90">
        <f t="shared" si="16"/>
        <v>0.5284935897435897</v>
      </c>
      <c r="M67" s="90">
        <f t="shared" si="25"/>
        <v>67.63</v>
      </c>
      <c r="N67" s="113">
        <f t="shared" si="9"/>
        <v>68.15849358974359</v>
      </c>
      <c r="O67" s="125">
        <f t="shared" si="20"/>
        <v>168804.47999999998</v>
      </c>
      <c r="P67" s="125">
        <f t="shared" si="21"/>
        <v>170123.59999999998</v>
      </c>
      <c r="Q67" s="48">
        <f t="shared" si="22"/>
        <v>68.15849358974359</v>
      </c>
      <c r="R67" s="120">
        <f t="shared" si="23"/>
        <v>170123.59999999998</v>
      </c>
      <c r="S67" s="120">
        <f t="shared" si="24"/>
        <v>1319.1199999999953</v>
      </c>
      <c r="T67" s="131">
        <f t="shared" si="17"/>
        <v>0.007814484544486078</v>
      </c>
      <c r="U67" s="130"/>
      <c r="V67" s="90"/>
      <c r="Z67" s="90"/>
    </row>
    <row r="68" spans="1:26" s="49" customFormat="1" ht="15">
      <c r="A68" s="139"/>
      <c r="B68" s="46"/>
      <c r="C68" s="2" t="s">
        <v>156</v>
      </c>
      <c r="D68" s="85">
        <v>14</v>
      </c>
      <c r="E68" s="87">
        <v>0.5</v>
      </c>
      <c r="F68" s="66">
        <f>D68*E68*52</f>
        <v>364</v>
      </c>
      <c r="G68" s="100">
        <f>References!$B$33</f>
        <v>980</v>
      </c>
      <c r="H68" s="54">
        <f t="shared" si="15"/>
        <v>356720</v>
      </c>
      <c r="I68" s="51">
        <f>$C$101*H68</f>
        <v>212606.37535212058</v>
      </c>
      <c r="J68" s="90">
        <f>ROUND(((References!$C$49*I68)*$G$104)+((References!$C$54*I68)*$G$103),2)</f>
        <v>217.68</v>
      </c>
      <c r="K68" s="90">
        <f>ROUND(J68/References!$G$53,2)</f>
        <v>224.44</v>
      </c>
      <c r="L68" s="90">
        <f t="shared" si="16"/>
        <v>0.6165934065934066</v>
      </c>
      <c r="M68" s="90">
        <v>81.4</v>
      </c>
      <c r="N68" s="113">
        <f t="shared" si="9"/>
        <v>82.01659340659342</v>
      </c>
      <c r="O68" s="125">
        <f t="shared" si="20"/>
        <v>29629.600000000002</v>
      </c>
      <c r="P68" s="125">
        <f t="shared" si="21"/>
        <v>29854.040000000005</v>
      </c>
      <c r="Q68" s="48">
        <f t="shared" si="22"/>
        <v>82.01659340659342</v>
      </c>
      <c r="R68" s="120">
        <f t="shared" si="23"/>
        <v>29854.040000000005</v>
      </c>
      <c r="S68" s="120">
        <f t="shared" si="24"/>
        <v>224.44000000000233</v>
      </c>
      <c r="T68" s="131">
        <f t="shared" si="17"/>
        <v>0.007574857574857541</v>
      </c>
      <c r="U68" s="130"/>
      <c r="V68" s="90"/>
      <c r="Z68" s="90"/>
    </row>
    <row r="69" spans="1:26" s="49" customFormat="1" ht="15">
      <c r="A69" s="139"/>
      <c r="B69" s="46"/>
      <c r="C69" s="2" t="s">
        <v>157</v>
      </c>
      <c r="D69" s="85">
        <v>68</v>
      </c>
      <c r="E69" s="50">
        <v>1</v>
      </c>
      <c r="F69" s="66">
        <f aca="true" t="shared" si="26" ref="F69:F89">D69*E69*52</f>
        <v>3536</v>
      </c>
      <c r="G69" s="100">
        <f>References!$B$33</f>
        <v>980</v>
      </c>
      <c r="H69" s="54">
        <f t="shared" si="15"/>
        <v>3465280</v>
      </c>
      <c r="I69" s="51">
        <f>$C$101*H69</f>
        <v>2065319.0748491713</v>
      </c>
      <c r="J69" s="90">
        <f>ROUND(((References!$C$49*I69)*$G$104)+((References!$C$54*I69)*$G$103),2)</f>
        <v>2114.58</v>
      </c>
      <c r="K69" s="90">
        <f>ROUND(J69/References!$G$53,2)</f>
        <v>2180.2</v>
      </c>
      <c r="L69" s="90">
        <f t="shared" si="16"/>
        <v>0.6165723981900452</v>
      </c>
      <c r="M69" s="90">
        <f>+M68</f>
        <v>81.4</v>
      </c>
      <c r="N69" s="113">
        <f t="shared" si="9"/>
        <v>82.01657239819005</v>
      </c>
      <c r="O69" s="125">
        <f t="shared" si="20"/>
        <v>287830.4</v>
      </c>
      <c r="P69" s="125">
        <f t="shared" si="21"/>
        <v>290010.60000000003</v>
      </c>
      <c r="Q69" s="48">
        <f t="shared" si="22"/>
        <v>82.01657239819005</v>
      </c>
      <c r="R69" s="120">
        <f t="shared" si="23"/>
        <v>290010.60000000003</v>
      </c>
      <c r="S69" s="120">
        <f t="shared" si="24"/>
        <v>2180.2000000000116</v>
      </c>
      <c r="T69" s="131">
        <f t="shared" si="17"/>
        <v>0.007574599486364075</v>
      </c>
      <c r="U69" s="130"/>
      <c r="V69" s="90">
        <v>95.09</v>
      </c>
      <c r="W69" s="145">
        <f>+V69*T69</f>
        <v>0.72026866515836</v>
      </c>
      <c r="X69" s="130">
        <f>+W69+V69</f>
        <v>95.81026866515836</v>
      </c>
      <c r="Z69" s="90"/>
    </row>
    <row r="70" spans="1:26" s="49" customFormat="1" ht="15">
      <c r="A70" s="139"/>
      <c r="B70" s="46"/>
      <c r="C70" s="2" t="s">
        <v>158</v>
      </c>
      <c r="D70" s="85">
        <v>8</v>
      </c>
      <c r="E70" s="50">
        <v>1</v>
      </c>
      <c r="F70" s="66">
        <f>D70*E70*52*2</f>
        <v>832</v>
      </c>
      <c r="G70" s="100">
        <f>References!$B$33</f>
        <v>980</v>
      </c>
      <c r="H70" s="54">
        <f t="shared" si="15"/>
        <v>815360</v>
      </c>
      <c r="I70" s="51">
        <f>$C$101*H70</f>
        <v>485957.42937627557</v>
      </c>
      <c r="J70" s="90">
        <f>ROUND(((References!$C$49*I70)*$G$104)+((References!$C$54*I70)*$G$103),2)</f>
        <v>497.55</v>
      </c>
      <c r="K70" s="90">
        <f>ROUND(J70/References!$G$53,2)</f>
        <v>512.99</v>
      </c>
      <c r="L70" s="90">
        <f t="shared" si="16"/>
        <v>0.6165745192307692</v>
      </c>
      <c r="M70" s="90">
        <f aca="true" t="shared" si="27" ref="M70:M79">+M69</f>
        <v>81.4</v>
      </c>
      <c r="N70" s="113">
        <f t="shared" si="9"/>
        <v>82.01657451923077</v>
      </c>
      <c r="O70" s="125">
        <f t="shared" si="20"/>
        <v>67724.8</v>
      </c>
      <c r="P70" s="125">
        <f t="shared" si="21"/>
        <v>68237.79000000001</v>
      </c>
      <c r="Q70" s="48">
        <f t="shared" si="22"/>
        <v>82.01657451923077</v>
      </c>
      <c r="R70" s="120">
        <f t="shared" si="23"/>
        <v>68237.79000000001</v>
      </c>
      <c r="S70" s="120">
        <f t="shared" si="24"/>
        <v>512.9900000000052</v>
      </c>
      <c r="T70" s="131">
        <f t="shared" si="17"/>
        <v>0.007574625543375513</v>
      </c>
      <c r="U70" s="130"/>
      <c r="V70" s="90"/>
      <c r="Z70" s="90"/>
    </row>
    <row r="71" spans="1:26" s="49" customFormat="1" ht="15">
      <c r="A71" s="139"/>
      <c r="B71" s="46"/>
      <c r="C71" s="2" t="s">
        <v>159</v>
      </c>
      <c r="D71" s="85">
        <v>9</v>
      </c>
      <c r="E71" s="50">
        <v>1</v>
      </c>
      <c r="F71" s="66">
        <f>D71*E71*52*3</f>
        <v>1404</v>
      </c>
      <c r="G71" s="100">
        <f>References!$B$33</f>
        <v>980</v>
      </c>
      <c r="H71" s="54">
        <f t="shared" si="15"/>
        <v>1375920</v>
      </c>
      <c r="I71" s="51">
        <f>$C$101*H71</f>
        <v>820053.162072465</v>
      </c>
      <c r="J71" s="90">
        <f>ROUND(((References!$C$49*I71)*$G$104)+((References!$C$54*I71)*$G$103),2)</f>
        <v>839.61</v>
      </c>
      <c r="K71" s="90">
        <f>ROUND(J71/References!$G$53,2)</f>
        <v>865.67</v>
      </c>
      <c r="L71" s="90">
        <f t="shared" si="16"/>
        <v>0.616574074074074</v>
      </c>
      <c r="M71" s="90">
        <f t="shared" si="27"/>
        <v>81.4</v>
      </c>
      <c r="N71" s="113">
        <f t="shared" si="9"/>
        <v>82.01657407407409</v>
      </c>
      <c r="O71" s="125">
        <f t="shared" si="20"/>
        <v>114285.6</v>
      </c>
      <c r="P71" s="125">
        <f t="shared" si="21"/>
        <v>115151.27000000002</v>
      </c>
      <c r="Q71" s="48">
        <f t="shared" si="22"/>
        <v>82.01657407407409</v>
      </c>
      <c r="R71" s="120">
        <f t="shared" si="23"/>
        <v>115151.27000000002</v>
      </c>
      <c r="S71" s="120">
        <f t="shared" si="24"/>
        <v>865.6700000000128</v>
      </c>
      <c r="T71" s="131">
        <f t="shared" si="17"/>
        <v>0.007574620074620064</v>
      </c>
      <c r="U71" s="130"/>
      <c r="V71" s="90"/>
      <c r="Z71" s="90"/>
    </row>
    <row r="72" spans="1:26" s="49" customFormat="1" ht="15">
      <c r="A72" s="139"/>
      <c r="B72" s="46"/>
      <c r="C72" s="2" t="s">
        <v>160</v>
      </c>
      <c r="D72" s="85">
        <v>5</v>
      </c>
      <c r="E72" s="50">
        <v>1</v>
      </c>
      <c r="F72" s="66">
        <f>D72*E72*52*5</f>
        <v>1300</v>
      </c>
      <c r="G72" s="100">
        <f>References!$B$33</f>
        <v>980</v>
      </c>
      <c r="H72" s="54">
        <f t="shared" si="15"/>
        <v>1274000</v>
      </c>
      <c r="I72" s="51">
        <f>$C$101*H72</f>
        <v>759308.4834004306</v>
      </c>
      <c r="J72" s="90">
        <f>ROUND(((References!$C$49*I72)*$G$104)+((References!$C$54*I72)*$G$103),2)</f>
        <v>777.42</v>
      </c>
      <c r="K72" s="90">
        <f>ROUND(J72/References!$G$53,2)</f>
        <v>801.55</v>
      </c>
      <c r="L72" s="90">
        <f t="shared" si="16"/>
        <v>0.616576923076923</v>
      </c>
      <c r="M72" s="90">
        <f t="shared" si="27"/>
        <v>81.4</v>
      </c>
      <c r="N72" s="113">
        <f t="shared" si="9"/>
        <v>82.01657692307693</v>
      </c>
      <c r="O72" s="125">
        <f t="shared" si="20"/>
        <v>105820.00000000001</v>
      </c>
      <c r="P72" s="125">
        <f t="shared" si="21"/>
        <v>106621.55</v>
      </c>
      <c r="Q72" s="48">
        <f t="shared" si="22"/>
        <v>82.01657692307693</v>
      </c>
      <c r="R72" s="120">
        <f t="shared" si="23"/>
        <v>106621.55</v>
      </c>
      <c r="S72" s="120">
        <f t="shared" si="24"/>
        <v>801.5499999999884</v>
      </c>
      <c r="T72" s="131">
        <f t="shared" si="17"/>
        <v>0.007574655074654935</v>
      </c>
      <c r="U72" s="130"/>
      <c r="V72" s="90"/>
      <c r="Z72" s="90"/>
    </row>
    <row r="73" spans="1:26" s="49" customFormat="1" ht="15">
      <c r="A73" s="139"/>
      <c r="B73" s="46"/>
      <c r="C73" s="2" t="s">
        <v>161</v>
      </c>
      <c r="D73" s="85">
        <v>6</v>
      </c>
      <c r="E73" s="50">
        <v>1</v>
      </c>
      <c r="F73" s="66">
        <f>D73*E73*52*6</f>
        <v>1872</v>
      </c>
      <c r="G73" s="100">
        <f>References!$B$33</f>
        <v>980</v>
      </c>
      <c r="H73" s="54">
        <f t="shared" si="15"/>
        <v>1834560</v>
      </c>
      <c r="I73" s="51">
        <f>$C$101*H73</f>
        <v>1093404.21609662</v>
      </c>
      <c r="J73" s="90">
        <f>ROUND(((References!$C$49*I73)*$G$104)+((References!$C$54*I73)*$G$103),2)</f>
        <v>1119.48</v>
      </c>
      <c r="K73" s="90">
        <f>ROUND(J73/References!$G$53,2)</f>
        <v>1154.22</v>
      </c>
      <c r="L73" s="90">
        <f t="shared" si="16"/>
        <v>0.6165705128205128</v>
      </c>
      <c r="M73" s="90">
        <f t="shared" si="27"/>
        <v>81.4</v>
      </c>
      <c r="N73" s="113">
        <f t="shared" si="9"/>
        <v>82.01657051282052</v>
      </c>
      <c r="O73" s="125">
        <f t="shared" si="20"/>
        <v>152380.80000000002</v>
      </c>
      <c r="P73" s="125">
        <f t="shared" si="21"/>
        <v>153535.02000000002</v>
      </c>
      <c r="Q73" s="48">
        <f t="shared" si="22"/>
        <v>82.01657051282052</v>
      </c>
      <c r="R73" s="120">
        <f t="shared" si="23"/>
        <v>153535.02000000002</v>
      </c>
      <c r="S73" s="120">
        <f t="shared" si="24"/>
        <v>1154.2200000000012</v>
      </c>
      <c r="T73" s="131">
        <f t="shared" si="17"/>
        <v>0.007574576324576254</v>
      </c>
      <c r="U73" s="130"/>
      <c r="V73" s="90"/>
      <c r="Z73" s="90"/>
    </row>
    <row r="74" spans="1:26" s="49" customFormat="1" ht="15">
      <c r="A74" s="139"/>
      <c r="B74" s="46"/>
      <c r="C74" s="2" t="s">
        <v>162</v>
      </c>
      <c r="D74" s="85">
        <v>17</v>
      </c>
      <c r="E74" s="50">
        <v>2</v>
      </c>
      <c r="F74" s="66">
        <f t="shared" si="26"/>
        <v>1768</v>
      </c>
      <c r="G74" s="100">
        <f>References!$B$33</f>
        <v>980</v>
      </c>
      <c r="H74" s="54">
        <f t="shared" si="15"/>
        <v>1732640</v>
      </c>
      <c r="I74" s="51">
        <f>$C$101*H74</f>
        <v>1032659.5374245857</v>
      </c>
      <c r="J74" s="90">
        <f>ROUND(((References!$C$49*I74)*$G$104)+((References!$C$54*I74)*$G$103),2)</f>
        <v>1057.29</v>
      </c>
      <c r="K74" s="90">
        <f>ROUND(J74/References!$G$53,2)</f>
        <v>1090.1</v>
      </c>
      <c r="L74" s="90">
        <f t="shared" si="16"/>
        <v>0.6165723981900452</v>
      </c>
      <c r="M74" s="90">
        <f t="shared" si="27"/>
        <v>81.4</v>
      </c>
      <c r="N74" s="113">
        <f t="shared" si="9"/>
        <v>82.01657239819005</v>
      </c>
      <c r="O74" s="125">
        <f t="shared" si="20"/>
        <v>143915.2</v>
      </c>
      <c r="P74" s="125">
        <f t="shared" si="21"/>
        <v>145005.30000000002</v>
      </c>
      <c r="Q74" s="48">
        <f t="shared" si="22"/>
        <v>82.01657239819005</v>
      </c>
      <c r="R74" s="120">
        <f t="shared" si="23"/>
        <v>145005.30000000002</v>
      </c>
      <c r="S74" s="120">
        <f t="shared" si="24"/>
        <v>1090.1000000000058</v>
      </c>
      <c r="T74" s="131">
        <f t="shared" si="17"/>
        <v>0.007574599486364075</v>
      </c>
      <c r="U74" s="130"/>
      <c r="V74" s="90"/>
      <c r="Z74" s="90"/>
    </row>
    <row r="75" spans="1:26" s="49" customFormat="1" ht="15">
      <c r="A75" s="139"/>
      <c r="B75" s="46"/>
      <c r="C75" s="2" t="s">
        <v>163</v>
      </c>
      <c r="D75" s="85">
        <v>4</v>
      </c>
      <c r="E75" s="50">
        <v>2</v>
      </c>
      <c r="F75" s="66">
        <f>D75*E75*52*2</f>
        <v>832</v>
      </c>
      <c r="G75" s="100">
        <f>References!$B$33</f>
        <v>980</v>
      </c>
      <c r="H75" s="54">
        <f t="shared" si="15"/>
        <v>815360</v>
      </c>
      <c r="I75" s="51">
        <f>$C$101*H75</f>
        <v>485957.42937627557</v>
      </c>
      <c r="J75" s="90">
        <f>ROUND(((References!$C$49*I75)*$G$104)+((References!$C$54*I75)*$G$103),2)</f>
        <v>497.55</v>
      </c>
      <c r="K75" s="90">
        <f>ROUND(J75/References!$G$53,2)</f>
        <v>512.99</v>
      </c>
      <c r="L75" s="90">
        <f t="shared" si="16"/>
        <v>0.6165745192307692</v>
      </c>
      <c r="M75" s="90">
        <f t="shared" si="27"/>
        <v>81.4</v>
      </c>
      <c r="N75" s="113">
        <f aca="true" t="shared" si="28" ref="N75:N89">L75+M75</f>
        <v>82.01657451923077</v>
      </c>
      <c r="O75" s="125">
        <f t="shared" si="20"/>
        <v>67724.8</v>
      </c>
      <c r="P75" s="125">
        <f t="shared" si="21"/>
        <v>68237.79000000001</v>
      </c>
      <c r="Q75" s="48">
        <f t="shared" si="22"/>
        <v>82.01657451923077</v>
      </c>
      <c r="R75" s="120">
        <f t="shared" si="23"/>
        <v>68237.79000000001</v>
      </c>
      <c r="S75" s="120">
        <f t="shared" si="24"/>
        <v>512.9900000000052</v>
      </c>
      <c r="T75" s="131">
        <f t="shared" si="17"/>
        <v>0.007574625543375513</v>
      </c>
      <c r="U75" s="130"/>
      <c r="V75" s="90"/>
      <c r="Z75" s="90"/>
    </row>
    <row r="76" spans="1:26" s="49" customFormat="1" ht="15">
      <c r="A76" s="139"/>
      <c r="B76" s="46"/>
      <c r="C76" s="2" t="s">
        <v>164</v>
      </c>
      <c r="D76" s="85">
        <v>7</v>
      </c>
      <c r="E76" s="50">
        <v>3</v>
      </c>
      <c r="F76" s="66">
        <f t="shared" si="26"/>
        <v>1092</v>
      </c>
      <c r="G76" s="100">
        <f>References!$B$33</f>
        <v>980</v>
      </c>
      <c r="H76" s="54">
        <f t="shared" si="15"/>
        <v>1070160</v>
      </c>
      <c r="I76" s="51">
        <f>$C$101*H76</f>
        <v>637819.1260563617</v>
      </c>
      <c r="J76" s="90">
        <f>ROUND(((References!$C$49*I76)*$G$104)+((References!$C$54*I76)*$G$103),2)</f>
        <v>653.03</v>
      </c>
      <c r="K76" s="90">
        <f>ROUND(J76/References!$G$53,2)</f>
        <v>673.3</v>
      </c>
      <c r="L76" s="90">
        <f t="shared" si="16"/>
        <v>0.6165750915750915</v>
      </c>
      <c r="M76" s="90">
        <f t="shared" si="27"/>
        <v>81.4</v>
      </c>
      <c r="N76" s="113">
        <f t="shared" si="28"/>
        <v>82.01657509157509</v>
      </c>
      <c r="O76" s="125">
        <f t="shared" si="20"/>
        <v>88888.8</v>
      </c>
      <c r="P76" s="125">
        <f t="shared" si="21"/>
        <v>89562.1</v>
      </c>
      <c r="Q76" s="48">
        <f t="shared" si="22"/>
        <v>82.01657509157509</v>
      </c>
      <c r="R76" s="120">
        <f t="shared" si="23"/>
        <v>89562.1</v>
      </c>
      <c r="S76" s="120">
        <f t="shared" si="24"/>
        <v>673.3000000000029</v>
      </c>
      <c r="T76" s="131">
        <f t="shared" si="17"/>
        <v>0.007574632574632423</v>
      </c>
      <c r="U76" s="130"/>
      <c r="V76" s="90"/>
      <c r="Z76" s="90"/>
    </row>
    <row r="77" spans="1:26" s="49" customFormat="1" ht="15">
      <c r="A77" s="139"/>
      <c r="B77" s="46"/>
      <c r="C77" s="2" t="s">
        <v>165</v>
      </c>
      <c r="D77" s="85">
        <v>2</v>
      </c>
      <c r="E77" s="50">
        <v>3</v>
      </c>
      <c r="F77" s="66">
        <f>D77*E77*52*2</f>
        <v>624</v>
      </c>
      <c r="G77" s="100">
        <f>References!$B$33</f>
        <v>980</v>
      </c>
      <c r="H77" s="54">
        <f t="shared" si="15"/>
        <v>611520</v>
      </c>
      <c r="I77" s="51">
        <f>$C$101*H77</f>
        <v>364468.0720322067</v>
      </c>
      <c r="J77" s="90">
        <f>ROUND(((References!$C$49*I77)*$G$104)+((References!$C$54*I77)*$G$103),2)</f>
        <v>373.16</v>
      </c>
      <c r="K77" s="90">
        <f>ROUND(J77/References!$G$53,2)</f>
        <v>384.74</v>
      </c>
      <c r="L77" s="90">
        <f t="shared" si="16"/>
        <v>0.6165705128205128</v>
      </c>
      <c r="M77" s="90">
        <f t="shared" si="27"/>
        <v>81.4</v>
      </c>
      <c r="N77" s="113">
        <f t="shared" si="28"/>
        <v>82.01657051282052</v>
      </c>
      <c r="O77" s="125">
        <f t="shared" si="20"/>
        <v>50793.600000000006</v>
      </c>
      <c r="P77" s="125">
        <f t="shared" si="21"/>
        <v>51178.340000000004</v>
      </c>
      <c r="Q77" s="48">
        <f t="shared" si="22"/>
        <v>82.01657051282052</v>
      </c>
      <c r="R77" s="120">
        <f t="shared" si="23"/>
        <v>51178.340000000004</v>
      </c>
      <c r="S77" s="120">
        <f t="shared" si="24"/>
        <v>384.73999999999796</v>
      </c>
      <c r="T77" s="131">
        <f t="shared" si="17"/>
        <v>0.007574576324576254</v>
      </c>
      <c r="U77" s="130"/>
      <c r="V77" s="90"/>
      <c r="Z77" s="90"/>
    </row>
    <row r="78" spans="1:26" s="49" customFormat="1" ht="15">
      <c r="A78" s="139"/>
      <c r="B78" s="46"/>
      <c r="C78" s="2" t="s">
        <v>166</v>
      </c>
      <c r="D78" s="85">
        <v>1</v>
      </c>
      <c r="E78" s="50">
        <v>4</v>
      </c>
      <c r="F78" s="66">
        <f t="shared" si="26"/>
        <v>208</v>
      </c>
      <c r="G78" s="100">
        <f>References!$B$33</f>
        <v>980</v>
      </c>
      <c r="H78" s="54">
        <f t="shared" si="15"/>
        <v>203840</v>
      </c>
      <c r="I78" s="51">
        <f>$C$101*H78</f>
        <v>121489.35734406889</v>
      </c>
      <c r="J78" s="90">
        <f>ROUND(((References!$C$49*I78)*$G$104)+((References!$C$54*I78)*$G$103),2)</f>
        <v>124.39</v>
      </c>
      <c r="K78" s="90">
        <f>ROUND(J78/References!$G$53,2)</f>
        <v>128.25</v>
      </c>
      <c r="L78" s="90">
        <f t="shared" si="16"/>
        <v>0.6165865384615384</v>
      </c>
      <c r="M78" s="90">
        <f t="shared" si="27"/>
        <v>81.4</v>
      </c>
      <c r="N78" s="113">
        <f t="shared" si="28"/>
        <v>82.01658653846154</v>
      </c>
      <c r="O78" s="125">
        <f t="shared" si="20"/>
        <v>16931.2</v>
      </c>
      <c r="P78" s="125">
        <f t="shared" si="21"/>
        <v>17059.45</v>
      </c>
      <c r="Q78" s="48">
        <f t="shared" si="22"/>
        <v>82.01658653846154</v>
      </c>
      <c r="R78" s="120">
        <f t="shared" si="23"/>
        <v>17059.45</v>
      </c>
      <c r="S78" s="120">
        <f t="shared" si="24"/>
        <v>128.25</v>
      </c>
      <c r="T78" s="131">
        <f t="shared" si="17"/>
        <v>0.007574773199773066</v>
      </c>
      <c r="U78" s="130"/>
      <c r="V78" s="90"/>
      <c r="Z78" s="90"/>
    </row>
    <row r="79" spans="1:26" s="49" customFormat="1" ht="15">
      <c r="A79" s="139"/>
      <c r="B79" s="46"/>
      <c r="C79" s="2" t="s">
        <v>167</v>
      </c>
      <c r="D79" s="85">
        <v>1</v>
      </c>
      <c r="E79" s="50">
        <v>5</v>
      </c>
      <c r="F79" s="66">
        <f t="shared" si="26"/>
        <v>260</v>
      </c>
      <c r="G79" s="100">
        <f>References!$B$33</f>
        <v>980</v>
      </c>
      <c r="H79" s="54">
        <f t="shared" si="15"/>
        <v>254800</v>
      </c>
      <c r="I79" s="51">
        <f>$C$101*H79</f>
        <v>151861.6966800861</v>
      </c>
      <c r="J79" s="90">
        <f>ROUND(((References!$C$49*I79)*$G$104)+((References!$C$54*I79)*$G$103),2)</f>
        <v>155.48</v>
      </c>
      <c r="K79" s="90">
        <f>ROUND(J79/References!$G$53,2)</f>
        <v>160.31</v>
      </c>
      <c r="L79" s="90">
        <f t="shared" si="16"/>
        <v>0.6165769230769231</v>
      </c>
      <c r="M79" s="90">
        <f t="shared" si="27"/>
        <v>81.4</v>
      </c>
      <c r="N79" s="113">
        <f t="shared" si="28"/>
        <v>82.01657692307693</v>
      </c>
      <c r="O79" s="125">
        <f t="shared" si="20"/>
        <v>21164</v>
      </c>
      <c r="P79" s="125">
        <f t="shared" si="21"/>
        <v>21324.31</v>
      </c>
      <c r="Q79" s="48">
        <f t="shared" si="22"/>
        <v>82.01657692307693</v>
      </c>
      <c r="R79" s="120">
        <f t="shared" si="23"/>
        <v>21324.31</v>
      </c>
      <c r="S79" s="120">
        <f t="shared" si="24"/>
        <v>160.3100000000013</v>
      </c>
      <c r="T79" s="131">
        <f t="shared" si="17"/>
        <v>0.007574655074654935</v>
      </c>
      <c r="U79" s="130"/>
      <c r="V79" s="90"/>
      <c r="Z79" s="90"/>
    </row>
    <row r="80" spans="1:26" s="49" customFormat="1" ht="15">
      <c r="A80" s="139"/>
      <c r="B80" s="46"/>
      <c r="C80" s="2" t="s">
        <v>168</v>
      </c>
      <c r="D80" s="85">
        <v>1</v>
      </c>
      <c r="E80" s="50">
        <v>1</v>
      </c>
      <c r="F80" s="66">
        <f t="shared" si="26"/>
        <v>52</v>
      </c>
      <c r="G80" s="100">
        <f>References!$B$36</f>
        <v>892</v>
      </c>
      <c r="H80" s="54">
        <f t="shared" si="15"/>
        <v>46384</v>
      </c>
      <c r="I80" s="51">
        <f>$C$101*H80</f>
        <v>27645.02723237486</v>
      </c>
      <c r="J80" s="90">
        <f>ROUND(((References!$C$49*I80)*$G$104)+((References!$C$54*I80)*$G$103),2)</f>
        <v>28.3</v>
      </c>
      <c r="K80" s="90">
        <f>ROUND(J80/References!$G$53,2)</f>
        <v>29.18</v>
      </c>
      <c r="L80" s="90">
        <f t="shared" si="16"/>
        <v>0.5611538461538461</v>
      </c>
      <c r="M80" s="90">
        <v>84.7</v>
      </c>
      <c r="N80" s="113">
        <f t="shared" si="28"/>
        <v>85.26115384615385</v>
      </c>
      <c r="O80" s="125">
        <f t="shared" si="20"/>
        <v>4404.400000000001</v>
      </c>
      <c r="P80" s="125">
        <f t="shared" si="21"/>
        <v>4433.58</v>
      </c>
      <c r="Q80" s="48">
        <f t="shared" si="22"/>
        <v>85.26115384615385</v>
      </c>
      <c r="R80" s="120">
        <f t="shared" si="23"/>
        <v>4433.58</v>
      </c>
      <c r="S80" s="120">
        <f t="shared" si="24"/>
        <v>29.17999999999938</v>
      </c>
      <c r="T80" s="131">
        <f t="shared" si="17"/>
        <v>0.006625192988829243</v>
      </c>
      <c r="U80" s="130"/>
      <c r="V80" s="90"/>
      <c r="Z80" s="90"/>
    </row>
    <row r="81" spans="1:26" s="49" customFormat="1" ht="15">
      <c r="A81" s="139"/>
      <c r="B81" s="46"/>
      <c r="C81" s="2" t="s">
        <v>169</v>
      </c>
      <c r="D81" s="85">
        <v>1</v>
      </c>
      <c r="E81" s="50">
        <v>2</v>
      </c>
      <c r="F81" s="66">
        <f t="shared" si="26"/>
        <v>104</v>
      </c>
      <c r="G81" s="100">
        <f>References!$B$36</f>
        <v>892</v>
      </c>
      <c r="H81" s="54">
        <f t="shared" si="15"/>
        <v>92768</v>
      </c>
      <c r="I81" s="51">
        <f>$C$101*H81</f>
        <v>55290.05446474972</v>
      </c>
      <c r="J81" s="90">
        <f>ROUND(((References!$C$49*I81)*$G$104)+((References!$C$54*I81)*$G$103),2)</f>
        <v>56.61</v>
      </c>
      <c r="K81" s="90">
        <f>ROUND(J81/References!$G$53,2)</f>
        <v>58.37</v>
      </c>
      <c r="L81" s="90">
        <f t="shared" si="16"/>
        <v>0.56125</v>
      </c>
      <c r="M81" s="90">
        <f>+M80</f>
        <v>84.7</v>
      </c>
      <c r="N81" s="113">
        <f t="shared" si="28"/>
        <v>85.26125</v>
      </c>
      <c r="O81" s="125">
        <f t="shared" si="20"/>
        <v>8808.800000000001</v>
      </c>
      <c r="P81" s="125">
        <f t="shared" si="21"/>
        <v>8867.17</v>
      </c>
      <c r="Q81" s="48">
        <f t="shared" si="22"/>
        <v>85.26125</v>
      </c>
      <c r="R81" s="120">
        <f t="shared" si="23"/>
        <v>8867.17</v>
      </c>
      <c r="S81" s="120">
        <f t="shared" si="24"/>
        <v>58.36999999999898</v>
      </c>
      <c r="T81" s="131">
        <f t="shared" si="17"/>
        <v>0.006626328217237409</v>
      </c>
      <c r="U81" s="130"/>
      <c r="V81" s="90"/>
      <c r="Z81" s="90"/>
    </row>
    <row r="82" spans="1:26" s="49" customFormat="1" ht="15">
      <c r="A82" s="139"/>
      <c r="B82" s="46"/>
      <c r="C82" s="2" t="s">
        <v>170</v>
      </c>
      <c r="D82" s="85">
        <v>4</v>
      </c>
      <c r="E82" s="50">
        <v>1</v>
      </c>
      <c r="F82" s="66">
        <f t="shared" si="26"/>
        <v>208</v>
      </c>
      <c r="G82" s="100">
        <f>References!$B$37</f>
        <v>1301</v>
      </c>
      <c r="H82" s="54">
        <f t="shared" si="15"/>
        <v>270608</v>
      </c>
      <c r="I82" s="51">
        <f>$C$101*H82</f>
        <v>161283.32031085066</v>
      </c>
      <c r="J82" s="90">
        <f>ROUND(((References!$C$49*I82)*$G$104)+((References!$C$54*I82)*$G$103),2)</f>
        <v>165.13</v>
      </c>
      <c r="K82" s="90">
        <f>ROUND(J82/References!$G$53,2)</f>
        <v>170.25</v>
      </c>
      <c r="L82" s="90">
        <f t="shared" si="16"/>
        <v>0.8185096153846154</v>
      </c>
      <c r="M82" s="90">
        <v>122.54</v>
      </c>
      <c r="N82" s="113">
        <f t="shared" si="28"/>
        <v>123.35850961538462</v>
      </c>
      <c r="O82" s="125">
        <f t="shared" si="20"/>
        <v>25488.32</v>
      </c>
      <c r="P82" s="125">
        <f t="shared" si="21"/>
        <v>25658.57</v>
      </c>
      <c r="Q82" s="48">
        <f t="shared" si="22"/>
        <v>123.35850961538462</v>
      </c>
      <c r="R82" s="120">
        <f t="shared" si="23"/>
        <v>25658.57</v>
      </c>
      <c r="S82" s="120">
        <f t="shared" si="24"/>
        <v>170.25</v>
      </c>
      <c r="T82" s="131">
        <f t="shared" si="17"/>
        <v>0.006679530074952034</v>
      </c>
      <c r="U82" s="130"/>
      <c r="V82" s="90"/>
      <c r="Z82" s="90"/>
    </row>
    <row r="83" spans="1:26" s="49" customFormat="1" ht="15">
      <c r="A83" s="139"/>
      <c r="B83" s="46"/>
      <c r="C83" s="2" t="s">
        <v>171</v>
      </c>
      <c r="D83" s="85">
        <v>1</v>
      </c>
      <c r="E83" s="50">
        <v>0.5</v>
      </c>
      <c r="F83" s="66">
        <f t="shared" si="26"/>
        <v>26</v>
      </c>
      <c r="G83" s="100">
        <f>References!$B$38</f>
        <v>1686</v>
      </c>
      <c r="H83" s="54">
        <f t="shared" si="15"/>
        <v>43836</v>
      </c>
      <c r="I83" s="51">
        <f>$C$101*H83</f>
        <v>26126.410265574</v>
      </c>
      <c r="J83" s="90">
        <f>ROUND(((References!$C$49*I83)*$G$104)+((References!$C$54*I83)*$G$103),2)</f>
        <v>26.75</v>
      </c>
      <c r="K83" s="90">
        <f>ROUND(J83/References!$G$53,2)</f>
        <v>27.58</v>
      </c>
      <c r="L83" s="90">
        <f t="shared" si="16"/>
        <v>1.0607692307692307</v>
      </c>
      <c r="M83" s="90">
        <v>158.49</v>
      </c>
      <c r="N83" s="113">
        <f t="shared" si="28"/>
        <v>159.55076923076925</v>
      </c>
      <c r="O83" s="125">
        <f t="shared" si="20"/>
        <v>4120.74</v>
      </c>
      <c r="P83" s="125">
        <f t="shared" si="21"/>
        <v>4148.320000000001</v>
      </c>
      <c r="Q83" s="48">
        <f t="shared" si="22"/>
        <v>159.55076923076925</v>
      </c>
      <c r="R83" s="120">
        <f t="shared" si="23"/>
        <v>4148.320000000001</v>
      </c>
      <c r="S83" s="120">
        <f t="shared" si="24"/>
        <v>27.580000000000837</v>
      </c>
      <c r="T83" s="131">
        <f t="shared" si="17"/>
        <v>0.006692972621422433</v>
      </c>
      <c r="U83" s="130"/>
      <c r="V83" s="90"/>
      <c r="Z83" s="90"/>
    </row>
    <row r="84" spans="1:26" s="49" customFormat="1" ht="15">
      <c r="A84" s="139"/>
      <c r="B84" s="46"/>
      <c r="C84" s="2" t="s">
        <v>172</v>
      </c>
      <c r="D84" s="85">
        <v>1</v>
      </c>
      <c r="E84" s="50">
        <v>1</v>
      </c>
      <c r="F84" s="66">
        <f t="shared" si="26"/>
        <v>52</v>
      </c>
      <c r="G84" s="100">
        <f>References!$B$38</f>
        <v>1686</v>
      </c>
      <c r="H84" s="54">
        <f t="shared" si="15"/>
        <v>87672</v>
      </c>
      <c r="I84" s="51">
        <f>$C$101*H84</f>
        <v>52252.820531148</v>
      </c>
      <c r="J84" s="90">
        <f>ROUND(((References!$C$49*I84)*$G$104)+((References!$C$54*I84)*$G$103),2)</f>
        <v>53.5</v>
      </c>
      <c r="K84" s="90">
        <f>ROUND(J84/References!$G$53,2)</f>
        <v>55.16</v>
      </c>
      <c r="L84" s="90">
        <f t="shared" si="16"/>
        <v>1.0607692307692307</v>
      </c>
      <c r="M84" s="90">
        <f>+M83</f>
        <v>158.49</v>
      </c>
      <c r="N84" s="113">
        <f t="shared" si="28"/>
        <v>159.55076923076925</v>
      </c>
      <c r="O84" s="125">
        <f t="shared" si="20"/>
        <v>8241.48</v>
      </c>
      <c r="P84" s="125">
        <f t="shared" si="21"/>
        <v>8296.640000000001</v>
      </c>
      <c r="Q84" s="48">
        <f t="shared" si="22"/>
        <v>159.55076923076925</v>
      </c>
      <c r="R84" s="120">
        <f t="shared" si="23"/>
        <v>8296.640000000001</v>
      </c>
      <c r="S84" s="120">
        <f t="shared" si="24"/>
        <v>55.16000000000167</v>
      </c>
      <c r="T84" s="131">
        <f t="shared" si="17"/>
        <v>0.006692972621422433</v>
      </c>
      <c r="U84" s="130"/>
      <c r="V84" s="90"/>
      <c r="Z84" s="90"/>
    </row>
    <row r="85" spans="1:26" s="49" customFormat="1" ht="15">
      <c r="A85" s="139"/>
      <c r="B85" s="46"/>
      <c r="C85" s="2" t="s">
        <v>173</v>
      </c>
      <c r="D85" s="85">
        <v>1</v>
      </c>
      <c r="E85" s="50">
        <v>2</v>
      </c>
      <c r="F85" s="66">
        <f t="shared" si="26"/>
        <v>104</v>
      </c>
      <c r="G85" s="100">
        <f>References!$B$38</f>
        <v>1686</v>
      </c>
      <c r="H85" s="54">
        <f t="shared" si="15"/>
        <v>175344</v>
      </c>
      <c r="I85" s="51">
        <f>$C$101*H85</f>
        <v>104505.641062296</v>
      </c>
      <c r="J85" s="90">
        <f>ROUND(((References!$C$49*I85)*$G$104)+((References!$C$54*I85)*$G$103),2)</f>
        <v>107</v>
      </c>
      <c r="K85" s="90">
        <f>ROUND(J85/References!$G$53,2)</f>
        <v>110.32</v>
      </c>
      <c r="L85" s="90">
        <f t="shared" si="16"/>
        <v>1.0607692307692307</v>
      </c>
      <c r="M85" s="90">
        <f>+M84</f>
        <v>158.49</v>
      </c>
      <c r="N85" s="113">
        <f t="shared" si="28"/>
        <v>159.55076923076925</v>
      </c>
      <c r="O85" s="125">
        <f t="shared" si="20"/>
        <v>16482.96</v>
      </c>
      <c r="P85" s="125">
        <f t="shared" si="21"/>
        <v>16593.280000000002</v>
      </c>
      <c r="Q85" s="48">
        <f t="shared" si="22"/>
        <v>159.55076923076925</v>
      </c>
      <c r="R85" s="120">
        <f t="shared" si="23"/>
        <v>16593.280000000002</v>
      </c>
      <c r="S85" s="120">
        <f t="shared" si="24"/>
        <v>110.32000000000335</v>
      </c>
      <c r="T85" s="131">
        <f t="shared" si="17"/>
        <v>0.006692972621422433</v>
      </c>
      <c r="U85" s="130"/>
      <c r="V85" s="90"/>
      <c r="Z85" s="90"/>
    </row>
    <row r="86" spans="1:26" s="49" customFormat="1" ht="15">
      <c r="A86" s="139"/>
      <c r="B86" s="46"/>
      <c r="C86" s="2" t="s">
        <v>191</v>
      </c>
      <c r="D86" s="88">
        <v>0.001</v>
      </c>
      <c r="E86" s="87">
        <v>1</v>
      </c>
      <c r="F86" s="66">
        <f>D86*E86*52</f>
        <v>0.052000000000000005</v>
      </c>
      <c r="G86" s="100">
        <f>References!$B$38</f>
        <v>1686</v>
      </c>
      <c r="H86" s="54">
        <f>F86*G86</f>
        <v>87.67200000000001</v>
      </c>
      <c r="I86" s="89">
        <f>$C$101*H86</f>
        <v>52.252820531148004</v>
      </c>
      <c r="J86" s="90">
        <f>ROUND(((References!$C$49*I86)*$G$104)+((References!$C$54*I86)*$G$103),2)</f>
        <v>0.05</v>
      </c>
      <c r="K86" s="90">
        <f>ROUND(J86/References!$G$53,2)</f>
        <v>0.05</v>
      </c>
      <c r="L86" s="90">
        <f>(K86/F86)</f>
        <v>0.9615384615384615</v>
      </c>
      <c r="M86" s="90">
        <v>191.09</v>
      </c>
      <c r="N86" s="113">
        <f>L86+M86</f>
        <v>192.05153846153846</v>
      </c>
      <c r="O86" s="125">
        <f>F86*M86</f>
        <v>9.93668</v>
      </c>
      <c r="P86" s="125">
        <f>F86*N86</f>
        <v>9.98668</v>
      </c>
      <c r="Q86" s="48">
        <f>N86</f>
        <v>192.05153846153846</v>
      </c>
      <c r="R86" s="120">
        <f>F86*Q86</f>
        <v>9.98668</v>
      </c>
      <c r="S86" s="120">
        <f>R86-O86</f>
        <v>0.049999999999998934</v>
      </c>
      <c r="T86" s="131">
        <f>+N86/M86-1</f>
        <v>0.005031861748592048</v>
      </c>
      <c r="U86" s="130"/>
      <c r="V86" s="90"/>
      <c r="Z86" s="90"/>
    </row>
    <row r="87" spans="1:26" s="49" customFormat="1" ht="15">
      <c r="A87" s="139"/>
      <c r="B87" s="46"/>
      <c r="C87" s="2" t="s">
        <v>192</v>
      </c>
      <c r="D87" s="88">
        <v>0.001</v>
      </c>
      <c r="E87" s="87">
        <v>1</v>
      </c>
      <c r="F87" s="66">
        <f>D87*E87*52</f>
        <v>0.052000000000000005</v>
      </c>
      <c r="G87" s="100">
        <f>References!$B$38</f>
        <v>1686</v>
      </c>
      <c r="H87" s="54">
        <f>F87*G87</f>
        <v>87.67200000000001</v>
      </c>
      <c r="I87" s="89">
        <f>$C$101*H87</f>
        <v>52.252820531148004</v>
      </c>
      <c r="J87" s="90">
        <f>ROUND(((References!$C$49*I87)*$G$104)+((References!$C$54*I87)*$G$103),2)</f>
        <v>0.05</v>
      </c>
      <c r="K87" s="90">
        <f>ROUND(J87/References!$G$53,2)</f>
        <v>0.05</v>
      </c>
      <c r="L87" s="90">
        <f>(K87/F87)</f>
        <v>0.9615384615384615</v>
      </c>
      <c r="M87" s="90">
        <v>230.44</v>
      </c>
      <c r="N87" s="113">
        <f>L87+M87</f>
        <v>231.40153846153845</v>
      </c>
      <c r="O87" s="125">
        <f>F87*M87</f>
        <v>11.982880000000002</v>
      </c>
      <c r="P87" s="125">
        <f>F87*N87</f>
        <v>12.03288</v>
      </c>
      <c r="Q87" s="48">
        <f>N87</f>
        <v>231.40153846153845</v>
      </c>
      <c r="R87" s="120">
        <f>F87*Q87</f>
        <v>12.03288</v>
      </c>
      <c r="S87" s="120">
        <f>R87-O87</f>
        <v>0.049999999999998934</v>
      </c>
      <c r="T87" s="131">
        <f>+N87/M87-1</f>
        <v>0.004172619603968197</v>
      </c>
      <c r="U87" s="130"/>
      <c r="V87" s="90"/>
      <c r="Z87" s="90"/>
    </row>
    <row r="88" spans="1:26" s="49" customFormat="1" ht="15">
      <c r="A88" s="139"/>
      <c r="B88" s="46"/>
      <c r="C88" s="2" t="s">
        <v>174</v>
      </c>
      <c r="D88" s="85">
        <v>191</v>
      </c>
      <c r="E88" s="50">
        <v>0.23078698361412414</v>
      </c>
      <c r="F88" s="66">
        <f t="shared" si="26"/>
        <v>2292.1763212554806</v>
      </c>
      <c r="G88" s="100">
        <f>References!B42</f>
        <v>125</v>
      </c>
      <c r="H88" s="54">
        <f t="shared" si="15"/>
        <v>286522.04015693505</v>
      </c>
      <c r="I88" s="51">
        <f>$C$101*H88</f>
        <v>170768.14424831996</v>
      </c>
      <c r="J88" s="90">
        <f>ROUND(((References!$C$49*I88)*$G$104)+((References!$C$54*I88)*$G$103),2)</f>
        <v>174.84</v>
      </c>
      <c r="K88" s="90">
        <f>ROUND(J88/References!$G$53,2)</f>
        <v>180.27</v>
      </c>
      <c r="L88" s="90">
        <f t="shared" si="16"/>
        <v>0.0786457823197745</v>
      </c>
      <c r="M88" s="90">
        <v>16.24</v>
      </c>
      <c r="N88" s="113">
        <f t="shared" si="28"/>
        <v>16.318645782319773</v>
      </c>
      <c r="O88" s="125">
        <f t="shared" si="20"/>
        <v>37224.943457189</v>
      </c>
      <c r="P88" s="125">
        <f t="shared" si="21"/>
        <v>37405.213457189006</v>
      </c>
      <c r="Q88" s="48">
        <f t="shared" si="22"/>
        <v>16.318645782319773</v>
      </c>
      <c r="R88" s="120">
        <f t="shared" si="23"/>
        <v>37405.213457189006</v>
      </c>
      <c r="S88" s="120">
        <f t="shared" si="24"/>
        <v>180.27000000000407</v>
      </c>
      <c r="T88" s="131">
        <f t="shared" si="17"/>
        <v>0.00484272058619295</v>
      </c>
      <c r="U88" s="130"/>
      <c r="V88" s="90"/>
      <c r="Z88" s="90"/>
    </row>
    <row r="89" spans="1:26" s="49" customFormat="1" ht="15">
      <c r="A89" s="139"/>
      <c r="B89" s="46"/>
      <c r="C89" s="2" t="s">
        <v>175</v>
      </c>
      <c r="D89" s="85">
        <v>27</v>
      </c>
      <c r="E89" s="50">
        <v>0.23078698361412414</v>
      </c>
      <c r="F89" s="66">
        <f t="shared" si="26"/>
        <v>324.0249249942303</v>
      </c>
      <c r="G89" s="100">
        <f>References!B42</f>
        <v>125</v>
      </c>
      <c r="H89" s="54">
        <f t="shared" si="15"/>
        <v>40503.115624278784</v>
      </c>
      <c r="I89" s="51">
        <f>$C$101*H89</f>
        <v>24139.999448715393</v>
      </c>
      <c r="J89" s="90">
        <f>ROUND(((References!$C$49*I89)*$G$104)+((References!$C$54*I89)*$G$103),2)</f>
        <v>24.72</v>
      </c>
      <c r="K89" s="90">
        <f>ROUND(J89/References!$G$53,2)</f>
        <v>25.49</v>
      </c>
      <c r="L89" s="90">
        <f t="shared" si="16"/>
        <v>0.07866678774928776</v>
      </c>
      <c r="M89" s="90">
        <f>+M88</f>
        <v>16.24</v>
      </c>
      <c r="N89" s="113">
        <f t="shared" si="28"/>
        <v>16.318666787749287</v>
      </c>
      <c r="O89" s="125">
        <f t="shared" si="20"/>
        <v>5262.164781906299</v>
      </c>
      <c r="P89" s="125">
        <f t="shared" si="21"/>
        <v>5287.654781906299</v>
      </c>
      <c r="Q89" s="48">
        <f t="shared" si="22"/>
        <v>16.318666787749287</v>
      </c>
      <c r="R89" s="120">
        <f t="shared" si="23"/>
        <v>5287.654781906299</v>
      </c>
      <c r="S89" s="120">
        <f t="shared" si="24"/>
        <v>25.48999999999978</v>
      </c>
      <c r="T89" s="131">
        <f t="shared" si="17"/>
        <v>0.004844014023970944</v>
      </c>
      <c r="U89" s="130">
        <v>19.85</v>
      </c>
      <c r="V89" s="90">
        <f>+U89*T89</f>
        <v>0.09615367837582324</v>
      </c>
      <c r="Z89" s="90"/>
    </row>
    <row r="90" spans="1:22" s="49" customFormat="1" ht="15">
      <c r="A90" s="86"/>
      <c r="B90" s="46"/>
      <c r="C90" s="2"/>
      <c r="D90" s="85"/>
      <c r="E90" s="50"/>
      <c r="F90" s="95"/>
      <c r="G90" s="100"/>
      <c r="H90" s="54"/>
      <c r="I90" s="51"/>
      <c r="J90" s="47"/>
      <c r="K90" s="47"/>
      <c r="L90" s="47"/>
      <c r="M90" s="90"/>
      <c r="N90" s="90"/>
      <c r="O90" s="125"/>
      <c r="P90" s="125"/>
      <c r="Q90" s="48"/>
      <c r="R90" s="120"/>
      <c r="S90" s="120"/>
      <c r="U90" s="130"/>
      <c r="V90" s="90"/>
    </row>
    <row r="91" spans="1:22" s="49" customFormat="1" ht="15">
      <c r="A91" s="55"/>
      <c r="B91" s="19"/>
      <c r="C91" s="57" t="s">
        <v>0</v>
      </c>
      <c r="D91" s="58">
        <f>SUM(D24:D90)</f>
        <v>1413.002</v>
      </c>
      <c r="E91" s="58"/>
      <c r="F91" s="58">
        <f>SUM(F24:F90)</f>
        <v>121540.3052462497</v>
      </c>
      <c r="G91" s="102"/>
      <c r="H91" s="58">
        <f>SUM(H24:H90)</f>
        <v>45142282.49978121</v>
      </c>
      <c r="I91" s="62">
        <f>SUM(I24:I90)</f>
        <v>26904959.23245108</v>
      </c>
      <c r="J91" s="64"/>
      <c r="K91" s="64"/>
      <c r="L91" s="64"/>
      <c r="M91" s="64"/>
      <c r="N91" s="64"/>
      <c r="O91" s="121">
        <f>SUM(O24:O90)</f>
        <v>3853858.9077990944</v>
      </c>
      <c r="P91" s="121">
        <f>SUM(P24:P90)</f>
        <v>3882260.4163504923</v>
      </c>
      <c r="Q91" s="64"/>
      <c r="R91" s="121">
        <f>SUM(R24:R90)</f>
        <v>3882260.4163504923</v>
      </c>
      <c r="S91" s="121">
        <f>SUM(S24:S90)</f>
        <v>28401.50855139709</v>
      </c>
      <c r="T91" s="143">
        <f>+S91/O91</f>
        <v>0.0073696285284136015</v>
      </c>
      <c r="U91" s="130"/>
      <c r="V91" s="90"/>
    </row>
    <row r="92" spans="3:22" ht="15">
      <c r="C92" s="68" t="s">
        <v>88</v>
      </c>
      <c r="D92" s="69">
        <f>D23+D91</f>
        <v>26529.0021</v>
      </c>
      <c r="E92" s="69"/>
      <c r="F92" s="69">
        <f>F23+F91</f>
        <v>1497906.3364462496</v>
      </c>
      <c r="G92" s="69"/>
      <c r="H92" s="69">
        <f>H23+H91</f>
        <v>101562487.5605812</v>
      </c>
      <c r="I92" s="69">
        <f>I23+I91</f>
        <v>60531600.000000015</v>
      </c>
      <c r="J92" s="47"/>
      <c r="K92" s="70"/>
      <c r="L92" s="70"/>
      <c r="M92" s="70"/>
      <c r="N92" s="117"/>
      <c r="O92" s="122">
        <f>O23+O91</f>
        <v>10227897.973559093</v>
      </c>
      <c r="P92" s="122">
        <f>P23+P91</f>
        <v>10292495.813132033</v>
      </c>
      <c r="Q92" s="70"/>
      <c r="R92" s="122">
        <f>R23+R91</f>
        <v>10292495.813132033</v>
      </c>
      <c r="S92" s="122">
        <f>S23+S91</f>
        <v>64597.8395729387</v>
      </c>
      <c r="T92" s="129">
        <f>+S92/O92</f>
        <v>0.006315847082160521</v>
      </c>
      <c r="U92" s="130"/>
      <c r="V92" s="90"/>
    </row>
    <row r="93" spans="7:16" ht="15">
      <c r="G93" s="103"/>
      <c r="J93" s="72"/>
      <c r="P93" s="128"/>
    </row>
    <row r="94" spans="1:3" ht="15">
      <c r="A94" s="53"/>
      <c r="C94" s="74"/>
    </row>
    <row r="95" spans="1:3" ht="15">
      <c r="A95" s="53"/>
      <c r="C95" s="74"/>
    </row>
    <row r="96" spans="1:8" ht="15">
      <c r="A96" s="53"/>
      <c r="B96" s="141" t="s">
        <v>89</v>
      </c>
      <c r="C96" s="141"/>
      <c r="D96" s="45"/>
      <c r="E96" s="75"/>
      <c r="F96" s="75"/>
      <c r="H96" s="96"/>
    </row>
    <row r="97" spans="1:15" ht="15">
      <c r="A97" s="53"/>
      <c r="B97" s="45"/>
      <c r="C97" s="76" t="s">
        <v>0</v>
      </c>
      <c r="D97" s="45"/>
      <c r="E97" s="4"/>
      <c r="F97" s="4"/>
      <c r="H97" s="96"/>
      <c r="I97" s="88"/>
      <c r="J97" s="77"/>
      <c r="O97" s="126"/>
    </row>
    <row r="98" spans="1:15" ht="15">
      <c r="A98" s="53"/>
      <c r="B98" s="45" t="s">
        <v>90</v>
      </c>
      <c r="C98" s="97">
        <f>F105</f>
        <v>30265.800000000003</v>
      </c>
      <c r="D98" s="45"/>
      <c r="E98" s="65"/>
      <c r="F98" s="65"/>
      <c r="G98" s="78"/>
      <c r="H98" s="114"/>
      <c r="I98" s="88"/>
      <c r="J98" s="77"/>
      <c r="O98" s="126"/>
    </row>
    <row r="99" spans="1:10" ht="15">
      <c r="A99" s="53"/>
      <c r="B99" s="45" t="s">
        <v>91</v>
      </c>
      <c r="C99" s="79">
        <f>C98*2000</f>
        <v>60531600.00000001</v>
      </c>
      <c r="D99" s="45"/>
      <c r="E99" s="79"/>
      <c r="F99" s="79"/>
      <c r="G99" s="79"/>
      <c r="H99" s="115"/>
      <c r="I99" s="88"/>
      <c r="J99" s="77"/>
    </row>
    <row r="100" spans="1:15" ht="15">
      <c r="A100" s="53"/>
      <c r="B100" s="45" t="s">
        <v>92</v>
      </c>
      <c r="C100" s="79">
        <f>+F92</f>
        <v>1497906.3364462496</v>
      </c>
      <c r="D100" s="45"/>
      <c r="E100" s="65"/>
      <c r="F100" s="65"/>
      <c r="G100" s="65"/>
      <c r="I100" s="88"/>
      <c r="J100" s="77"/>
      <c r="O100" s="126"/>
    </row>
    <row r="101" spans="2:15" ht="15">
      <c r="B101" s="80" t="s">
        <v>93</v>
      </c>
      <c r="C101" s="81">
        <f>C99/$H$92</f>
        <v>0.5960035191526143</v>
      </c>
      <c r="D101" s="45"/>
      <c r="E101" s="81"/>
      <c r="F101" s="81"/>
      <c r="G101" s="81"/>
      <c r="H101" s="82"/>
      <c r="J101" s="77"/>
      <c r="O101" s="127"/>
    </row>
    <row r="102" spans="5:10" ht="15">
      <c r="E102" s="77"/>
      <c r="G102" s="83"/>
      <c r="H102" s="84"/>
      <c r="J102" s="77"/>
    </row>
    <row r="103" spans="3:10" ht="15">
      <c r="C103" s="134" t="s">
        <v>188</v>
      </c>
      <c r="F103" s="109">
        <v>29072.72</v>
      </c>
      <c r="G103" s="112">
        <f>F103/F105</f>
        <v>0.9605799285001553</v>
      </c>
      <c r="H103" s="84"/>
      <c r="J103" s="77"/>
    </row>
    <row r="104" spans="2:10" ht="17.25">
      <c r="B104" s="111" t="s">
        <v>36</v>
      </c>
      <c r="C104" s="134" t="s">
        <v>189</v>
      </c>
      <c r="F104" s="133">
        <v>1193.08</v>
      </c>
      <c r="G104" s="112">
        <f>F104/F105</f>
        <v>0.0394200714998447</v>
      </c>
      <c r="H104" s="84"/>
      <c r="J104" s="77"/>
    </row>
    <row r="105" spans="2:9" ht="15">
      <c r="B105" s="80" t="s">
        <v>176</v>
      </c>
      <c r="C105" s="109"/>
      <c r="F105" s="109">
        <f>SUM(F103:F104)</f>
        <v>30265.800000000003</v>
      </c>
      <c r="I105" s="45"/>
    </row>
    <row r="106" spans="2:9" ht="15">
      <c r="B106" s="67" t="s">
        <v>177</v>
      </c>
      <c r="D106" s="109"/>
      <c r="E106" s="77"/>
      <c r="I106" s="45"/>
    </row>
    <row r="107" spans="2:9" ht="15">
      <c r="B107" s="67" t="s">
        <v>178</v>
      </c>
      <c r="D107" s="109"/>
      <c r="I107" s="45"/>
    </row>
    <row r="108" spans="4:9" ht="15">
      <c r="D108" s="109"/>
      <c r="I108" s="45"/>
    </row>
    <row r="109" spans="2:4" ht="15">
      <c r="B109" s="80" t="s">
        <v>179</v>
      </c>
      <c r="D109" s="109"/>
    </row>
    <row r="110" spans="2:7" ht="15">
      <c r="B110" s="67" t="s">
        <v>177</v>
      </c>
      <c r="D110" s="110"/>
      <c r="E110" s="109"/>
      <c r="F110" s="109"/>
      <c r="G110" s="109"/>
    </row>
    <row r="111" spans="2:7" ht="15">
      <c r="B111" s="67" t="s">
        <v>178</v>
      </c>
      <c r="D111" s="110"/>
      <c r="E111" s="109"/>
      <c r="F111" s="109"/>
      <c r="G111" s="109"/>
    </row>
    <row r="112" spans="4:7" ht="15">
      <c r="D112" s="110"/>
      <c r="E112" s="109"/>
      <c r="F112" s="112"/>
      <c r="G112" s="109"/>
    </row>
    <row r="113" spans="2:7" ht="15">
      <c r="B113" s="80" t="s">
        <v>180</v>
      </c>
      <c r="D113" s="110"/>
      <c r="E113" s="109"/>
      <c r="F113" s="112"/>
      <c r="G113" s="109"/>
    </row>
    <row r="114" spans="2:7" ht="15">
      <c r="B114" s="67" t="s">
        <v>177</v>
      </c>
      <c r="D114" s="110"/>
      <c r="E114" s="109"/>
      <c r="F114" s="112"/>
      <c r="G114" s="109"/>
    </row>
    <row r="115" spans="2:7" ht="15">
      <c r="B115" s="67" t="s">
        <v>178</v>
      </c>
      <c r="D115" s="110"/>
      <c r="E115" s="109"/>
      <c r="F115" s="112"/>
      <c r="G115" s="109"/>
    </row>
    <row r="116" spans="4:7" ht="15">
      <c r="D116" s="110"/>
      <c r="E116" s="109"/>
      <c r="F116" s="112"/>
      <c r="G116" s="109"/>
    </row>
    <row r="117" spans="2:7" ht="15">
      <c r="B117" s="111" t="s">
        <v>18</v>
      </c>
      <c r="D117" s="110"/>
      <c r="E117" s="109"/>
      <c r="F117" s="112"/>
      <c r="G117" s="109"/>
    </row>
    <row r="118" spans="2:9" ht="15">
      <c r="B118" s="80" t="s">
        <v>176</v>
      </c>
      <c r="D118" s="110"/>
      <c r="E118" s="109"/>
      <c r="F118" s="112"/>
      <c r="G118" s="109"/>
      <c r="I118" s="45"/>
    </row>
    <row r="119" spans="2:9" ht="15">
      <c r="B119" s="67" t="s">
        <v>177</v>
      </c>
      <c r="D119" s="109"/>
      <c r="E119" s="109"/>
      <c r="F119" s="112"/>
      <c r="G119" s="109"/>
      <c r="I119" s="45"/>
    </row>
    <row r="120" spans="2:7" ht="15">
      <c r="B120" s="67" t="s">
        <v>178</v>
      </c>
      <c r="D120" s="109"/>
      <c r="E120" s="109"/>
      <c r="F120" s="116"/>
      <c r="G120" s="109"/>
    </row>
    <row r="121" spans="4:7" ht="15">
      <c r="D121" s="109"/>
      <c r="E121" s="109"/>
      <c r="F121" s="116"/>
      <c r="G121" s="109"/>
    </row>
    <row r="122" spans="2:7" ht="15">
      <c r="B122" s="80" t="s">
        <v>179</v>
      </c>
      <c r="D122" s="109"/>
      <c r="E122" s="109"/>
      <c r="F122" s="116"/>
      <c r="G122" s="109"/>
    </row>
    <row r="123" spans="2:7" ht="15">
      <c r="B123" s="67" t="s">
        <v>177</v>
      </c>
      <c r="D123" s="110"/>
      <c r="E123" s="109"/>
      <c r="F123" s="112"/>
      <c r="G123" s="109"/>
    </row>
    <row r="124" spans="2:7" ht="15">
      <c r="B124" s="67" t="s">
        <v>178</v>
      </c>
      <c r="D124" s="110"/>
      <c r="E124" s="109"/>
      <c r="F124" s="112"/>
      <c r="G124" s="109"/>
    </row>
    <row r="125" spans="4:7" ht="15">
      <c r="D125" s="110"/>
      <c r="E125" s="109"/>
      <c r="F125" s="112"/>
      <c r="G125" s="109"/>
    </row>
    <row r="126" spans="2:7" ht="15">
      <c r="B126" s="80" t="s">
        <v>180</v>
      </c>
      <c r="D126" s="110"/>
      <c r="E126" s="109"/>
      <c r="F126" s="112"/>
      <c r="G126" s="109"/>
    </row>
    <row r="127" spans="2:7" ht="15">
      <c r="B127" s="67" t="s">
        <v>177</v>
      </c>
      <c r="D127" s="110"/>
      <c r="E127" s="109"/>
      <c r="F127" s="112"/>
      <c r="G127" s="109"/>
    </row>
    <row r="128" spans="2:7" ht="15">
      <c r="B128" s="67" t="s">
        <v>178</v>
      </c>
      <c r="D128" s="110"/>
      <c r="E128" s="109"/>
      <c r="F128" s="112"/>
      <c r="G128" s="109"/>
    </row>
    <row r="129" spans="4:7" ht="15">
      <c r="D129" s="110"/>
      <c r="E129" s="109"/>
      <c r="F129" s="112"/>
      <c r="G129" s="109"/>
    </row>
  </sheetData>
  <sheetProtection/>
  <mergeCells count="3">
    <mergeCell ref="A2:A22"/>
    <mergeCell ref="A24:A89"/>
    <mergeCell ref="B96:C96"/>
  </mergeCells>
  <printOptions/>
  <pageMargins left="0.2" right="0.2" top="0.75" bottom="0.75" header="0.3" footer="0.3"/>
  <pageSetup fitToHeight="0" fitToWidth="1" horizontalDpi="600" verticalDpi="600" orientation="landscape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Weinstein, Mike</cp:lastModifiedBy>
  <cp:lastPrinted>2019-10-21T18:50:07Z</cp:lastPrinted>
  <dcterms:created xsi:type="dcterms:W3CDTF">2013-04-10T21:01:30Z</dcterms:created>
  <dcterms:modified xsi:type="dcterms:W3CDTF">2020-11-03T17:02:20Z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fidentiality">
    <vt:lpwstr>None</vt:lpwstr>
  </property>
  <property fmtid="{D5CDD505-2E9C-101B-9397-08002B2CF9AE}" pid="5" name="DocumentDescription">
    <vt:lpwstr>Accounting workpapers</vt:lpwstr>
  </property>
  <property fmtid="{D5CDD505-2E9C-101B-9397-08002B2CF9AE}" pid="6" name="EFilingId">
    <vt:lpwstr>20033.0000000000</vt:lpwstr>
  </property>
  <property fmtid="{D5CDD505-2E9C-101B-9397-08002B2CF9AE}" pid="7" name="DocumentSetType">
    <vt:lpwstr>Workpapers</vt:lpwstr>
  </property>
  <property fmtid="{D5CDD505-2E9C-101B-9397-08002B2CF9AE}" pid="8" name="IsDocumentOrder">
    <vt:lpwstr>0</vt:lpwstr>
  </property>
  <property fmtid="{D5CDD505-2E9C-101B-9397-08002B2CF9AE}" pid="9" name="IsHighlyConfidential">
    <vt:lpwstr>0</vt:lpwstr>
  </property>
  <property fmtid="{D5CDD505-2E9C-101B-9397-08002B2CF9AE}" pid="10" name="CaseCompanyNames">
    <vt:lpwstr>Waste Management of Washington, Inc.</vt:lpwstr>
  </property>
  <property fmtid="{D5CDD505-2E9C-101B-9397-08002B2CF9AE}" pid="11" name="IsConfidential">
    <vt:lpwstr>0</vt:lpwstr>
  </property>
  <property fmtid="{D5CDD505-2E9C-101B-9397-08002B2CF9AE}" pid="12" name="IsEFSEC">
    <vt:lpwstr>0</vt:lpwstr>
  </property>
  <property fmtid="{D5CDD505-2E9C-101B-9397-08002B2CF9AE}" pid="13" name="DocketNumber">
    <vt:lpwstr>200915</vt:lpwstr>
  </property>
  <property fmtid="{D5CDD505-2E9C-101B-9397-08002B2CF9AE}" pid="14" name="Date1">
    <vt:lpwstr>2020-11-05T00:00:00Z</vt:lpwstr>
  </property>
  <property fmtid="{D5CDD505-2E9C-101B-9397-08002B2CF9AE}" pid="15" name="Nickname">
    <vt:lpwstr/>
  </property>
  <property fmtid="{D5CDD505-2E9C-101B-9397-08002B2CF9AE}" pid="16" name="CaseType">
    <vt:lpwstr>Tariff Revision</vt:lpwstr>
  </property>
  <property fmtid="{D5CDD505-2E9C-101B-9397-08002B2CF9AE}" pid="17" name="OpenedDate">
    <vt:lpwstr>2020-11-05T00:00:00Z</vt:lpwstr>
  </property>
  <property fmtid="{D5CDD505-2E9C-101B-9397-08002B2CF9AE}" pid="18" name="Prefix">
    <vt:lpwstr>TG</vt:lpwstr>
  </property>
  <property fmtid="{D5CDD505-2E9C-101B-9397-08002B2CF9AE}" pid="19" name="IndustryCode">
    <vt:lpwstr>227</vt:lpwstr>
  </property>
  <property fmtid="{D5CDD505-2E9C-101B-9397-08002B2CF9AE}" pid="20" name="CaseStatus">
    <vt:lpwstr>Closed</vt:lpwstr>
  </property>
  <property fmtid="{D5CDD505-2E9C-101B-9397-08002B2CF9AE}" pid="21" name="_docset_NoMedatataSyncRequired">
    <vt:lpwstr>False</vt:lpwstr>
  </property>
</Properties>
</file>