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Sch 92-192 LIRAP Annual Rate Adj\"/>
    </mc:Choice>
  </mc:AlternateContent>
  <xr:revisionPtr revIDLastSave="0" documentId="13_ncr:1_{014CED36-1E95-4E62-92C4-5115C91CFA2D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  <externalReference r:id="rId9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2" l="1"/>
  <c r="U22" i="2"/>
  <c r="L24" i="1" l="1"/>
  <c r="K35" i="2" l="1"/>
  <c r="K34" i="2"/>
  <c r="U13" i="1" l="1"/>
  <c r="H16" i="1"/>
  <c r="K12" i="2"/>
  <c r="K26" i="2"/>
  <c r="D45" i="7"/>
  <c r="C45" i="7"/>
  <c r="D44" i="7"/>
  <c r="D46" i="7" s="1"/>
  <c r="H23" i="7" s="1"/>
  <c r="C44" i="7"/>
  <c r="C46" i="7" s="1"/>
  <c r="C23" i="7" s="1"/>
  <c r="D41" i="7"/>
  <c r="C41" i="7"/>
  <c r="U32" i="7"/>
  <c r="O32" i="7"/>
  <c r="U31" i="7"/>
  <c r="O31" i="7"/>
  <c r="U30" i="7"/>
  <c r="O30" i="7"/>
  <c r="U29" i="7"/>
  <c r="O29" i="7"/>
  <c r="U28" i="7"/>
  <c r="O28" i="7"/>
  <c r="U27" i="7"/>
  <c r="O27" i="7"/>
  <c r="U26" i="7"/>
  <c r="O26" i="7"/>
  <c r="U25" i="7"/>
  <c r="O25" i="7"/>
  <c r="U24" i="7"/>
  <c r="V24" i="7" s="1"/>
  <c r="O24" i="7"/>
  <c r="P24" i="7" s="1"/>
  <c r="B24" i="7" s="1"/>
  <c r="U21" i="7"/>
  <c r="O21" i="7"/>
  <c r="U20" i="7"/>
  <c r="O20" i="7"/>
  <c r="U19" i="7"/>
  <c r="O19" i="7"/>
  <c r="T18" i="7"/>
  <c r="S18" i="7"/>
  <c r="U18" i="7" s="1"/>
  <c r="N18" i="7"/>
  <c r="M18" i="7"/>
  <c r="O18" i="7" s="1"/>
  <c r="T17" i="7"/>
  <c r="S17" i="7"/>
  <c r="U17" i="7" s="1"/>
  <c r="N17" i="7"/>
  <c r="M17" i="7"/>
  <c r="O17" i="7" s="1"/>
  <c r="T16" i="7"/>
  <c r="S16" i="7"/>
  <c r="U16" i="7" s="1"/>
  <c r="N16" i="7"/>
  <c r="M16" i="7"/>
  <c r="O16" i="7" s="1"/>
  <c r="T15" i="7"/>
  <c r="S15" i="7"/>
  <c r="U15" i="7" s="1"/>
  <c r="N15" i="7"/>
  <c r="M15" i="7"/>
  <c r="O15" i="7" s="1"/>
  <c r="T14" i="7"/>
  <c r="S14" i="7"/>
  <c r="U14" i="7" s="1"/>
  <c r="N14" i="7"/>
  <c r="M14" i="7"/>
  <c r="O14" i="7" s="1"/>
  <c r="T13" i="7"/>
  <c r="S13" i="7"/>
  <c r="U13" i="7" s="1"/>
  <c r="N13" i="7"/>
  <c r="M13" i="7"/>
  <c r="O13" i="7" s="1"/>
  <c r="T12" i="7"/>
  <c r="S12" i="7"/>
  <c r="U12" i="7" s="1"/>
  <c r="N12" i="7"/>
  <c r="M12" i="7"/>
  <c r="O12" i="7" s="1"/>
  <c r="T11" i="7"/>
  <c r="S11" i="7"/>
  <c r="U11" i="7" s="1"/>
  <c r="N11" i="7"/>
  <c r="M11" i="7"/>
  <c r="O11" i="7" s="1"/>
  <c r="T10" i="7"/>
  <c r="S10" i="7"/>
  <c r="U10" i="7" s="1"/>
  <c r="V10" i="7" s="1"/>
  <c r="N10" i="7"/>
  <c r="M10" i="7"/>
  <c r="O10" i="7" s="1"/>
  <c r="P10" i="7" s="1"/>
  <c r="B10" i="7" s="1"/>
  <c r="U9" i="7"/>
  <c r="O9" i="7"/>
  <c r="H9" i="7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S28" i="1"/>
  <c r="P12" i="7" l="1"/>
  <c r="B12" i="7" s="1"/>
  <c r="G10" i="7"/>
  <c r="V11" i="7"/>
  <c r="G24" i="7"/>
  <c r="V25" i="7"/>
  <c r="P11" i="7"/>
  <c r="B11" i="7" s="1"/>
  <c r="P25" i="7"/>
  <c r="B25" i="7" s="1"/>
  <c r="C32" i="7"/>
  <c r="C31" i="7"/>
  <c r="C30" i="7"/>
  <c r="C29" i="7"/>
  <c r="C28" i="7"/>
  <c r="C27" i="7"/>
  <c r="C26" i="7"/>
  <c r="C25" i="7"/>
  <c r="C24" i="7"/>
  <c r="H31" i="7"/>
  <c r="H30" i="7"/>
  <c r="H29" i="7"/>
  <c r="H28" i="7"/>
  <c r="H27" i="7"/>
  <c r="H26" i="7"/>
  <c r="H25" i="7"/>
  <c r="H24" i="7"/>
  <c r="H32" i="7"/>
  <c r="U12" i="2"/>
  <c r="G25" i="7" l="1"/>
  <c r="V26" i="7"/>
  <c r="P13" i="7"/>
  <c r="V12" i="7"/>
  <c r="G11" i="7"/>
  <c r="P26" i="7"/>
  <c r="G12" i="7" l="1"/>
  <c r="V13" i="7"/>
  <c r="G26" i="7"/>
  <c r="V27" i="7"/>
  <c r="B26" i="7"/>
  <c r="P27" i="7"/>
  <c r="B13" i="7"/>
  <c r="P14" i="7"/>
  <c r="L28" i="1"/>
  <c r="V14" i="7" l="1"/>
  <c r="G13" i="7"/>
  <c r="B14" i="7"/>
  <c r="P15" i="7"/>
  <c r="G27" i="7"/>
  <c r="V28" i="7"/>
  <c r="B27" i="7"/>
  <c r="P28" i="7"/>
  <c r="G14" i="7" l="1"/>
  <c r="V15" i="7"/>
  <c r="B15" i="7"/>
  <c r="P16" i="7"/>
  <c r="B28" i="7"/>
  <c r="P29" i="7"/>
  <c r="G28" i="7"/>
  <c r="V29" i="7"/>
  <c r="F22" i="2"/>
  <c r="V16" i="7" l="1"/>
  <c r="G15" i="7"/>
  <c r="G29" i="7"/>
  <c r="V30" i="7"/>
  <c r="B16" i="7"/>
  <c r="P17" i="7"/>
  <c r="B29" i="7"/>
  <c r="P30" i="7"/>
  <c r="C23" i="4"/>
  <c r="C25" i="4" s="1"/>
  <c r="C29" i="4" s="1"/>
  <c r="G16" i="7" l="1"/>
  <c r="V17" i="7"/>
  <c r="B30" i="7"/>
  <c r="P31" i="7"/>
  <c r="B17" i="7"/>
  <c r="P18" i="7"/>
  <c r="G30" i="7"/>
  <c r="V31" i="7"/>
  <c r="N29" i="5"/>
  <c r="B18" i="7" l="1"/>
  <c r="P19" i="7"/>
  <c r="V18" i="7"/>
  <c r="G17" i="7"/>
  <c r="G31" i="7"/>
  <c r="V32" i="7"/>
  <c r="G32" i="7" s="1"/>
  <c r="I32" i="7" s="1"/>
  <c r="B31" i="7"/>
  <c r="P32" i="7"/>
  <c r="B32" i="7" s="1"/>
  <c r="D32" i="7" s="1"/>
  <c r="C29" i="1"/>
  <c r="V19" i="7" l="1"/>
  <c r="G18" i="7"/>
  <c r="B19" i="7"/>
  <c r="P20" i="7"/>
  <c r="G22" i="2"/>
  <c r="B20" i="7" l="1"/>
  <c r="P21" i="7"/>
  <c r="B21" i="7" s="1"/>
  <c r="V20" i="7"/>
  <c r="G19" i="7"/>
  <c r="U14" i="2"/>
  <c r="U16" i="2"/>
  <c r="U18" i="2"/>
  <c r="U20" i="2"/>
  <c r="U14" i="1"/>
  <c r="U15" i="1"/>
  <c r="U16" i="1"/>
  <c r="G20" i="7" l="1"/>
  <c r="V21" i="7"/>
  <c r="G21" i="7" s="1"/>
  <c r="D21" i="7"/>
  <c r="B34" i="7"/>
  <c r="K40" i="2"/>
  <c r="G31" i="2"/>
  <c r="G34" i="7" l="1"/>
  <c r="L35" i="1" s="1"/>
  <c r="I21" i="7"/>
  <c r="C26" i="5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G12" i="2" s="1"/>
  <c r="D18" i="2"/>
  <c r="G25" i="1" l="1"/>
  <c r="R24" i="2" l="1"/>
  <c r="R18" i="1"/>
  <c r="F20" i="2" l="1"/>
  <c r="F18" i="2"/>
  <c r="F16" i="2"/>
  <c r="F14" i="2"/>
  <c r="G20" i="2" l="1"/>
  <c r="G14" i="2"/>
  <c r="G16" i="2"/>
  <c r="G18" i="2"/>
  <c r="H22" i="2"/>
  <c r="F24" i="2"/>
  <c r="K22" i="2" s="1"/>
  <c r="D24" i="2"/>
  <c r="H16" i="2" l="1"/>
  <c r="I16" i="2" s="1"/>
  <c r="K16" i="2"/>
  <c r="S12" i="2"/>
  <c r="I22" i="2"/>
  <c r="K18" i="2"/>
  <c r="F26" i="2"/>
  <c r="K30" i="2" s="1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I18" i="2"/>
  <c r="N18" i="2"/>
  <c r="N22" i="2"/>
  <c r="N14" i="2"/>
  <c r="I14" i="2"/>
  <c r="K24" i="2"/>
  <c r="H24" i="2"/>
  <c r="H26" i="2" s="1"/>
  <c r="O14" i="2" l="1"/>
  <c r="P14" i="2" s="1"/>
  <c r="O12" i="2"/>
  <c r="P12" i="2" s="1"/>
  <c r="S24" i="2"/>
  <c r="O20" i="2"/>
  <c r="P20" i="2" s="1"/>
  <c r="O18" i="2"/>
  <c r="P18" i="2" s="1"/>
  <c r="N24" i="2"/>
  <c r="F17" i="1"/>
  <c r="F16" i="1"/>
  <c r="G16" i="1" s="1"/>
  <c r="F15" i="1"/>
  <c r="F14" i="1"/>
  <c r="D18" i="1"/>
  <c r="K36" i="2" l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F18" i="1"/>
  <c r="K16" i="1" s="1"/>
  <c r="L16" i="1" s="1"/>
  <c r="S16" i="1" l="1"/>
  <c r="I15" i="1"/>
  <c r="F20" i="1"/>
  <c r="K15" i="1"/>
  <c r="K14" i="1"/>
  <c r="S14" i="1" s="1"/>
  <c r="K13" i="1"/>
  <c r="K17" i="1"/>
  <c r="G20" i="1"/>
  <c r="O20" i="1" s="1"/>
  <c r="H18" i="1"/>
  <c r="H20" i="1" s="1"/>
  <c r="S15" i="1" l="1"/>
  <c r="L15" i="1"/>
  <c r="N17" i="1"/>
  <c r="S17" i="1"/>
  <c r="N13" i="1"/>
  <c r="S13" i="1"/>
  <c r="G21" i="1"/>
  <c r="N14" i="1"/>
  <c r="L14" i="1"/>
  <c r="O14" i="1" s="1"/>
  <c r="P14" i="1" s="1"/>
  <c r="N16" i="1"/>
  <c r="O16" i="1"/>
  <c r="P16" i="1" s="1"/>
  <c r="L13" i="1"/>
  <c r="O13" i="1" s="1"/>
  <c r="P13" i="1" s="1"/>
  <c r="L29" i="1" s="1"/>
  <c r="K18" i="1"/>
  <c r="S18" i="1" s="1"/>
  <c r="N15" i="1"/>
  <c r="O15" i="1"/>
  <c r="P15" i="1" s="1"/>
  <c r="L30" i="1" l="1"/>
  <c r="N30" i="1" s="1"/>
  <c r="N18" i="1"/>
  <c r="N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2019 GRC (UE-190334)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9C226F9D-B6E7-4CA4-ACFA-BC63CFEDDD86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BADEB745-239A-4BAD-A6C4-5FADF83DC847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<sst xmlns="http://schemas.openxmlformats.org/spreadsheetml/2006/main" count="248" uniqueCount="140">
  <si>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</si>
  <si>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</si>
  <si>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</si>
  <si>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</si>
  <si>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</si>
  <si>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</si>
  <si>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</si>
  <si>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</si>
  <si>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</si>
  <si>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</si>
  <si>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</si>
  <si>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</si>
  <si>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</si>
  <si>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</si>
  <si>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</si>
  <si>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</si>
  <si>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</si>
  <si>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</si>
  <si>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</si>
  <si>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</si>
  <si>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</si>
  <si>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</si>
  <si>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</si>
  <si>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</si>
  <si>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</si>
  <si>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</si>
  <si>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</si>
  <si>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</si>
  <si>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</si>
  <si>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</si>
  <si>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</si>
  <si>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</si>
  <si>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</si>
  <si>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</si>
  <si>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</si>
  <si>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</si>
  <si>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</si>
  <si>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</si>
  <si>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</si>
  <si>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</si>
  <si>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</si>
  <si>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</si>
  <si>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</si>
  <si>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</si>
  <si>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</si>
  <si>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</si>
  <si>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</si>
  <si>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</si>
  <si>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</si>
  <si>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</si>
  <si>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</si>
  <si>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</si>
  <si>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</si>
  <si>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</si>
  <si>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</si>
  <si>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</si>
  <si>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</si>
  <si>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</si>
  <si>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</si>
  <si>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</si>
  <si>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</si>
  <si>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</si>
  <si>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</si>
  <si>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</si>
  <si>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</si>
  <si>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</si>
  <si>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</si>
  <si>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</si>
  <si>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</si>
  <si>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</si>
  <si>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</si>
  <si>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</si>
  <si>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</si>
  <si>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</si>
  <si>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</si>
  <si>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</si>
  <si>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</si>
  <si>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</si>
  <si>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</si>
  <si>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</si>
  <si>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</si>
  <si>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</si>
  <si>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</si>
  <si>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</si>
  <si>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</si>
  <si>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</si>
  <si>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</si>
  <si>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</si>
  <si>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</si>
  <si>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</si>
  <si>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</si>
  <si>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</si>
  <si>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</si>
  <si>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</si>
  <si>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</si>
  <si>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</si>
  <si>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</si>
  <si>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</si>
  <si>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</si>
  <si>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</si>
  <si>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</si>
  <si>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</si>
  <si>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</si>
  <si>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</si>
  <si>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</si>
  <si>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</si>
  <si>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</si>
  <si>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</si>
  <si>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</si>
  <si>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</si>
  <si>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</si>
  <si>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</si>
  <si>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</si>
  <si>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</si>
  <si>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</si>
  <si>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</si>
  <si>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</si>
  <si>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</si>
  <si>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</si>
  <si>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</si>
  <si>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</si>
  <si>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918 kWh's</t>
  </si>
  <si>
    <t>66 Therms</t>
  </si>
  <si>
    <t>RDP</t>
  </si>
  <si>
    <t>TWELVE MONTHS ENDED DECEMBER 31, 2018</t>
  </si>
  <si>
    <t>Source:  UE-190334</t>
  </si>
  <si>
    <t>111/112/116</t>
  </si>
  <si>
    <t>Base Revenue (UG-190335)</t>
  </si>
  <si>
    <t>From UG-190335</t>
  </si>
  <si>
    <t xml:space="preserve">Discontinued </t>
  </si>
  <si>
    <t>was booked for 6.30.20 and will be corrected to $457,313 via NSJ on July Close</t>
  </si>
  <si>
    <t>Nat Gas</t>
  </si>
  <si>
    <t>2018-2019 Budget</t>
  </si>
  <si>
    <t>RDP funds are no longer backed out since the rate discount has become part of the LIRAP budget for 2019-2020</t>
  </si>
  <si>
    <t>Less Pilot</t>
  </si>
  <si>
    <t>Total 2018-2019</t>
  </si>
  <si>
    <t>agrees to 09/30/18 amounts above</t>
  </si>
  <si>
    <t>2019-2020 Budget</t>
  </si>
  <si>
    <t>2019-2020 Budget (GRC)</t>
  </si>
  <si>
    <t>Under-collected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</si>
</sst>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164" fontId="0" fillId="3" borderId="0" xfId="1" applyNumberFormat="1" applyFont="1" applyFill="1"/>
    <xf numFmtId="166" fontId="19" fillId="4" borderId="0" xfId="2" applyNumberFormat="1" applyFont="1" applyFill="1"/>
    <xf numFmtId="166" fontId="0" fillId="4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20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m5747\AppData\Local\Microsoft\Windows\INetCache\Content.Outlook\K6WHFZLB\Variance%20to%20Joe%20for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2018-2019"/>
      <sheetName val="2017-2018"/>
      <sheetName val="2016-2017"/>
    </sheetNames>
    <sheetDataSet>
      <sheetData sheetId="0" refreshError="1"/>
      <sheetData sheetId="1">
        <row r="23">
          <cell r="C23">
            <v>5681400</v>
          </cell>
          <cell r="H23">
            <v>3330142</v>
          </cell>
        </row>
        <row r="24">
          <cell r="M24">
            <v>340214.22</v>
          </cell>
          <cell r="N24">
            <v>7057.3</v>
          </cell>
          <cell r="S24">
            <v>154025.85999999999</v>
          </cell>
          <cell r="T24">
            <v>2596.09</v>
          </cell>
        </row>
        <row r="25">
          <cell r="M25">
            <v>457182.97</v>
          </cell>
          <cell r="N25">
            <v>11379.36</v>
          </cell>
          <cell r="S25">
            <v>279569.52</v>
          </cell>
          <cell r="T25">
            <v>4688.2</v>
          </cell>
        </row>
        <row r="26">
          <cell r="M26">
            <v>549353.01</v>
          </cell>
          <cell r="N26">
            <v>15634.18</v>
          </cell>
          <cell r="S26">
            <v>478414.66</v>
          </cell>
          <cell r="T26">
            <v>7822.87</v>
          </cell>
        </row>
        <row r="27">
          <cell r="M27">
            <v>582017.09</v>
          </cell>
          <cell r="N27">
            <v>17435.400000000001</v>
          </cell>
          <cell r="S27">
            <v>527593.61</v>
          </cell>
          <cell r="T27">
            <v>8522.2800000000007</v>
          </cell>
        </row>
        <row r="28">
          <cell r="M28">
            <v>550941.06000000006</v>
          </cell>
          <cell r="N28">
            <v>16270.77</v>
          </cell>
          <cell r="S28">
            <v>548793.26</v>
          </cell>
          <cell r="T28">
            <v>8732.7099999999991</v>
          </cell>
        </row>
        <row r="29">
          <cell r="M29">
            <v>587330.07999999996</v>
          </cell>
          <cell r="N29">
            <v>17804.669999999998</v>
          </cell>
          <cell r="S29">
            <v>594477.47</v>
          </cell>
          <cell r="T29">
            <v>9512.64</v>
          </cell>
        </row>
        <row r="30">
          <cell r="M30">
            <v>468076.23</v>
          </cell>
          <cell r="N30">
            <v>11747.5</v>
          </cell>
          <cell r="S30">
            <v>312143.92</v>
          </cell>
          <cell r="T30">
            <v>4933.87</v>
          </cell>
        </row>
        <row r="31">
          <cell r="M31">
            <v>429057.51</v>
          </cell>
          <cell r="N31">
            <v>9155.1200000000008</v>
          </cell>
          <cell r="S31">
            <v>180058.04</v>
          </cell>
          <cell r="T31">
            <v>2812.39</v>
          </cell>
        </row>
        <row r="32">
          <cell r="M32">
            <v>433630.96</v>
          </cell>
          <cell r="N32">
            <v>7517.67</v>
          </cell>
          <cell r="S32">
            <v>96909.47</v>
          </cell>
          <cell r="T32">
            <v>1180.44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1"/>
  <sheetViews>
    <sheetView tabSelected="1" workbookViewId="0">
      <selection activeCell="H35" sqref="H35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87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91</v>
      </c>
      <c r="L7" s="1" t="s">
        <v>3</v>
      </c>
      <c r="M7" s="1"/>
      <c r="N7" s="1" t="s">
        <v>3</v>
      </c>
      <c r="O7" s="88" t="s">
        <v>3</v>
      </c>
      <c r="P7" s="1" t="s">
        <v>42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/>
      <c r="K8" s="1" t="s">
        <v>92</v>
      </c>
      <c r="L8" s="1" t="s">
        <v>94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93</v>
      </c>
      <c r="L9" s="4" t="s">
        <v>12</v>
      </c>
      <c r="M9" s="4"/>
      <c r="N9" s="4" t="s">
        <v>13</v>
      </c>
      <c r="O9" s="89" t="s">
        <v>12</v>
      </c>
      <c r="P9" s="24" t="s">
        <v>45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44</v>
      </c>
      <c r="L10" s="2" t="s">
        <v>97</v>
      </c>
      <c r="M10" s="2"/>
      <c r="N10" s="2" t="s">
        <v>98</v>
      </c>
      <c r="O10" s="90" t="s">
        <v>99</v>
      </c>
      <c r="P10" s="23" t="s">
        <v>100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103</v>
      </c>
      <c r="D12" s="17">
        <f>'Forecast BD'!N11</f>
        <v>2416039069.6440511</v>
      </c>
      <c r="E12" s="8">
        <v>1.2899999999999999E-3</v>
      </c>
      <c r="F12" s="9">
        <f>D12*E12</f>
        <v>3116690.3998408257</v>
      </c>
      <c r="G12" s="9">
        <f>F12*$G$30</f>
        <v>218168.32798885781</v>
      </c>
      <c r="H12" s="10">
        <f>F12+G12</f>
        <v>3334858.7278296836</v>
      </c>
      <c r="I12" s="11">
        <f>ROUND(H12/D12,5)</f>
        <v>1.3799999999999999E-3</v>
      </c>
      <c r="J12" s="11"/>
      <c r="K12" s="10">
        <f>(F12/$F$24)*-$K$40</f>
        <v>79285.824869928212</v>
      </c>
      <c r="L12" s="11">
        <f>ROUND(K12/D12,5)</f>
        <v>3.0000000000000001E-5</v>
      </c>
      <c r="M12" s="11"/>
      <c r="N12" s="10">
        <f>H12+K12</f>
        <v>3414144.552699612</v>
      </c>
      <c r="O12" s="92">
        <f>I12+L12</f>
        <v>1.41E-3</v>
      </c>
      <c r="P12" s="18">
        <f>ROUND(O12-E12,5)</f>
        <v>1.2E-4</v>
      </c>
      <c r="R12" s="85">
        <v>225245000</v>
      </c>
      <c r="S12" s="16">
        <f>(G12+K12)/R12</f>
        <v>1.3205804917258365E-3</v>
      </c>
      <c r="U12" s="65">
        <f>E12*(1+$G$30)</f>
        <v>1.3802999999999999E-3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2"/>
      <c r="P13" s="18"/>
      <c r="R13" s="85"/>
      <c r="S13" s="16"/>
      <c r="U13" s="65"/>
    </row>
    <row r="14" spans="2:25" x14ac:dyDescent="0.2">
      <c r="B14" s="5" t="s">
        <v>22</v>
      </c>
      <c r="C14" s="19" t="s">
        <v>35</v>
      </c>
      <c r="D14" s="17">
        <f>'Forecast BD'!N12+'Forecast BD'!N13</f>
        <v>631752022.37149489</v>
      </c>
      <c r="E14" s="8">
        <v>1.8699999999999999E-3</v>
      </c>
      <c r="F14" s="9">
        <f t="shared" ref="F14:F20" si="0">D14*E14</f>
        <v>1181376.2818346955</v>
      </c>
      <c r="G14" s="9">
        <f>F14*$G$30</f>
        <v>82696.339728428691</v>
      </c>
      <c r="H14" s="10">
        <f t="shared" ref="H14:H22" si="1">F14+G14</f>
        <v>1264072.6215631242</v>
      </c>
      <c r="I14" s="11">
        <f t="shared" ref="I14:I20" si="2">ROUND(H14/D14,5)</f>
        <v>2E-3</v>
      </c>
      <c r="J14" s="11"/>
      <c r="K14" s="10">
        <f>(F14/$F$24)*-$K$40</f>
        <v>30053.159271712171</v>
      </c>
      <c r="L14" s="11">
        <f t="shared" ref="L14:L20" si="3">K14/D14</f>
        <v>4.7571132671483143E-5</v>
      </c>
      <c r="M14" s="11"/>
      <c r="N14" s="10">
        <f t="shared" ref="N14:N22" si="4">H14+K14</f>
        <v>1294125.7808348364</v>
      </c>
      <c r="O14" s="92">
        <f t="shared" ref="O14:O20" si="5">I14+L14</f>
        <v>2.0475711326714834E-3</v>
      </c>
      <c r="P14" s="18">
        <f>O14-E14</f>
        <v>1.7757113267148346E-4</v>
      </c>
      <c r="R14" s="85">
        <v>79458000</v>
      </c>
      <c r="S14" s="16">
        <f t="shared" ref="S14:S24" si="6">(G14+K14)/R14</f>
        <v>1.4189823428747371E-3</v>
      </c>
      <c r="U14" s="65">
        <f>E14*(1+$G$30)</f>
        <v>2.0008999999999999E-3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2"/>
      <c r="P15" s="18"/>
      <c r="R15" s="85"/>
      <c r="S15" s="16"/>
      <c r="U15" s="65"/>
    </row>
    <row r="16" spans="2:25" x14ac:dyDescent="0.2">
      <c r="B16" s="5" t="s">
        <v>23</v>
      </c>
      <c r="C16" s="6" t="s">
        <v>36</v>
      </c>
      <c r="D16" s="17">
        <f>'Forecast BD'!N14+'Forecast BD'!N15</f>
        <v>1382095703.2864714</v>
      </c>
      <c r="E16" s="8">
        <v>1.3500000000000001E-3</v>
      </c>
      <c r="F16" s="9">
        <f t="shared" si="0"/>
        <v>1865829.1994367365</v>
      </c>
      <c r="G16" s="9">
        <f>F16*$G$30</f>
        <v>130608.04396057157</v>
      </c>
      <c r="H16" s="10">
        <f t="shared" si="1"/>
        <v>1996437.243397308</v>
      </c>
      <c r="I16" s="11">
        <f t="shared" si="2"/>
        <v>1.4400000000000001E-3</v>
      </c>
      <c r="J16" s="11"/>
      <c r="K16" s="10">
        <f>(F16/$F$24)*-$K$40</f>
        <v>47465.031223920952</v>
      </c>
      <c r="L16" s="11">
        <f t="shared" si="3"/>
        <v>3.4342796313637572E-5</v>
      </c>
      <c r="M16" s="11"/>
      <c r="N16" s="10">
        <f t="shared" si="4"/>
        <v>2043902.2746212289</v>
      </c>
      <c r="O16" s="92">
        <f t="shared" si="5"/>
        <v>1.4743427963136377E-3</v>
      </c>
      <c r="P16" s="18">
        <f>O16-E16</f>
        <v>1.2434279631363758E-4</v>
      </c>
      <c r="R16" s="85">
        <v>136474000</v>
      </c>
      <c r="S16" s="16">
        <f t="shared" si="6"/>
        <v>1.3048131892118096E-3</v>
      </c>
      <c r="U16" s="65">
        <f>E16*(1+$G$30)</f>
        <v>1.4445000000000003E-3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2"/>
      <c r="P17" s="18"/>
      <c r="R17" s="85"/>
      <c r="S17" s="16"/>
      <c r="U17" s="65"/>
    </row>
    <row r="18" spans="2:21" x14ac:dyDescent="0.2">
      <c r="B18" s="5" t="s">
        <v>37</v>
      </c>
      <c r="C18" s="2">
        <v>25</v>
      </c>
      <c r="D18" s="17">
        <f>'Forecast BD'!N16-'Forecast BD'!N22</f>
        <v>664208761.23636365</v>
      </c>
      <c r="E18" s="8">
        <v>8.4999999999999995E-4</v>
      </c>
      <c r="F18" s="9">
        <f t="shared" si="0"/>
        <v>564577.44705090905</v>
      </c>
      <c r="G18" s="9">
        <f>F18*$G$30</f>
        <v>39520.421293563639</v>
      </c>
      <c r="H18" s="10">
        <f t="shared" si="1"/>
        <v>604097.86834447272</v>
      </c>
      <c r="I18" s="11">
        <f t="shared" si="2"/>
        <v>9.1E-4</v>
      </c>
      <c r="J18" s="11"/>
      <c r="K18" s="10">
        <f>(F18/$F$24)*-$K$40</f>
        <v>14362.346864698418</v>
      </c>
      <c r="L18" s="11">
        <f t="shared" si="3"/>
        <v>2.1623242123401426E-5</v>
      </c>
      <c r="M18" s="11"/>
      <c r="N18" s="10">
        <f t="shared" si="4"/>
        <v>618460.21520917118</v>
      </c>
      <c r="O18" s="92">
        <f t="shared" si="5"/>
        <v>9.3162324212340143E-4</v>
      </c>
      <c r="P18" s="18">
        <f>O18-E18</f>
        <v>8.1623242123401475E-5</v>
      </c>
      <c r="R18" s="85">
        <v>67884000</v>
      </c>
      <c r="S18" s="16">
        <f t="shared" si="6"/>
        <v>7.937476895625192E-4</v>
      </c>
      <c r="U18" s="65">
        <f>E18*(1+$G$30)</f>
        <v>9.0950000000000004E-4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2"/>
      <c r="P19" s="18"/>
      <c r="R19" s="85"/>
      <c r="S19" s="16"/>
      <c r="U19" s="65"/>
    </row>
    <row r="20" spans="2:21" x14ac:dyDescent="0.2">
      <c r="B20" s="5" t="s">
        <v>38</v>
      </c>
      <c r="C20" s="6" t="s">
        <v>39</v>
      </c>
      <c r="D20" s="17">
        <f>'Forecast BD'!N17+'Forecast BD'!N18</f>
        <v>143337110.46112347</v>
      </c>
      <c r="E20" s="8">
        <v>1.17E-3</v>
      </c>
      <c r="F20" s="9">
        <f t="shared" si="0"/>
        <v>167704.41923951445</v>
      </c>
      <c r="G20" s="9">
        <f>F20*$G$30</f>
        <v>11739.309346766013</v>
      </c>
      <c r="H20" s="10">
        <f t="shared" si="1"/>
        <v>179443.72858628046</v>
      </c>
      <c r="I20" s="11">
        <f t="shared" si="2"/>
        <v>1.25E-3</v>
      </c>
      <c r="J20" s="11"/>
      <c r="K20" s="10">
        <f>(F20/$F$24)*-$K$40</f>
        <v>4266.2508969181672</v>
      </c>
      <c r="L20" s="11">
        <f t="shared" si="3"/>
        <v>2.9763756805152556E-5</v>
      </c>
      <c r="M20" s="11"/>
      <c r="N20" s="10">
        <f t="shared" si="4"/>
        <v>183709.97948319864</v>
      </c>
      <c r="O20" s="92">
        <f t="shared" si="5"/>
        <v>1.2797637568051526E-3</v>
      </c>
      <c r="P20" s="18">
        <f>O20-E20</f>
        <v>1.0976375680515254E-4</v>
      </c>
      <c r="R20" s="85">
        <v>13080000</v>
      </c>
      <c r="S20" s="16">
        <f t="shared" si="6"/>
        <v>1.2236666852969557E-3</v>
      </c>
      <c r="U20" s="65">
        <f>E20*(1+$G$30)</f>
        <v>1.2519E-3</v>
      </c>
    </row>
    <row r="21" spans="2:21" x14ac:dyDescent="0.2">
      <c r="B21" s="5"/>
      <c r="C21" s="2"/>
      <c r="G21" s="9"/>
      <c r="H21" s="10"/>
      <c r="I21" s="20"/>
      <c r="J21" s="20"/>
      <c r="K21" s="10"/>
      <c r="L21" s="20"/>
      <c r="M21" s="20"/>
      <c r="N21" s="10"/>
      <c r="O21" s="92"/>
      <c r="P21" s="18"/>
      <c r="R21" s="85"/>
      <c r="S21" s="16"/>
      <c r="U21" s="65"/>
    </row>
    <row r="22" spans="2:21" ht="13.5" thickBot="1" x14ac:dyDescent="0.25">
      <c r="B22" s="5" t="s">
        <v>40</v>
      </c>
      <c r="C22" s="2" t="s">
        <v>41</v>
      </c>
      <c r="D22" s="17">
        <f>'Forecast BD'!N19</f>
        <v>17383629.373479363</v>
      </c>
      <c r="E22" s="16">
        <v>1.5100000000000001E-2</v>
      </c>
      <c r="F22" s="9">
        <f>K41*' Electric'!E22</f>
        <v>99750.6</v>
      </c>
      <c r="G22" s="9">
        <f>F22*$G$30</f>
        <v>6982.5420000000013</v>
      </c>
      <c r="H22" s="10">
        <f t="shared" si="1"/>
        <v>106733.14200000001</v>
      </c>
      <c r="I22" s="21">
        <f>ROUND(H22/K41,4)</f>
        <v>1.6199999999999999E-2</v>
      </c>
      <c r="J22" s="21"/>
      <c r="K22" s="10">
        <f>(F22/$F$24)*-$K$40</f>
        <v>2537.5663244171374</v>
      </c>
      <c r="L22" s="21">
        <f>K22/K41</f>
        <v>3.8413053654513129E-4</v>
      </c>
      <c r="M22" s="21"/>
      <c r="N22" s="10">
        <f t="shared" si="4"/>
        <v>109270.70832441715</v>
      </c>
      <c r="O22" s="93">
        <f>I22+L22</f>
        <v>1.658413053654513E-2</v>
      </c>
      <c r="P22" s="16">
        <f>O22-E22</f>
        <v>1.4841305365451297E-3</v>
      </c>
      <c r="R22" s="85">
        <v>6780000</v>
      </c>
      <c r="S22" s="16">
        <f t="shared" si="6"/>
        <v>1.4041457705629998E-3</v>
      </c>
      <c r="U22" s="16">
        <f>E22*(1+$G$30)</f>
        <v>1.6157000000000001E-2</v>
      </c>
    </row>
    <row r="23" spans="2:21" x14ac:dyDescent="0.2">
      <c r="B23" s="5"/>
      <c r="C23" s="2"/>
      <c r="K23" s="10"/>
      <c r="R23" s="9"/>
      <c r="S23" s="16"/>
    </row>
    <row r="24" spans="2:21" x14ac:dyDescent="0.2">
      <c r="B24" s="15" t="s">
        <v>30</v>
      </c>
      <c r="C24" s="2"/>
      <c r="D24" s="17">
        <f>SUM(D12:D22)</f>
        <v>5254816296.372983</v>
      </c>
      <c r="F24" s="10">
        <f>SUM(F12:F22)</f>
        <v>6995928.3474026816</v>
      </c>
      <c r="G24" s="10">
        <f>SUM(G12:G22)</f>
        <v>489714.98431818775</v>
      </c>
      <c r="H24" s="10">
        <f>SUM(H12:H22)</f>
        <v>7485643.3317208691</v>
      </c>
      <c r="I24" s="10"/>
      <c r="J24" s="10"/>
      <c r="K24" s="10">
        <f>SUM(K12:K22)</f>
        <v>177970.17945159506</v>
      </c>
      <c r="L24" s="10"/>
      <c r="M24" s="10"/>
      <c r="N24" s="10">
        <f>SUM(N12:N22)</f>
        <v>7663613.5111724641</v>
      </c>
      <c r="R24" s="10">
        <f>SUM(R12:R22)</f>
        <v>528921000</v>
      </c>
      <c r="S24" s="16">
        <f t="shared" si="6"/>
        <v>1.2623532886192508E-3</v>
      </c>
    </row>
    <row r="25" spans="2:21" x14ac:dyDescent="0.2">
      <c r="K25" s="10"/>
      <c r="N25" s="10"/>
    </row>
    <row r="26" spans="2:21" x14ac:dyDescent="0.2">
      <c r="E26" s="66" t="s">
        <v>88</v>
      </c>
      <c r="F26" s="9">
        <f>F24*G31</f>
        <v>6685526.002556772</v>
      </c>
      <c r="G26" s="10">
        <f>F26*G30</f>
        <v>467986.82017897407</v>
      </c>
      <c r="H26" s="85">
        <f>H24*G31</f>
        <v>7153512.8227357455</v>
      </c>
      <c r="I26" s="9"/>
      <c r="J26" s="9"/>
      <c r="K26" s="9">
        <f>K24*G31</f>
        <v>170073.82055950724</v>
      </c>
      <c r="L26" s="9"/>
      <c r="M26" s="9"/>
      <c r="N26" s="9">
        <f>N24*G31</f>
        <v>7323586.6432952527</v>
      </c>
      <c r="O26" s="10"/>
    </row>
    <row r="27" spans="2:21" x14ac:dyDescent="0.2">
      <c r="G27" s="22">
        <f>G26/F26</f>
        <v>7.0000000000000007E-2</v>
      </c>
    </row>
    <row r="30" spans="2:21" x14ac:dyDescent="0.2">
      <c r="G30" s="22">
        <v>7.0000000000000007E-2</v>
      </c>
      <c r="H30" t="s">
        <v>51</v>
      </c>
      <c r="K30" s="10">
        <f>F26*G30</f>
        <v>467986.82017897407</v>
      </c>
      <c r="L30" s="22">
        <f>K30/F24</f>
        <v>6.6894170000000003E-2</v>
      </c>
      <c r="M30" s="22"/>
      <c r="N30" s="68">
        <f>N24-F24</f>
        <v>667685.16376978252</v>
      </c>
    </row>
    <row r="31" spans="2:21" x14ac:dyDescent="0.2">
      <c r="G31" s="29">
        <f>'E Rev Conv'!E22</f>
        <v>0.95563100000000001</v>
      </c>
      <c r="H31" t="s">
        <v>52</v>
      </c>
      <c r="K31" s="10"/>
      <c r="L31" s="22"/>
      <c r="M31" s="22"/>
      <c r="N31" s="22"/>
      <c r="O31" s="27"/>
    </row>
    <row r="32" spans="2:21" x14ac:dyDescent="0.2">
      <c r="G32" s="16"/>
      <c r="K32" s="9"/>
      <c r="L32" s="22"/>
      <c r="M32" s="22"/>
      <c r="N32" s="22"/>
    </row>
    <row r="34" spans="7:14" x14ac:dyDescent="0.2">
      <c r="I34" s="26" t="s">
        <v>46</v>
      </c>
      <c r="J34" s="26"/>
      <c r="K34" s="96">
        <f>ROUND((800*0.07881),2)+ROUND((118*0.09205),2)+9</f>
        <v>82.91</v>
      </c>
      <c r="L34" s="26"/>
      <c r="M34" s="26"/>
      <c r="N34" s="26" t="s">
        <v>121</v>
      </c>
    </row>
    <row r="35" spans="7:14" x14ac:dyDescent="0.2">
      <c r="I35" s="26" t="s">
        <v>47</v>
      </c>
      <c r="J35" s="26"/>
      <c r="K35" s="96">
        <f>ROUND((800*(0.07881+P12)),2)+ROUND((118*(0.09205+P12)),2)+9</f>
        <v>83.02</v>
      </c>
      <c r="L35" s="26"/>
      <c r="M35" s="26"/>
      <c r="N35" s="26"/>
    </row>
    <row r="36" spans="7:14" x14ac:dyDescent="0.2">
      <c r="I36" s="26" t="s">
        <v>48</v>
      </c>
      <c r="J36" s="26"/>
      <c r="K36" s="97">
        <f>K35-K34</f>
        <v>0.10999999999999943</v>
      </c>
      <c r="L36" s="98">
        <f>K36/K34</f>
        <v>1.3267398383789584E-3</v>
      </c>
      <c r="M36" s="98"/>
      <c r="N36" s="26"/>
    </row>
    <row r="40" spans="7:14" x14ac:dyDescent="0.2">
      <c r="G40" t="s">
        <v>95</v>
      </c>
      <c r="K40" s="103">
        <f>'Prior Balances'!B34</f>
        <v>-177970.17945159506</v>
      </c>
      <c r="L40" t="s">
        <v>139</v>
      </c>
    </row>
    <row r="41" spans="7:14" x14ac:dyDescent="0.2">
      <c r="G41" t="s">
        <v>50</v>
      </c>
      <c r="K41" s="99">
        <v>6606000</v>
      </c>
    </row>
  </sheetData>
  <pageMargins left="0.7" right="0.7" top="0.75" bottom="0.75" header="0.3" footer="0.3"/>
  <pageSetup scale="69" orientation="landscape" r:id="rId1"/>
  <headerFooter>
    <oddHeader>&amp;LAvista
Annual LIRAP Funding
2020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C31" sqref="C31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53</v>
      </c>
      <c r="B1" s="30"/>
      <c r="C1" s="30"/>
      <c r="D1" s="30"/>
      <c r="E1" s="31"/>
    </row>
    <row r="2" spans="1:5" ht="13.5" x14ac:dyDescent="0.25">
      <c r="A2" s="30" t="s">
        <v>52</v>
      </c>
      <c r="B2" s="30"/>
      <c r="C2" s="30"/>
      <c r="D2" s="30"/>
      <c r="E2" s="31"/>
    </row>
    <row r="3" spans="1:5" ht="13.5" x14ac:dyDescent="0.25">
      <c r="A3" s="30" t="s">
        <v>54</v>
      </c>
      <c r="B3" s="30"/>
      <c r="C3" s="30"/>
      <c r="D3" s="30"/>
      <c r="E3" s="31"/>
    </row>
    <row r="4" spans="1:5" ht="13.5" x14ac:dyDescent="0.25">
      <c r="A4" s="30" t="s">
        <v>124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55</v>
      </c>
      <c r="B6" s="33"/>
      <c r="C6" s="33"/>
      <c r="D6" s="33"/>
      <c r="E6" s="34"/>
    </row>
    <row r="7" spans="1:5" ht="13.5" x14ac:dyDescent="0.25">
      <c r="A7" s="35" t="s">
        <v>56</v>
      </c>
      <c r="B7" s="33"/>
      <c r="C7" s="35" t="s">
        <v>57</v>
      </c>
      <c r="D7" s="36"/>
      <c r="E7" s="37" t="s">
        <v>58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59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60</v>
      </c>
      <c r="D11" s="42"/>
      <c r="E11" s="40"/>
    </row>
    <row r="12" spans="1:5" x14ac:dyDescent="0.2">
      <c r="A12" s="38">
        <v>2</v>
      </c>
      <c r="B12" s="32"/>
      <c r="C12" s="42" t="s">
        <v>61</v>
      </c>
      <c r="D12" s="42"/>
      <c r="E12" s="43">
        <v>3.7820000000000002E-3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62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63</v>
      </c>
      <c r="D16" s="42"/>
      <c r="E16" s="40">
        <v>3.8587000000000003E-2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64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65</v>
      </c>
      <c r="D20" s="42"/>
      <c r="E20" s="45">
        <v>4.4368999999999999E-2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66</v>
      </c>
      <c r="D22" s="42"/>
      <c r="E22" s="44">
        <v>0.95563100000000001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117</v>
      </c>
      <c r="D24" s="46"/>
      <c r="E24" s="47">
        <v>0.200683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67</v>
      </c>
      <c r="D26" s="42"/>
      <c r="E26" s="48">
        <v>0.75494799999999995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125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5"/>
  <sheetViews>
    <sheetView workbookViewId="0">
      <selection activeCell="B21" sqref="B21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87</v>
      </c>
      <c r="E8" s="1" t="s">
        <v>0</v>
      </c>
      <c r="F8" s="1" t="s">
        <v>1</v>
      </c>
      <c r="G8" s="1" t="s">
        <v>43</v>
      </c>
      <c r="H8" s="1" t="s">
        <v>3</v>
      </c>
      <c r="I8" s="1" t="s">
        <v>3</v>
      </c>
      <c r="J8" s="1"/>
      <c r="K8" s="1" t="s">
        <v>91</v>
      </c>
      <c r="L8" s="1" t="s">
        <v>3</v>
      </c>
      <c r="M8" s="1"/>
      <c r="N8" s="1" t="s">
        <v>3</v>
      </c>
      <c r="O8" s="88" t="s">
        <v>3</v>
      </c>
      <c r="P8" s="1" t="s">
        <v>42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7</v>
      </c>
      <c r="J9" s="1"/>
      <c r="K9" s="1" t="s">
        <v>92</v>
      </c>
      <c r="L9" s="1" t="s">
        <v>94</v>
      </c>
      <c r="M9" s="1"/>
      <c r="N9" s="1" t="s">
        <v>8</v>
      </c>
      <c r="O9" s="88" t="s">
        <v>7</v>
      </c>
      <c r="P9" s="1" t="s">
        <v>12</v>
      </c>
      <c r="R9" s="1" t="s">
        <v>49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93</v>
      </c>
      <c r="L10" s="4" t="s">
        <v>12</v>
      </c>
      <c r="M10" s="4"/>
      <c r="N10" s="4" t="s">
        <v>13</v>
      </c>
      <c r="O10" s="89" t="s">
        <v>12</v>
      </c>
      <c r="P10" s="24" t="s">
        <v>43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44</v>
      </c>
      <c r="L11" s="2" t="s">
        <v>97</v>
      </c>
      <c r="M11" s="2"/>
      <c r="N11" s="2" t="s">
        <v>98</v>
      </c>
      <c r="O11" s="90" t="s">
        <v>99</v>
      </c>
      <c r="P11" s="25" t="s">
        <v>100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102</v>
      </c>
      <c r="D13" s="7">
        <f>'Forecast BD'!N27</f>
        <v>130956617.16383837</v>
      </c>
      <c r="E13" s="8">
        <v>2.1899999999999999E-2</v>
      </c>
      <c r="F13" s="9">
        <f>D13*E13</f>
        <v>2867949.9158880603</v>
      </c>
      <c r="G13" s="10">
        <f>F13*$G$24</f>
        <v>200756.49411216425</v>
      </c>
      <c r="H13" s="10">
        <f>F13+G13</f>
        <v>3068706.4100002246</v>
      </c>
      <c r="I13" s="11">
        <f>ROUND(H13/D13,5)</f>
        <v>2.3429999999999999E-2</v>
      </c>
      <c r="J13" s="11"/>
      <c r="K13" s="10">
        <f>(F13/$F$18)*-$L$35</f>
        <v>45594.918550655821</v>
      </c>
      <c r="L13" s="11">
        <f>ROUND(K13/D13,5)</f>
        <v>3.5E-4</v>
      </c>
      <c r="M13" s="11"/>
      <c r="N13" s="10">
        <f>H13+K13</f>
        <v>3114301.3285508803</v>
      </c>
      <c r="O13" s="92">
        <f>I13+L13</f>
        <v>2.3779999999999999E-2</v>
      </c>
      <c r="P13" s="8">
        <f>O13-E13</f>
        <v>1.8799999999999997E-3</v>
      </c>
      <c r="R13" s="85">
        <v>116046000</v>
      </c>
      <c r="S13" s="16">
        <f>(G13+K13)/R13</f>
        <v>2.122877244048223E-3</v>
      </c>
      <c r="U13" s="65">
        <f>E13*(1+$G$24)</f>
        <v>2.3432999999999999E-2</v>
      </c>
    </row>
    <row r="14" spans="2:21" x14ac:dyDescent="0.2">
      <c r="B14" s="5" t="s">
        <v>23</v>
      </c>
      <c r="C14" s="104" t="s">
        <v>126</v>
      </c>
      <c r="D14" s="7">
        <f>'Forecast BD'!N28+'Forecast BD'!N29</f>
        <v>60609145.395380415</v>
      </c>
      <c r="E14" s="8">
        <v>1.8360000000000001E-2</v>
      </c>
      <c r="F14" s="9">
        <f t="shared" ref="F14:F17" si="0">D14*E14</f>
        <v>1112783.9094591844</v>
      </c>
      <c r="G14" s="10">
        <f>F14*$G$24</f>
        <v>77894.873662142913</v>
      </c>
      <c r="H14" s="10">
        <f t="shared" ref="H14:H17" si="1">F14+G14</f>
        <v>1190678.7831213274</v>
      </c>
      <c r="I14" s="100">
        <f t="shared" ref="I14:I16" si="2">ROUND(H14/D14,5)</f>
        <v>1.9650000000000001E-2</v>
      </c>
      <c r="J14" s="11"/>
      <c r="K14" s="10">
        <f>(F14/$F$18)*-$L$35</f>
        <v>17691.135899966052</v>
      </c>
      <c r="L14" s="11">
        <f>ROUND(K14/D14,5)</f>
        <v>2.9E-4</v>
      </c>
      <c r="M14" s="11"/>
      <c r="N14" s="10">
        <f t="shared" ref="N14:N17" si="3">H14+K14</f>
        <v>1208369.9190212935</v>
      </c>
      <c r="O14" s="92">
        <f t="shared" ref="O14:O16" si="4">I14+L14</f>
        <v>1.9939999999999999E-2</v>
      </c>
      <c r="P14" s="8">
        <f>O14-E14</f>
        <v>1.5799999999999981E-3</v>
      </c>
      <c r="R14" s="85">
        <v>35885000</v>
      </c>
      <c r="S14" s="16">
        <f t="shared" ref="S14:S18" si="5">(G14+K14)/R14</f>
        <v>2.6636758969516222E-3</v>
      </c>
      <c r="U14" s="65">
        <f>E14*(1+$G$24)</f>
        <v>1.9645200000000002E-2</v>
      </c>
    </row>
    <row r="15" spans="2:21" x14ac:dyDescent="0.2">
      <c r="B15" s="5" t="s">
        <v>24</v>
      </c>
      <c r="C15" s="2" t="s">
        <v>25</v>
      </c>
      <c r="D15" s="7">
        <f>'Forecast BD'!N31</f>
        <v>954800.92649673193</v>
      </c>
      <c r="E15" s="8">
        <v>1.6109999999999999E-2</v>
      </c>
      <c r="F15" s="9">
        <f t="shared" si="0"/>
        <v>15381.842925862351</v>
      </c>
      <c r="G15" s="10">
        <f>F15*$G$24</f>
        <v>1076.7290048103646</v>
      </c>
      <c r="H15" s="10">
        <f t="shared" si="1"/>
        <v>16458.571930672715</v>
      </c>
      <c r="I15" s="11">
        <f t="shared" si="2"/>
        <v>1.7239999999999998E-2</v>
      </c>
      <c r="J15" s="11"/>
      <c r="K15" s="10">
        <f>(F15/$F$18)*-$L$35</f>
        <v>244.54188390054486</v>
      </c>
      <c r="L15" s="11">
        <f>ROUND(K15/D15,5)</f>
        <v>2.5999999999999998E-4</v>
      </c>
      <c r="M15" s="11"/>
      <c r="N15" s="10">
        <f t="shared" si="3"/>
        <v>16703.113814573258</v>
      </c>
      <c r="O15" s="92">
        <f t="shared" si="4"/>
        <v>1.7499999999999998E-2</v>
      </c>
      <c r="P15" s="8">
        <f>O15-E15</f>
        <v>1.3899999999999989E-3</v>
      </c>
      <c r="R15" s="85">
        <v>453000</v>
      </c>
      <c r="S15" s="16">
        <f t="shared" si="5"/>
        <v>2.9167127786112793E-3</v>
      </c>
      <c r="U15" s="65">
        <f>E15*(1+$G$24)</f>
        <v>1.7237700000000002E-2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31754675</v>
      </c>
      <c r="E16" s="8">
        <v>9.8999999999999999E-4</v>
      </c>
      <c r="F16" s="9">
        <f t="shared" si="0"/>
        <v>31437.128250000002</v>
      </c>
      <c r="G16" s="10">
        <f>H16-F16</f>
        <v>3732.8717499999984</v>
      </c>
      <c r="H16" s="10">
        <f>C29</f>
        <v>35170</v>
      </c>
      <c r="I16" s="11">
        <f t="shared" si="2"/>
        <v>1.1100000000000001E-3</v>
      </c>
      <c r="J16" s="11"/>
      <c r="K16" s="10">
        <f>(F16/$F$18)*-$L$35</f>
        <v>499.79021393803788</v>
      </c>
      <c r="L16" s="11">
        <f>ROUND(K16/D16,5)</f>
        <v>2.0000000000000002E-5</v>
      </c>
      <c r="M16" s="11"/>
      <c r="N16" s="10">
        <f t="shared" si="3"/>
        <v>35669.790213938039</v>
      </c>
      <c r="O16" s="94">
        <f t="shared" si="4"/>
        <v>1.1300000000000001E-3</v>
      </c>
      <c r="P16" s="8">
        <f>O16-E16</f>
        <v>1.4000000000000015E-4</v>
      </c>
      <c r="R16" s="85">
        <v>3446000</v>
      </c>
      <c r="S16" s="16">
        <f t="shared" si="5"/>
        <v>1.2282826360818446E-3</v>
      </c>
      <c r="U16" s="65">
        <f>E16*(1+$G$24)</f>
        <v>1.0593E-3</v>
      </c>
    </row>
    <row r="17" spans="2:21" ht="15" x14ac:dyDescent="0.35">
      <c r="B17" s="5" t="s">
        <v>28</v>
      </c>
      <c r="C17" s="6" t="s">
        <v>29</v>
      </c>
      <c r="D17" s="12">
        <f>'Forecast BD'!N33</f>
        <v>49525812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85">
        <v>1720000</v>
      </c>
      <c r="S17" s="16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273801050.48571551</v>
      </c>
      <c r="F18" s="10">
        <f>SUM(F13:F17)</f>
        <v>4027552.7965231072</v>
      </c>
      <c r="G18" s="10">
        <f>SUM(G13:G17)</f>
        <v>283460.96852911753</v>
      </c>
      <c r="H18" s="10">
        <f>SUM(H13:H17)</f>
        <v>4311013.7650522254</v>
      </c>
      <c r="I18" s="10"/>
      <c r="J18" s="10"/>
      <c r="K18" s="10">
        <f>SUM(K13:K17)</f>
        <v>64030.386548460454</v>
      </c>
      <c r="L18" s="10"/>
      <c r="M18" s="10"/>
      <c r="N18" s="10">
        <f>SUM(N13:N17)</f>
        <v>4375044.151600685</v>
      </c>
      <c r="R18" s="9">
        <f>SUM(R13:R17)</f>
        <v>157550000</v>
      </c>
      <c r="S18" s="16">
        <f t="shared" si="5"/>
        <v>2.2055941293403873E-3</v>
      </c>
    </row>
    <row r="20" spans="2:21" x14ac:dyDescent="0.2">
      <c r="E20" t="s">
        <v>88</v>
      </c>
      <c r="F20" s="9">
        <f>F18*G25</f>
        <v>3849716.2027926296</v>
      </c>
      <c r="G20" s="9">
        <f>G18*G25</f>
        <v>270944.74946371437</v>
      </c>
      <c r="H20" s="85">
        <f>H18*G25</f>
        <v>4120660.9522563447</v>
      </c>
      <c r="I20" s="9"/>
      <c r="J20" s="9"/>
      <c r="K20" s="9"/>
      <c r="L20" s="9"/>
      <c r="M20" s="9"/>
      <c r="N20" s="9">
        <f>N18-F18</f>
        <v>347491.35507757775</v>
      </c>
      <c r="O20" s="10">
        <f>(G18*G25)-G20</f>
        <v>0</v>
      </c>
    </row>
    <row r="21" spans="2:21" x14ac:dyDescent="0.2">
      <c r="G21" s="22">
        <f>G20/F20</f>
        <v>7.0380447594336398E-2</v>
      </c>
    </row>
    <row r="23" spans="2:21" ht="13.5" thickBot="1" x14ac:dyDescent="0.25"/>
    <row r="24" spans="2:21" x14ac:dyDescent="0.2">
      <c r="B24" s="81" t="s">
        <v>113</v>
      </c>
      <c r="C24" s="74"/>
      <c r="G24" s="22">
        <v>7.0000000000000007E-2</v>
      </c>
      <c r="H24" t="s">
        <v>114</v>
      </c>
      <c r="L24" s="10">
        <f>F20*G24</f>
        <v>269480.1341954841</v>
      </c>
      <c r="M24" s="10"/>
    </row>
    <row r="25" spans="2:21" x14ac:dyDescent="0.2">
      <c r="B25" s="75"/>
      <c r="C25" s="76"/>
      <c r="G25" s="29">
        <f>'G Rev Conv'!C25</f>
        <v>0.95584500000000006</v>
      </c>
      <c r="H25" t="s">
        <v>52</v>
      </c>
      <c r="L25" s="10"/>
      <c r="M25" s="10"/>
    </row>
    <row r="26" spans="2:21" x14ac:dyDescent="0.2">
      <c r="B26" s="75" t="s">
        <v>127</v>
      </c>
      <c r="C26" s="82">
        <v>3517000</v>
      </c>
      <c r="G26" s="16"/>
      <c r="L26" s="9"/>
      <c r="M26" s="9"/>
    </row>
    <row r="27" spans="2:21" x14ac:dyDescent="0.2">
      <c r="B27" s="77"/>
      <c r="C27" s="78">
        <v>0.01</v>
      </c>
      <c r="H27" t="s">
        <v>101</v>
      </c>
    </row>
    <row r="28" spans="2:21" x14ac:dyDescent="0.2">
      <c r="B28" s="75"/>
      <c r="C28" s="76"/>
      <c r="K28" s="26" t="s">
        <v>46</v>
      </c>
      <c r="L28" s="96">
        <f>ROUND((66*0.71111),2)+9.5</f>
        <v>56.43</v>
      </c>
      <c r="M28" s="96"/>
      <c r="N28" s="26"/>
      <c r="O28" s="26" t="s">
        <v>122</v>
      </c>
      <c r="S28">
        <f>-2300-100+335</f>
        <v>-2065</v>
      </c>
    </row>
    <row r="29" spans="2:21" ht="13.5" thickBot="1" x14ac:dyDescent="0.25">
      <c r="B29" s="79" t="s">
        <v>115</v>
      </c>
      <c r="C29" s="80">
        <f>C26*C27</f>
        <v>35170</v>
      </c>
      <c r="D29" s="26"/>
      <c r="E29" s="26"/>
      <c r="F29" s="26"/>
      <c r="G29" s="22"/>
      <c r="K29" s="26" t="s">
        <v>47</v>
      </c>
      <c r="L29" s="96">
        <f>ROUND((66*(0.71111+P13)),2)+9.5</f>
        <v>56.56</v>
      </c>
      <c r="M29" s="96"/>
      <c r="N29" s="26"/>
      <c r="O29" s="26"/>
    </row>
    <row r="30" spans="2:21" x14ac:dyDescent="0.2">
      <c r="K30" s="26" t="s">
        <v>48</v>
      </c>
      <c r="L30" s="97">
        <f>L29-L28</f>
        <v>0.13000000000000256</v>
      </c>
      <c r="M30" s="97"/>
      <c r="N30" s="98">
        <f>L30/L28</f>
        <v>2.3037391458444545E-3</v>
      </c>
      <c r="O30" s="26"/>
    </row>
    <row r="35" spans="7:14" x14ac:dyDescent="0.2">
      <c r="G35" t="s">
        <v>95</v>
      </c>
      <c r="L35" s="103">
        <f>'Prior Balances'!G34</f>
        <v>-64030.386548460461</v>
      </c>
      <c r="M35" s="28"/>
      <c r="N35" t="s">
        <v>139</v>
      </c>
    </row>
  </sheetData>
  <pageMargins left="0.7" right="0.7" top="0.75" bottom="0.75" header="0.3" footer="0.3"/>
  <pageSetup scale="65" orientation="landscape" r:id="rId1"/>
  <headerFooter>
    <oddHeader>&amp;LAvista
Annual LIRAP Funding
2020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29"/>
  <sheetViews>
    <sheetView workbookViewId="0">
      <selection activeCell="A32" sqref="A32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53</v>
      </c>
      <c r="B1" s="41"/>
      <c r="C1" s="53"/>
    </row>
    <row r="2" spans="1:3" x14ac:dyDescent="0.2">
      <c r="A2" s="52" t="s">
        <v>67</v>
      </c>
      <c r="B2" s="41"/>
      <c r="C2" s="54"/>
    </row>
    <row r="3" spans="1:3" x14ac:dyDescent="0.2">
      <c r="A3" s="52" t="s">
        <v>118</v>
      </c>
      <c r="B3" s="41"/>
      <c r="C3" s="54"/>
    </row>
    <row r="4" spans="1:3" x14ac:dyDescent="0.2">
      <c r="A4" s="52" t="s">
        <v>124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128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57</v>
      </c>
      <c r="B10" s="42"/>
      <c r="C10" s="59" t="s">
        <v>58</v>
      </c>
    </row>
    <row r="11" spans="1:3" x14ac:dyDescent="0.2">
      <c r="A11" s="42"/>
      <c r="B11" s="42"/>
      <c r="C11" s="42"/>
    </row>
    <row r="12" spans="1:3" x14ac:dyDescent="0.2">
      <c r="A12" s="41" t="s">
        <v>59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60</v>
      </c>
      <c r="B14" s="42"/>
      <c r="C14" s="42"/>
    </row>
    <row r="15" spans="1:3" x14ac:dyDescent="0.2">
      <c r="A15" s="42" t="s">
        <v>68</v>
      </c>
      <c r="B15" s="42"/>
      <c r="C15" s="60">
        <v>3.7810000000000001E-3</v>
      </c>
    </row>
    <row r="16" spans="1:3" x14ac:dyDescent="0.2">
      <c r="A16" s="42"/>
      <c r="B16" s="42"/>
      <c r="C16" s="60"/>
    </row>
    <row r="17" spans="1:3" x14ac:dyDescent="0.2">
      <c r="A17" s="42" t="s">
        <v>69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70</v>
      </c>
      <c r="B19" s="42"/>
      <c r="C19" s="60">
        <v>3.8373999999999998E-2</v>
      </c>
    </row>
    <row r="20" spans="1:3" x14ac:dyDescent="0.2">
      <c r="A20" s="42"/>
      <c r="B20" s="42"/>
      <c r="C20" s="60"/>
    </row>
    <row r="21" spans="1:3" x14ac:dyDescent="0.2">
      <c r="A21" s="42" t="s">
        <v>71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65</v>
      </c>
      <c r="B23" s="42"/>
      <c r="C23" s="61">
        <f>C15+C17+C19+C21</f>
        <v>4.4155E-2</v>
      </c>
    </row>
    <row r="24" spans="1:3" x14ac:dyDescent="0.2">
      <c r="A24" s="42"/>
      <c r="B24" s="42"/>
      <c r="C24" s="60"/>
    </row>
    <row r="25" spans="1:3" x14ac:dyDescent="0.2">
      <c r="A25" s="42" t="s">
        <v>66</v>
      </c>
      <c r="B25" s="42"/>
      <c r="C25" s="42">
        <f>C12-C23</f>
        <v>0.95584500000000006</v>
      </c>
    </row>
    <row r="26" spans="1:3" x14ac:dyDescent="0.2">
      <c r="A26" s="42"/>
      <c r="B26" s="42"/>
      <c r="C26" s="60"/>
    </row>
    <row r="27" spans="1:3" x14ac:dyDescent="0.2">
      <c r="A27" s="42" t="s">
        <v>117</v>
      </c>
      <c r="B27" s="46"/>
      <c r="C27" s="60">
        <v>0.20072699999999999</v>
      </c>
    </row>
    <row r="28" spans="1:3" x14ac:dyDescent="0.2">
      <c r="A28" s="42"/>
      <c r="B28" s="42"/>
      <c r="C28" s="60"/>
    </row>
    <row r="29" spans="1:3" x14ac:dyDescent="0.2">
      <c r="A29" s="42" t="s">
        <v>67</v>
      </c>
      <c r="B29" s="42"/>
      <c r="C29" s="42">
        <f>C25-C27</f>
        <v>0.75511800000000007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34"/>
  <sheetViews>
    <sheetView workbookViewId="0">
      <selection activeCell="N28" sqref="N28:N29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2">
        <v>44105</v>
      </c>
      <c r="C10" s="62">
        <v>44136</v>
      </c>
      <c r="D10" s="62">
        <v>44166</v>
      </c>
      <c r="E10" s="62">
        <v>44197</v>
      </c>
      <c r="F10" s="62">
        <v>44228</v>
      </c>
      <c r="G10" s="62">
        <v>44256</v>
      </c>
      <c r="H10" s="62">
        <v>44287</v>
      </c>
      <c r="I10" s="62">
        <v>44317</v>
      </c>
      <c r="J10" s="62">
        <v>44348</v>
      </c>
      <c r="K10" s="62">
        <v>44378</v>
      </c>
      <c r="L10" s="62">
        <v>44409</v>
      </c>
      <c r="M10" s="62">
        <v>44440</v>
      </c>
      <c r="N10" t="s">
        <v>30</v>
      </c>
    </row>
    <row r="11" spans="1:14" x14ac:dyDescent="0.2">
      <c r="A11" t="s">
        <v>72</v>
      </c>
      <c r="B11" s="7">
        <v>174619342.77762699</v>
      </c>
      <c r="C11" s="7">
        <v>226848271.52747425</v>
      </c>
      <c r="D11" s="7">
        <v>284264001.32638013</v>
      </c>
      <c r="E11" s="7">
        <v>278750554.2755208</v>
      </c>
      <c r="F11" s="7">
        <v>228403217.14944029</v>
      </c>
      <c r="G11" s="7">
        <v>218728556.21334654</v>
      </c>
      <c r="H11" s="7">
        <v>174832931.81877211</v>
      </c>
      <c r="I11" s="7">
        <v>157551493.9917509</v>
      </c>
      <c r="J11" s="7">
        <v>153398727.83458745</v>
      </c>
      <c r="K11" s="7">
        <v>185216283.84022087</v>
      </c>
      <c r="L11" s="7">
        <v>181286037.56468964</v>
      </c>
      <c r="M11" s="7">
        <v>152139651.32424137</v>
      </c>
      <c r="N11" s="63">
        <f>SUM(B11:M11)</f>
        <v>2416039069.6440511</v>
      </c>
    </row>
    <row r="12" spans="1:14" x14ac:dyDescent="0.2">
      <c r="A12" t="s">
        <v>73</v>
      </c>
      <c r="B12" s="7">
        <v>44364425.722319804</v>
      </c>
      <c r="C12" s="7">
        <v>48944302.835443452</v>
      </c>
      <c r="D12" s="7">
        <v>55669812.882580042</v>
      </c>
      <c r="E12" s="7">
        <v>55171436.152782246</v>
      </c>
      <c r="F12" s="7">
        <v>47595723.98205521</v>
      </c>
      <c r="G12" s="7">
        <v>48498480.357791789</v>
      </c>
      <c r="H12" s="7">
        <v>42387562.252365552</v>
      </c>
      <c r="I12" s="7">
        <v>41984487.391527332</v>
      </c>
      <c r="J12" s="7">
        <v>43261279.116157189</v>
      </c>
      <c r="K12" s="7">
        <v>50852157.280781381</v>
      </c>
      <c r="L12" s="7">
        <v>49697807.155147128</v>
      </c>
      <c r="M12" s="7">
        <v>42351078.88671346</v>
      </c>
      <c r="N12" s="63">
        <f t="shared" ref="N12:N19" si="0">SUM(B12:M12)</f>
        <v>570778554.01566458</v>
      </c>
    </row>
    <row r="13" spans="1:14" x14ac:dyDescent="0.2">
      <c r="A13" t="s">
        <v>74</v>
      </c>
      <c r="B13" s="7">
        <v>4529881.1476572342</v>
      </c>
      <c r="C13" s="7">
        <v>5681687.4178397376</v>
      </c>
      <c r="D13" s="7">
        <v>6959079.7146364581</v>
      </c>
      <c r="E13" s="7">
        <v>7033432.5140525494</v>
      </c>
      <c r="F13" s="7">
        <v>5978685.8441679785</v>
      </c>
      <c r="G13" s="7">
        <v>5771216.7591659892</v>
      </c>
      <c r="H13" s="7">
        <v>4603471.0986749753</v>
      </c>
      <c r="I13" s="7">
        <v>4073331.397444074</v>
      </c>
      <c r="J13" s="7">
        <v>3883168.7427932019</v>
      </c>
      <c r="K13" s="7">
        <v>4342917.3621004988</v>
      </c>
      <c r="L13" s="7">
        <v>4231262.0558352787</v>
      </c>
      <c r="M13" s="7">
        <v>3885334.3014623607</v>
      </c>
      <c r="N13" s="63">
        <f t="shared" si="0"/>
        <v>60973468.355830334</v>
      </c>
    </row>
    <row r="14" spans="1:14" x14ac:dyDescent="0.2">
      <c r="A14" t="s">
        <v>75</v>
      </c>
      <c r="B14" s="7">
        <v>113742569.29089782</v>
      </c>
      <c r="C14" s="7">
        <v>113859115.08580782</v>
      </c>
      <c r="D14" s="7">
        <v>119507265.10193489</v>
      </c>
      <c r="E14" s="7">
        <v>117329479.37971318</v>
      </c>
      <c r="F14" s="7">
        <v>104067750.88927273</v>
      </c>
      <c r="G14" s="7">
        <v>110472845.71233544</v>
      </c>
      <c r="H14" s="7">
        <v>103509679.04670116</v>
      </c>
      <c r="I14" s="7">
        <v>107418493.64261299</v>
      </c>
      <c r="J14" s="7">
        <v>110403863.72386377</v>
      </c>
      <c r="K14" s="7">
        <v>124008596.00135891</v>
      </c>
      <c r="L14" s="7">
        <v>118970771.17205705</v>
      </c>
      <c r="M14" s="7">
        <v>106164107.2053968</v>
      </c>
      <c r="N14" s="63">
        <f t="shared" si="0"/>
        <v>1349454536.2519526</v>
      </c>
    </row>
    <row r="15" spans="1:14" x14ac:dyDescent="0.2">
      <c r="A15" t="s">
        <v>76</v>
      </c>
      <c r="B15" s="7">
        <v>2486413.2190612759</v>
      </c>
      <c r="C15" s="7">
        <v>2906252.5403435295</v>
      </c>
      <c r="D15" s="7">
        <v>3444687.547011693</v>
      </c>
      <c r="E15" s="7">
        <v>3438900.574080165</v>
      </c>
      <c r="F15" s="7">
        <v>2891596.3498096373</v>
      </c>
      <c r="G15" s="7">
        <v>2842571.0644231495</v>
      </c>
      <c r="H15" s="7">
        <v>2460738.9459994081</v>
      </c>
      <c r="I15" s="7">
        <v>2379708.5781754041</v>
      </c>
      <c r="J15" s="7">
        <v>2334701.4008522844</v>
      </c>
      <c r="K15" s="7">
        <v>2636107.8074484048</v>
      </c>
      <c r="L15" s="7">
        <v>2557045.1994239269</v>
      </c>
      <c r="M15" s="7">
        <v>2262443.8078898974</v>
      </c>
      <c r="N15" s="63">
        <f t="shared" si="0"/>
        <v>32641167.034518775</v>
      </c>
    </row>
    <row r="16" spans="1:14" x14ac:dyDescent="0.2">
      <c r="A16" t="s">
        <v>77</v>
      </c>
      <c r="B16" s="7">
        <v>91515705</v>
      </c>
      <c r="C16" s="7">
        <v>87977703</v>
      </c>
      <c r="D16" s="7">
        <v>88518578</v>
      </c>
      <c r="E16" s="7">
        <v>89488818</v>
      </c>
      <c r="F16" s="7">
        <v>88268850</v>
      </c>
      <c r="G16" s="7">
        <v>87017607</v>
      </c>
      <c r="H16" s="7">
        <v>88374643</v>
      </c>
      <c r="I16" s="7">
        <v>89232541</v>
      </c>
      <c r="J16" s="7">
        <v>89374249</v>
      </c>
      <c r="K16" s="7">
        <v>90001196</v>
      </c>
      <c r="L16" s="7">
        <v>93201094</v>
      </c>
      <c r="M16" s="7">
        <v>91377024</v>
      </c>
      <c r="N16" s="63">
        <f t="shared" si="0"/>
        <v>1074348008</v>
      </c>
    </row>
    <row r="17" spans="1:15" x14ac:dyDescent="0.2">
      <c r="A17" t="s">
        <v>78</v>
      </c>
      <c r="B17" s="7">
        <v>9613592.6013661847</v>
      </c>
      <c r="C17" s="7">
        <v>4616059.232220646</v>
      </c>
      <c r="D17" s="7">
        <v>3897917.3213902027</v>
      </c>
      <c r="E17" s="7">
        <v>3870384.3676620619</v>
      </c>
      <c r="F17" s="7">
        <v>3616420.1794240288</v>
      </c>
      <c r="G17" s="7">
        <v>4495902.1590908617</v>
      </c>
      <c r="H17" s="7">
        <v>7042076.3603156582</v>
      </c>
      <c r="I17" s="7">
        <v>12886436.323981013</v>
      </c>
      <c r="J17" s="7">
        <v>18215970.393878918</v>
      </c>
      <c r="K17" s="7">
        <v>24389352.643595517</v>
      </c>
      <c r="L17" s="7">
        <v>24648353.128239043</v>
      </c>
      <c r="M17" s="7">
        <v>17583718.006854102</v>
      </c>
      <c r="N17" s="63">
        <f t="shared" si="0"/>
        <v>134876182.71801823</v>
      </c>
    </row>
    <row r="18" spans="1:15" x14ac:dyDescent="0.2">
      <c r="A18" t="s">
        <v>79</v>
      </c>
      <c r="B18" s="7">
        <v>510749.42277459928</v>
      </c>
      <c r="C18" s="7">
        <v>287631.13397408143</v>
      </c>
      <c r="D18" s="7">
        <v>292616.85156395187</v>
      </c>
      <c r="E18" s="7">
        <v>304446.8826804955</v>
      </c>
      <c r="F18" s="7">
        <v>260039.08610739367</v>
      </c>
      <c r="G18" s="7">
        <v>265586.9102143019</v>
      </c>
      <c r="H18" s="7">
        <v>393310.98044776008</v>
      </c>
      <c r="I18" s="7">
        <v>700915.88416348863</v>
      </c>
      <c r="J18" s="7">
        <v>1133974.092944724</v>
      </c>
      <c r="K18" s="7">
        <v>1742976.2552989873</v>
      </c>
      <c r="L18" s="7">
        <v>1582137.4225068565</v>
      </c>
      <c r="M18" s="7">
        <v>986542.82042859704</v>
      </c>
      <c r="N18" s="63">
        <f t="shared" si="0"/>
        <v>8460927.7431052383</v>
      </c>
    </row>
    <row r="19" spans="1:15" x14ac:dyDescent="0.2">
      <c r="A19" t="s">
        <v>80</v>
      </c>
      <c r="B19" s="7">
        <v>1449168.1485833083</v>
      </c>
      <c r="C19" s="7">
        <v>1445518.1589530283</v>
      </c>
      <c r="D19" s="7">
        <v>1496702.1987002252</v>
      </c>
      <c r="E19" s="7">
        <v>1476750.4532663552</v>
      </c>
      <c r="F19" s="7">
        <v>1414917.8970354958</v>
      </c>
      <c r="G19" s="7">
        <v>1438262.7732153982</v>
      </c>
      <c r="H19" s="7">
        <v>1431618.3112398528</v>
      </c>
      <c r="I19" s="7">
        <v>1445599.1165151587</v>
      </c>
      <c r="J19" s="7">
        <v>1453193.7655177775</v>
      </c>
      <c r="K19" s="7">
        <v>1429327.1889835284</v>
      </c>
      <c r="L19" s="7">
        <v>1444604.0307205543</v>
      </c>
      <c r="M19" s="7">
        <v>1457967.3307486803</v>
      </c>
      <c r="N19" s="63">
        <f t="shared" si="0"/>
        <v>17383629.373479363</v>
      </c>
    </row>
    <row r="20" spans="1:15" x14ac:dyDescent="0.2">
      <c r="N20" s="63">
        <f>SUM(N11:N19)</f>
        <v>5664955543.1366196</v>
      </c>
    </row>
    <row r="22" spans="1:15" x14ac:dyDescent="0.2">
      <c r="A22" t="s">
        <v>90</v>
      </c>
      <c r="B22" s="95">
        <v>32387778</v>
      </c>
      <c r="C22" s="95">
        <v>35496477.799999997</v>
      </c>
      <c r="D22" s="95">
        <v>33553724</v>
      </c>
      <c r="E22" s="95">
        <v>35383480</v>
      </c>
      <c r="F22" s="95">
        <v>30592247.399999999</v>
      </c>
      <c r="G22" s="95">
        <v>34178270.563636363</v>
      </c>
      <c r="H22" s="95">
        <v>36012008</v>
      </c>
      <c r="I22" s="95">
        <v>34858220</v>
      </c>
      <c r="J22" s="95">
        <v>33792437.399999999</v>
      </c>
      <c r="K22" s="95">
        <v>33658628</v>
      </c>
      <c r="L22" s="95">
        <v>34777572</v>
      </c>
      <c r="M22" s="95">
        <v>35448403.600000001</v>
      </c>
      <c r="N22" s="63">
        <f>SUM(B22:M22)</f>
        <v>410139246.76363635</v>
      </c>
      <c r="O22" t="s">
        <v>89</v>
      </c>
    </row>
    <row r="23" spans="1:15" x14ac:dyDescent="0.2">
      <c r="N23" s="63">
        <f>N20-N22</f>
        <v>5254816296.372983</v>
      </c>
    </row>
    <row r="26" spans="1:15" x14ac:dyDescent="0.2">
      <c r="B26" s="62">
        <f>B10</f>
        <v>44105</v>
      </c>
      <c r="C26" s="62">
        <f t="shared" ref="C26:M26" si="1">C10</f>
        <v>44136</v>
      </c>
      <c r="D26" s="62">
        <f t="shared" si="1"/>
        <v>44166</v>
      </c>
      <c r="E26" s="62">
        <f t="shared" si="1"/>
        <v>44197</v>
      </c>
      <c r="F26" s="62">
        <f t="shared" si="1"/>
        <v>44228</v>
      </c>
      <c r="G26" s="62">
        <f t="shared" si="1"/>
        <v>44256</v>
      </c>
      <c r="H26" s="62">
        <f t="shared" si="1"/>
        <v>44287</v>
      </c>
      <c r="I26" s="62">
        <f t="shared" si="1"/>
        <v>44317</v>
      </c>
      <c r="J26" s="62">
        <f t="shared" si="1"/>
        <v>44348</v>
      </c>
      <c r="K26" s="62">
        <f t="shared" si="1"/>
        <v>44378</v>
      </c>
      <c r="L26" s="62">
        <f t="shared" si="1"/>
        <v>44409</v>
      </c>
      <c r="M26" s="62">
        <f t="shared" si="1"/>
        <v>44440</v>
      </c>
      <c r="N26" t="s">
        <v>30</v>
      </c>
    </row>
    <row r="27" spans="1:15" x14ac:dyDescent="0.2">
      <c r="A27" s="64" t="s">
        <v>81</v>
      </c>
      <c r="B27" s="7">
        <v>8700753.2485203929</v>
      </c>
      <c r="C27" s="7">
        <v>15717991.167721258</v>
      </c>
      <c r="D27" s="7">
        <v>21723607.759825606</v>
      </c>
      <c r="E27" s="7">
        <v>23303432.562934119</v>
      </c>
      <c r="F27" s="7">
        <v>19987877.704538807</v>
      </c>
      <c r="G27" s="7">
        <v>15944592.955716632</v>
      </c>
      <c r="H27" s="7">
        <v>10328108.645439891</v>
      </c>
      <c r="I27" s="7">
        <v>4801380.8262135293</v>
      </c>
      <c r="J27" s="7">
        <v>2836644.6531352093</v>
      </c>
      <c r="K27" s="7">
        <v>2298199.6239096643</v>
      </c>
      <c r="L27" s="7">
        <v>2205754.1097777188</v>
      </c>
      <c r="M27" s="7">
        <v>3108273.9061055332</v>
      </c>
      <c r="N27" s="63">
        <f>SUM(B27:M27)</f>
        <v>130956617.16383837</v>
      </c>
    </row>
    <row r="28" spans="1:15" x14ac:dyDescent="0.2">
      <c r="A28" s="64" t="s">
        <v>82</v>
      </c>
      <c r="B28" s="7">
        <v>4976153.4860988548</v>
      </c>
      <c r="C28" s="7">
        <v>6773752.3579140548</v>
      </c>
      <c r="D28" s="7">
        <v>8376689.0164647792</v>
      </c>
      <c r="E28" s="7">
        <v>8792929.9551486298</v>
      </c>
      <c r="F28" s="7">
        <v>7457918.5635445779</v>
      </c>
      <c r="G28" s="7">
        <v>6222633.5739002749</v>
      </c>
      <c r="H28" s="7">
        <v>4298487.2264371673</v>
      </c>
      <c r="I28" s="7">
        <v>2295747.7488553878</v>
      </c>
      <c r="J28" s="7">
        <v>1796664.5432832688</v>
      </c>
      <c r="K28" s="7">
        <v>1797733.5770276845</v>
      </c>
      <c r="L28" s="7">
        <v>1908943.5374167173</v>
      </c>
      <c r="M28" s="7">
        <v>2527919.9576333356</v>
      </c>
      <c r="N28" s="63">
        <f t="shared" ref="N28:N33" si="2">SUM(B28:M28)</f>
        <v>57225573.543724738</v>
      </c>
    </row>
    <row r="29" spans="1:15" x14ac:dyDescent="0.2">
      <c r="A29" s="64" t="s">
        <v>116</v>
      </c>
      <c r="B29" s="7">
        <v>162513.53369036299</v>
      </c>
      <c r="C29" s="7">
        <v>366320.22643171204</v>
      </c>
      <c r="D29" s="7">
        <v>490392.11275371816</v>
      </c>
      <c r="E29" s="7">
        <v>578923.80808094866</v>
      </c>
      <c r="F29" s="7">
        <v>500953.36565363943</v>
      </c>
      <c r="G29" s="7">
        <v>415621.13952758792</v>
      </c>
      <c r="H29" s="7">
        <v>338254.70775024936</v>
      </c>
      <c r="I29" s="7">
        <v>181872.50340008611</v>
      </c>
      <c r="J29" s="7">
        <v>107890.74697412648</v>
      </c>
      <c r="K29" s="7">
        <v>87789.319842009907</v>
      </c>
      <c r="L29" s="7">
        <v>69107.557750926091</v>
      </c>
      <c r="M29" s="7">
        <v>83932.82980031264</v>
      </c>
      <c r="N29" s="63">
        <f t="shared" si="2"/>
        <v>3383571.8516556798</v>
      </c>
    </row>
    <row r="30" spans="1:15" x14ac:dyDescent="0.2">
      <c r="A30" s="64" t="s">
        <v>83</v>
      </c>
      <c r="B30" s="7" t="s">
        <v>129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2"/>
        <v>0</v>
      </c>
    </row>
    <row r="31" spans="1:15" x14ac:dyDescent="0.2">
      <c r="A31" s="64" t="s">
        <v>84</v>
      </c>
      <c r="B31" s="7">
        <v>88845.101335277897</v>
      </c>
      <c r="C31" s="7">
        <v>112148.78783862102</v>
      </c>
      <c r="D31" s="7">
        <v>119038.58760318588</v>
      </c>
      <c r="E31" s="7">
        <v>129864.30629625857</v>
      </c>
      <c r="F31" s="7">
        <v>115311.37590683199</v>
      </c>
      <c r="G31" s="7">
        <v>96816.72412309541</v>
      </c>
      <c r="H31" s="7">
        <v>74634.594646532903</v>
      </c>
      <c r="I31" s="7">
        <v>48079.192292076114</v>
      </c>
      <c r="J31" s="7">
        <v>42401.112201966651</v>
      </c>
      <c r="K31" s="7">
        <v>48090.767967472362</v>
      </c>
      <c r="L31" s="7">
        <v>38184.890363832215</v>
      </c>
      <c r="M31" s="7">
        <v>41385.485921580919</v>
      </c>
      <c r="N31" s="63">
        <f t="shared" si="2"/>
        <v>954800.92649673193</v>
      </c>
    </row>
    <row r="32" spans="1:15" x14ac:dyDescent="0.2">
      <c r="A32" s="64" t="s">
        <v>85</v>
      </c>
      <c r="B32" s="7">
        <v>2309519</v>
      </c>
      <c r="C32" s="7">
        <v>2786394</v>
      </c>
      <c r="D32" s="7">
        <v>2965489</v>
      </c>
      <c r="E32" s="7">
        <v>3223279</v>
      </c>
      <c r="F32" s="7">
        <v>3349770</v>
      </c>
      <c r="G32" s="7">
        <v>2952606</v>
      </c>
      <c r="H32" s="7">
        <v>2911500</v>
      </c>
      <c r="I32" s="7">
        <v>2504698</v>
      </c>
      <c r="J32" s="7">
        <v>2364563</v>
      </c>
      <c r="K32" s="7">
        <v>2202068</v>
      </c>
      <c r="L32" s="7">
        <v>2056987</v>
      </c>
      <c r="M32" s="7">
        <v>2127802</v>
      </c>
      <c r="N32" s="63">
        <f t="shared" si="2"/>
        <v>31754675</v>
      </c>
    </row>
    <row r="33" spans="1:14" x14ac:dyDescent="0.2">
      <c r="A33" s="64" t="s">
        <v>86</v>
      </c>
      <c r="B33" s="7">
        <v>3631984</v>
      </c>
      <c r="C33" s="7">
        <v>4106406</v>
      </c>
      <c r="D33" s="7">
        <v>4503292</v>
      </c>
      <c r="E33" s="7">
        <v>4920046</v>
      </c>
      <c r="F33" s="7">
        <v>4963696</v>
      </c>
      <c r="G33" s="7">
        <v>4476076</v>
      </c>
      <c r="H33" s="7">
        <v>4457496</v>
      </c>
      <c r="I33" s="7">
        <v>4059627</v>
      </c>
      <c r="J33" s="7">
        <v>3750421</v>
      </c>
      <c r="K33" s="7">
        <v>3610028</v>
      </c>
      <c r="L33" s="7">
        <v>3462036</v>
      </c>
      <c r="M33" s="7">
        <v>3584704</v>
      </c>
      <c r="N33" s="63">
        <f t="shared" si="2"/>
        <v>49525812</v>
      </c>
    </row>
    <row r="34" spans="1:14" x14ac:dyDescent="0.2">
      <c r="N34" s="63">
        <f>SUM(N27:N33)</f>
        <v>273801050.48571551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47"/>
  <sheetViews>
    <sheetView workbookViewId="0">
      <selection activeCell="M33" sqref="M33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9.7109375" bestFit="1" customWidth="1"/>
    <col min="16" max="16" width="11.285156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9.7109375" bestFit="1" customWidth="1"/>
    <col min="22" max="22" width="11.28515625" bestFit="1" customWidth="1"/>
  </cols>
  <sheetData>
    <row r="3" spans="1:22" x14ac:dyDescent="0.2">
      <c r="A3" t="s">
        <v>104</v>
      </c>
      <c r="F3" t="s">
        <v>110</v>
      </c>
    </row>
    <row r="4" spans="1:22" x14ac:dyDescent="0.2">
      <c r="A4" t="s">
        <v>105</v>
      </c>
      <c r="F4" t="s">
        <v>111</v>
      </c>
    </row>
    <row r="5" spans="1:22" x14ac:dyDescent="0.2">
      <c r="A5" t="s">
        <v>106</v>
      </c>
      <c r="F5" t="s">
        <v>106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107</v>
      </c>
      <c r="C8" t="s">
        <v>108</v>
      </c>
      <c r="H8" t="s">
        <v>108</v>
      </c>
      <c r="M8" s="84" t="s">
        <v>119</v>
      </c>
      <c r="N8" s="84" t="s">
        <v>123</v>
      </c>
      <c r="O8" s="84" t="s">
        <v>8</v>
      </c>
      <c r="P8" s="84" t="s">
        <v>120</v>
      </c>
      <c r="Q8" s="84"/>
      <c r="R8" s="84"/>
      <c r="S8" s="84" t="s">
        <v>119</v>
      </c>
      <c r="T8" s="84" t="s">
        <v>123</v>
      </c>
      <c r="U8" s="84" t="s">
        <v>8</v>
      </c>
      <c r="V8" s="84" t="s">
        <v>120</v>
      </c>
    </row>
    <row r="9" spans="1:22" x14ac:dyDescent="0.2">
      <c r="A9" s="69">
        <v>43373</v>
      </c>
      <c r="B9" s="9"/>
      <c r="C9" s="71">
        <f>'[3]2018-2019'!C23</f>
        <v>5681400</v>
      </c>
      <c r="F9" s="69">
        <v>43373</v>
      </c>
      <c r="G9" s="9"/>
      <c r="H9" s="71">
        <f>'[3]2018-2019'!H23</f>
        <v>3330142</v>
      </c>
      <c r="L9" s="69">
        <v>43373</v>
      </c>
      <c r="M9" s="9"/>
      <c r="N9" s="9"/>
      <c r="O9" s="9">
        <f>M9-N9</f>
        <v>0</v>
      </c>
      <c r="P9" s="9"/>
      <c r="Q9" s="9"/>
      <c r="R9" s="69">
        <v>43373</v>
      </c>
      <c r="S9" s="9"/>
      <c r="T9" s="9"/>
      <c r="U9" s="9">
        <f>S9-T9</f>
        <v>0</v>
      </c>
    </row>
    <row r="10" spans="1:22" x14ac:dyDescent="0.2">
      <c r="A10" s="69">
        <v>43404</v>
      </c>
      <c r="B10" s="9">
        <f>P10</f>
        <v>333156.92</v>
      </c>
      <c r="C10" s="9">
        <f>C9</f>
        <v>5681400</v>
      </c>
      <c r="F10" s="69">
        <v>43404</v>
      </c>
      <c r="G10" s="9">
        <f>V10</f>
        <v>151429.76999999999</v>
      </c>
      <c r="H10" s="9">
        <f>H9</f>
        <v>3330142</v>
      </c>
      <c r="L10" s="69">
        <v>43404</v>
      </c>
      <c r="M10" s="9">
        <f>'[3]2018-2019'!M24</f>
        <v>340214.22</v>
      </c>
      <c r="N10" s="9">
        <f>'[3]2018-2019'!N24</f>
        <v>7057.3</v>
      </c>
      <c r="O10" s="9">
        <f>M10-N10</f>
        <v>333156.92</v>
      </c>
      <c r="P10" s="9">
        <f>O10</f>
        <v>333156.92</v>
      </c>
      <c r="Q10" s="9"/>
      <c r="R10" s="69">
        <v>43404</v>
      </c>
      <c r="S10" s="9">
        <f>'[3]2018-2019'!S24</f>
        <v>154025.85999999999</v>
      </c>
      <c r="T10" s="9">
        <f>'[3]2018-2019'!T24</f>
        <v>2596.09</v>
      </c>
      <c r="U10" s="9">
        <f t="shared" ref="U10:U32" si="0">S10-T10</f>
        <v>151429.76999999999</v>
      </c>
      <c r="V10" s="10">
        <f>U10</f>
        <v>151429.76999999999</v>
      </c>
    </row>
    <row r="11" spans="1:22" x14ac:dyDescent="0.2">
      <c r="A11" s="69">
        <v>43434</v>
      </c>
      <c r="B11" s="9">
        <f t="shared" ref="B11:B21" si="1">P11</f>
        <v>778960.53</v>
      </c>
      <c r="C11" s="9">
        <f t="shared" ref="C11:C21" si="2">C10</f>
        <v>5681400</v>
      </c>
      <c r="F11" s="69">
        <v>43434</v>
      </c>
      <c r="G11" s="9">
        <f t="shared" ref="G11:G21" si="3">V11</f>
        <v>426311.08999999997</v>
      </c>
      <c r="H11" s="9">
        <f t="shared" ref="H11:H21" si="4">H10</f>
        <v>3330142</v>
      </c>
      <c r="L11" s="69">
        <v>43434</v>
      </c>
      <c r="M11" s="9">
        <f>'[3]2018-2019'!M25</f>
        <v>457182.97</v>
      </c>
      <c r="N11" s="9">
        <f>'[3]2018-2019'!N25</f>
        <v>11379.36</v>
      </c>
      <c r="O11" s="9">
        <f t="shared" ref="O11:O32" si="5">M11-N11</f>
        <v>445803.61</v>
      </c>
      <c r="P11" s="9">
        <f>O11+P10</f>
        <v>778960.53</v>
      </c>
      <c r="Q11" s="9"/>
      <c r="R11" s="69">
        <v>43434</v>
      </c>
      <c r="S11" s="9">
        <f>'[3]2018-2019'!S25</f>
        <v>279569.52</v>
      </c>
      <c r="T11" s="9">
        <f>'[3]2018-2019'!T25</f>
        <v>4688.2</v>
      </c>
      <c r="U11" s="9">
        <f t="shared" si="0"/>
        <v>274881.32</v>
      </c>
      <c r="V11" s="10">
        <f>V10+U11</f>
        <v>426311.08999999997</v>
      </c>
    </row>
    <row r="12" spans="1:22" x14ac:dyDescent="0.2">
      <c r="A12" s="69">
        <v>43465</v>
      </c>
      <c r="B12" s="9">
        <f t="shared" si="1"/>
        <v>1312679.3599999999</v>
      </c>
      <c r="C12" s="9">
        <f t="shared" si="2"/>
        <v>5681400</v>
      </c>
      <c r="F12" s="69">
        <v>43465</v>
      </c>
      <c r="G12" s="9">
        <f t="shared" si="3"/>
        <v>896902.87999999989</v>
      </c>
      <c r="H12" s="9">
        <f t="shared" si="4"/>
        <v>3330142</v>
      </c>
      <c r="L12" s="69">
        <v>43465</v>
      </c>
      <c r="M12" s="9">
        <f>'[3]2018-2019'!M26</f>
        <v>549353.01</v>
      </c>
      <c r="N12" s="9">
        <f>'[3]2018-2019'!N26</f>
        <v>15634.18</v>
      </c>
      <c r="O12" s="9">
        <f t="shared" si="5"/>
        <v>533718.82999999996</v>
      </c>
      <c r="P12" s="9">
        <f t="shared" ref="P12:P32" si="6">O12+P11</f>
        <v>1312679.3599999999</v>
      </c>
      <c r="Q12" s="9"/>
      <c r="R12" s="69">
        <v>43465</v>
      </c>
      <c r="S12" s="9">
        <f>'[3]2018-2019'!S26</f>
        <v>478414.66</v>
      </c>
      <c r="T12" s="9">
        <f>'[3]2018-2019'!T26</f>
        <v>7822.87</v>
      </c>
      <c r="U12" s="9">
        <f t="shared" si="0"/>
        <v>470591.79</v>
      </c>
      <c r="V12" s="10">
        <f t="shared" ref="V12:V32" si="7">V11+U12</f>
        <v>896902.87999999989</v>
      </c>
    </row>
    <row r="13" spans="1:22" x14ac:dyDescent="0.2">
      <c r="A13" s="69">
        <v>43496</v>
      </c>
      <c r="B13" s="9">
        <f t="shared" si="1"/>
        <v>1877261.0499999998</v>
      </c>
      <c r="C13" s="9">
        <f t="shared" si="2"/>
        <v>5681400</v>
      </c>
      <c r="F13" s="69">
        <v>43496</v>
      </c>
      <c r="G13" s="9">
        <f t="shared" si="3"/>
        <v>1415974.21</v>
      </c>
      <c r="H13" s="9">
        <f t="shared" si="4"/>
        <v>3330142</v>
      </c>
      <c r="L13" s="69">
        <v>43496</v>
      </c>
      <c r="M13" s="9">
        <f>'[3]2018-2019'!M27</f>
        <v>582017.09</v>
      </c>
      <c r="N13" s="9">
        <f>'[3]2018-2019'!N27</f>
        <v>17435.400000000001</v>
      </c>
      <c r="O13" s="9">
        <f t="shared" si="5"/>
        <v>564581.68999999994</v>
      </c>
      <c r="P13" s="9">
        <f t="shared" si="6"/>
        <v>1877261.0499999998</v>
      </c>
      <c r="Q13" s="9"/>
      <c r="R13" s="69">
        <v>43496</v>
      </c>
      <c r="S13" s="9">
        <f>'[3]2018-2019'!S27</f>
        <v>527593.61</v>
      </c>
      <c r="T13" s="9">
        <f>'[3]2018-2019'!T27</f>
        <v>8522.2800000000007</v>
      </c>
      <c r="U13" s="9">
        <f t="shared" si="0"/>
        <v>519071.32999999996</v>
      </c>
      <c r="V13" s="10">
        <f t="shared" si="7"/>
        <v>1415974.21</v>
      </c>
    </row>
    <row r="14" spans="1:22" x14ac:dyDescent="0.2">
      <c r="A14" s="69">
        <v>43524</v>
      </c>
      <c r="B14" s="9">
        <f t="shared" si="1"/>
        <v>2411931.34</v>
      </c>
      <c r="C14" s="9">
        <f t="shared" si="2"/>
        <v>5681400</v>
      </c>
      <c r="F14" s="69">
        <v>43524</v>
      </c>
      <c r="G14" s="9">
        <f t="shared" si="3"/>
        <v>1956034.76</v>
      </c>
      <c r="H14" s="9">
        <f t="shared" si="4"/>
        <v>3330142</v>
      </c>
      <c r="L14" s="69">
        <v>43524</v>
      </c>
      <c r="M14" s="9">
        <f>'[3]2018-2019'!M28</f>
        <v>550941.06000000006</v>
      </c>
      <c r="N14" s="9">
        <f>'[3]2018-2019'!N28</f>
        <v>16270.77</v>
      </c>
      <c r="O14" s="9">
        <f t="shared" si="5"/>
        <v>534670.29</v>
      </c>
      <c r="P14" s="9">
        <f t="shared" si="6"/>
        <v>2411931.34</v>
      </c>
      <c r="Q14" s="9"/>
      <c r="R14" s="69">
        <v>43524</v>
      </c>
      <c r="S14" s="9">
        <f>'[3]2018-2019'!S28</f>
        <v>548793.26</v>
      </c>
      <c r="T14" s="9">
        <f>'[3]2018-2019'!T28</f>
        <v>8732.7099999999991</v>
      </c>
      <c r="U14" s="9">
        <f t="shared" si="0"/>
        <v>540060.55000000005</v>
      </c>
      <c r="V14" s="10">
        <f t="shared" si="7"/>
        <v>1956034.76</v>
      </c>
    </row>
    <row r="15" spans="1:22" x14ac:dyDescent="0.2">
      <c r="A15" s="69">
        <v>43555</v>
      </c>
      <c r="B15" s="9">
        <f t="shared" si="1"/>
        <v>2981456.75</v>
      </c>
      <c r="C15" s="9">
        <f t="shared" si="2"/>
        <v>5681400</v>
      </c>
      <c r="D15" s="9"/>
      <c r="F15" s="69">
        <v>43555</v>
      </c>
      <c r="G15" s="9">
        <f t="shared" si="3"/>
        <v>2540999.59</v>
      </c>
      <c r="H15" s="9">
        <f t="shared" si="4"/>
        <v>3330142</v>
      </c>
      <c r="L15" s="69">
        <v>43555</v>
      </c>
      <c r="M15" s="9">
        <f>'[3]2018-2019'!M29</f>
        <v>587330.07999999996</v>
      </c>
      <c r="N15" s="9">
        <f>'[3]2018-2019'!N29</f>
        <v>17804.669999999998</v>
      </c>
      <c r="O15" s="9">
        <f t="shared" si="5"/>
        <v>569525.40999999992</v>
      </c>
      <c r="P15" s="9">
        <f t="shared" si="6"/>
        <v>2981456.75</v>
      </c>
      <c r="Q15" s="9"/>
      <c r="R15" s="69">
        <v>43555</v>
      </c>
      <c r="S15" s="9">
        <f>'[3]2018-2019'!S29</f>
        <v>594477.47</v>
      </c>
      <c r="T15" s="9">
        <f>'[3]2018-2019'!T29</f>
        <v>9512.64</v>
      </c>
      <c r="U15" s="9">
        <f t="shared" si="0"/>
        <v>584964.82999999996</v>
      </c>
      <c r="V15" s="10">
        <f t="shared" si="7"/>
        <v>2540999.59</v>
      </c>
    </row>
    <row r="16" spans="1:22" x14ac:dyDescent="0.2">
      <c r="A16" s="69">
        <v>43585</v>
      </c>
      <c r="B16" s="9">
        <f t="shared" si="1"/>
        <v>3437785.48</v>
      </c>
      <c r="C16" s="9">
        <f t="shared" si="2"/>
        <v>5681400</v>
      </c>
      <c r="D16" s="9"/>
      <c r="F16" s="69">
        <v>43585</v>
      </c>
      <c r="G16" s="9">
        <f t="shared" si="3"/>
        <v>2848209.6399999997</v>
      </c>
      <c r="H16" s="9">
        <f t="shared" si="4"/>
        <v>3330142</v>
      </c>
      <c r="L16" s="69">
        <v>43585</v>
      </c>
      <c r="M16" s="9">
        <f>'[3]2018-2019'!M30</f>
        <v>468076.23</v>
      </c>
      <c r="N16" s="9">
        <f>'[3]2018-2019'!N30</f>
        <v>11747.5</v>
      </c>
      <c r="O16" s="9">
        <f t="shared" si="5"/>
        <v>456328.73</v>
      </c>
      <c r="P16" s="9">
        <f t="shared" si="6"/>
        <v>3437785.48</v>
      </c>
      <c r="Q16" s="9"/>
      <c r="R16" s="69">
        <v>43585</v>
      </c>
      <c r="S16" s="9">
        <f>'[3]2018-2019'!S30</f>
        <v>312143.92</v>
      </c>
      <c r="T16" s="9">
        <f>'[3]2018-2019'!T30</f>
        <v>4933.87</v>
      </c>
      <c r="U16" s="9">
        <f t="shared" si="0"/>
        <v>307210.05</v>
      </c>
      <c r="V16" s="10">
        <f t="shared" si="7"/>
        <v>2848209.6399999997</v>
      </c>
    </row>
    <row r="17" spans="1:22" x14ac:dyDescent="0.2">
      <c r="A17" s="69">
        <v>43616</v>
      </c>
      <c r="B17" s="9">
        <f>P17</f>
        <v>3857687.87</v>
      </c>
      <c r="C17" s="9">
        <f t="shared" si="2"/>
        <v>5681400</v>
      </c>
      <c r="D17" s="9"/>
      <c r="F17" s="69">
        <v>43616</v>
      </c>
      <c r="G17" s="9">
        <f t="shared" si="3"/>
        <v>3025455.2899999996</v>
      </c>
      <c r="H17" s="9">
        <f t="shared" si="4"/>
        <v>3330142</v>
      </c>
      <c r="L17" s="69">
        <v>43616</v>
      </c>
      <c r="M17" s="9">
        <f>'[3]2018-2019'!M31</f>
        <v>429057.51</v>
      </c>
      <c r="N17" s="9">
        <f>'[3]2018-2019'!N31</f>
        <v>9155.1200000000008</v>
      </c>
      <c r="O17" s="9">
        <f t="shared" si="5"/>
        <v>419902.39</v>
      </c>
      <c r="P17" s="9">
        <f t="shared" si="6"/>
        <v>3857687.87</v>
      </c>
      <c r="Q17" s="9"/>
      <c r="R17" s="69">
        <v>43616</v>
      </c>
      <c r="S17" s="9">
        <f>'[3]2018-2019'!S31</f>
        <v>180058.04</v>
      </c>
      <c r="T17" s="9">
        <f>'[3]2018-2019'!T31</f>
        <v>2812.39</v>
      </c>
      <c r="U17" s="9">
        <f t="shared" si="0"/>
        <v>177245.65</v>
      </c>
      <c r="V17" s="10">
        <f t="shared" si="7"/>
        <v>3025455.2899999996</v>
      </c>
    </row>
    <row r="18" spans="1:22" x14ac:dyDescent="0.2">
      <c r="A18" s="69">
        <v>43646</v>
      </c>
      <c r="B18" s="9">
        <f t="shared" si="1"/>
        <v>4283801.16</v>
      </c>
      <c r="C18" s="9">
        <f t="shared" si="2"/>
        <v>5681400</v>
      </c>
      <c r="D18" s="9"/>
      <c r="F18" s="69">
        <v>43646</v>
      </c>
      <c r="G18" s="9">
        <f t="shared" si="3"/>
        <v>3121184.3199999994</v>
      </c>
      <c r="H18" s="9">
        <f t="shared" si="4"/>
        <v>3330142</v>
      </c>
      <c r="L18" s="69">
        <v>43646</v>
      </c>
      <c r="M18" s="9">
        <f>'[3]2018-2019'!M32</f>
        <v>433630.96</v>
      </c>
      <c r="N18" s="9">
        <f>'[3]2018-2019'!N32</f>
        <v>7517.67</v>
      </c>
      <c r="O18" s="9">
        <f t="shared" si="5"/>
        <v>426113.29000000004</v>
      </c>
      <c r="P18" s="9">
        <f t="shared" si="6"/>
        <v>4283801.16</v>
      </c>
      <c r="Q18" s="9"/>
      <c r="R18" s="69">
        <v>43646</v>
      </c>
      <c r="S18" s="9">
        <f>'[3]2018-2019'!S32</f>
        <v>96909.47</v>
      </c>
      <c r="T18" s="9">
        <f>'[3]2018-2019'!T32</f>
        <v>1180.44</v>
      </c>
      <c r="U18" s="9">
        <f t="shared" si="0"/>
        <v>95729.03</v>
      </c>
      <c r="V18" s="10">
        <f t="shared" si="7"/>
        <v>3121184.3199999994</v>
      </c>
    </row>
    <row r="19" spans="1:22" x14ac:dyDescent="0.2">
      <c r="A19" s="69">
        <v>43677</v>
      </c>
      <c r="B19" s="9">
        <f t="shared" si="1"/>
        <v>4743764.96</v>
      </c>
      <c r="C19" s="9">
        <f t="shared" si="2"/>
        <v>5681400</v>
      </c>
      <c r="D19" s="9"/>
      <c r="F19" s="69">
        <v>43677</v>
      </c>
      <c r="G19" s="9">
        <f t="shared" si="3"/>
        <v>3201767.5499999993</v>
      </c>
      <c r="H19" s="9">
        <f t="shared" si="4"/>
        <v>3330142</v>
      </c>
      <c r="I19" s="9"/>
      <c r="L19" s="69">
        <v>43677</v>
      </c>
      <c r="M19" s="9">
        <v>467773</v>
      </c>
      <c r="N19" s="9">
        <v>7809.2</v>
      </c>
      <c r="O19" s="9">
        <f t="shared" si="5"/>
        <v>459963.8</v>
      </c>
      <c r="P19" s="9">
        <f t="shared" si="6"/>
        <v>4743764.96</v>
      </c>
      <c r="Q19" s="9"/>
      <c r="R19" s="69">
        <v>43677</v>
      </c>
      <c r="S19" s="9">
        <v>81438.740000000005</v>
      </c>
      <c r="T19" s="9">
        <v>855.51</v>
      </c>
      <c r="U19" s="9">
        <f t="shared" si="0"/>
        <v>80583.23000000001</v>
      </c>
      <c r="V19" s="10">
        <f t="shared" si="7"/>
        <v>3201767.5499999993</v>
      </c>
    </row>
    <row r="20" spans="1:22" ht="13.5" thickBot="1" x14ac:dyDescent="0.25">
      <c r="A20" s="69">
        <v>43708</v>
      </c>
      <c r="B20" s="9">
        <f t="shared" si="1"/>
        <v>5230929.43</v>
      </c>
      <c r="C20" s="9">
        <f t="shared" si="2"/>
        <v>5681400</v>
      </c>
      <c r="D20" s="9"/>
      <c r="F20" s="69">
        <v>43708</v>
      </c>
      <c r="G20" s="9">
        <f t="shared" si="3"/>
        <v>3272311.8999999994</v>
      </c>
      <c r="H20" s="9">
        <f t="shared" si="4"/>
        <v>3330142</v>
      </c>
      <c r="I20" s="9"/>
      <c r="L20" s="69">
        <v>43708</v>
      </c>
      <c r="M20" s="9">
        <v>495224.99</v>
      </c>
      <c r="N20" s="9">
        <v>8060.52</v>
      </c>
      <c r="O20" s="9">
        <f t="shared" si="5"/>
        <v>487164.47</v>
      </c>
      <c r="P20" s="9">
        <f t="shared" si="6"/>
        <v>5230929.43</v>
      </c>
      <c r="Q20" s="9"/>
      <c r="R20" s="69">
        <v>43708</v>
      </c>
      <c r="S20" s="9">
        <v>71270.399999999994</v>
      </c>
      <c r="T20" s="9">
        <v>726.05</v>
      </c>
      <c r="U20" s="9">
        <f t="shared" si="0"/>
        <v>70544.349999999991</v>
      </c>
      <c r="V20" s="10">
        <f t="shared" si="7"/>
        <v>3272311.8999999994</v>
      </c>
    </row>
    <row r="21" spans="1:22" ht="13.5" thickBot="1" x14ac:dyDescent="0.25">
      <c r="A21" s="69">
        <v>43738</v>
      </c>
      <c r="B21" s="9">
        <f t="shared" si="1"/>
        <v>5709712.8899999997</v>
      </c>
      <c r="C21" s="9">
        <f t="shared" si="2"/>
        <v>5681400</v>
      </c>
      <c r="D21" s="86">
        <f>B21-C21</f>
        <v>28312.889999999665</v>
      </c>
      <c r="E21" s="70" t="s">
        <v>109</v>
      </c>
      <c r="F21" s="69">
        <v>43738</v>
      </c>
      <c r="G21" s="9">
        <f t="shared" si="3"/>
        <v>3351534.2999999993</v>
      </c>
      <c r="H21" s="9">
        <f t="shared" si="4"/>
        <v>3330142</v>
      </c>
      <c r="I21" s="86">
        <f>G21-H21</f>
        <v>21392.299999999348</v>
      </c>
      <c r="J21" s="70" t="s">
        <v>109</v>
      </c>
      <c r="L21" s="69">
        <v>43738</v>
      </c>
      <c r="M21" s="9">
        <v>486564.43</v>
      </c>
      <c r="N21" s="9">
        <v>7780.97</v>
      </c>
      <c r="O21" s="9">
        <f t="shared" si="5"/>
        <v>478783.46</v>
      </c>
      <c r="P21" s="9">
        <f t="shared" si="6"/>
        <v>5709712.8899999997</v>
      </c>
      <c r="Q21" s="9"/>
      <c r="R21" s="69">
        <v>43738</v>
      </c>
      <c r="S21" s="9">
        <v>80095.320000000007</v>
      </c>
      <c r="T21" s="9">
        <v>872.92</v>
      </c>
      <c r="U21" s="9">
        <f t="shared" si="0"/>
        <v>79222.400000000009</v>
      </c>
      <c r="V21" s="10">
        <f t="shared" si="7"/>
        <v>3351534.2999999993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f>C46</f>
        <v>6484852.3755224999</v>
      </c>
      <c r="D23" s="9"/>
      <c r="F23" s="69"/>
      <c r="G23" s="9"/>
      <c r="H23" s="105">
        <f>D46</f>
        <v>3737256.8184831999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43769</v>
      </c>
      <c r="B24" s="9">
        <f>P24</f>
        <v>457691.17</v>
      </c>
      <c r="C24" s="9">
        <f>($C$23/12)*9</f>
        <v>4863639.2816418754</v>
      </c>
      <c r="D24" s="9"/>
      <c r="F24" s="69">
        <v>43769</v>
      </c>
      <c r="G24" s="7">
        <f>V24</f>
        <v>212948.84</v>
      </c>
      <c r="H24" s="9">
        <f>$H$23*0.928</f>
        <v>3468174.3275524098</v>
      </c>
      <c r="L24" s="69">
        <v>43769</v>
      </c>
      <c r="M24" s="9">
        <v>457691.17</v>
      </c>
      <c r="N24" s="9"/>
      <c r="O24" s="9">
        <f t="shared" si="5"/>
        <v>457691.17</v>
      </c>
      <c r="P24" s="9">
        <f t="shared" si="6"/>
        <v>457691.17</v>
      </c>
      <c r="Q24" s="9"/>
      <c r="R24" s="69">
        <v>43769</v>
      </c>
      <c r="S24" s="9">
        <v>212948.84</v>
      </c>
      <c r="T24" s="9"/>
      <c r="U24" s="9">
        <f t="shared" si="0"/>
        <v>212948.84</v>
      </c>
      <c r="V24" s="10">
        <f t="shared" si="7"/>
        <v>212948.84</v>
      </c>
    </row>
    <row r="25" spans="1:22" x14ac:dyDescent="0.2">
      <c r="A25" s="69">
        <v>43799</v>
      </c>
      <c r="B25" s="9">
        <f t="shared" ref="B25:B32" si="8">P25</f>
        <v>956015.28</v>
      </c>
      <c r="C25" s="9">
        <f t="shared" ref="C25:C30" si="9">($C$23/12)*9</f>
        <v>4863639.2816418754</v>
      </c>
      <c r="D25" s="9"/>
      <c r="F25" s="69">
        <v>43799</v>
      </c>
      <c r="G25" s="7">
        <f t="shared" ref="G25:G32" si="10">V25</f>
        <v>597263.1</v>
      </c>
      <c r="H25" s="9">
        <f t="shared" ref="H25:H32" si="11">$H$23*0.928</f>
        <v>3468174.3275524098</v>
      </c>
      <c r="L25" s="69">
        <v>43799</v>
      </c>
      <c r="M25" s="9">
        <v>498324.11</v>
      </c>
      <c r="N25" s="9"/>
      <c r="O25" s="9">
        <f t="shared" si="5"/>
        <v>498324.11</v>
      </c>
      <c r="P25" s="9">
        <f t="shared" si="6"/>
        <v>956015.28</v>
      </c>
      <c r="Q25" s="9"/>
      <c r="R25" s="69">
        <v>43799</v>
      </c>
      <c r="S25" s="9">
        <v>384314.26</v>
      </c>
      <c r="T25" s="9"/>
      <c r="U25" s="9">
        <f t="shared" si="0"/>
        <v>384314.26</v>
      </c>
      <c r="V25" s="10">
        <f t="shared" si="7"/>
        <v>597263.1</v>
      </c>
    </row>
    <row r="26" spans="1:22" x14ac:dyDescent="0.2">
      <c r="A26" s="69">
        <v>43830</v>
      </c>
      <c r="B26" s="9">
        <f t="shared" si="8"/>
        <v>1558179.4300000002</v>
      </c>
      <c r="C26" s="9">
        <f t="shared" si="9"/>
        <v>4863639.2816418754</v>
      </c>
      <c r="D26" s="9"/>
      <c r="F26" s="69">
        <v>43830</v>
      </c>
      <c r="G26" s="7">
        <f t="shared" si="10"/>
        <v>1146526.8900000001</v>
      </c>
      <c r="H26" s="9">
        <f t="shared" si="11"/>
        <v>3468174.3275524098</v>
      </c>
      <c r="L26" s="69">
        <v>43830</v>
      </c>
      <c r="M26" s="9">
        <v>602164.15</v>
      </c>
      <c r="N26" s="9"/>
      <c r="O26" s="9">
        <f t="shared" si="5"/>
        <v>602164.15</v>
      </c>
      <c r="P26" s="9">
        <f t="shared" si="6"/>
        <v>1558179.4300000002</v>
      </c>
      <c r="Q26" s="9"/>
      <c r="R26" s="69">
        <v>43830</v>
      </c>
      <c r="S26" s="9">
        <v>549263.79</v>
      </c>
      <c r="T26" s="9"/>
      <c r="U26" s="9">
        <f t="shared" si="0"/>
        <v>549263.79</v>
      </c>
      <c r="V26" s="10">
        <f t="shared" si="7"/>
        <v>1146526.8900000001</v>
      </c>
    </row>
    <row r="27" spans="1:22" x14ac:dyDescent="0.2">
      <c r="A27" s="69">
        <v>43861</v>
      </c>
      <c r="B27" s="9">
        <f t="shared" si="8"/>
        <v>2158792.11992522</v>
      </c>
      <c r="C27" s="9">
        <f t="shared" si="9"/>
        <v>4863639.2816418754</v>
      </c>
      <c r="D27" s="9"/>
      <c r="F27" s="69">
        <v>43861</v>
      </c>
      <c r="G27" s="7">
        <f t="shared" si="10"/>
        <v>1705259.5720548001</v>
      </c>
      <c r="H27" s="9">
        <f t="shared" si="11"/>
        <v>3468174.3275524098</v>
      </c>
      <c r="L27" s="69">
        <v>43861</v>
      </c>
      <c r="M27" s="9">
        <v>600612.68992521998</v>
      </c>
      <c r="N27" s="9"/>
      <c r="O27" s="9">
        <f t="shared" si="5"/>
        <v>600612.68992521998</v>
      </c>
      <c r="P27" s="9">
        <f t="shared" si="6"/>
        <v>2158792.11992522</v>
      </c>
      <c r="Q27" s="9"/>
      <c r="R27" s="69">
        <v>43861</v>
      </c>
      <c r="S27" s="9">
        <v>558732.68205479998</v>
      </c>
      <c r="T27" s="9"/>
      <c r="U27" s="9">
        <f t="shared" si="0"/>
        <v>558732.68205479998</v>
      </c>
      <c r="V27" s="10">
        <f t="shared" si="7"/>
        <v>1705259.5720548001</v>
      </c>
    </row>
    <row r="28" spans="1:22" x14ac:dyDescent="0.2">
      <c r="A28" s="69">
        <v>43890</v>
      </c>
      <c r="B28" s="9">
        <f t="shared" si="8"/>
        <v>2718757.2811736502</v>
      </c>
      <c r="C28" s="9">
        <f>($C$23/12)*9</f>
        <v>4863639.2816418754</v>
      </c>
      <c r="D28" s="9"/>
      <c r="F28" s="69">
        <v>43890</v>
      </c>
      <c r="G28" s="7">
        <f t="shared" si="10"/>
        <v>2223034.2261438002</v>
      </c>
      <c r="H28" s="9">
        <f t="shared" si="11"/>
        <v>3468174.3275524098</v>
      </c>
      <c r="L28" s="69">
        <v>43890</v>
      </c>
      <c r="M28" s="9">
        <v>559965.16124843003</v>
      </c>
      <c r="N28" s="9"/>
      <c r="O28" s="9">
        <f t="shared" si="5"/>
        <v>559965.16124843003</v>
      </c>
      <c r="P28" s="9">
        <f t="shared" si="6"/>
        <v>2718757.2811736502</v>
      </c>
      <c r="Q28" s="9"/>
      <c r="R28" s="69">
        <v>43890</v>
      </c>
      <c r="S28" s="9">
        <v>517774.65408900002</v>
      </c>
      <c r="T28" s="9"/>
      <c r="U28" s="9">
        <f t="shared" si="0"/>
        <v>517774.65408900002</v>
      </c>
      <c r="V28" s="10">
        <f t="shared" si="7"/>
        <v>2223034.2261438002</v>
      </c>
    </row>
    <row r="29" spans="1:22" x14ac:dyDescent="0.2">
      <c r="A29" s="69">
        <v>43921</v>
      </c>
      <c r="B29" s="9">
        <f t="shared" si="8"/>
        <v>3250854.5803562603</v>
      </c>
      <c r="C29" s="9">
        <f t="shared" si="9"/>
        <v>4863639.2816418754</v>
      </c>
      <c r="D29" s="9"/>
      <c r="F29" s="69">
        <v>43921</v>
      </c>
      <c r="G29" s="7">
        <f t="shared" si="10"/>
        <v>2696372.8714959002</v>
      </c>
      <c r="H29" s="9">
        <f t="shared" si="11"/>
        <v>3468174.3275524098</v>
      </c>
      <c r="L29" s="69">
        <v>43921</v>
      </c>
      <c r="M29" s="9">
        <v>532097.29918261</v>
      </c>
      <c r="N29" s="9"/>
      <c r="O29" s="9">
        <f t="shared" si="5"/>
        <v>532097.29918261</v>
      </c>
      <c r="P29" s="9">
        <f t="shared" si="6"/>
        <v>3250854.5803562603</v>
      </c>
      <c r="Q29" s="9"/>
      <c r="R29" s="69">
        <v>43921</v>
      </c>
      <c r="S29" s="9">
        <v>473338.64535210002</v>
      </c>
      <c r="T29" s="9"/>
      <c r="U29" s="9">
        <f t="shared" si="0"/>
        <v>473338.64535210002</v>
      </c>
      <c r="V29" s="10">
        <f t="shared" si="7"/>
        <v>2696372.8714959002</v>
      </c>
    </row>
    <row r="30" spans="1:22" x14ac:dyDescent="0.2">
      <c r="A30" s="69">
        <v>43951</v>
      </c>
      <c r="B30" s="9">
        <f t="shared" si="8"/>
        <v>3753375.6721902802</v>
      </c>
      <c r="C30" s="9">
        <f t="shared" si="9"/>
        <v>4863639.2816418754</v>
      </c>
      <c r="D30" s="9"/>
      <c r="F30" s="69">
        <v>43951</v>
      </c>
      <c r="G30" s="7">
        <f t="shared" si="10"/>
        <v>3051924.3610039502</v>
      </c>
      <c r="H30" s="9">
        <f t="shared" si="11"/>
        <v>3468174.3275524098</v>
      </c>
      <c r="L30" s="69">
        <v>43951</v>
      </c>
      <c r="M30" s="9">
        <v>502521.09183401999</v>
      </c>
      <c r="N30" s="9"/>
      <c r="O30" s="9">
        <f t="shared" si="5"/>
        <v>502521.09183401999</v>
      </c>
      <c r="P30" s="9">
        <f t="shared" si="6"/>
        <v>3753375.6721902802</v>
      </c>
      <c r="Q30" s="9"/>
      <c r="R30" s="69">
        <v>43951</v>
      </c>
      <c r="S30" s="9">
        <v>355551.48950805003</v>
      </c>
      <c r="T30" s="9"/>
      <c r="U30" s="9">
        <f t="shared" si="0"/>
        <v>355551.48950805003</v>
      </c>
      <c r="V30" s="10">
        <f t="shared" si="7"/>
        <v>3051924.3610039502</v>
      </c>
    </row>
    <row r="31" spans="1:22" x14ac:dyDescent="0.2">
      <c r="A31" s="69">
        <v>43982</v>
      </c>
      <c r="B31" s="106">
        <f t="shared" si="8"/>
        <v>4200042.9321902804</v>
      </c>
      <c r="C31" s="9">
        <f>($C$23/12)*9</f>
        <v>4863639.2816418754</v>
      </c>
      <c r="D31" s="9"/>
      <c r="F31" s="69">
        <v>43982</v>
      </c>
      <c r="G31" s="107">
        <f t="shared" si="10"/>
        <v>3247628.8410039502</v>
      </c>
      <c r="H31" s="9">
        <f t="shared" si="11"/>
        <v>3468174.3275524098</v>
      </c>
      <c r="L31" s="69">
        <v>43982</v>
      </c>
      <c r="M31" s="106">
        <v>446667.26</v>
      </c>
      <c r="N31" s="9"/>
      <c r="O31" s="9">
        <f t="shared" si="5"/>
        <v>446667.26</v>
      </c>
      <c r="P31" s="9">
        <f t="shared" si="6"/>
        <v>4200042.9321902804</v>
      </c>
      <c r="Q31" s="9"/>
      <c r="R31" s="69">
        <v>43982</v>
      </c>
      <c r="S31" s="106">
        <v>195704.48</v>
      </c>
      <c r="T31" s="9"/>
      <c r="U31" s="9">
        <f t="shared" si="0"/>
        <v>195704.48</v>
      </c>
      <c r="V31" s="10">
        <f t="shared" si="7"/>
        <v>3247628.8410039502</v>
      </c>
    </row>
    <row r="32" spans="1:22" x14ac:dyDescent="0.2">
      <c r="A32" s="69">
        <v>44012</v>
      </c>
      <c r="B32" s="106">
        <f t="shared" si="8"/>
        <v>4657356.2121902807</v>
      </c>
      <c r="C32" s="9">
        <f>($C$23/12)*9</f>
        <v>4863639.2816418754</v>
      </c>
      <c r="D32" s="9">
        <f>B32-C32</f>
        <v>-206283.06945159473</v>
      </c>
      <c r="F32" s="69">
        <v>44012</v>
      </c>
      <c r="G32" s="107">
        <f t="shared" si="10"/>
        <v>3382751.64100395</v>
      </c>
      <c r="H32" s="9">
        <f t="shared" si="11"/>
        <v>3468174.3275524098</v>
      </c>
      <c r="I32" s="9">
        <f>G32-H32</f>
        <v>-85422.686548459809</v>
      </c>
      <c r="L32" s="69">
        <v>44012</v>
      </c>
      <c r="M32" s="108">
        <v>457313.28000000003</v>
      </c>
      <c r="N32" s="9"/>
      <c r="O32" s="9">
        <f t="shared" si="5"/>
        <v>457313.28000000003</v>
      </c>
      <c r="P32" s="9">
        <f t="shared" si="6"/>
        <v>4657356.2121902807</v>
      </c>
      <c r="Q32" s="9"/>
      <c r="R32" s="69">
        <v>44012</v>
      </c>
      <c r="S32" s="106">
        <v>135122.79999999999</v>
      </c>
      <c r="T32" s="9"/>
      <c r="U32" s="9">
        <f t="shared" si="0"/>
        <v>135122.79999999999</v>
      </c>
      <c r="V32" s="10">
        <f t="shared" si="7"/>
        <v>3382751.64100395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-177970.17945159506</v>
      </c>
      <c r="C34" s="73" t="s">
        <v>112</v>
      </c>
      <c r="D34" s="9"/>
      <c r="G34" s="72">
        <f>G21-H21+G32-H32</f>
        <v>-64030.386548460461</v>
      </c>
      <c r="H34" s="73" t="s">
        <v>112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M37" s="109">
        <v>1171781.54</v>
      </c>
      <c r="N37" s="109" t="s">
        <v>130</v>
      </c>
      <c r="O37" s="109"/>
      <c r="P37" s="109"/>
      <c r="Q37" s="109"/>
      <c r="R37" s="109"/>
      <c r="S37" s="109"/>
      <c r="T37" s="109"/>
      <c r="U37" s="9"/>
    </row>
    <row r="38" spans="2:21" x14ac:dyDescent="0.2">
      <c r="B38" s="110"/>
      <c r="C38" s="111" t="s">
        <v>104</v>
      </c>
      <c r="D38" s="112" t="s">
        <v>131</v>
      </c>
      <c r="E38" s="111"/>
      <c r="F38" s="111"/>
      <c r="G38" s="74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">
      <c r="B39" s="113" t="s">
        <v>132</v>
      </c>
      <c r="C39" s="114">
        <v>5869839.9000000004</v>
      </c>
      <c r="D39" s="114">
        <v>3410901.74</v>
      </c>
      <c r="G39" s="76"/>
      <c r="M39" s="9" t="s">
        <v>133</v>
      </c>
      <c r="N39" s="9"/>
      <c r="O39" s="9"/>
      <c r="P39" s="9"/>
      <c r="Q39" s="9"/>
      <c r="R39" s="9"/>
      <c r="S39" s="9"/>
      <c r="T39" s="9"/>
      <c r="U39" s="9"/>
    </row>
    <row r="40" spans="2:21" x14ac:dyDescent="0.2">
      <c r="B40" s="113" t="s">
        <v>134</v>
      </c>
      <c r="C40" s="115">
        <v>-188440</v>
      </c>
      <c r="D40" s="115">
        <v>-80760</v>
      </c>
      <c r="G40" s="76"/>
    </row>
    <row r="41" spans="2:21" x14ac:dyDescent="0.2">
      <c r="B41" s="113" t="s">
        <v>135</v>
      </c>
      <c r="C41" s="114">
        <f>SUM(C39:C40)</f>
        <v>5681399.9000000004</v>
      </c>
      <c r="D41" s="114">
        <f>SUM(D39:D40)</f>
        <v>3330141.74</v>
      </c>
      <c r="E41" s="116" t="s">
        <v>136</v>
      </c>
      <c r="G41" s="76"/>
    </row>
    <row r="42" spans="2:21" x14ac:dyDescent="0.2">
      <c r="B42" s="113"/>
      <c r="G42" s="76"/>
    </row>
    <row r="43" spans="2:21" x14ac:dyDescent="0.2">
      <c r="B43" s="113"/>
      <c r="C43" s="117">
        <v>7.0000000000000007E-2</v>
      </c>
      <c r="D43" s="117">
        <v>7.0000000000000007E-2</v>
      </c>
      <c r="G43" s="76"/>
    </row>
    <row r="44" spans="2:21" x14ac:dyDescent="0.2">
      <c r="B44" s="113" t="s">
        <v>137</v>
      </c>
      <c r="C44" s="114">
        <f>C39+(C39*C43)</f>
        <v>6280728.693</v>
      </c>
      <c r="D44" s="114">
        <f>D39+(D39*D43)</f>
        <v>3649664.8618000001</v>
      </c>
      <c r="G44" s="76"/>
    </row>
    <row r="45" spans="2:21" x14ac:dyDescent="0.2">
      <c r="B45" s="113" t="s">
        <v>33</v>
      </c>
      <c r="C45" s="118">
        <f>6.5%/2</f>
        <v>3.2500000000000001E-2</v>
      </c>
      <c r="D45" s="118">
        <f>4.8%/2</f>
        <v>2.4E-2</v>
      </c>
      <c r="G45" s="76"/>
    </row>
    <row r="46" spans="2:21" x14ac:dyDescent="0.2">
      <c r="B46" s="113" t="s">
        <v>138</v>
      </c>
      <c r="C46" s="114">
        <f>C44+(C44*C45)</f>
        <v>6484852.3755224999</v>
      </c>
      <c r="D46" s="114">
        <f>D44+(D44*D45)</f>
        <v>3737256.8184831999</v>
      </c>
      <c r="G46" s="76"/>
    </row>
    <row r="47" spans="2:21" ht="13.5" thickBot="1" x14ac:dyDescent="0.25">
      <c r="B47" s="119"/>
      <c r="C47" s="120"/>
      <c r="D47" s="120"/>
      <c r="E47" s="120"/>
      <c r="F47" s="120"/>
      <c r="G47" s="12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0570DF7E40BB48B6C9DDE0032F02CA" ma:contentTypeVersion="44" ma:contentTypeDescription="" ma:contentTypeScope="" ma:versionID="8c34b830d088fcff1334ca80fab900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2020-07-31T07:00:00+00:00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EA0FA7-F983-4AE2-862F-6A03589E982F}"/>
</file>

<file path=customXml/itemProps2.xml><?xml version="1.0" encoding="utf-8"?>
<ds:datastoreItem xmlns:ds="http://schemas.openxmlformats.org/officeDocument/2006/customXml" ds:itemID="{0F705F26-F025-4A21-9195-9CA266F226F1}"/>
</file>

<file path=customXml/itemProps3.xml><?xml version="1.0" encoding="utf-8"?>
<ds:datastoreItem xmlns:ds="http://schemas.openxmlformats.org/officeDocument/2006/customXml" ds:itemID="{2327C672-7D01-42D7-902E-62A0413E1F11}"/>
</file>

<file path=customXml/itemProps4.xml><?xml version="1.0" encoding="utf-8"?>
<ds:datastoreItem xmlns:ds="http://schemas.openxmlformats.org/officeDocument/2006/customXml" ds:itemID="{527BC386-6745-4101-8ED2-8163533CE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2020-05-15T14:45:37Z</cp:lastPrinted>
  <dcterms:created xsi:type="dcterms:W3CDTF">2016-06-16T21:47:17Z</dcterms:created>
  <dcterms:modified xsi:type="dcterms:W3CDTF">2020-07-20T14:14:53Z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0x0101006E56B4D1795A2E4DB2F0B01679ED314A000A0570DF7E40BB48B6C9DDE0032F02CA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