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9\4th Quarter\"/>
    </mc:Choice>
  </mc:AlternateContent>
  <xr:revisionPtr revIDLastSave="0" documentId="13_ncr:1_{8E052A31-BD36-432A-9C96-2488801865DC}" xr6:coauthVersionLast="41" xr6:coauthVersionMax="41" xr10:uidLastSave="{00000000-0000-0000-0000-000000000000}"/>
  <bookViews>
    <workbookView xWindow="28680" yWindow="-120" windowWidth="29040" windowHeight="15840" tabRatio="760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27" l="1"/>
  <c r="C23" i="127"/>
  <c r="C21" i="127"/>
  <c r="C19" i="127"/>
  <c r="C18" i="127"/>
  <c r="C77" i="125" l="1"/>
  <c r="P2" i="127" l="1"/>
  <c r="O2" i="127"/>
  <c r="N2" i="127"/>
  <c r="C20" i="127" l="1"/>
  <c r="C24" i="127" s="1"/>
  <c r="D25" i="127"/>
  <c r="D23" i="127"/>
  <c r="D21" i="127"/>
  <c r="D19" i="127"/>
  <c r="D18" i="127"/>
  <c r="E25" i="127"/>
  <c r="E23" i="127"/>
  <c r="E21" i="127"/>
  <c r="E19" i="127"/>
  <c r="E18" i="127"/>
  <c r="D20" i="127" l="1"/>
  <c r="D24" i="127" s="1"/>
  <c r="D26" i="127" s="1"/>
  <c r="E20" i="127"/>
  <c r="E24" i="127" s="1"/>
  <c r="E26" i="127" s="1"/>
  <c r="D93" i="125"/>
  <c r="E93" i="125"/>
  <c r="F93" i="125"/>
  <c r="G93" i="125"/>
  <c r="H93" i="125"/>
  <c r="D10" i="125"/>
  <c r="E10" i="125"/>
  <c r="F10" i="125"/>
  <c r="G10" i="125"/>
  <c r="H10" i="125"/>
  <c r="D142" i="125"/>
  <c r="E142" i="125"/>
  <c r="F142" i="125"/>
  <c r="G142" i="125"/>
  <c r="H142" i="125"/>
  <c r="D128" i="125"/>
  <c r="E128" i="125"/>
  <c r="F128" i="125"/>
  <c r="G128" i="125"/>
  <c r="H128" i="125"/>
  <c r="C142" i="125"/>
  <c r="C128" i="125"/>
  <c r="D114" i="125"/>
  <c r="D116" i="125" s="1"/>
  <c r="E114" i="125"/>
  <c r="E116" i="125" s="1"/>
  <c r="F114" i="125"/>
  <c r="F116" i="125" s="1"/>
  <c r="G114" i="125"/>
  <c r="G116" i="125" s="1"/>
  <c r="H114" i="125"/>
  <c r="H116" i="125" s="1"/>
  <c r="D100" i="125"/>
  <c r="E100" i="125"/>
  <c r="F100" i="125"/>
  <c r="G100" i="125"/>
  <c r="H100" i="125"/>
  <c r="C114" i="125"/>
  <c r="C116" i="125" s="1"/>
  <c r="C100" i="125"/>
  <c r="C93" i="125"/>
  <c r="D86" i="125"/>
  <c r="E86" i="125"/>
  <c r="F86" i="125"/>
  <c r="G86" i="125"/>
  <c r="H86" i="125"/>
  <c r="C86" i="125"/>
  <c r="D77" i="125"/>
  <c r="E77" i="125"/>
  <c r="F77" i="125"/>
  <c r="G77" i="125"/>
  <c r="H77" i="125"/>
  <c r="D65" i="125"/>
  <c r="E65" i="125"/>
  <c r="F65" i="125"/>
  <c r="G65" i="125"/>
  <c r="H65" i="125"/>
  <c r="C65" i="125"/>
  <c r="C78" i="125" s="1"/>
  <c r="D30" i="125"/>
  <c r="E30" i="125"/>
  <c r="F30" i="125"/>
  <c r="G30" i="125"/>
  <c r="H30" i="125"/>
  <c r="C30" i="125"/>
  <c r="D20" i="125"/>
  <c r="E20" i="125"/>
  <c r="F20" i="125"/>
  <c r="G20" i="125"/>
  <c r="H20" i="125"/>
  <c r="C10" i="125"/>
  <c r="C20" i="125"/>
  <c r="C21" i="125" l="1"/>
  <c r="F21" i="125"/>
  <c r="F47" i="125" s="1"/>
  <c r="C118" i="125"/>
  <c r="C47" i="125"/>
  <c r="H78" i="125"/>
  <c r="H143" i="125" s="1"/>
  <c r="G78" i="125"/>
  <c r="G118" i="125" s="1"/>
  <c r="G21" i="125"/>
  <c r="G47" i="125" s="1"/>
  <c r="F78" i="125"/>
  <c r="F118" i="125" s="1"/>
  <c r="H21" i="125"/>
  <c r="H47" i="125" s="1"/>
  <c r="E78" i="125"/>
  <c r="E118" i="125" s="1"/>
  <c r="E21" i="125"/>
  <c r="E47" i="125" s="1"/>
  <c r="D78" i="125"/>
  <c r="D21" i="125"/>
  <c r="D47" i="125" s="1"/>
  <c r="C143" i="125" l="1"/>
  <c r="C144" i="125" s="1"/>
  <c r="H118" i="125"/>
  <c r="E143" i="125"/>
  <c r="E144" i="125" s="1"/>
  <c r="G143" i="125"/>
  <c r="G144" i="125" s="1"/>
  <c r="F143" i="125"/>
  <c r="F144" i="125" s="1"/>
  <c r="D143" i="125"/>
  <c r="D144" i="125" s="1"/>
  <c r="D118" i="125"/>
  <c r="H144" i="125"/>
  <c r="E51" i="121" l="1"/>
  <c r="E51" i="122"/>
  <c r="E51" i="123"/>
  <c r="D51" i="123"/>
  <c r="D51" i="121" l="1"/>
  <c r="CI12" i="124" l="1"/>
  <c r="C8" i="127" l="1"/>
  <c r="C12" i="127" s="1"/>
  <c r="C14" i="127" s="1"/>
  <c r="C26" i="127" l="1"/>
  <c r="E32" i="127" l="1"/>
  <c r="E8" i="127"/>
  <c r="E12" i="127" s="1"/>
  <c r="E14" i="127" s="1"/>
  <c r="C32" i="127"/>
  <c r="C36" i="127" s="1"/>
  <c r="C38" i="127" s="1"/>
  <c r="D32" i="127"/>
  <c r="D8" i="127"/>
  <c r="D12" i="127" s="1"/>
  <c r="D14" i="127" s="1"/>
  <c r="E36" i="127" l="1"/>
  <c r="E38" i="127" s="1"/>
  <c r="D36" i="127"/>
  <c r="D38" i="127" s="1"/>
  <c r="D10" i="122"/>
  <c r="D51" i="122" l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 s="1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J7" i="124"/>
  <c r="BJ21" i="124" s="1"/>
  <c r="BH7" i="124"/>
  <c r="BH21" i="124" s="1"/>
  <c r="BG7" i="124"/>
  <c r="BG21" i="124" s="1"/>
  <c r="AV7" i="124"/>
  <c r="AX7" i="124" s="1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 s="1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 s="1"/>
  <c r="N7" i="124"/>
  <c r="P7" i="124" s="1"/>
  <c r="R7" i="124" s="1"/>
  <c r="AV21" i="124"/>
  <c r="BK21" i="124" l="1"/>
  <c r="AU21" i="124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<sst xmlns="http://schemas.openxmlformats.org/spreadsheetml/2006/main" count="577" uniqueCount="322">
  <si>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</si>
  <si>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</si>
  <si>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</si>
  <si>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</si>
  <si>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</si>
  <si>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</si>
  <si>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</si>
  <si>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</si>
  <si>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</si>
  <si>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</si>
  <si>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</si>
  <si>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</si>
  <si>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</si>
  <si>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</si>
  <si>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</si>
  <si>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</si>
  <si>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</si>
  <si>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</si>
  <si>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</si>
  <si>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</si>
  <si>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</si>
  <si>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</si>
  <si>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</si>
  <si>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</si>
  <si>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</si>
  <si>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</si>
  <si>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</si>
  <si>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</si>
  <si>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</si>
  <si>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</si>
  <si>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</si>
  <si>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</si>
  <si>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</si>
  <si>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</si>
  <si>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</si>
  <si>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</si>
  <si>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</si>
  <si>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</si>
  <si>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</si>
  <si>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</si>
  <si>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</si>
  <si>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</si>
  <si>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</si>
  <si>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</si>
  <si>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</si>
  <si>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</si>
  <si>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</si>
  <si>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</si>
  <si>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</si>
  <si>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</si>
  <si>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</si>
  <si>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</si>
  <si>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</si>
  <si>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</si>
  <si>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</si>
  <si>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</si>
  <si>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</si>
  <si>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</si>
  <si>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</si>
  <si>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</si>
  <si>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</si>
  <si>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</si>
  <si>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</si>
  <si>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</si>
  <si>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</si>
  <si>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</si>
  <si>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</si>
  <si>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</si>
  <si>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</si>
  <si>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</si>
  <si>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</si>
  <si>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</si>
  <si>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</si>
  <si>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</si>
  <si>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</si>
  <si>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</si>
  <si>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</si>
  <si>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</si>
  <si>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</si>
  <si>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</si>
  <si>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</si>
  <si>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</si>
  <si>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</si>
  <si>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</si>
  <si>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</si>
  <si>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</si>
  <si>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</si>
  <si>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</si>
  <si>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</si>
  <si>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</si>
  <si>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</si>
  <si>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</si>
  <si>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</si>
  <si>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</si>
  <si>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</si>
  <si>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</si>
  <si>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</si>
  <si>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</si>
  <si>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</si>
  <si>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</si>
  <si>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</si>
  <si>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</si>
  <si>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</si>
  <si>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</si>
  <si>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</si>
  <si>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</si>
  <si>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</si>
  <si>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</si>
  <si>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</si>
  <si>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</si>
  <si>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</si>
  <si>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</si>
  <si>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</si>
  <si>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</si>
  <si>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</si>
  <si>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</si>
  <si>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</si>
  <si>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</si>
  <si>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</si>
  <si>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</si>
  <si>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</si>
  <si>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</si>
  <si>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</si>
  <si>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</si>
  <si>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</si>
  <si>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</si>
  <si>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</si>
  <si>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</si>
  <si>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</si>
  <si>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</si>
  <si>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</si>
  <si>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</si>
  <si>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</si>
  <si>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</si>
  <si>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</si>
  <si>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</si>
  <si>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</si>
  <si>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</si>
  <si>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</si>
  <si>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</si>
  <si>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</si>
  <si>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</si>
  <si>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</si>
  <si>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</si>
  <si>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</si>
  <si>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</si>
  <si>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</si>
  <si>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</si>
  <si>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</si>
  <si>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</si>
  <si>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</si>
  <si>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</si>
  <si>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</si>
  <si>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</si>
  <si>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</si>
  <si>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</si>
  <si>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</si>
  <si>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</si>
  <si>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</si>
  <si>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</si>
  <si>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</si>
  <si>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</si>
  <si>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</si>
  <si>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</si>
  <si>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</si>
  <si>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</si>
  <si>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</si>
  <si>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</si>
  <si>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</si>
  <si>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</si>
  <si>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</si>
  <si>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</si>
  <si>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</si>
  <si>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</si>
  <si>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</si>
  <si>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</si>
  <si>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</si>
  <si>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</si>
  <si>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</si>
  <si>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</si>
  <si>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</si>
  <si>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</si>
  <si>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</si>
  <si>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</si>
  <si>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</si>
  <si>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</si>
  <si>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</si>
  <si>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</si>
  <si>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</si>
  <si>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</si>
  <si>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</si>
  <si>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</si>
  <si>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</si>
  <si>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</si>
  <si>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</si>
  <si>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</si>
  <si>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</si>
  <si>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</si>
  <si>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</si>
  <si>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</si>
  <si>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</si>
  <si>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</si>
  <si>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</si>
  <si>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</si>
  <si>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</si>
  <si>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</si>
  <si>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</si>
  <si>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</si>
  <si>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</si>
  <si>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</si>
  <si>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</si>
  <si>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</si>
  <si>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</si>
  <si>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</si>
  <si>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</si>
  <si>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</si>
  <si>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</si>
  <si>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</si>
  <si>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</si>
  <si>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</si>
  <si>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</si>
  <si>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</si>
  <si>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</si>
  <si>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</si>
  <si>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</si>
  <si>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</si>
  <si>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</si>
  <si>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</si>
  <si>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</si>
  <si>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</si>
  <si>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</si>
  <si>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</si>
  <si>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</si>
  <si>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</si>
  <si>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</si>
  <si>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</si>
  <si>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</si>
  <si>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</si>
  <si>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</si>
  <si>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</si>
  <si>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</si>
  <si>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</si>
  <si>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</si>
  <si>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</si>
  <si>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</si>
  <si>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</si>
  <si>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</si>
  <si>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</si>
  <si>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</si>
  <si>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</si>
  <si>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</si>
  <si>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</si>
  <si>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</si>
  <si>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</si>
  <si>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</si>
  <si>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</si>
  <si>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</si>
  <si>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</si>
  <si>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</si>
  <si>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</si>
  <si>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</si>
  <si>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</si>
  <si>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</si>
  <si>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</si>
  <si>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</si>
  <si>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</si>
  <si>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</si>
  <si>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</si>
  <si>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</si>
  <si>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</si>
  <si>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</si>
  <si>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</si>
  <si>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</si>
  <si>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</si>
  <si>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</si>
  <si>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</si>
  <si>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</si>
  <si>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</si>
  <si>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</si>
  <si>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</si>
  <si>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</si>
  <si>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</si>
  <si>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</si>
  <si>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</si>
  <si>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</si>
  <si>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</si>
  <si>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</si>
  <si>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</si>
  <si>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</si>
  <si>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</si>
  <si>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</si>
  <si>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</si>
  <si>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</si>
  <si>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</si>
  <si>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</si>
  <si>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</si>
  <si>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</si>
  <si>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</si>
  <si>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</si>
  <si>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</si>
  <si>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</si>
  <si>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</si>
  <si>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</si>
  <si>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</si>
  <si>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</si>
  <si>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</si>
  <si>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</si>
  <si>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</si>
  <si>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</si>
  <si>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</si>
  <si>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</si>
  <si>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</si>
  <si>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</si>
  <si>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</si>
  <si>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</si>
  <si>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</si>
  <si>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October</t>
  </si>
  <si>
    <t>November</t>
  </si>
  <si>
    <t>December</t>
  </si>
  <si>
    <t>November 1, 2018 THROUGH                        October 31, 2019</t>
  </si>
  <si>
    <t>December 1, 2018 THROUGH           November 30, 2019</t>
  </si>
  <si>
    <t>Jauary 1, 2019 THROUGH          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</si>
</sst>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2" fillId="0" borderId="0" xfId="0" applyNumberFormat="1" applyFont="1" applyFill="1"/>
    <xf numFmtId="49" fontId="35" fillId="0" borderId="0" xfId="35" applyFont="1" applyFill="1"/>
    <xf numFmtId="170" fontId="14" fillId="0" borderId="0" xfId="39" applyNumberFormat="1" applyFont="1" applyFill="1" applyBorder="1"/>
    <xf numFmtId="49" fontId="6" fillId="0" borderId="0" xfId="35" applyFont="1" applyFill="1"/>
    <xf numFmtId="0" fontId="6" fillId="0" borderId="0" xfId="0" applyFont="1" applyFill="1"/>
    <xf numFmtId="37" fontId="27" fillId="0" borderId="0" xfId="39" applyNumberFormat="1" applyFont="1" applyFill="1" applyBorder="1"/>
    <xf numFmtId="171" fontId="22" fillId="0" borderId="28" xfId="159" applyNumberFormat="1" applyFont="1" applyFill="1" applyBorder="1" applyAlignment="1" applyProtection="1">
      <alignment horizontal="center"/>
    </xf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0" fontId="33" fillId="0" borderId="0" xfId="0" applyFont="1" applyFill="1" applyAlignment="1">
      <alignment horizontal="center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36" xfId="1" applyFont="1" applyFill="1" applyBorder="1"/>
    <xf numFmtId="39" fontId="22" fillId="0" borderId="26" xfId="0" applyNumberFormat="1" applyFont="1" applyFill="1" applyBorder="1"/>
    <xf numFmtId="43" fontId="22" fillId="0" borderId="38" xfId="1" applyFont="1" applyFill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7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36" fillId="0" borderId="24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43" fontId="22" fillId="0" borderId="0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37" fontId="31" fillId="0" borderId="0" xfId="39" applyNumberFormat="1" applyFont="1" applyFill="1" applyBorder="1" applyAlignment="1">
      <alignment horizontal="center"/>
    </xf>
    <xf numFmtId="164" fontId="11" fillId="0" borderId="0" xfId="1" applyNumberFormat="1" applyFont="1" applyFill="1"/>
    <xf numFmtId="164" fontId="32" fillId="0" borderId="0" xfId="1" applyNumberFormat="1" applyFont="1" applyFill="1" applyBorder="1"/>
    <xf numFmtId="164" fontId="11" fillId="0" borderId="10" xfId="1" applyNumberFormat="1" applyFont="1" applyFill="1" applyBorder="1"/>
    <xf numFmtId="164" fontId="12" fillId="0" borderId="13" xfId="1" applyNumberFormat="1" applyFont="1" applyFill="1" applyBorder="1"/>
    <xf numFmtId="164" fontId="11" fillId="0" borderId="0" xfId="178" applyNumberFormat="1" applyFont="1" applyFill="1" applyBorder="1"/>
    <xf numFmtId="164" fontId="11" fillId="0" borderId="0" xfId="1" applyNumberFormat="1" applyFont="1" applyFill="1" applyBorder="1"/>
    <xf numFmtId="164" fontId="11" fillId="0" borderId="10" xfId="178" applyNumberFormat="1" applyFont="1" applyFill="1" applyBorder="1"/>
    <xf numFmtId="164" fontId="34" fillId="0" borderId="13" xfId="1" applyNumberFormat="1" applyFont="1" applyFill="1" applyBorder="1"/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tabSelected="1" zoomScaleNormal="100" zoomScaleSheetLayoutView="100" workbookViewId="0">
      <selection sqref="A1:XFD1048576"/>
    </sheetView>
  </sheetViews>
  <sheetFormatPr defaultRowHeight="15" x14ac:dyDescent="0.25"/>
  <cols>
    <col min="1" max="1" width="20.140625" style="13" bestFit="1" customWidth="1"/>
    <col min="2" max="12" width="10.42578125" style="38" hidden="1" customWidth="1"/>
    <col min="13" max="14" width="10.85546875" style="13" hidden="1" customWidth="1"/>
    <col min="15" max="18" width="11" style="13" hidden="1" customWidth="1"/>
    <col min="19" max="20" width="10.85546875" style="38" hidden="1" customWidth="1"/>
    <col min="21" max="33" width="11" style="38" hidden="1" customWidth="1"/>
    <col min="34" max="35" width="10.85546875" style="38" hidden="1" customWidth="1"/>
    <col min="36" max="84" width="11" style="38" hidden="1" customWidth="1"/>
    <col min="85" max="86" width="11.5703125" style="38" bestFit="1" customWidth="1"/>
    <col min="87" max="87" width="11.85546875" style="38" bestFit="1" customWidth="1"/>
    <col min="88" max="88" width="2.28515625" style="38" customWidth="1"/>
    <col min="89" max="91" width="13.5703125" style="38" bestFit="1" customWidth="1"/>
    <col min="92" max="92" width="3.7109375" style="38" customWidth="1"/>
    <col min="93" max="16384" width="9.140625" style="38"/>
  </cols>
  <sheetData>
    <row r="1" spans="1:94" x14ac:dyDescent="0.25">
      <c r="A1" s="159" t="s">
        <v>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O1" s="13"/>
      <c r="CP1" s="13"/>
    </row>
    <row r="2" spans="1:94" x14ac:dyDescent="0.25">
      <c r="A2" s="158" t="s">
        <v>269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O2" s="13"/>
      <c r="CP2" s="13"/>
    </row>
    <row r="3" spans="1:94" x14ac:dyDescent="0.25">
      <c r="A3" s="158" t="s">
        <v>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54"/>
      <c r="AI5" s="154"/>
      <c r="AJ5" s="154"/>
      <c r="AK5" s="154" t="s">
        <v>8</v>
      </c>
      <c r="AL5" s="154"/>
      <c r="AM5" s="154"/>
      <c r="AN5" s="154"/>
      <c r="AO5" s="154"/>
      <c r="AP5" s="154"/>
      <c r="AQ5" s="154" t="s">
        <v>8</v>
      </c>
      <c r="AR5" s="154"/>
      <c r="AS5" s="154"/>
      <c r="AT5" s="154" t="s">
        <v>8</v>
      </c>
      <c r="AU5" s="154"/>
      <c r="AV5" s="154"/>
      <c r="AW5" s="154" t="s">
        <v>8</v>
      </c>
      <c r="AX5" s="154"/>
      <c r="AY5" s="154"/>
      <c r="AZ5" s="154" t="s">
        <v>8</v>
      </c>
      <c r="BA5" s="154"/>
      <c r="BB5" s="154"/>
      <c r="BC5" s="154" t="s">
        <v>8</v>
      </c>
      <c r="BD5" s="154"/>
      <c r="BE5" s="154"/>
      <c r="BF5" s="154" t="s">
        <v>8</v>
      </c>
      <c r="BG5" s="154"/>
      <c r="BH5" s="154"/>
      <c r="BI5" s="154" t="s">
        <v>8</v>
      </c>
      <c r="BJ5" s="154"/>
      <c r="BK5" s="154"/>
      <c r="BL5" s="154" t="s">
        <v>8</v>
      </c>
      <c r="BM5" s="154"/>
      <c r="BN5" s="154"/>
      <c r="BO5" s="154" t="s">
        <v>8</v>
      </c>
      <c r="BP5" s="154"/>
      <c r="BQ5" s="154"/>
      <c r="BR5" s="154"/>
      <c r="BS5" s="154"/>
      <c r="BT5" s="154"/>
      <c r="BU5" s="154" t="s">
        <v>8</v>
      </c>
      <c r="BV5" s="154"/>
      <c r="BW5" s="154"/>
      <c r="BX5" s="154" t="s">
        <v>8</v>
      </c>
      <c r="BY5" s="154"/>
      <c r="BZ5" s="154"/>
      <c r="CA5" s="154" t="s">
        <v>8</v>
      </c>
      <c r="CB5" s="154"/>
      <c r="CC5" s="154"/>
      <c r="CD5" s="154" t="s">
        <v>8</v>
      </c>
      <c r="CE5" s="154"/>
      <c r="CF5" s="154"/>
      <c r="CG5" s="159" t="s">
        <v>8</v>
      </c>
      <c r="CH5" s="159"/>
      <c r="CI5" s="159"/>
      <c r="CJ5" s="159"/>
      <c r="CK5" s="159"/>
      <c r="CL5" s="159"/>
      <c r="CM5" s="159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60" t="s">
        <v>9</v>
      </c>
      <c r="AU6" s="161"/>
      <c r="AV6" s="162"/>
      <c r="AW6" s="160" t="s">
        <v>9</v>
      </c>
      <c r="AX6" s="161"/>
      <c r="AY6" s="162"/>
      <c r="AZ6" s="160" t="s">
        <v>9</v>
      </c>
      <c r="BA6" s="161"/>
      <c r="BB6" s="162"/>
      <c r="BC6" s="160" t="s">
        <v>9</v>
      </c>
      <c r="BD6" s="161"/>
      <c r="BE6" s="162"/>
      <c r="BF6" s="160" t="s">
        <v>9</v>
      </c>
      <c r="BG6" s="161"/>
      <c r="BH6" s="162"/>
      <c r="BI6" s="160" t="s">
        <v>9</v>
      </c>
      <c r="BJ6" s="163"/>
      <c r="BK6" s="164"/>
      <c r="BL6" s="160" t="s">
        <v>9</v>
      </c>
      <c r="BM6" s="163"/>
      <c r="BN6" s="164"/>
      <c r="BO6" s="160" t="s">
        <v>9</v>
      </c>
      <c r="BP6" s="163"/>
      <c r="BQ6" s="164"/>
      <c r="BR6" s="160" t="s">
        <v>9</v>
      </c>
      <c r="BS6" s="163"/>
      <c r="BT6" s="164"/>
      <c r="BU6" s="160" t="s">
        <v>9</v>
      </c>
      <c r="BV6" s="163"/>
      <c r="BW6" s="164"/>
      <c r="BX6" s="160" t="s">
        <v>9</v>
      </c>
      <c r="BY6" s="163"/>
      <c r="BZ6" s="164"/>
      <c r="CA6" s="160" t="s">
        <v>9</v>
      </c>
      <c r="CB6" s="163"/>
      <c r="CC6" s="164"/>
      <c r="CD6" s="160" t="s">
        <v>9</v>
      </c>
      <c r="CE6" s="163"/>
      <c r="CF6" s="164"/>
      <c r="CG6" s="160" t="s">
        <v>9</v>
      </c>
      <c r="CH6" s="163"/>
      <c r="CI6" s="164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97">
        <f>+CH7-31</f>
        <v>43768</v>
      </c>
      <c r="CH7" s="197">
        <f>+CI7-31</f>
        <v>43799</v>
      </c>
      <c r="CI7" s="197">
        <f>+StatementDate</f>
        <v>43830</v>
      </c>
      <c r="CJ7" s="13"/>
      <c r="CK7" s="197">
        <f>+CG7</f>
        <v>43768</v>
      </c>
      <c r="CL7" s="197">
        <f>+CH7</f>
        <v>43799</v>
      </c>
      <c r="CM7" s="197">
        <f>+CI7</f>
        <v>43830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15" t="s">
        <v>60</v>
      </c>
      <c r="T8" s="116" t="s">
        <v>61</v>
      </c>
      <c r="U8" s="115" t="s">
        <v>62</v>
      </c>
      <c r="V8" s="115" t="s">
        <v>64</v>
      </c>
      <c r="W8" s="115" t="s">
        <v>65</v>
      </c>
      <c r="X8" s="115" t="s">
        <v>66</v>
      </c>
      <c r="Y8" s="115" t="s">
        <v>73</v>
      </c>
      <c r="Z8" s="115" t="s">
        <v>15</v>
      </c>
      <c r="AA8" s="115" t="s">
        <v>74</v>
      </c>
      <c r="AB8" s="115" t="s">
        <v>70</v>
      </c>
      <c r="AC8" s="116" t="s">
        <v>71</v>
      </c>
      <c r="AD8" s="115" t="s">
        <v>72</v>
      </c>
      <c r="AE8" s="115" t="s">
        <v>75</v>
      </c>
      <c r="AF8" s="116" t="s">
        <v>76</v>
      </c>
      <c r="AG8" s="115" t="s">
        <v>77</v>
      </c>
      <c r="AH8" s="115" t="s">
        <v>79</v>
      </c>
      <c r="AI8" s="116" t="s">
        <v>80</v>
      </c>
      <c r="AJ8" s="115" t="s">
        <v>81</v>
      </c>
      <c r="AK8" s="115" t="s">
        <v>67</v>
      </c>
      <c r="AL8" s="116" t="s">
        <v>68</v>
      </c>
      <c r="AM8" s="115" t="s">
        <v>69</v>
      </c>
      <c r="AN8" s="115" t="s">
        <v>70</v>
      </c>
      <c r="AO8" s="116" t="s">
        <v>71</v>
      </c>
      <c r="AP8" s="115" t="s">
        <v>82</v>
      </c>
      <c r="AQ8" s="115" t="s">
        <v>75</v>
      </c>
      <c r="AR8" s="116" t="s">
        <v>76</v>
      </c>
      <c r="AS8" s="115" t="s">
        <v>77</v>
      </c>
      <c r="AT8" s="115" t="s">
        <v>79</v>
      </c>
      <c r="AU8" s="116" t="s">
        <v>80</v>
      </c>
      <c r="AV8" s="115" t="s">
        <v>81</v>
      </c>
      <c r="AW8" s="115" t="s">
        <v>67</v>
      </c>
      <c r="AX8" s="116" t="s">
        <v>68</v>
      </c>
      <c r="AY8" s="115" t="s">
        <v>69</v>
      </c>
      <c r="AZ8" s="115" t="s">
        <v>70</v>
      </c>
      <c r="BA8" s="116" t="s">
        <v>71</v>
      </c>
      <c r="BB8" s="115" t="s">
        <v>82</v>
      </c>
      <c r="BC8" s="115" t="s">
        <v>75</v>
      </c>
      <c r="BD8" s="116" t="s">
        <v>76</v>
      </c>
      <c r="BE8" s="115" t="s">
        <v>77</v>
      </c>
      <c r="BF8" s="115" t="s">
        <v>79</v>
      </c>
      <c r="BG8" s="116" t="s">
        <v>80</v>
      </c>
      <c r="BH8" s="115" t="s">
        <v>81</v>
      </c>
      <c r="BI8" s="115" t="s">
        <v>67</v>
      </c>
      <c r="BJ8" s="116" t="s">
        <v>68</v>
      </c>
      <c r="BK8" s="115" t="s">
        <v>69</v>
      </c>
      <c r="BL8" s="115" t="s">
        <v>70</v>
      </c>
      <c r="BM8" s="116" t="s">
        <v>71</v>
      </c>
      <c r="BN8" s="115" t="s">
        <v>82</v>
      </c>
      <c r="BO8" s="115" t="s">
        <v>75</v>
      </c>
      <c r="BP8" s="116" t="s">
        <v>76</v>
      </c>
      <c r="BQ8" s="115" t="s">
        <v>77</v>
      </c>
      <c r="BR8" s="115" t="s">
        <v>79</v>
      </c>
      <c r="BS8" s="116" t="s">
        <v>80</v>
      </c>
      <c r="BT8" s="115" t="s">
        <v>81</v>
      </c>
      <c r="BU8" s="115" t="s">
        <v>67</v>
      </c>
      <c r="BV8" s="116" t="s">
        <v>68</v>
      </c>
      <c r="BW8" s="115" t="s">
        <v>69</v>
      </c>
      <c r="BX8" s="115" t="s">
        <v>70</v>
      </c>
      <c r="BY8" s="116" t="s">
        <v>71</v>
      </c>
      <c r="BZ8" s="115" t="s">
        <v>82</v>
      </c>
      <c r="CA8" s="115" t="s">
        <v>75</v>
      </c>
      <c r="CB8" s="116" t="s">
        <v>76</v>
      </c>
      <c r="CC8" s="115" t="s">
        <v>77</v>
      </c>
      <c r="CD8" s="115" t="s">
        <v>79</v>
      </c>
      <c r="CE8" s="116" t="s">
        <v>80</v>
      </c>
      <c r="CF8" s="115" t="s">
        <v>81</v>
      </c>
      <c r="CG8" s="198">
        <f>+CH8</f>
        <v>2019</v>
      </c>
      <c r="CH8" s="199">
        <f>+CI8</f>
        <v>2019</v>
      </c>
      <c r="CI8" s="199">
        <f>YEAR(StatementDate)</f>
        <v>2019</v>
      </c>
      <c r="CJ8" s="13"/>
      <c r="CK8" s="198">
        <f t="shared" ref="CK8:CM8" si="1">+CG8</f>
        <v>2019</v>
      </c>
      <c r="CL8" s="199">
        <f t="shared" si="1"/>
        <v>2019</v>
      </c>
      <c r="CM8" s="199">
        <f t="shared" si="1"/>
        <v>2019</v>
      </c>
      <c r="CO8" s="13"/>
      <c r="CP8" s="13"/>
    </row>
    <row r="9" spans="1:94" ht="15" customHeight="1" x14ac:dyDescent="0.25">
      <c r="A9" s="18" t="s">
        <v>1</v>
      </c>
      <c r="B9" s="19">
        <v>4738077</v>
      </c>
      <c r="C9" s="19">
        <v>2600419</v>
      </c>
      <c r="D9" s="19">
        <v>2445847</v>
      </c>
      <c r="E9" s="19">
        <v>2106296</v>
      </c>
      <c r="F9" s="19">
        <v>2895279</v>
      </c>
      <c r="G9" s="19">
        <v>6339556</v>
      </c>
      <c r="H9" s="19">
        <v>15623585</v>
      </c>
      <c r="I9" s="19">
        <v>16428040</v>
      </c>
      <c r="J9" s="19">
        <v>20644663</v>
      </c>
      <c r="K9" s="19">
        <v>11505659</v>
      </c>
      <c r="L9" s="19">
        <v>8830332</v>
      </c>
      <c r="M9" s="55">
        <v>6195114</v>
      </c>
      <c r="N9" s="55">
        <v>4022153</v>
      </c>
      <c r="O9" s="55">
        <v>3190637</v>
      </c>
      <c r="P9" s="55">
        <v>2206298</v>
      </c>
      <c r="Q9" s="55">
        <v>2181294</v>
      </c>
      <c r="R9" s="55">
        <v>3483125</v>
      </c>
      <c r="S9" s="117">
        <v>6286219</v>
      </c>
      <c r="T9" s="118">
        <v>13171255</v>
      </c>
      <c r="U9" s="117">
        <v>16682961</v>
      </c>
      <c r="V9" s="117">
        <v>19369227</v>
      </c>
      <c r="W9" s="117">
        <v>10646384</v>
      </c>
      <c r="X9" s="117">
        <v>9916457</v>
      </c>
      <c r="Y9" s="117">
        <v>9326417</v>
      </c>
      <c r="Z9" s="117">
        <v>3139915</v>
      </c>
      <c r="AA9" s="117">
        <v>3597223</v>
      </c>
      <c r="AB9" s="117">
        <v>2369257</v>
      </c>
      <c r="AC9" s="118">
        <v>2418455</v>
      </c>
      <c r="AD9" s="119">
        <v>3602247</v>
      </c>
      <c r="AE9" s="117">
        <v>6608263</v>
      </c>
      <c r="AF9" s="118">
        <v>14540521</v>
      </c>
      <c r="AG9" s="117">
        <v>20007173</v>
      </c>
      <c r="AH9" s="120">
        <v>11437712</v>
      </c>
      <c r="AI9" s="120">
        <v>17397137</v>
      </c>
      <c r="AJ9" s="120">
        <v>11703857</v>
      </c>
      <c r="AK9" s="120">
        <v>8426227</v>
      </c>
      <c r="AL9" s="120">
        <v>5182558</v>
      </c>
      <c r="AM9" s="120">
        <v>2868251</v>
      </c>
      <c r="AN9" s="120">
        <v>2655512</v>
      </c>
      <c r="AO9" s="120">
        <v>2358240</v>
      </c>
      <c r="AP9" s="120">
        <v>3424285</v>
      </c>
      <c r="AQ9" s="120">
        <v>7282153</v>
      </c>
      <c r="AR9" s="120">
        <v>14430664</v>
      </c>
      <c r="AS9" s="120">
        <v>19387831</v>
      </c>
      <c r="AT9" s="120">
        <v>19794013</v>
      </c>
      <c r="AU9" s="120">
        <v>14144060</v>
      </c>
      <c r="AV9" s="120">
        <v>11695703</v>
      </c>
      <c r="AW9" s="120">
        <v>9079595</v>
      </c>
      <c r="AX9" s="120">
        <v>4783150</v>
      </c>
      <c r="AY9" s="120">
        <v>3252401</v>
      </c>
      <c r="AZ9" s="120">
        <v>2626475</v>
      </c>
      <c r="BA9" s="120">
        <v>2630935</v>
      </c>
      <c r="BB9" s="120">
        <v>3699435</v>
      </c>
      <c r="BC9" s="120">
        <v>8506217</v>
      </c>
      <c r="BD9" s="120">
        <v>15701089</v>
      </c>
      <c r="BE9" s="120">
        <v>18215897</v>
      </c>
      <c r="BF9" s="120">
        <v>20869292</v>
      </c>
      <c r="BG9" s="120">
        <v>14444231</v>
      </c>
      <c r="BH9" s="120">
        <v>14423577</v>
      </c>
      <c r="BI9" s="120">
        <v>10190470</v>
      </c>
      <c r="BJ9" s="120">
        <v>5322135</v>
      </c>
      <c r="BK9" s="120">
        <v>4332601</v>
      </c>
      <c r="BL9" s="120">
        <v>2886982</v>
      </c>
      <c r="BM9" s="120">
        <v>2970829</v>
      </c>
      <c r="BN9" s="120">
        <v>3612577</v>
      </c>
      <c r="BO9" s="120">
        <v>7896781</v>
      </c>
      <c r="BP9" s="120">
        <v>11935497</v>
      </c>
      <c r="BQ9" s="120">
        <v>21810811</v>
      </c>
      <c r="BR9" s="120">
        <v>21165819</v>
      </c>
      <c r="BS9" s="120">
        <v>14721303</v>
      </c>
      <c r="BT9" s="120">
        <v>15147499</v>
      </c>
      <c r="BU9" s="120">
        <v>7857376</v>
      </c>
      <c r="BV9" s="120">
        <v>4660690</v>
      </c>
      <c r="BW9" s="120">
        <v>3149632</v>
      </c>
      <c r="BX9" s="120">
        <v>2572430</v>
      </c>
      <c r="BY9" s="120">
        <v>2860189</v>
      </c>
      <c r="BZ9" s="120">
        <v>3156571</v>
      </c>
      <c r="CA9" s="120">
        <v>7698422</v>
      </c>
      <c r="CB9" s="120">
        <v>13525714</v>
      </c>
      <c r="CC9" s="120">
        <v>21680368</v>
      </c>
      <c r="CD9" s="120">
        <v>14928880</v>
      </c>
      <c r="CE9" s="120">
        <v>11659144</v>
      </c>
      <c r="CF9" s="120">
        <v>11149607</v>
      </c>
      <c r="CG9" s="20">
        <f>+'Copy Other Data Here'!N4</f>
        <v>11085416</v>
      </c>
      <c r="CH9" s="20">
        <f>+'Copy Other Data Here'!O4</f>
        <v>15903738</v>
      </c>
      <c r="CI9" s="20">
        <f>+'Copy Other Data Here'!P4</f>
        <v>19793411</v>
      </c>
      <c r="CJ9" s="21"/>
      <c r="CK9" s="22">
        <f>+'Copy Other Data Here'!N10</f>
        <v>130063965</v>
      </c>
      <c r="CL9" s="22">
        <f>+'Copy Other Data Here'!O10</f>
        <v>130472433</v>
      </c>
      <c r="CM9" s="22">
        <f>+'Copy Other Data Here'!P10</f>
        <v>130865446</v>
      </c>
      <c r="CO9" s="121"/>
      <c r="CP9" s="13"/>
    </row>
    <row r="10" spans="1:94" ht="14.25" customHeight="1" x14ac:dyDescent="0.25">
      <c r="A10" s="18" t="s">
        <v>2</v>
      </c>
      <c r="B10" s="19">
        <v>4071180</v>
      </c>
      <c r="C10" s="19">
        <v>2950127</v>
      </c>
      <c r="D10" s="19">
        <v>2907188</v>
      </c>
      <c r="E10" s="19">
        <v>2607758</v>
      </c>
      <c r="F10" s="19">
        <v>3258030</v>
      </c>
      <c r="G10" s="19">
        <v>5228627</v>
      </c>
      <c r="H10" s="19">
        <v>10709368</v>
      </c>
      <c r="I10" s="19">
        <v>12251274</v>
      </c>
      <c r="J10" s="19">
        <v>15820505</v>
      </c>
      <c r="K10" s="19">
        <v>9772553</v>
      </c>
      <c r="L10" s="19">
        <v>6971869</v>
      </c>
      <c r="M10" s="19">
        <v>5041352</v>
      </c>
      <c r="N10" s="19">
        <v>3592800</v>
      </c>
      <c r="O10" s="19">
        <v>3341773</v>
      </c>
      <c r="P10" s="19">
        <v>2585770</v>
      </c>
      <c r="Q10" s="19">
        <v>2738552</v>
      </c>
      <c r="R10" s="19">
        <v>3664853</v>
      </c>
      <c r="S10" s="23">
        <v>4883585</v>
      </c>
      <c r="T10" s="24">
        <v>8927202</v>
      </c>
      <c r="U10" s="23">
        <v>12516936</v>
      </c>
      <c r="V10" s="23">
        <v>14405623</v>
      </c>
      <c r="W10" s="23">
        <v>9201183</v>
      </c>
      <c r="X10" s="23">
        <v>7444244</v>
      </c>
      <c r="Y10" s="23">
        <v>6592352</v>
      </c>
      <c r="Z10" s="23">
        <v>3236214</v>
      </c>
      <c r="AA10" s="23">
        <v>3512884</v>
      </c>
      <c r="AB10" s="23">
        <v>2645442</v>
      </c>
      <c r="AC10" s="24">
        <v>2799574</v>
      </c>
      <c r="AD10" s="25">
        <v>3739049</v>
      </c>
      <c r="AE10" s="23">
        <v>5417759</v>
      </c>
      <c r="AF10" s="24">
        <v>10154240</v>
      </c>
      <c r="AG10" s="23">
        <v>15158759</v>
      </c>
      <c r="AH10" s="23">
        <v>9968914</v>
      </c>
      <c r="AI10" s="23">
        <v>12489112</v>
      </c>
      <c r="AJ10" s="23">
        <v>9203331</v>
      </c>
      <c r="AK10" s="23">
        <v>6755414</v>
      </c>
      <c r="AL10" s="23">
        <v>4478219</v>
      </c>
      <c r="AM10" s="23">
        <v>2852879</v>
      </c>
      <c r="AN10" s="23">
        <v>2835009</v>
      </c>
      <c r="AO10" s="23">
        <v>2688016</v>
      </c>
      <c r="AP10" s="23">
        <v>3580734</v>
      </c>
      <c r="AQ10" s="23">
        <v>6027567</v>
      </c>
      <c r="AR10" s="23">
        <v>9659368</v>
      </c>
      <c r="AS10" s="23">
        <v>14109462</v>
      </c>
      <c r="AT10" s="23">
        <v>15294927</v>
      </c>
      <c r="AU10" s="23">
        <v>11342322</v>
      </c>
      <c r="AV10" s="23">
        <v>8663424</v>
      </c>
      <c r="AW10" s="23">
        <v>6951756</v>
      </c>
      <c r="AX10" s="23">
        <v>4278011</v>
      </c>
      <c r="AY10" s="23">
        <v>3146363</v>
      </c>
      <c r="AZ10" s="23">
        <v>2727471</v>
      </c>
      <c r="BA10" s="23">
        <v>3012034</v>
      </c>
      <c r="BB10" s="23">
        <v>3678378</v>
      </c>
      <c r="BC10" s="23">
        <v>6370377</v>
      </c>
      <c r="BD10" s="23">
        <v>11053304</v>
      </c>
      <c r="BE10" s="23">
        <v>13189311</v>
      </c>
      <c r="BF10" s="23">
        <v>15337016</v>
      </c>
      <c r="BG10" s="23">
        <v>11724914</v>
      </c>
      <c r="BH10" s="23">
        <v>10635571</v>
      </c>
      <c r="BI10" s="23">
        <v>7605836</v>
      </c>
      <c r="BJ10" s="23">
        <v>4337403</v>
      </c>
      <c r="BK10" s="23">
        <v>3836792</v>
      </c>
      <c r="BL10" s="23">
        <v>3072448</v>
      </c>
      <c r="BM10" s="23">
        <v>3177123</v>
      </c>
      <c r="BN10" s="23">
        <v>3725582</v>
      </c>
      <c r="BO10" s="23">
        <v>6168882</v>
      </c>
      <c r="BP10" s="23">
        <v>8438310</v>
      </c>
      <c r="BQ10" s="23">
        <v>15743278</v>
      </c>
      <c r="BR10" s="23">
        <v>16503173</v>
      </c>
      <c r="BS10" s="23">
        <v>11606237</v>
      </c>
      <c r="BT10" s="23">
        <v>11190512</v>
      </c>
      <c r="BU10" s="23">
        <v>5996817</v>
      </c>
      <c r="BV10" s="23">
        <v>4019719</v>
      </c>
      <c r="BW10" s="23">
        <v>3261628</v>
      </c>
      <c r="BX10" s="23">
        <v>2769080</v>
      </c>
      <c r="BY10" s="23">
        <v>3070155</v>
      </c>
      <c r="BZ10" s="23">
        <v>3276979</v>
      </c>
      <c r="CA10" s="23">
        <v>6064975</v>
      </c>
      <c r="CB10" s="23">
        <v>9021767</v>
      </c>
      <c r="CC10" s="23">
        <v>16027437</v>
      </c>
      <c r="CD10" s="23">
        <v>12028782</v>
      </c>
      <c r="CE10" s="23">
        <v>8870542</v>
      </c>
      <c r="CF10" s="23">
        <v>8391304</v>
      </c>
      <c r="CG10" s="22">
        <f>+'Copy Other Data Here'!N5</f>
        <v>10299854</v>
      </c>
      <c r="CH10" s="22">
        <f>+'Copy Other Data Here'!O5</f>
        <v>14379308</v>
      </c>
      <c r="CI10" s="22">
        <f>+'Copy Other Data Here'!P5</f>
        <v>16122311</v>
      </c>
      <c r="CJ10" s="21"/>
      <c r="CK10" s="22">
        <f>+'Copy Other Data Here'!N11</f>
        <v>106179340</v>
      </c>
      <c r="CL10" s="22">
        <f>+'Copy Other Data Here'!O11</f>
        <v>109417823</v>
      </c>
      <c r="CM10" s="22">
        <f>+'Copy Other Data Here'!P11</f>
        <v>111078907</v>
      </c>
      <c r="CO10" s="121"/>
      <c r="CP10" s="13"/>
    </row>
    <row r="11" spans="1:94" ht="15" customHeight="1" x14ac:dyDescent="0.25">
      <c r="A11" s="18" t="s">
        <v>3</v>
      </c>
      <c r="B11" s="19">
        <v>767783</v>
      </c>
      <c r="C11" s="19">
        <v>607604</v>
      </c>
      <c r="D11" s="19">
        <v>591055</v>
      </c>
      <c r="E11" s="19">
        <v>549816</v>
      </c>
      <c r="F11" s="19">
        <v>1127084</v>
      </c>
      <c r="G11" s="19">
        <v>1038868</v>
      </c>
      <c r="H11" s="19">
        <v>1020518</v>
      </c>
      <c r="I11" s="19">
        <v>1353710</v>
      </c>
      <c r="J11" s="19">
        <v>1331076</v>
      </c>
      <c r="K11" s="19">
        <v>1846989</v>
      </c>
      <c r="L11" s="19">
        <v>1135301</v>
      </c>
      <c r="M11" s="19">
        <v>776586</v>
      </c>
      <c r="N11" s="19">
        <v>640522</v>
      </c>
      <c r="O11" s="19">
        <v>731863</v>
      </c>
      <c r="P11" s="19">
        <v>504287</v>
      </c>
      <c r="Q11" s="19">
        <v>658187</v>
      </c>
      <c r="R11" s="19">
        <v>360739</v>
      </c>
      <c r="S11" s="23">
        <v>861110</v>
      </c>
      <c r="T11" s="24">
        <v>1225089</v>
      </c>
      <c r="U11" s="23">
        <v>1378311</v>
      </c>
      <c r="V11" s="23">
        <v>1680888</v>
      </c>
      <c r="W11" s="23">
        <v>1408274</v>
      </c>
      <c r="X11" s="23">
        <v>1161416</v>
      </c>
      <c r="Y11" s="23">
        <v>881576</v>
      </c>
      <c r="Z11" s="23">
        <v>648146</v>
      </c>
      <c r="AA11" s="23">
        <v>542761</v>
      </c>
      <c r="AB11" s="23">
        <v>401761</v>
      </c>
      <c r="AC11" s="24">
        <v>535979</v>
      </c>
      <c r="AD11" s="25">
        <v>829986</v>
      </c>
      <c r="AE11" s="23">
        <v>1018357</v>
      </c>
      <c r="AF11" s="24">
        <v>992572</v>
      </c>
      <c r="AG11" s="23">
        <v>1529808</v>
      </c>
      <c r="AH11" s="23">
        <v>1527852</v>
      </c>
      <c r="AI11" s="23">
        <v>1168179</v>
      </c>
      <c r="AJ11" s="23">
        <v>1296641</v>
      </c>
      <c r="AK11" s="23">
        <v>897981</v>
      </c>
      <c r="AL11" s="23">
        <v>803165</v>
      </c>
      <c r="AM11" s="23">
        <v>583747</v>
      </c>
      <c r="AN11" s="23">
        <v>478710</v>
      </c>
      <c r="AO11" s="23">
        <v>472120</v>
      </c>
      <c r="AP11" s="23">
        <v>1358546</v>
      </c>
      <c r="AQ11" s="23">
        <v>987682</v>
      </c>
      <c r="AR11" s="23">
        <v>1191350</v>
      </c>
      <c r="AS11" s="23">
        <v>1392062</v>
      </c>
      <c r="AT11" s="23">
        <v>1569530</v>
      </c>
      <c r="AU11" s="23">
        <v>1490720</v>
      </c>
      <c r="AV11" s="23">
        <v>1108125</v>
      </c>
      <c r="AW11" s="23">
        <v>981120</v>
      </c>
      <c r="AX11" s="23">
        <v>660165</v>
      </c>
      <c r="AY11" s="23">
        <v>608659</v>
      </c>
      <c r="AZ11" s="23">
        <v>493386</v>
      </c>
      <c r="BA11" s="23">
        <v>506934</v>
      </c>
      <c r="BB11" s="23">
        <v>739169</v>
      </c>
      <c r="BC11" s="23">
        <v>1185007</v>
      </c>
      <c r="BD11" s="23">
        <v>1233383</v>
      </c>
      <c r="BE11" s="23">
        <v>1468434</v>
      </c>
      <c r="BF11" s="23">
        <v>1536842</v>
      </c>
      <c r="BG11" s="23">
        <v>1618288</v>
      </c>
      <c r="BH11" s="23">
        <v>1227635</v>
      </c>
      <c r="BI11" s="23">
        <v>1036245</v>
      </c>
      <c r="BJ11" s="23">
        <v>792690</v>
      </c>
      <c r="BK11" s="23">
        <v>617279</v>
      </c>
      <c r="BL11" s="23">
        <v>560284</v>
      </c>
      <c r="BM11" s="23">
        <v>535330</v>
      </c>
      <c r="BN11" s="23">
        <v>692545</v>
      </c>
      <c r="BO11" s="23">
        <v>1379530</v>
      </c>
      <c r="BP11" s="23">
        <v>1056448</v>
      </c>
      <c r="BQ11" s="23">
        <v>1377752</v>
      </c>
      <c r="BR11" s="23">
        <v>1595622</v>
      </c>
      <c r="BS11" s="23">
        <v>1389924</v>
      </c>
      <c r="BT11" s="23">
        <v>1172986</v>
      </c>
      <c r="BU11" s="23">
        <v>899918</v>
      </c>
      <c r="BV11" s="23">
        <v>621688</v>
      </c>
      <c r="BW11" s="23">
        <v>462381</v>
      </c>
      <c r="BX11" s="23">
        <v>404705</v>
      </c>
      <c r="BY11" s="23">
        <v>359528</v>
      </c>
      <c r="BZ11" s="23">
        <v>554195</v>
      </c>
      <c r="CA11" s="23">
        <v>1258640</v>
      </c>
      <c r="CB11" s="23">
        <v>906312</v>
      </c>
      <c r="CC11" s="23">
        <v>1236017</v>
      </c>
      <c r="CD11" s="23">
        <v>1203202</v>
      </c>
      <c r="CE11" s="23">
        <v>995845</v>
      </c>
      <c r="CF11" s="23">
        <v>897042</v>
      </c>
      <c r="CG11" s="22">
        <f>+'Copy Other Data Here'!N6</f>
        <v>1687630</v>
      </c>
      <c r="CH11" s="22">
        <f>+'Copy Other Data Here'!O6</f>
        <v>1643539</v>
      </c>
      <c r="CI11" s="22">
        <f>+'Copy Other Data Here'!P6</f>
        <v>1791294</v>
      </c>
      <c r="CJ11" s="21"/>
      <c r="CK11" s="22">
        <f>+'Copy Other Data Here'!N12</f>
        <v>16800717</v>
      </c>
      <c r="CL11" s="22">
        <f>+'Copy Other Data Here'!O12</f>
        <v>17269869</v>
      </c>
      <c r="CM11" s="22">
        <f>+'Copy Other Data Here'!P12</f>
        <v>17280578</v>
      </c>
      <c r="CO11" s="121"/>
      <c r="CP11" s="13"/>
    </row>
    <row r="12" spans="1:94" ht="15" customHeight="1" x14ac:dyDescent="0.25">
      <c r="A12" s="18" t="s">
        <v>78</v>
      </c>
      <c r="B12" s="19">
        <v>148374</v>
      </c>
      <c r="C12" s="19">
        <v>96848</v>
      </c>
      <c r="D12" s="19">
        <v>99964</v>
      </c>
      <c r="E12" s="19">
        <v>76857</v>
      </c>
      <c r="F12" s="19">
        <v>99420</v>
      </c>
      <c r="G12" s="19">
        <v>172950</v>
      </c>
      <c r="H12" s="19">
        <v>257682</v>
      </c>
      <c r="I12" s="19">
        <v>282537</v>
      </c>
      <c r="J12" s="19">
        <v>272853</v>
      </c>
      <c r="K12" s="19">
        <v>272358</v>
      </c>
      <c r="L12" s="19">
        <v>198746</v>
      </c>
      <c r="M12" s="19">
        <v>155230</v>
      </c>
      <c r="N12" s="19">
        <v>113315</v>
      </c>
      <c r="O12" s="19">
        <v>97699</v>
      </c>
      <c r="P12" s="19">
        <v>914183</v>
      </c>
      <c r="Q12" s="19">
        <v>165091</v>
      </c>
      <c r="R12" s="19">
        <v>222773</v>
      </c>
      <c r="S12" s="19">
        <v>290632</v>
      </c>
      <c r="T12" s="19">
        <v>396108</v>
      </c>
      <c r="U12" s="19">
        <v>447390</v>
      </c>
      <c r="V12" s="19">
        <v>459341</v>
      </c>
      <c r="W12" s="19">
        <v>409039</v>
      </c>
      <c r="X12" s="19">
        <v>371052</v>
      </c>
      <c r="Y12" s="19">
        <v>325188</v>
      </c>
      <c r="Z12" s="19">
        <v>253825</v>
      </c>
      <c r="AA12" s="19">
        <v>204380</v>
      </c>
      <c r="AB12" s="19">
        <v>167056</v>
      </c>
      <c r="AC12" s="19">
        <v>146659</v>
      </c>
      <c r="AD12" s="19">
        <v>201253</v>
      </c>
      <c r="AE12" s="23">
        <v>279420</v>
      </c>
      <c r="AF12" s="24">
        <v>455045</v>
      </c>
      <c r="AG12" s="23">
        <v>508074</v>
      </c>
      <c r="AH12" s="23">
        <v>478750</v>
      </c>
      <c r="AI12" s="23">
        <v>479955</v>
      </c>
      <c r="AJ12" s="23">
        <v>456627</v>
      </c>
      <c r="AK12" s="23">
        <v>361740</v>
      </c>
      <c r="AL12" s="23">
        <v>271384</v>
      </c>
      <c r="AM12" s="23">
        <v>196390</v>
      </c>
      <c r="AN12" s="23">
        <v>192507</v>
      </c>
      <c r="AO12" s="23">
        <v>185945</v>
      </c>
      <c r="AP12" s="23">
        <v>240782</v>
      </c>
      <c r="AQ12" s="23">
        <v>347482</v>
      </c>
      <c r="AR12" s="23">
        <v>425076</v>
      </c>
      <c r="AS12" s="23">
        <v>462275</v>
      </c>
      <c r="AT12" s="23">
        <v>491151</v>
      </c>
      <c r="AU12" s="23">
        <v>392958</v>
      </c>
      <c r="AV12" s="23">
        <v>384514</v>
      </c>
      <c r="AW12" s="23">
        <v>326586</v>
      </c>
      <c r="AX12" s="23">
        <v>272448</v>
      </c>
      <c r="AY12" s="23">
        <v>195186</v>
      </c>
      <c r="AZ12" s="23">
        <v>200220</v>
      </c>
      <c r="BA12" s="23">
        <v>186952</v>
      </c>
      <c r="BB12" s="23">
        <v>247840</v>
      </c>
      <c r="BC12" s="23">
        <v>359071</v>
      </c>
      <c r="BD12" s="23">
        <v>399052</v>
      </c>
      <c r="BE12" s="23">
        <v>465849</v>
      </c>
      <c r="BF12" s="23">
        <v>542740</v>
      </c>
      <c r="BG12" s="23">
        <v>471961</v>
      </c>
      <c r="BH12" s="23">
        <v>472006</v>
      </c>
      <c r="BI12" s="23">
        <v>403713</v>
      </c>
      <c r="BJ12" s="23">
        <v>308810</v>
      </c>
      <c r="BK12" s="23">
        <v>282987</v>
      </c>
      <c r="BL12" s="23">
        <v>266169</v>
      </c>
      <c r="BM12" s="23">
        <v>267508</v>
      </c>
      <c r="BN12" s="23">
        <v>312869</v>
      </c>
      <c r="BO12" s="23">
        <v>409663</v>
      </c>
      <c r="BP12" s="23">
        <v>634682</v>
      </c>
      <c r="BQ12" s="23">
        <v>726660</v>
      </c>
      <c r="BR12" s="23">
        <v>742144</v>
      </c>
      <c r="BS12" s="23">
        <v>627992</v>
      </c>
      <c r="BT12" s="23">
        <v>648704</v>
      </c>
      <c r="BU12" s="23">
        <v>445376</v>
      </c>
      <c r="BV12" s="23">
        <v>334418</v>
      </c>
      <c r="BW12" s="23">
        <v>230442</v>
      </c>
      <c r="BX12" s="23">
        <f>231579+6735</f>
        <v>238314</v>
      </c>
      <c r="BY12" s="23">
        <f>200880+6018</f>
        <v>206898</v>
      </c>
      <c r="BZ12" s="23">
        <f>265881+5370</f>
        <v>271251</v>
      </c>
      <c r="CA12" s="23">
        <f>7317+434944</f>
        <v>442261</v>
      </c>
      <c r="CB12" s="23">
        <f>6713+519533</f>
        <v>526246</v>
      </c>
      <c r="CC12" s="23">
        <f>13419+688309</f>
        <v>701728</v>
      </c>
      <c r="CD12" s="23">
        <f>3885+532998</f>
        <v>536883</v>
      </c>
      <c r="CE12" s="23">
        <f>8178+412624</f>
        <v>420802</v>
      </c>
      <c r="CF12" s="23">
        <f>5193+463921</f>
        <v>469114</v>
      </c>
      <c r="CG12" s="22">
        <f>+'Copy Other Data Here'!N7</f>
        <v>233137</v>
      </c>
      <c r="CH12" s="22">
        <f>+'Copy Other Data Here'!O7</f>
        <v>230724</v>
      </c>
      <c r="CI12" s="22">
        <f>+'Copy Other Data Here'!P7</f>
        <v>254274</v>
      </c>
      <c r="CJ12" s="21"/>
      <c r="CK12" s="22">
        <f>+'Copy Other Data Here'!N13</f>
        <v>2259255</v>
      </c>
      <c r="CL12" s="22">
        <f>+'Copy Other Data Here'!O13</f>
        <v>2272230</v>
      </c>
      <c r="CM12" s="22">
        <f>+'Copy Other Data Here'!P13</f>
        <v>2265943</v>
      </c>
      <c r="CO12" s="121"/>
      <c r="CP12" s="13"/>
    </row>
    <row r="13" spans="1:94" ht="15" customHeight="1" x14ac:dyDescent="0.25">
      <c r="A13" s="18" t="s">
        <v>4</v>
      </c>
      <c r="B13" s="19">
        <v>34779755</v>
      </c>
      <c r="C13" s="19">
        <v>29428571</v>
      </c>
      <c r="D13" s="19">
        <v>55908847</v>
      </c>
      <c r="E13" s="19">
        <v>59749811</v>
      </c>
      <c r="F13" s="19">
        <v>57568074</v>
      </c>
      <c r="G13" s="19">
        <v>63980700</v>
      </c>
      <c r="H13" s="19">
        <v>59612647</v>
      </c>
      <c r="I13" s="19">
        <v>46964608</v>
      </c>
      <c r="J13" s="19">
        <v>53257633</v>
      </c>
      <c r="K13" s="19">
        <v>41424274</v>
      </c>
      <c r="L13" s="19">
        <v>39791730</v>
      </c>
      <c r="M13" s="19">
        <v>35834858</v>
      </c>
      <c r="N13" s="19">
        <v>36604993</v>
      </c>
      <c r="O13" s="19">
        <v>32389657</v>
      </c>
      <c r="P13" s="19">
        <v>46232536</v>
      </c>
      <c r="Q13" s="19">
        <v>50441004</v>
      </c>
      <c r="R13" s="19">
        <v>45662302</v>
      </c>
      <c r="S13" s="26">
        <f>15847915+30607722</f>
        <v>46455637</v>
      </c>
      <c r="T13" s="27">
        <f>14593470+29415911</f>
        <v>44009381</v>
      </c>
      <c r="U13" s="26">
        <f>30205205+14222231</f>
        <v>44427436</v>
      </c>
      <c r="V13" s="26">
        <v>56750586</v>
      </c>
      <c r="W13" s="26">
        <v>39433544</v>
      </c>
      <c r="X13" s="26">
        <v>42611482</v>
      </c>
      <c r="Y13" s="26">
        <v>38901056</v>
      </c>
      <c r="Z13" s="26">
        <v>33188303</v>
      </c>
      <c r="AA13" s="26">
        <v>31835115</v>
      </c>
      <c r="AB13" s="26">
        <v>39614055</v>
      </c>
      <c r="AC13" s="27">
        <v>49013822</v>
      </c>
      <c r="AD13" s="28">
        <v>37177756</v>
      </c>
      <c r="AE13" s="26">
        <f>31139876+9500712</f>
        <v>40640588</v>
      </c>
      <c r="AF13" s="27">
        <v>44002877</v>
      </c>
      <c r="AG13" s="26">
        <v>53574368</v>
      </c>
      <c r="AH13" s="26">
        <f>30643251+11101792</f>
        <v>41745043</v>
      </c>
      <c r="AI13" s="26">
        <f>12961195+29481505</f>
        <v>42442700</v>
      </c>
      <c r="AJ13" s="26">
        <f>6507560+33414425</f>
        <v>39921985</v>
      </c>
      <c r="AK13" s="26">
        <v>34487894</v>
      </c>
      <c r="AL13" s="26">
        <v>30262942</v>
      </c>
      <c r="AM13" s="26">
        <v>32438604</v>
      </c>
      <c r="AN13" s="26">
        <v>51686763</v>
      </c>
      <c r="AO13" s="26">
        <v>52717167</v>
      </c>
      <c r="AP13" s="26">
        <v>56316414</v>
      </c>
      <c r="AQ13" s="26">
        <v>57711568</v>
      </c>
      <c r="AR13" s="26">
        <v>47482276</v>
      </c>
      <c r="AS13" s="26">
        <v>45671771</v>
      </c>
      <c r="AT13" s="26">
        <f>15597968+35956854</f>
        <v>51554822</v>
      </c>
      <c r="AU13" s="26">
        <f>10364424+27980600</f>
        <v>38345024</v>
      </c>
      <c r="AV13" s="26">
        <f>7050499+28571904</f>
        <v>35622403</v>
      </c>
      <c r="AW13" s="26">
        <v>36038664</v>
      </c>
      <c r="AX13" s="26">
        <v>30921318</v>
      </c>
      <c r="AY13" s="26">
        <v>28662896</v>
      </c>
      <c r="AZ13" s="26">
        <v>37941414</v>
      </c>
      <c r="BA13" s="26">
        <v>53961197</v>
      </c>
      <c r="BB13" s="26">
        <v>54082101</v>
      </c>
      <c r="BC13" s="26">
        <v>56422063</v>
      </c>
      <c r="BD13" s="26">
        <v>46841932</v>
      </c>
      <c r="BE13" s="26">
        <v>47438910</v>
      </c>
      <c r="BF13" s="26">
        <v>64711197</v>
      </c>
      <c r="BG13" s="26">
        <v>48185914</v>
      </c>
      <c r="BH13" s="26">
        <v>46257754</v>
      </c>
      <c r="BI13" s="26">
        <v>57275674</v>
      </c>
      <c r="BJ13" s="26">
        <v>34612776</v>
      </c>
      <c r="BK13" s="26">
        <v>32009195</v>
      </c>
      <c r="BL13" s="26">
        <v>34170839</v>
      </c>
      <c r="BM13" s="26">
        <v>56784942</v>
      </c>
      <c r="BN13" s="26">
        <v>54361604</v>
      </c>
      <c r="BO13" s="26">
        <v>43970627</v>
      </c>
      <c r="BP13" s="26">
        <v>39150754</v>
      </c>
      <c r="BQ13" s="26">
        <v>50779223</v>
      </c>
      <c r="BR13" s="26">
        <v>46201258</v>
      </c>
      <c r="BS13" s="26">
        <v>54727269</v>
      </c>
      <c r="BT13" s="26">
        <v>54951598</v>
      </c>
      <c r="BU13" s="26">
        <v>40011744</v>
      </c>
      <c r="BV13" s="26">
        <v>33267044</v>
      </c>
      <c r="BW13" s="26">
        <v>35896599</v>
      </c>
      <c r="BX13" s="26">
        <v>69418077</v>
      </c>
      <c r="BY13" s="26">
        <v>80604800</v>
      </c>
      <c r="BZ13" s="26">
        <v>76652565</v>
      </c>
      <c r="CA13" s="26">
        <v>65628911</v>
      </c>
      <c r="CB13" s="26">
        <v>54585892</v>
      </c>
      <c r="CC13" s="26">
        <v>62614694</v>
      </c>
      <c r="CD13" s="26">
        <v>45399709</v>
      </c>
      <c r="CE13" s="26">
        <v>47309119</v>
      </c>
      <c r="CF13" s="26">
        <v>61594290</v>
      </c>
      <c r="CG13" s="29">
        <f>+'Copy Other Data Here'!N8</f>
        <v>64562818</v>
      </c>
      <c r="CH13" s="29">
        <f>+'Copy Other Data Here'!O8</f>
        <v>64197498</v>
      </c>
      <c r="CI13" s="29">
        <f>+'Copy Other Data Here'!P8</f>
        <v>84674336</v>
      </c>
      <c r="CJ13" s="21"/>
      <c r="CK13" s="22">
        <f>+'Copy Other Data Here'!N14</f>
        <v>768095507</v>
      </c>
      <c r="CL13" s="22">
        <f>+'Copy Other Data Here'!O14</f>
        <v>793674615</v>
      </c>
      <c r="CM13" s="22">
        <f>+'Copy Other Data Here'!P14</f>
        <v>815829905</v>
      </c>
      <c r="CO13" s="122"/>
      <c r="CP13" s="15"/>
    </row>
    <row r="14" spans="1:94" ht="15" customHeight="1" x14ac:dyDescent="0.25">
      <c r="A14" s="18" t="s">
        <v>20</v>
      </c>
      <c r="B14" s="19" t="e">
        <f>#REF!+B13</f>
        <v>#REF!</v>
      </c>
      <c r="C14" s="19">
        <f t="shared" ref="C14:O14" si="2">SUM(C9:C13)</f>
        <v>35683569</v>
      </c>
      <c r="D14" s="19">
        <f t="shared" si="2"/>
        <v>61952901</v>
      </c>
      <c r="E14" s="19">
        <f t="shared" si="2"/>
        <v>65090538</v>
      </c>
      <c r="F14" s="19">
        <f t="shared" si="2"/>
        <v>64947887</v>
      </c>
      <c r="G14" s="19">
        <f t="shared" si="2"/>
        <v>76760701</v>
      </c>
      <c r="H14" s="19">
        <f t="shared" si="2"/>
        <v>87223800</v>
      </c>
      <c r="I14" s="19">
        <f t="shared" si="2"/>
        <v>77280169</v>
      </c>
      <c r="J14" s="19">
        <f t="shared" si="2"/>
        <v>91326730</v>
      </c>
      <c r="K14" s="19">
        <f t="shared" si="2"/>
        <v>64821833</v>
      </c>
      <c r="L14" s="19">
        <f t="shared" si="2"/>
        <v>56927978</v>
      </c>
      <c r="M14" s="19">
        <f t="shared" si="2"/>
        <v>48003140</v>
      </c>
      <c r="N14" s="19">
        <f t="shared" si="2"/>
        <v>44973783</v>
      </c>
      <c r="O14" s="19">
        <f t="shared" si="2"/>
        <v>39751629</v>
      </c>
      <c r="P14" s="19">
        <v>52443074</v>
      </c>
      <c r="Q14" s="19">
        <v>56184128</v>
      </c>
      <c r="R14" s="19">
        <v>53393792</v>
      </c>
      <c r="S14" s="30">
        <f>SUM(S9:S13)</f>
        <v>58777183</v>
      </c>
      <c r="T14" s="31">
        <f>SUM(T9:T13)</f>
        <v>67729035</v>
      </c>
      <c r="U14" s="32">
        <f>SUM(U9:U13)</f>
        <v>75453034</v>
      </c>
      <c r="V14" s="32">
        <v>92665665</v>
      </c>
      <c r="W14" s="32">
        <v>61098424</v>
      </c>
      <c r="X14" s="32">
        <v>61504651</v>
      </c>
      <c r="Y14" s="32">
        <f t="shared" ref="Y14:BT14" si="3">SUM(Y9:Y13)</f>
        <v>56026589</v>
      </c>
      <c r="Z14" s="32">
        <f t="shared" si="3"/>
        <v>40466403</v>
      </c>
      <c r="AA14" s="32">
        <f t="shared" si="3"/>
        <v>39692363</v>
      </c>
      <c r="AB14" s="30">
        <f t="shared" si="3"/>
        <v>45197571</v>
      </c>
      <c r="AC14" s="31">
        <f t="shared" si="3"/>
        <v>54914489</v>
      </c>
      <c r="AD14" s="31">
        <f t="shared" si="3"/>
        <v>45550291</v>
      </c>
      <c r="AE14" s="30">
        <f t="shared" si="3"/>
        <v>53964387</v>
      </c>
      <c r="AF14" s="31">
        <f t="shared" si="3"/>
        <v>70145255</v>
      </c>
      <c r="AG14" s="32">
        <f t="shared" si="3"/>
        <v>90778182</v>
      </c>
      <c r="AH14" s="30">
        <f t="shared" si="3"/>
        <v>65158271</v>
      </c>
      <c r="AI14" s="30">
        <f t="shared" si="3"/>
        <v>73977083</v>
      </c>
      <c r="AJ14" s="30">
        <f t="shared" si="3"/>
        <v>62582441</v>
      </c>
      <c r="AK14" s="30">
        <f t="shared" si="3"/>
        <v>50929256</v>
      </c>
      <c r="AL14" s="30">
        <f t="shared" si="3"/>
        <v>40998268</v>
      </c>
      <c r="AM14" s="30">
        <f t="shared" si="3"/>
        <v>38939871</v>
      </c>
      <c r="AN14" s="30">
        <f t="shared" si="3"/>
        <v>57848501</v>
      </c>
      <c r="AO14" s="30">
        <f t="shared" si="3"/>
        <v>58421488</v>
      </c>
      <c r="AP14" s="30">
        <f t="shared" si="3"/>
        <v>64920761</v>
      </c>
      <c r="AQ14" s="30">
        <f t="shared" si="3"/>
        <v>72356452</v>
      </c>
      <c r="AR14" s="30">
        <f t="shared" si="3"/>
        <v>73188734</v>
      </c>
      <c r="AS14" s="30">
        <f t="shared" si="3"/>
        <v>81023401</v>
      </c>
      <c r="AT14" s="30">
        <f t="shared" si="3"/>
        <v>88704443</v>
      </c>
      <c r="AU14" s="30">
        <f t="shared" si="3"/>
        <v>65715084</v>
      </c>
      <c r="AV14" s="30">
        <f t="shared" si="3"/>
        <v>57474169</v>
      </c>
      <c r="AW14" s="30">
        <f t="shared" si="3"/>
        <v>53377721</v>
      </c>
      <c r="AX14" s="30">
        <f t="shared" si="3"/>
        <v>40915092</v>
      </c>
      <c r="AY14" s="30">
        <f t="shared" si="3"/>
        <v>35865505</v>
      </c>
      <c r="AZ14" s="30">
        <f t="shared" si="3"/>
        <v>43988966</v>
      </c>
      <c r="BA14" s="30">
        <f t="shared" si="3"/>
        <v>60298052</v>
      </c>
      <c r="BB14" s="30">
        <f t="shared" si="3"/>
        <v>62446923</v>
      </c>
      <c r="BC14" s="30">
        <f t="shared" si="3"/>
        <v>72842735</v>
      </c>
      <c r="BD14" s="30">
        <f t="shared" si="3"/>
        <v>75228760</v>
      </c>
      <c r="BE14" s="30">
        <f t="shared" si="3"/>
        <v>80778401</v>
      </c>
      <c r="BF14" s="30">
        <f t="shared" si="3"/>
        <v>102997087</v>
      </c>
      <c r="BG14" s="30">
        <f t="shared" si="3"/>
        <v>76445308</v>
      </c>
      <c r="BH14" s="30">
        <f t="shared" si="3"/>
        <v>73016543</v>
      </c>
      <c r="BI14" s="30">
        <f t="shared" si="3"/>
        <v>76511938</v>
      </c>
      <c r="BJ14" s="30">
        <f t="shared" si="3"/>
        <v>45373814</v>
      </c>
      <c r="BK14" s="30">
        <f t="shared" si="3"/>
        <v>41078854</v>
      </c>
      <c r="BL14" s="30">
        <f t="shared" si="3"/>
        <v>40956722</v>
      </c>
      <c r="BM14" s="30">
        <f t="shared" si="3"/>
        <v>63735732</v>
      </c>
      <c r="BN14" s="30">
        <f t="shared" si="3"/>
        <v>62705177</v>
      </c>
      <c r="BO14" s="30">
        <f t="shared" si="3"/>
        <v>59825483</v>
      </c>
      <c r="BP14" s="30">
        <f t="shared" si="3"/>
        <v>61215691</v>
      </c>
      <c r="BQ14" s="30">
        <f t="shared" si="3"/>
        <v>90437724</v>
      </c>
      <c r="BR14" s="30">
        <f t="shared" si="3"/>
        <v>86208016</v>
      </c>
      <c r="BS14" s="30">
        <f t="shared" si="3"/>
        <v>83072725</v>
      </c>
      <c r="BT14" s="30">
        <f t="shared" si="3"/>
        <v>83111299</v>
      </c>
      <c r="BU14" s="30">
        <f t="shared" ref="BU14:CF14" si="4">SUM(BU9:BU13)</f>
        <v>55211231</v>
      </c>
      <c r="BV14" s="30">
        <f t="shared" si="4"/>
        <v>42903559</v>
      </c>
      <c r="BW14" s="30">
        <f t="shared" si="4"/>
        <v>43000682</v>
      </c>
      <c r="BX14" s="30">
        <f t="shared" si="4"/>
        <v>75402606</v>
      </c>
      <c r="BY14" s="30">
        <f t="shared" si="4"/>
        <v>87101570</v>
      </c>
      <c r="BZ14" s="30">
        <f t="shared" si="4"/>
        <v>83911561</v>
      </c>
      <c r="CA14" s="30">
        <f t="shared" si="4"/>
        <v>81093209</v>
      </c>
      <c r="CB14" s="30">
        <f t="shared" si="4"/>
        <v>78565931</v>
      </c>
      <c r="CC14" s="30">
        <f t="shared" si="4"/>
        <v>102260244</v>
      </c>
      <c r="CD14" s="30">
        <f t="shared" si="4"/>
        <v>74097456</v>
      </c>
      <c r="CE14" s="30">
        <f t="shared" si="4"/>
        <v>69255452</v>
      </c>
      <c r="CF14" s="30">
        <f t="shared" si="4"/>
        <v>82501357</v>
      </c>
      <c r="CG14" s="30">
        <f>SUM(CG9:CG13)</f>
        <v>87868855</v>
      </c>
      <c r="CH14" s="30">
        <f>SUM(CH9:CH13)</f>
        <v>96354807</v>
      </c>
      <c r="CI14" s="30">
        <f>SUM(CI9:CI13)</f>
        <v>122635626</v>
      </c>
      <c r="CK14" s="33">
        <f>SUM(CK9:CK13)</f>
        <v>1023398784</v>
      </c>
      <c r="CL14" s="33">
        <f>SUM(CL9:CL13)</f>
        <v>1053106970</v>
      </c>
      <c r="CM14" s="30">
        <f>SUM(CM9:CM13)</f>
        <v>1077320779</v>
      </c>
      <c r="CO14" s="34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3"/>
      <c r="CP16" s="13"/>
    </row>
    <row r="17" spans="1:94" x14ac:dyDescent="0.25">
      <c r="CO17" s="123"/>
      <c r="CP17" s="13"/>
    </row>
    <row r="18" spans="1:94" x14ac:dyDescent="0.25">
      <c r="CK18" s="13"/>
      <c r="CL18" s="13"/>
      <c r="CM18" s="13"/>
      <c r="CN18" s="13"/>
      <c r="CO18" s="123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5"/>
      <c r="CP19" s="13"/>
    </row>
    <row r="20" spans="1:94" x14ac:dyDescent="0.25">
      <c r="M20" s="165"/>
      <c r="N20" s="165"/>
      <c r="O20" s="165"/>
      <c r="P20" s="155"/>
      <c r="Q20" s="155"/>
      <c r="R20" s="155"/>
      <c r="S20" s="166" t="s">
        <v>21</v>
      </c>
      <c r="T20" s="166"/>
      <c r="U20" s="16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66" t="s">
        <v>21</v>
      </c>
      <c r="AI20" s="166"/>
      <c r="AJ20" s="166"/>
      <c r="AK20" s="166" t="s">
        <v>21</v>
      </c>
      <c r="AL20" s="166"/>
      <c r="AM20" s="166"/>
      <c r="AN20" s="166" t="s">
        <v>21</v>
      </c>
      <c r="AO20" s="166"/>
      <c r="AP20" s="166"/>
      <c r="AQ20" s="166" t="s">
        <v>21</v>
      </c>
      <c r="AR20" s="166"/>
      <c r="AS20" s="166"/>
      <c r="AT20" s="166" t="s">
        <v>21</v>
      </c>
      <c r="AU20" s="166"/>
      <c r="AV20" s="166"/>
      <c r="AW20" s="160" t="s">
        <v>21</v>
      </c>
      <c r="AX20" s="163"/>
      <c r="AY20" s="164"/>
      <c r="AZ20" s="160" t="s">
        <v>21</v>
      </c>
      <c r="BA20" s="163"/>
      <c r="BB20" s="164"/>
      <c r="BC20" s="160" t="s">
        <v>21</v>
      </c>
      <c r="BD20" s="163"/>
      <c r="BE20" s="164"/>
      <c r="BF20" s="160" t="s">
        <v>21</v>
      </c>
      <c r="BG20" s="163"/>
      <c r="BH20" s="164"/>
      <c r="BI20" s="160" t="s">
        <v>21</v>
      </c>
      <c r="BJ20" s="163"/>
      <c r="BK20" s="164"/>
      <c r="BL20" s="160" t="s">
        <v>21</v>
      </c>
      <c r="BM20" s="163"/>
      <c r="BN20" s="164"/>
      <c r="BO20" s="160" t="s">
        <v>21</v>
      </c>
      <c r="BP20" s="163"/>
      <c r="BQ20" s="164"/>
      <c r="BR20" s="160" t="s">
        <v>21</v>
      </c>
      <c r="BS20" s="163"/>
      <c r="BT20" s="164"/>
      <c r="BU20" s="160" t="s">
        <v>21</v>
      </c>
      <c r="BV20" s="163"/>
      <c r="BW20" s="164"/>
      <c r="BX20" s="160" t="s">
        <v>21</v>
      </c>
      <c r="BY20" s="163"/>
      <c r="BZ20" s="164"/>
      <c r="CA20" s="160" t="s">
        <v>21</v>
      </c>
      <c r="CB20" s="163"/>
      <c r="CC20" s="164"/>
      <c r="CD20" s="160" t="s">
        <v>21</v>
      </c>
      <c r="CE20" s="163"/>
      <c r="CF20" s="164"/>
      <c r="CG20" s="160" t="s">
        <v>21</v>
      </c>
      <c r="CH20" s="163"/>
      <c r="CI20" s="164"/>
      <c r="CJ20" s="13"/>
      <c r="CK20" s="7"/>
      <c r="CL20" s="7"/>
      <c r="CM20" s="7"/>
      <c r="CN20" s="13"/>
      <c r="CO20" s="124"/>
      <c r="CP20" s="13"/>
    </row>
    <row r="21" spans="1:94" x14ac:dyDescent="0.25">
      <c r="M21" s="15"/>
      <c r="N21" s="15"/>
      <c r="O21" s="15"/>
      <c r="P21" s="15"/>
      <c r="Q21" s="15"/>
      <c r="R21" s="15"/>
      <c r="S21" s="36">
        <f t="shared" ref="S21:U22" si="5">S7</f>
        <v>2004</v>
      </c>
      <c r="T21" s="36">
        <f t="shared" si="5"/>
        <v>2004</v>
      </c>
      <c r="U21" s="36">
        <f t="shared" si="5"/>
        <v>2004</v>
      </c>
      <c r="V21" s="36">
        <v>2005</v>
      </c>
      <c r="W21" s="36">
        <v>2005</v>
      </c>
      <c r="X21" s="36">
        <v>2005</v>
      </c>
      <c r="Y21" s="36">
        <v>2005</v>
      </c>
      <c r="Z21" s="36">
        <v>2005</v>
      </c>
      <c r="AA21" s="36">
        <v>2005</v>
      </c>
      <c r="AB21" s="36"/>
      <c r="AC21" s="36"/>
      <c r="AD21" s="36"/>
      <c r="AE21" s="36"/>
      <c r="AF21" s="36"/>
      <c r="AG21" s="36"/>
      <c r="AH21" s="36">
        <f t="shared" ref="AH21:CF22" si="6">AH7</f>
        <v>2006</v>
      </c>
      <c r="AI21" s="36">
        <f t="shared" si="6"/>
        <v>2006</v>
      </c>
      <c r="AJ21" s="36">
        <f t="shared" si="6"/>
        <v>2006</v>
      </c>
      <c r="AK21" s="36">
        <f t="shared" si="6"/>
        <v>2006</v>
      </c>
      <c r="AL21" s="36">
        <f t="shared" si="6"/>
        <v>2006</v>
      </c>
      <c r="AM21" s="36">
        <f t="shared" si="6"/>
        <v>2006</v>
      </c>
      <c r="AN21" s="36">
        <f t="shared" si="6"/>
        <v>2006</v>
      </c>
      <c r="AO21" s="36">
        <f t="shared" si="6"/>
        <v>2006</v>
      </c>
      <c r="AP21" s="36">
        <f t="shared" si="6"/>
        <v>2006</v>
      </c>
      <c r="AQ21" s="36">
        <f t="shared" si="6"/>
        <v>2006</v>
      </c>
      <c r="AR21" s="36">
        <f t="shared" si="6"/>
        <v>2006</v>
      </c>
      <c r="AS21" s="36">
        <f t="shared" si="6"/>
        <v>2006</v>
      </c>
      <c r="AT21" s="36">
        <f t="shared" si="6"/>
        <v>2007</v>
      </c>
      <c r="AU21" s="36">
        <f t="shared" si="6"/>
        <v>2007</v>
      </c>
      <c r="AV21" s="36">
        <f t="shared" si="6"/>
        <v>2007</v>
      </c>
      <c r="AW21" s="36">
        <f t="shared" si="6"/>
        <v>2007</v>
      </c>
      <c r="AX21" s="36">
        <f t="shared" si="6"/>
        <v>2007</v>
      </c>
      <c r="AY21" s="36">
        <f t="shared" si="6"/>
        <v>2007</v>
      </c>
      <c r="AZ21" s="36">
        <f t="shared" si="6"/>
        <v>2007</v>
      </c>
      <c r="BA21" s="36">
        <f t="shared" si="6"/>
        <v>2007</v>
      </c>
      <c r="BB21" s="36">
        <f t="shared" si="6"/>
        <v>2007</v>
      </c>
      <c r="BC21" s="36">
        <f t="shared" si="6"/>
        <v>2007</v>
      </c>
      <c r="BD21" s="36">
        <f t="shared" si="6"/>
        <v>2007</v>
      </c>
      <c r="BE21" s="36">
        <f t="shared" si="6"/>
        <v>2007</v>
      </c>
      <c r="BF21" s="36">
        <f t="shared" si="6"/>
        <v>2008</v>
      </c>
      <c r="BG21" s="36">
        <f t="shared" si="6"/>
        <v>2008</v>
      </c>
      <c r="BH21" s="36">
        <f t="shared" si="6"/>
        <v>2008</v>
      </c>
      <c r="BI21" s="36">
        <f t="shared" si="6"/>
        <v>2008</v>
      </c>
      <c r="BJ21" s="36">
        <f t="shared" si="6"/>
        <v>2008</v>
      </c>
      <c r="BK21" s="36">
        <f t="shared" si="6"/>
        <v>2008</v>
      </c>
      <c r="BL21" s="36">
        <f t="shared" si="6"/>
        <v>2008</v>
      </c>
      <c r="BM21" s="36">
        <f t="shared" si="6"/>
        <v>2008</v>
      </c>
      <c r="BN21" s="36">
        <f t="shared" si="6"/>
        <v>2008</v>
      </c>
      <c r="BO21" s="36">
        <f t="shared" si="6"/>
        <v>2008</v>
      </c>
      <c r="BP21" s="36">
        <f t="shared" si="6"/>
        <v>2008</v>
      </c>
      <c r="BQ21" s="36">
        <f t="shared" si="6"/>
        <v>2008</v>
      </c>
      <c r="BR21" s="36">
        <f t="shared" si="6"/>
        <v>2009</v>
      </c>
      <c r="BS21" s="36">
        <f t="shared" si="6"/>
        <v>2009</v>
      </c>
      <c r="BT21" s="36">
        <f t="shared" si="6"/>
        <v>2009</v>
      </c>
      <c r="BU21" s="36">
        <f t="shared" si="6"/>
        <v>2009</v>
      </c>
      <c r="BV21" s="36">
        <f t="shared" si="6"/>
        <v>2009</v>
      </c>
      <c r="BW21" s="36">
        <f t="shared" si="6"/>
        <v>2009</v>
      </c>
      <c r="BX21" s="36">
        <f t="shared" si="6"/>
        <v>2009</v>
      </c>
      <c r="BY21" s="36">
        <f t="shared" si="6"/>
        <v>2009</v>
      </c>
      <c r="BZ21" s="36">
        <f t="shared" si="6"/>
        <v>2009</v>
      </c>
      <c r="CA21" s="36">
        <f t="shared" si="6"/>
        <v>2009</v>
      </c>
      <c r="CB21" s="36">
        <f t="shared" si="6"/>
        <v>2009</v>
      </c>
      <c r="CC21" s="36">
        <f t="shared" si="6"/>
        <v>2009</v>
      </c>
      <c r="CD21" s="36">
        <f t="shared" si="6"/>
        <v>2010</v>
      </c>
      <c r="CE21" s="36">
        <f t="shared" si="6"/>
        <v>2010</v>
      </c>
      <c r="CF21" s="36">
        <f t="shared" si="6"/>
        <v>2010</v>
      </c>
      <c r="CG21" s="197">
        <f>+CG7</f>
        <v>43768</v>
      </c>
      <c r="CH21" s="197">
        <f>+CH7</f>
        <v>43799</v>
      </c>
      <c r="CI21" s="197">
        <f>+CI7</f>
        <v>43830</v>
      </c>
      <c r="CK21" s="15"/>
      <c r="CL21" s="15"/>
      <c r="CM21" s="15"/>
      <c r="CN21" s="13"/>
      <c r="CO21" s="125"/>
      <c r="CP21" s="13"/>
    </row>
    <row r="22" spans="1:94" x14ac:dyDescent="0.25">
      <c r="M22" s="15"/>
      <c r="N22" s="15"/>
      <c r="O22" s="15"/>
      <c r="P22" s="15"/>
      <c r="Q22" s="15"/>
      <c r="R22" s="15"/>
      <c r="S22" s="115" t="str">
        <f t="shared" si="5"/>
        <v>OCT</v>
      </c>
      <c r="T22" s="115" t="str">
        <f t="shared" si="5"/>
        <v>NOV</v>
      </c>
      <c r="U22" s="115" t="str">
        <f t="shared" si="5"/>
        <v>DEC</v>
      </c>
      <c r="V22" s="115" t="s">
        <v>64</v>
      </c>
      <c r="W22" s="115" t="s">
        <v>65</v>
      </c>
      <c r="X22" s="115" t="s">
        <v>66</v>
      </c>
      <c r="Y22" s="115" t="s">
        <v>73</v>
      </c>
      <c r="Z22" s="115" t="s">
        <v>15</v>
      </c>
      <c r="AA22" s="115" t="s">
        <v>74</v>
      </c>
      <c r="AB22" s="115"/>
      <c r="AC22" s="115"/>
      <c r="AD22" s="115"/>
      <c r="AE22" s="115"/>
      <c r="AF22" s="115"/>
      <c r="AG22" s="115"/>
      <c r="AH22" s="115" t="str">
        <f t="shared" si="6"/>
        <v>Jan</v>
      </c>
      <c r="AI22" s="115" t="str">
        <f t="shared" si="6"/>
        <v>Feb</v>
      </c>
      <c r="AJ22" s="115" t="str">
        <f t="shared" si="6"/>
        <v>Mar</v>
      </c>
      <c r="AK22" s="115" t="str">
        <f t="shared" si="6"/>
        <v>Apr</v>
      </c>
      <c r="AL22" s="115" t="str">
        <f t="shared" si="6"/>
        <v>May</v>
      </c>
      <c r="AM22" s="115" t="str">
        <f t="shared" si="6"/>
        <v>Jun</v>
      </c>
      <c r="AN22" s="115" t="str">
        <f t="shared" si="6"/>
        <v>Jul</v>
      </c>
      <c r="AO22" s="115" t="str">
        <f t="shared" si="6"/>
        <v>Aug</v>
      </c>
      <c r="AP22" s="115" t="str">
        <f t="shared" si="6"/>
        <v>Sep</v>
      </c>
      <c r="AQ22" s="115" t="str">
        <f t="shared" si="6"/>
        <v>Oct</v>
      </c>
      <c r="AR22" s="115" t="str">
        <f t="shared" si="6"/>
        <v>Nov</v>
      </c>
      <c r="AS22" s="115" t="str">
        <f t="shared" si="6"/>
        <v>Dec</v>
      </c>
      <c r="AT22" s="115" t="str">
        <f t="shared" si="6"/>
        <v>Jan</v>
      </c>
      <c r="AU22" s="115" t="str">
        <f t="shared" si="6"/>
        <v>Feb</v>
      </c>
      <c r="AV22" s="115" t="str">
        <f t="shared" si="6"/>
        <v>Mar</v>
      </c>
      <c r="AW22" s="115" t="str">
        <f t="shared" si="6"/>
        <v>Apr</v>
      </c>
      <c r="AX22" s="115" t="str">
        <f t="shared" si="6"/>
        <v>May</v>
      </c>
      <c r="AY22" s="115" t="str">
        <f t="shared" si="6"/>
        <v>Jun</v>
      </c>
      <c r="AZ22" s="115" t="str">
        <f t="shared" si="6"/>
        <v>Jul</v>
      </c>
      <c r="BA22" s="115" t="str">
        <f t="shared" si="6"/>
        <v>Aug</v>
      </c>
      <c r="BB22" s="115" t="str">
        <f t="shared" si="6"/>
        <v>Sep</v>
      </c>
      <c r="BC22" s="115" t="str">
        <f t="shared" si="6"/>
        <v>Oct</v>
      </c>
      <c r="BD22" s="115" t="str">
        <f t="shared" si="6"/>
        <v>Nov</v>
      </c>
      <c r="BE22" s="115" t="str">
        <f t="shared" si="6"/>
        <v>Dec</v>
      </c>
      <c r="BF22" s="115" t="str">
        <f t="shared" si="6"/>
        <v>Jan</v>
      </c>
      <c r="BG22" s="115" t="str">
        <f t="shared" si="6"/>
        <v>Feb</v>
      </c>
      <c r="BH22" s="115" t="str">
        <f t="shared" si="6"/>
        <v>Mar</v>
      </c>
      <c r="BI22" s="115" t="str">
        <f t="shared" si="6"/>
        <v>Apr</v>
      </c>
      <c r="BJ22" s="115" t="str">
        <f t="shared" si="6"/>
        <v>May</v>
      </c>
      <c r="BK22" s="115" t="str">
        <f t="shared" si="6"/>
        <v>Jun</v>
      </c>
      <c r="BL22" s="115" t="str">
        <f t="shared" si="6"/>
        <v>Jul</v>
      </c>
      <c r="BM22" s="115" t="str">
        <f t="shared" si="6"/>
        <v>Aug</v>
      </c>
      <c r="BN22" s="115" t="str">
        <f t="shared" si="6"/>
        <v>Sep</v>
      </c>
      <c r="BO22" s="115" t="str">
        <f t="shared" si="6"/>
        <v>Oct</v>
      </c>
      <c r="BP22" s="115" t="str">
        <f t="shared" si="6"/>
        <v>Nov</v>
      </c>
      <c r="BQ22" s="115" t="str">
        <f t="shared" si="6"/>
        <v>Dec</v>
      </c>
      <c r="BR22" s="115" t="str">
        <f t="shared" si="6"/>
        <v>Jan</v>
      </c>
      <c r="BS22" s="115" t="str">
        <f t="shared" si="6"/>
        <v>Feb</v>
      </c>
      <c r="BT22" s="115" t="str">
        <f t="shared" si="6"/>
        <v>Mar</v>
      </c>
      <c r="BU22" s="115" t="str">
        <f t="shared" si="6"/>
        <v>Apr</v>
      </c>
      <c r="BV22" s="115" t="str">
        <f t="shared" si="6"/>
        <v>May</v>
      </c>
      <c r="BW22" s="115" t="str">
        <f t="shared" si="6"/>
        <v>Jun</v>
      </c>
      <c r="BX22" s="115" t="str">
        <f t="shared" si="6"/>
        <v>Jul</v>
      </c>
      <c r="BY22" s="115" t="str">
        <f t="shared" si="6"/>
        <v>Aug</v>
      </c>
      <c r="BZ22" s="115" t="str">
        <f t="shared" si="6"/>
        <v>Sep</v>
      </c>
      <c r="CA22" s="115" t="str">
        <f t="shared" si="6"/>
        <v>Oct</v>
      </c>
      <c r="CB22" s="115" t="str">
        <f t="shared" si="6"/>
        <v>Nov</v>
      </c>
      <c r="CC22" s="115" t="str">
        <f t="shared" si="6"/>
        <v>Dec</v>
      </c>
      <c r="CD22" s="115" t="str">
        <f t="shared" si="6"/>
        <v>Jan</v>
      </c>
      <c r="CE22" s="115" t="str">
        <f t="shared" si="6"/>
        <v>Feb</v>
      </c>
      <c r="CF22" s="115" t="str">
        <f t="shared" si="6"/>
        <v>Mar</v>
      </c>
      <c r="CG22" s="198">
        <f t="shared" ref="CG22:CI22" si="7">+CG8</f>
        <v>2019</v>
      </c>
      <c r="CH22" s="199">
        <f t="shared" si="7"/>
        <v>2019</v>
      </c>
      <c r="CI22" s="199">
        <f t="shared" si="7"/>
        <v>2019</v>
      </c>
      <c r="CK22" s="15"/>
      <c r="CL22" s="15"/>
      <c r="CM22" s="13"/>
      <c r="CN22" s="13"/>
      <c r="CO22" s="37"/>
      <c r="CP22" s="13"/>
    </row>
    <row r="23" spans="1:94" x14ac:dyDescent="0.25">
      <c r="A23" s="18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3">
        <v>143254</v>
      </c>
      <c r="T23" s="23">
        <v>145630</v>
      </c>
      <c r="U23" s="23">
        <v>147760</v>
      </c>
      <c r="V23" s="23">
        <v>143254</v>
      </c>
      <c r="W23" s="23">
        <v>145630</v>
      </c>
      <c r="X23" s="23">
        <v>147760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>
        <v>155737</v>
      </c>
      <c r="AI23" s="23">
        <v>156341</v>
      </c>
      <c r="AJ23" s="23">
        <v>156456</v>
      </c>
      <c r="AK23" s="23">
        <v>156256</v>
      </c>
      <c r="AL23" s="23">
        <v>155793</v>
      </c>
      <c r="AM23" s="23">
        <v>155159</v>
      </c>
      <c r="AN23" s="23">
        <v>154656</v>
      </c>
      <c r="AO23" s="23">
        <v>154561</v>
      </c>
      <c r="AP23" s="23">
        <v>154759</v>
      </c>
      <c r="AQ23" s="23">
        <v>155712</v>
      </c>
      <c r="AR23" s="23">
        <v>157714</v>
      </c>
      <c r="AS23" s="23">
        <v>159655</v>
      </c>
      <c r="AT23" s="23">
        <v>160693</v>
      </c>
      <c r="AU23" s="23">
        <v>161150</v>
      </c>
      <c r="AV23" s="23">
        <v>161258</v>
      </c>
      <c r="AW23" s="23">
        <v>160984</v>
      </c>
      <c r="AX23" s="23">
        <v>160522</v>
      </c>
      <c r="AY23" s="23">
        <v>160028</v>
      </c>
      <c r="AZ23" s="23">
        <v>159592</v>
      </c>
      <c r="BA23" s="23">
        <v>159451</v>
      </c>
      <c r="BB23" s="23">
        <v>159665</v>
      </c>
      <c r="BC23" s="23">
        <v>160637</v>
      </c>
      <c r="BD23" s="23">
        <v>162283</v>
      </c>
      <c r="BE23" s="23">
        <v>163708</v>
      </c>
      <c r="BF23" s="23">
        <v>164566</v>
      </c>
      <c r="BG23" s="23">
        <v>165064</v>
      </c>
      <c r="BH23" s="23">
        <v>165217</v>
      </c>
      <c r="BI23" s="23">
        <v>165114</v>
      </c>
      <c r="BJ23" s="23">
        <v>164897</v>
      </c>
      <c r="BK23" s="23">
        <v>164447</v>
      </c>
      <c r="BL23" s="23">
        <v>164001</v>
      </c>
      <c r="BM23" s="23">
        <v>163835</v>
      </c>
      <c r="BN23" s="23">
        <v>163941</v>
      </c>
      <c r="BO23" s="23">
        <v>164619</v>
      </c>
      <c r="BP23" s="23">
        <v>165843</v>
      </c>
      <c r="BQ23" s="23">
        <v>166965</v>
      </c>
      <c r="BR23" s="23">
        <v>167673</v>
      </c>
      <c r="BS23" s="23">
        <v>167911</v>
      </c>
      <c r="BT23" s="23">
        <v>167702</v>
      </c>
      <c r="BU23" s="23">
        <v>167299</v>
      </c>
      <c r="BV23" s="23">
        <v>166782</v>
      </c>
      <c r="BW23" s="23">
        <v>166212</v>
      </c>
      <c r="BX23" s="23">
        <v>165620</v>
      </c>
      <c r="BY23" s="23">
        <v>165227</v>
      </c>
      <c r="BZ23" s="23">
        <v>165200</v>
      </c>
      <c r="CA23" s="23">
        <v>165779</v>
      </c>
      <c r="CB23" s="23">
        <v>167030</v>
      </c>
      <c r="CC23" s="23">
        <v>168135</v>
      </c>
      <c r="CD23" s="23">
        <v>168725</v>
      </c>
      <c r="CE23" s="23">
        <v>168879</v>
      </c>
      <c r="CF23" s="23">
        <v>168860</v>
      </c>
      <c r="CG23" s="22">
        <f>+'Copy Other Data Here'!N19</f>
        <v>192838</v>
      </c>
      <c r="CH23" s="22">
        <f>+'Copy Other Data Here'!O19</f>
        <v>193448</v>
      </c>
      <c r="CI23" s="22">
        <f>+'Copy Other Data Here'!P19</f>
        <v>193905</v>
      </c>
      <c r="CJ23" s="13"/>
      <c r="CK23" s="19"/>
      <c r="CL23" s="19"/>
      <c r="CM23" s="13"/>
      <c r="CN23" s="13"/>
      <c r="CO23" s="13"/>
      <c r="CP23" s="13"/>
    </row>
    <row r="24" spans="1:94" x14ac:dyDescent="0.25">
      <c r="A24" s="18" t="s">
        <v>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3">
        <v>21485</v>
      </c>
      <c r="T24" s="23">
        <v>21824</v>
      </c>
      <c r="U24" s="23">
        <v>22109</v>
      </c>
      <c r="V24" s="23">
        <v>21485</v>
      </c>
      <c r="W24" s="23">
        <v>21824</v>
      </c>
      <c r="X24" s="23">
        <v>22109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>
        <v>22739</v>
      </c>
      <c r="AI24" s="23">
        <v>22817</v>
      </c>
      <c r="AJ24" s="23">
        <v>22814</v>
      </c>
      <c r="AK24" s="23">
        <v>22791</v>
      </c>
      <c r="AL24" s="23">
        <v>22710</v>
      </c>
      <c r="AM24" s="23">
        <v>22611</v>
      </c>
      <c r="AN24" s="23">
        <v>22527</v>
      </c>
      <c r="AO24" s="23">
        <v>22467</v>
      </c>
      <c r="AP24" s="23">
        <v>22426</v>
      </c>
      <c r="AQ24" s="23">
        <v>22430</v>
      </c>
      <c r="AR24" s="23">
        <v>22561</v>
      </c>
      <c r="AS24" s="23">
        <v>22774</v>
      </c>
      <c r="AT24" s="23">
        <v>22927</v>
      </c>
      <c r="AU24" s="23">
        <v>22992</v>
      </c>
      <c r="AV24" s="23">
        <v>23016</v>
      </c>
      <c r="AW24" s="23">
        <v>23006</v>
      </c>
      <c r="AX24" s="23">
        <v>22981</v>
      </c>
      <c r="AY24" s="23">
        <v>22945</v>
      </c>
      <c r="AZ24" s="23">
        <v>22888</v>
      </c>
      <c r="BA24" s="23">
        <v>22850</v>
      </c>
      <c r="BB24" s="23">
        <v>22836</v>
      </c>
      <c r="BC24" s="23">
        <v>22898</v>
      </c>
      <c r="BD24" s="23">
        <v>23057</v>
      </c>
      <c r="BE24" s="23">
        <v>23257</v>
      </c>
      <c r="BF24" s="23">
        <v>23422</v>
      </c>
      <c r="BG24" s="23">
        <v>23547</v>
      </c>
      <c r="BH24" s="23">
        <v>23596</v>
      </c>
      <c r="BI24" s="23">
        <v>23547</v>
      </c>
      <c r="BJ24" s="23">
        <v>23478</v>
      </c>
      <c r="BK24" s="23">
        <v>23409</v>
      </c>
      <c r="BL24" s="23">
        <v>23352</v>
      </c>
      <c r="BM24" s="23">
        <v>23321</v>
      </c>
      <c r="BN24" s="23">
        <v>23327</v>
      </c>
      <c r="BO24" s="23">
        <v>23393</v>
      </c>
      <c r="BP24" s="23">
        <v>23564</v>
      </c>
      <c r="BQ24" s="23">
        <v>23801</v>
      </c>
      <c r="BR24" s="23">
        <v>23987</v>
      </c>
      <c r="BS24" s="23">
        <v>24068</v>
      </c>
      <c r="BT24" s="23">
        <v>24077</v>
      </c>
      <c r="BU24" s="23">
        <v>24046</v>
      </c>
      <c r="BV24" s="23">
        <v>23963</v>
      </c>
      <c r="BW24" s="23">
        <v>23854</v>
      </c>
      <c r="BX24" s="23">
        <v>23757</v>
      </c>
      <c r="BY24" s="23">
        <v>23680</v>
      </c>
      <c r="BZ24" s="23">
        <v>23617</v>
      </c>
      <c r="CA24" s="23">
        <v>23636</v>
      </c>
      <c r="CB24" s="23">
        <v>23786</v>
      </c>
      <c r="CC24" s="23">
        <v>23959</v>
      </c>
      <c r="CD24" s="23">
        <v>24096</v>
      </c>
      <c r="CE24" s="23">
        <v>24154</v>
      </c>
      <c r="CF24" s="23">
        <v>24124</v>
      </c>
      <c r="CG24" s="22">
        <f>+'Copy Other Data Here'!N20</f>
        <v>26609</v>
      </c>
      <c r="CH24" s="22">
        <f>+'Copy Other Data Here'!O20</f>
        <v>26756</v>
      </c>
      <c r="CI24" s="22">
        <f>+'Copy Other Data Here'!P20</f>
        <v>26880</v>
      </c>
      <c r="CJ24" s="13"/>
      <c r="CK24" s="19"/>
      <c r="CL24" s="19"/>
      <c r="CM24" s="13"/>
      <c r="CN24" s="13"/>
      <c r="CO24" s="125"/>
      <c r="CP24" s="13"/>
    </row>
    <row r="25" spans="1:94" x14ac:dyDescent="0.25">
      <c r="A25" s="18" t="s">
        <v>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3">
        <v>418</v>
      </c>
      <c r="T25" s="23">
        <v>430</v>
      </c>
      <c r="U25" s="23">
        <v>426</v>
      </c>
      <c r="V25" s="23">
        <v>418</v>
      </c>
      <c r="W25" s="23">
        <v>430</v>
      </c>
      <c r="X25" s="23">
        <v>426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402</v>
      </c>
      <c r="AI25" s="23">
        <v>400</v>
      </c>
      <c r="AJ25" s="23">
        <v>399</v>
      </c>
      <c r="AK25" s="23">
        <v>396</v>
      </c>
      <c r="AL25" s="23">
        <v>394</v>
      </c>
      <c r="AM25" s="23">
        <v>392</v>
      </c>
      <c r="AN25" s="23">
        <v>388</v>
      </c>
      <c r="AO25" s="23">
        <v>387</v>
      </c>
      <c r="AP25" s="23">
        <v>390</v>
      </c>
      <c r="AQ25" s="23">
        <v>391</v>
      </c>
      <c r="AR25" s="23">
        <v>390</v>
      </c>
      <c r="AS25" s="23">
        <v>390</v>
      </c>
      <c r="AT25" s="23">
        <v>390</v>
      </c>
      <c r="AU25" s="23">
        <v>387</v>
      </c>
      <c r="AV25" s="23">
        <v>384</v>
      </c>
      <c r="AW25" s="23">
        <v>384</v>
      </c>
      <c r="AX25" s="23">
        <v>387</v>
      </c>
      <c r="AY25" s="23">
        <v>386</v>
      </c>
      <c r="AZ25" s="23">
        <v>383</v>
      </c>
      <c r="BA25" s="23">
        <v>383</v>
      </c>
      <c r="BB25" s="23">
        <v>384</v>
      </c>
      <c r="BC25" s="23">
        <v>385</v>
      </c>
      <c r="BD25" s="23">
        <v>384</v>
      </c>
      <c r="BE25" s="23">
        <v>384</v>
      </c>
      <c r="BF25" s="23">
        <v>383</v>
      </c>
      <c r="BG25" s="23">
        <v>382</v>
      </c>
      <c r="BH25" s="23">
        <v>382</v>
      </c>
      <c r="BI25" s="23">
        <v>381</v>
      </c>
      <c r="BJ25" s="23">
        <v>379</v>
      </c>
      <c r="BK25" s="23">
        <v>377</v>
      </c>
      <c r="BL25" s="23">
        <v>378</v>
      </c>
      <c r="BM25" s="23">
        <v>378</v>
      </c>
      <c r="BN25" s="23">
        <v>376</v>
      </c>
      <c r="BO25" s="23">
        <v>376</v>
      </c>
      <c r="BP25" s="23">
        <v>375</v>
      </c>
      <c r="BQ25" s="23">
        <v>373</v>
      </c>
      <c r="BR25" s="23">
        <v>370</v>
      </c>
      <c r="BS25" s="23">
        <v>367</v>
      </c>
      <c r="BT25" s="23">
        <v>368</v>
      </c>
      <c r="BU25" s="23">
        <v>368</v>
      </c>
      <c r="BV25" s="23">
        <v>366</v>
      </c>
      <c r="BW25" s="23">
        <v>366</v>
      </c>
      <c r="BX25" s="23">
        <v>366</v>
      </c>
      <c r="BY25" s="23">
        <v>365</v>
      </c>
      <c r="BZ25" s="23">
        <v>365</v>
      </c>
      <c r="CA25" s="23">
        <v>364</v>
      </c>
      <c r="CB25" s="23">
        <v>363</v>
      </c>
      <c r="CC25" s="23">
        <v>362</v>
      </c>
      <c r="CD25" s="23">
        <v>362</v>
      </c>
      <c r="CE25" s="23">
        <v>359</v>
      </c>
      <c r="CF25" s="23">
        <v>357</v>
      </c>
      <c r="CG25" s="22">
        <f>+'Copy Other Data Here'!N21</f>
        <v>496</v>
      </c>
      <c r="CH25" s="22">
        <f>+'Copy Other Data Here'!O21</f>
        <v>497</v>
      </c>
      <c r="CI25" s="22">
        <f>+'Copy Other Data Here'!P21</f>
        <v>495</v>
      </c>
      <c r="CJ25" s="13"/>
      <c r="CK25" s="19"/>
      <c r="CL25" s="19"/>
      <c r="CM25" s="13"/>
      <c r="CN25" s="13"/>
      <c r="CO25" s="5"/>
      <c r="CP25" s="13"/>
    </row>
    <row r="26" spans="1:94" x14ac:dyDescent="0.25">
      <c r="A26" s="18" t="s">
        <v>78</v>
      </c>
      <c r="B26" s="19"/>
      <c r="C26" s="19"/>
      <c r="D26" s="19"/>
      <c r="E26" s="19"/>
      <c r="F26" s="19"/>
      <c r="M26" s="19"/>
      <c r="N26" s="19"/>
      <c r="O26" s="19"/>
      <c r="P26" s="19"/>
      <c r="Q26" s="19"/>
      <c r="R26" s="19"/>
      <c r="S26" s="23">
        <v>5</v>
      </c>
      <c r="T26" s="23">
        <v>5</v>
      </c>
      <c r="U26" s="23">
        <v>5</v>
      </c>
      <c r="V26" s="23">
        <v>5</v>
      </c>
      <c r="W26" s="23">
        <v>5</v>
      </c>
      <c r="X26" s="23">
        <v>5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>
        <v>10</v>
      </c>
      <c r="AI26" s="23">
        <v>10</v>
      </c>
      <c r="AJ26" s="23">
        <v>15</v>
      </c>
      <c r="AK26" s="23">
        <v>15</v>
      </c>
      <c r="AL26" s="23">
        <v>15</v>
      </c>
      <c r="AM26" s="23">
        <v>17</v>
      </c>
      <c r="AN26" s="23">
        <v>17</v>
      </c>
      <c r="AO26" s="23">
        <v>17</v>
      </c>
      <c r="AP26" s="23">
        <v>17</v>
      </c>
      <c r="AQ26" s="23">
        <v>17</v>
      </c>
      <c r="AR26" s="23">
        <v>16</v>
      </c>
      <c r="AS26" s="23">
        <v>16</v>
      </c>
      <c r="AT26" s="23">
        <v>16</v>
      </c>
      <c r="AU26" s="23">
        <v>16</v>
      </c>
      <c r="AV26" s="23">
        <v>16</v>
      </c>
      <c r="AW26" s="23">
        <v>16</v>
      </c>
      <c r="AX26" s="23">
        <v>16</v>
      </c>
      <c r="AY26" s="23">
        <v>16</v>
      </c>
      <c r="AZ26" s="23">
        <v>16</v>
      </c>
      <c r="BA26" s="23">
        <v>16</v>
      </c>
      <c r="BB26" s="23">
        <v>16</v>
      </c>
      <c r="BC26" s="23">
        <v>16</v>
      </c>
      <c r="BD26" s="23">
        <v>17</v>
      </c>
      <c r="BE26" s="23">
        <v>17</v>
      </c>
      <c r="BF26" s="23">
        <v>17</v>
      </c>
      <c r="BG26" s="23">
        <v>17</v>
      </c>
      <c r="BH26" s="23">
        <v>17</v>
      </c>
      <c r="BI26" s="23">
        <v>17</v>
      </c>
      <c r="BJ26" s="23">
        <v>17</v>
      </c>
      <c r="BK26" s="23">
        <v>17</v>
      </c>
      <c r="BL26" s="23">
        <v>18</v>
      </c>
      <c r="BM26" s="23">
        <v>18</v>
      </c>
      <c r="BN26" s="23">
        <v>18</v>
      </c>
      <c r="BO26" s="23">
        <v>18</v>
      </c>
      <c r="BP26" s="23">
        <v>20</v>
      </c>
      <c r="BQ26" s="23">
        <v>21</v>
      </c>
      <c r="BR26" s="23">
        <v>20</v>
      </c>
      <c r="BS26" s="23">
        <v>19</v>
      </c>
      <c r="BT26" s="23">
        <v>18</v>
      </c>
      <c r="BU26" s="23">
        <v>19</v>
      </c>
      <c r="BV26" s="23">
        <v>17</v>
      </c>
      <c r="BW26" s="23">
        <v>15</v>
      </c>
      <c r="BX26" s="23">
        <v>15</v>
      </c>
      <c r="BY26" s="23">
        <v>14</v>
      </c>
      <c r="BZ26" s="23">
        <v>14</v>
      </c>
      <c r="CA26" s="23">
        <v>15</v>
      </c>
      <c r="CB26" s="23">
        <v>15</v>
      </c>
      <c r="CC26" s="23">
        <v>15</v>
      </c>
      <c r="CD26" s="23">
        <v>15</v>
      </c>
      <c r="CE26" s="23">
        <v>15</v>
      </c>
      <c r="CF26" s="23">
        <v>14</v>
      </c>
      <c r="CG26" s="22">
        <f>+'Copy Other Data Here'!N22</f>
        <v>8</v>
      </c>
      <c r="CH26" s="22">
        <f>+'Copy Other Data Here'!O22</f>
        <v>8</v>
      </c>
      <c r="CI26" s="22">
        <f>+'Copy Other Data Here'!P22</f>
        <v>8</v>
      </c>
      <c r="CJ26" s="13"/>
      <c r="CK26" s="19"/>
      <c r="CL26" s="19"/>
      <c r="CM26" s="13"/>
      <c r="CN26" s="13"/>
      <c r="CO26" s="37"/>
      <c r="CP26" s="13"/>
    </row>
    <row r="27" spans="1:94" x14ac:dyDescent="0.25">
      <c r="A27" s="18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6">
        <v>173</v>
      </c>
      <c r="T27" s="26">
        <v>174</v>
      </c>
      <c r="U27" s="26">
        <v>173</v>
      </c>
      <c r="V27" s="26">
        <v>173</v>
      </c>
      <c r="W27" s="26">
        <v>174</v>
      </c>
      <c r="X27" s="26">
        <v>173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>
        <v>167</v>
      </c>
      <c r="AL27" s="26">
        <v>167</v>
      </c>
      <c r="AM27" s="26">
        <v>167</v>
      </c>
      <c r="AN27" s="26">
        <v>166</v>
      </c>
      <c r="AO27" s="26">
        <v>166</v>
      </c>
      <c r="AP27" s="26">
        <v>166</v>
      </c>
      <c r="AQ27" s="26">
        <v>167</v>
      </c>
      <c r="AR27" s="26">
        <v>168</v>
      </c>
      <c r="AS27" s="26">
        <v>170</v>
      </c>
      <c r="AT27" s="26">
        <v>169</v>
      </c>
      <c r="AU27" s="26">
        <v>169</v>
      </c>
      <c r="AV27" s="26">
        <v>169</v>
      </c>
      <c r="AW27" s="26">
        <v>169</v>
      </c>
      <c r="AX27" s="26">
        <v>170</v>
      </c>
      <c r="AY27" s="26">
        <v>171</v>
      </c>
      <c r="AZ27" s="26">
        <v>171</v>
      </c>
      <c r="BA27" s="26">
        <v>171</v>
      </c>
      <c r="BB27" s="26">
        <v>172</v>
      </c>
      <c r="BC27" s="26">
        <v>172</v>
      </c>
      <c r="BD27" s="26">
        <v>171</v>
      </c>
      <c r="BE27" s="26">
        <v>170</v>
      </c>
      <c r="BF27" s="26">
        <v>170</v>
      </c>
      <c r="BG27" s="26">
        <v>170</v>
      </c>
      <c r="BH27" s="26">
        <v>170</v>
      </c>
      <c r="BI27" s="26">
        <v>171</v>
      </c>
      <c r="BJ27" s="26">
        <v>170</v>
      </c>
      <c r="BK27" s="26">
        <v>169</v>
      </c>
      <c r="BL27" s="26">
        <v>169</v>
      </c>
      <c r="BM27" s="26">
        <v>168</v>
      </c>
      <c r="BN27" s="26">
        <v>168</v>
      </c>
      <c r="BO27" s="26">
        <v>167</v>
      </c>
      <c r="BP27" s="26">
        <v>165</v>
      </c>
      <c r="BQ27" s="26">
        <v>164</v>
      </c>
      <c r="BR27" s="26">
        <v>164</v>
      </c>
      <c r="BS27" s="26">
        <v>165</v>
      </c>
      <c r="BT27" s="26">
        <v>167</v>
      </c>
      <c r="BU27" s="26">
        <v>169</v>
      </c>
      <c r="BV27" s="26">
        <v>172</v>
      </c>
      <c r="BW27" s="26">
        <v>173</v>
      </c>
      <c r="BX27" s="26">
        <v>174</v>
      </c>
      <c r="BY27" s="26">
        <v>175</v>
      </c>
      <c r="BZ27" s="26">
        <v>176</v>
      </c>
      <c r="CA27" s="26">
        <v>177</v>
      </c>
      <c r="CB27" s="26">
        <v>177</v>
      </c>
      <c r="CC27" s="26">
        <v>178</v>
      </c>
      <c r="CD27" s="26">
        <v>179</v>
      </c>
      <c r="CE27" s="26">
        <v>179</v>
      </c>
      <c r="CF27" s="26">
        <v>178</v>
      </c>
      <c r="CG27" s="22">
        <f>+'Copy Other Data Here'!N23</f>
        <v>192</v>
      </c>
      <c r="CH27" s="22">
        <f>+'Copy Other Data Here'!O23</f>
        <v>194</v>
      </c>
      <c r="CI27" s="22">
        <f>+'Copy Other Data Here'!P23</f>
        <v>195</v>
      </c>
      <c r="CJ27" s="13"/>
      <c r="CK27" s="19"/>
      <c r="CL27" s="19"/>
      <c r="CM27" s="13"/>
      <c r="CN27" s="13"/>
      <c r="CO27" s="121"/>
      <c r="CP27" s="15"/>
    </row>
    <row r="28" spans="1:94" x14ac:dyDescent="0.25">
      <c r="A28" s="18" t="s">
        <v>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33">
        <f t="shared" ref="S28:AA28" si="8">SUM(S23:S27)</f>
        <v>165335</v>
      </c>
      <c r="T28" s="33">
        <f t="shared" si="8"/>
        <v>168063</v>
      </c>
      <c r="U28" s="30">
        <f t="shared" si="8"/>
        <v>170473</v>
      </c>
      <c r="V28" s="30">
        <f t="shared" si="8"/>
        <v>165335</v>
      </c>
      <c r="W28" s="30">
        <f t="shared" si="8"/>
        <v>168063</v>
      </c>
      <c r="X28" s="30">
        <f t="shared" si="8"/>
        <v>170473</v>
      </c>
      <c r="Y28" s="30">
        <f t="shared" si="8"/>
        <v>0</v>
      </c>
      <c r="Z28" s="30">
        <f t="shared" si="8"/>
        <v>0</v>
      </c>
      <c r="AA28" s="30">
        <f t="shared" si="8"/>
        <v>0</v>
      </c>
      <c r="AB28" s="33"/>
      <c r="AC28" s="33"/>
      <c r="AD28" s="33"/>
      <c r="AE28" s="33"/>
      <c r="AF28" s="33"/>
      <c r="AG28" s="33"/>
      <c r="AH28" s="33">
        <v>167</v>
      </c>
      <c r="AI28" s="33">
        <v>167</v>
      </c>
      <c r="AJ28" s="30">
        <v>166</v>
      </c>
      <c r="AK28" s="33">
        <f t="shared" ref="AK28:BP28" si="9">SUM(AK23:AK27)</f>
        <v>179625</v>
      </c>
      <c r="AL28" s="33">
        <f t="shared" si="9"/>
        <v>179079</v>
      </c>
      <c r="AM28" s="30">
        <f t="shared" si="9"/>
        <v>178346</v>
      </c>
      <c r="AN28" s="33">
        <f t="shared" si="9"/>
        <v>177754</v>
      </c>
      <c r="AO28" s="33">
        <f t="shared" si="9"/>
        <v>177598</v>
      </c>
      <c r="AP28" s="30">
        <f t="shared" si="9"/>
        <v>177758</v>
      </c>
      <c r="AQ28" s="33">
        <f t="shared" si="9"/>
        <v>178717</v>
      </c>
      <c r="AR28" s="33">
        <f t="shared" si="9"/>
        <v>180849</v>
      </c>
      <c r="AS28" s="30">
        <f t="shared" si="9"/>
        <v>183005</v>
      </c>
      <c r="AT28" s="33">
        <f t="shared" si="9"/>
        <v>184195</v>
      </c>
      <c r="AU28" s="33">
        <f t="shared" si="9"/>
        <v>184714</v>
      </c>
      <c r="AV28" s="30">
        <f t="shared" si="9"/>
        <v>184843</v>
      </c>
      <c r="AW28" s="30">
        <f t="shared" si="9"/>
        <v>184559</v>
      </c>
      <c r="AX28" s="30">
        <f t="shared" si="9"/>
        <v>184076</v>
      </c>
      <c r="AY28" s="30">
        <f t="shared" si="9"/>
        <v>183546</v>
      </c>
      <c r="AZ28" s="30">
        <f t="shared" si="9"/>
        <v>183050</v>
      </c>
      <c r="BA28" s="30">
        <f t="shared" si="9"/>
        <v>182871</v>
      </c>
      <c r="BB28" s="30">
        <f t="shared" si="9"/>
        <v>183073</v>
      </c>
      <c r="BC28" s="30">
        <f t="shared" si="9"/>
        <v>184108</v>
      </c>
      <c r="BD28" s="30">
        <f t="shared" si="9"/>
        <v>185912</v>
      </c>
      <c r="BE28" s="30">
        <f t="shared" si="9"/>
        <v>187536</v>
      </c>
      <c r="BF28" s="30">
        <f t="shared" si="9"/>
        <v>188558</v>
      </c>
      <c r="BG28" s="30">
        <f t="shared" si="9"/>
        <v>189180</v>
      </c>
      <c r="BH28" s="30">
        <f t="shared" si="9"/>
        <v>189382</v>
      </c>
      <c r="BI28" s="30">
        <f t="shared" si="9"/>
        <v>189230</v>
      </c>
      <c r="BJ28" s="30">
        <f t="shared" si="9"/>
        <v>188941</v>
      </c>
      <c r="BK28" s="30">
        <f t="shared" si="9"/>
        <v>188419</v>
      </c>
      <c r="BL28" s="30">
        <f t="shared" si="9"/>
        <v>187918</v>
      </c>
      <c r="BM28" s="30">
        <f t="shared" si="9"/>
        <v>187720</v>
      </c>
      <c r="BN28" s="30">
        <f t="shared" si="9"/>
        <v>187830</v>
      </c>
      <c r="BO28" s="30">
        <f t="shared" si="9"/>
        <v>188573</v>
      </c>
      <c r="BP28" s="30">
        <f t="shared" si="9"/>
        <v>189967</v>
      </c>
      <c r="BQ28" s="30">
        <f t="shared" ref="BQ28:CF28" si="10">SUM(BQ23:BQ27)</f>
        <v>191324</v>
      </c>
      <c r="BR28" s="30">
        <f t="shared" si="10"/>
        <v>192214</v>
      </c>
      <c r="BS28" s="30">
        <f t="shared" si="10"/>
        <v>192530</v>
      </c>
      <c r="BT28" s="30">
        <f t="shared" si="10"/>
        <v>192332</v>
      </c>
      <c r="BU28" s="30">
        <f t="shared" si="10"/>
        <v>191901</v>
      </c>
      <c r="BV28" s="30">
        <f t="shared" si="10"/>
        <v>191300</v>
      </c>
      <c r="BW28" s="30">
        <f t="shared" si="10"/>
        <v>190620</v>
      </c>
      <c r="BX28" s="30">
        <f t="shared" si="10"/>
        <v>189932</v>
      </c>
      <c r="BY28" s="30">
        <f t="shared" si="10"/>
        <v>189461</v>
      </c>
      <c r="BZ28" s="30">
        <f t="shared" si="10"/>
        <v>189372</v>
      </c>
      <c r="CA28" s="30">
        <f t="shared" si="10"/>
        <v>189971</v>
      </c>
      <c r="CB28" s="30">
        <f t="shared" si="10"/>
        <v>191371</v>
      </c>
      <c r="CC28" s="30">
        <f t="shared" si="10"/>
        <v>192649</v>
      </c>
      <c r="CD28" s="30">
        <f t="shared" si="10"/>
        <v>193377</v>
      </c>
      <c r="CE28" s="30">
        <f t="shared" si="10"/>
        <v>193586</v>
      </c>
      <c r="CF28" s="30">
        <f t="shared" si="10"/>
        <v>193533</v>
      </c>
      <c r="CG28" s="30">
        <f>SUM(CG23:CG27)</f>
        <v>220143</v>
      </c>
      <c r="CH28" s="30">
        <f>SUM(CH23:CH27)</f>
        <v>220903</v>
      </c>
      <c r="CI28" s="30">
        <f>SUM(CI23:CI27)</f>
        <v>221483</v>
      </c>
      <c r="CK28" s="19"/>
      <c r="CL28" s="19"/>
      <c r="CM28" s="19"/>
      <c r="CN28" s="13"/>
      <c r="CO28" s="5"/>
      <c r="CP28" s="13"/>
    </row>
    <row r="29" spans="1:94" x14ac:dyDescent="0.25">
      <c r="AJ29" s="126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19"/>
      <c r="S30" s="19"/>
      <c r="AH30" s="19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CG20:CI20"/>
    <mergeCell ref="BL20:BN20"/>
    <mergeCell ref="BO20:BQ20"/>
    <mergeCell ref="BR20:BT20"/>
    <mergeCell ref="BU20:BW20"/>
    <mergeCell ref="BX20:BZ20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</mergeCells>
  <printOptions horizontalCentered="1"/>
  <pageMargins left="0.5" right="0.5" top="1" bottom="1" header="0.5" footer="0.5"/>
  <pageSetup scale="99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tabSelected="1" zoomScaleNormal="100" zoomScaleSheetLayoutView="85" workbookViewId="0">
      <selection sqref="A1:XFD1048576"/>
    </sheetView>
  </sheetViews>
  <sheetFormatPr defaultRowHeight="15" x14ac:dyDescent="0.25"/>
  <cols>
    <col min="1" max="1" width="6.42578125" style="38" customWidth="1"/>
    <col min="2" max="2" width="7.7109375" style="38" customWidth="1"/>
    <col min="3" max="3" width="34.28515625" style="38" customWidth="1"/>
    <col min="4" max="4" width="16.28515625" style="39" customWidth="1"/>
    <col min="5" max="5" width="16.28515625" style="75" customWidth="1"/>
    <col min="6" max="16384" width="9.140625" style="38"/>
  </cols>
  <sheetData>
    <row r="1" spans="1:5" ht="21" customHeight="1" x14ac:dyDescent="0.25"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59" t="str">
        <f>"Month and Twelve Months Ended " &amp; TEXT(DATE(YEAR(StatementDate),MONTH(StatementDate)-1,1)-1,"m/d/yyy")</f>
        <v>Month and Twelve Months Ended 10/31/2019</v>
      </c>
      <c r="B5" s="159"/>
      <c r="C5" s="159"/>
      <c r="D5" s="159"/>
      <c r="E5" s="159"/>
    </row>
    <row r="6" spans="1:5" x14ac:dyDescent="0.25">
      <c r="A6" s="43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Here'!C10</f>
        <v>18891882.68</v>
      </c>
      <c r="E10" s="52">
        <f>+'Copy Allocation Report Here'!F10</f>
        <v>208817408.74000001</v>
      </c>
    </row>
    <row r="11" spans="1:5" x14ac:dyDescent="0.25">
      <c r="A11" s="49"/>
      <c r="B11" s="13" t="s">
        <v>28</v>
      </c>
      <c r="C11" s="13"/>
      <c r="D11" s="51">
        <f>+'Copy Allocation Report Here'!C14</f>
        <v>2074979.45</v>
      </c>
      <c r="E11" s="52">
        <f>+'Copy Allocation Report Here'!F14</f>
        <v>23663743.690000001</v>
      </c>
    </row>
    <row r="12" spans="1:5" x14ac:dyDescent="0.25">
      <c r="A12" s="49"/>
      <c r="B12" s="13" t="s">
        <v>29</v>
      </c>
      <c r="C12" s="13"/>
      <c r="D12" s="53">
        <f>+'Copy Allocation Report Here'!C20-'Copy Allocation Report Here'!C14</f>
        <v>174665.26</v>
      </c>
      <c r="E12" s="54">
        <f>+'Copy Allocation Report Here'!F20-'Copy Allocation Report Here'!F14</f>
        <v>2126918.1300000027</v>
      </c>
    </row>
    <row r="13" spans="1:5" x14ac:dyDescent="0.25">
      <c r="A13" s="49"/>
      <c r="B13" s="13"/>
      <c r="C13" s="13"/>
      <c r="D13" s="55">
        <f>SUM(D10:D12)</f>
        <v>21141527.390000001</v>
      </c>
      <c r="E13" s="50">
        <f>SUM(E10:E12)</f>
        <v>234608070.56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Here'!C30+'Copy Allocation Report Here'!C44</f>
        <v>11555899.989999998</v>
      </c>
      <c r="E14" s="52">
        <f>+'Copy Allocation Report Here'!F30+'Copy Allocation Report Here'!F44</f>
        <v>114003339.25999999</v>
      </c>
    </row>
    <row r="15" spans="1:5" x14ac:dyDescent="0.25">
      <c r="A15" s="49"/>
      <c r="B15" s="13" t="s">
        <v>32</v>
      </c>
      <c r="C15" s="13"/>
      <c r="D15" s="51">
        <f>+'Copy Allocation Report Here'!C46</f>
        <v>1434697.28</v>
      </c>
      <c r="E15" s="52">
        <f>+'Copy Allocation Report Here'!F46</f>
        <v>19304028.899999999</v>
      </c>
    </row>
    <row r="16" spans="1:5" x14ac:dyDescent="0.25">
      <c r="A16" s="49" t="s">
        <v>33</v>
      </c>
      <c r="B16" s="13"/>
      <c r="C16" s="13"/>
      <c r="D16" s="56">
        <f>D13-D14-D15</f>
        <v>8150930.120000002</v>
      </c>
      <c r="E16" s="57">
        <f>E13-E14-E15</f>
        <v>101300702.40000001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Here'!C50</f>
        <v>105225.89</v>
      </c>
      <c r="E18" s="50">
        <f>'Copy Allocation Report Here'!F50</f>
        <v>341892.21</v>
      </c>
    </row>
    <row r="19" spans="1:5" x14ac:dyDescent="0.25">
      <c r="A19" s="49"/>
      <c r="B19" s="13" t="s">
        <v>35</v>
      </c>
      <c r="C19" s="13"/>
      <c r="D19" s="51">
        <f>+'Copy Allocation Report Here'!C78</f>
        <v>2181267.5100000002</v>
      </c>
      <c r="E19" s="52">
        <f>+'Copy Allocation Report Here'!F78</f>
        <v>20259280.510000002</v>
      </c>
    </row>
    <row r="20" spans="1:5" x14ac:dyDescent="0.25">
      <c r="A20" s="49"/>
      <c r="B20" s="13" t="s">
        <v>36</v>
      </c>
      <c r="C20" s="13"/>
      <c r="D20" s="51">
        <f>+'Copy Allocation Report Here'!C86</f>
        <v>509757.88</v>
      </c>
      <c r="E20" s="52">
        <f>+'Copy Allocation Report Here'!F86</f>
        <v>5623082.8199999994</v>
      </c>
    </row>
    <row r="21" spans="1:5" x14ac:dyDescent="0.25">
      <c r="A21" s="49"/>
      <c r="B21" s="13" t="s">
        <v>37</v>
      </c>
      <c r="C21" s="13"/>
      <c r="D21" s="51">
        <f>+'Copy Allocation Report Here'!C93</f>
        <v>645320.15999999992</v>
      </c>
      <c r="E21" s="52">
        <f>+'Copy Allocation Report Here'!F93</f>
        <v>7259988.54</v>
      </c>
    </row>
    <row r="22" spans="1:5" x14ac:dyDescent="0.25">
      <c r="A22" s="49"/>
      <c r="B22" s="13" t="s">
        <v>0</v>
      </c>
      <c r="C22" s="13"/>
      <c r="D22" s="51">
        <f>+'Copy Allocation Report Here'!C100</f>
        <v>835.62</v>
      </c>
      <c r="E22" s="52">
        <f>+'Copy Allocation Report Here'!F100</f>
        <v>3826.44</v>
      </c>
    </row>
    <row r="23" spans="1:5" x14ac:dyDescent="0.25">
      <c r="A23" s="49"/>
      <c r="B23" s="13" t="s">
        <v>38</v>
      </c>
      <c r="C23" s="13"/>
      <c r="D23" s="51">
        <f>+'Copy Allocation Report Here'!C116</f>
        <v>1395209.33</v>
      </c>
      <c r="E23" s="52">
        <f>+'Copy Allocation Report Here'!F116</f>
        <v>18040945.809999995</v>
      </c>
    </row>
    <row r="24" spans="1:5" x14ac:dyDescent="0.25">
      <c r="A24" s="49"/>
      <c r="B24" s="13" t="s">
        <v>39</v>
      </c>
      <c r="C24" s="13"/>
      <c r="D24" s="51">
        <f>+'Copy Allocation Report Here'!C128</f>
        <v>2116784.89</v>
      </c>
      <c r="E24" s="52">
        <f>+'Copy Allocation Report Here'!F128</f>
        <v>24642524.559999999</v>
      </c>
    </row>
    <row r="25" spans="1:5" x14ac:dyDescent="0.25">
      <c r="A25" s="49"/>
      <c r="B25" s="13" t="s">
        <v>40</v>
      </c>
      <c r="C25" s="13"/>
      <c r="D25" s="51">
        <f>+'Copy Allocation Report Here'!C133</f>
        <v>384782.53</v>
      </c>
      <c r="E25" s="52">
        <f>+'Copy Allocation Report Here'!F133</f>
        <v>4066340.18</v>
      </c>
    </row>
    <row r="26" spans="1:5" x14ac:dyDescent="0.25">
      <c r="A26" s="49"/>
      <c r="B26" s="13" t="s">
        <v>41</v>
      </c>
      <c r="C26" s="13"/>
      <c r="D26" s="51">
        <f>+'Copy Allocation Report Here'!C142</f>
        <v>-213536.76</v>
      </c>
      <c r="E26" s="52">
        <f>+'Copy Allocation Report Here'!F142</f>
        <v>-97227.480000004463</v>
      </c>
    </row>
    <row r="27" spans="1:5" x14ac:dyDescent="0.25">
      <c r="A27" s="49"/>
      <c r="B27" s="13"/>
      <c r="C27" s="13" t="s">
        <v>42</v>
      </c>
      <c r="D27" s="56">
        <f>SUM(D18:D26)</f>
        <v>7125647.0500000017</v>
      </c>
      <c r="E27" s="57">
        <f>SUM(E18:E26)</f>
        <v>80140653.590000004</v>
      </c>
    </row>
    <row r="28" spans="1:5" ht="15.75" thickBot="1" x14ac:dyDescent="0.3">
      <c r="A28" s="49" t="s">
        <v>43</v>
      </c>
      <c r="B28" s="13"/>
      <c r="C28" s="13"/>
      <c r="D28" s="58">
        <f>D16-D27</f>
        <v>1025283.0700000003</v>
      </c>
      <c r="E28" s="59">
        <f>E16-E27</f>
        <v>21160048.810000002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383957101</v>
      </c>
      <c r="E30" s="61">
        <f>E52</f>
        <v>369151966</v>
      </c>
    </row>
    <row r="31" spans="1:5" ht="15.75" thickTop="1" x14ac:dyDescent="0.25">
      <c r="A31" s="49"/>
      <c r="B31" s="13"/>
      <c r="C31" s="13"/>
      <c r="D31" s="55"/>
      <c r="E31" s="50"/>
    </row>
    <row r="32" spans="1:5" ht="15.75" thickBot="1" x14ac:dyDescent="0.3">
      <c r="A32" s="62" t="s">
        <v>45</v>
      </c>
      <c r="B32" s="63"/>
      <c r="C32" s="63"/>
      <c r="D32" s="64">
        <f>D28/D30</f>
        <v>2.6703063111209401E-3</v>
      </c>
      <c r="E32" s="65">
        <f>E28/E30</f>
        <v>5.732069922119825E-2</v>
      </c>
    </row>
    <row r="33" spans="1:5" ht="16.5" thickTop="1" thickBot="1" x14ac:dyDescent="0.3">
      <c r="A33" s="66"/>
      <c r="B33" s="67"/>
      <c r="C33" s="67"/>
      <c r="D33" s="68"/>
      <c r="E33" s="69"/>
    </row>
    <row r="34" spans="1:5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x14ac:dyDescent="0.25">
      <c r="D36" s="38"/>
      <c r="E36" s="44"/>
    </row>
    <row r="37" spans="1:5" x14ac:dyDescent="0.25">
      <c r="D37" s="44"/>
      <c r="E37" s="44"/>
    </row>
    <row r="38" spans="1:5" x14ac:dyDescent="0.25">
      <c r="A38" s="38" t="s">
        <v>48</v>
      </c>
      <c r="D38" s="44"/>
      <c r="E38" s="44"/>
    </row>
    <row r="39" spans="1:5" ht="15.75" thickBot="1" x14ac:dyDescent="0.3">
      <c r="D39" s="70"/>
      <c r="E39" s="44"/>
    </row>
    <row r="40" spans="1:5" x14ac:dyDescent="0.25">
      <c r="A40" s="71" t="s">
        <v>49</v>
      </c>
      <c r="B40" s="72"/>
      <c r="C40" s="72"/>
      <c r="D40" s="113">
        <f>+'Copy Other Data Here'!C18</f>
        <v>848660889.5</v>
      </c>
      <c r="E40" s="114">
        <f>+'Copy Other Data Here'!C30</f>
        <v>828031665</v>
      </c>
    </row>
    <row r="41" spans="1:5" x14ac:dyDescent="0.25">
      <c r="A41" s="49" t="s">
        <v>50</v>
      </c>
      <c r="B41" s="13"/>
      <c r="C41" s="13"/>
      <c r="D41" s="53">
        <f>+'Copy Other Data Here'!C19</f>
        <v>-392898834.5</v>
      </c>
      <c r="E41" s="54">
        <f>+'Copy Other Data Here'!C31</f>
        <v>-386861981</v>
      </c>
    </row>
    <row r="42" spans="1:5" x14ac:dyDescent="0.25">
      <c r="A42" s="49" t="s">
        <v>51</v>
      </c>
      <c r="B42" s="13"/>
      <c r="C42" s="13"/>
      <c r="D42" s="55">
        <f>D40+D41</f>
        <v>455762055</v>
      </c>
      <c r="E42" s="50">
        <f>E40+E41</f>
        <v>441169684</v>
      </c>
    </row>
    <row r="43" spans="1:5" x14ac:dyDescent="0.25">
      <c r="A43" s="49"/>
      <c r="B43" s="13"/>
      <c r="C43" s="13"/>
      <c r="D43" s="55"/>
      <c r="E43" s="50"/>
    </row>
    <row r="44" spans="1:5" x14ac:dyDescent="0.25">
      <c r="A44" s="49" t="s">
        <v>52</v>
      </c>
      <c r="B44" s="13"/>
      <c r="C44" s="13"/>
      <c r="D44" s="55"/>
      <c r="E44" s="50"/>
    </row>
    <row r="45" spans="1:5" x14ac:dyDescent="0.25">
      <c r="A45" s="49"/>
      <c r="B45" s="13" t="s">
        <v>53</v>
      </c>
      <c r="C45" s="13"/>
      <c r="D45" s="51">
        <f>+'Copy Other Data Here'!C22</f>
        <v>0</v>
      </c>
      <c r="E45" s="52">
        <f>+'Copy Other Data Here'!C34</f>
        <v>0</v>
      </c>
    </row>
    <row r="46" spans="1:5" x14ac:dyDescent="0.25">
      <c r="A46" s="49"/>
      <c r="B46" s="13" t="s">
        <v>54</v>
      </c>
      <c r="C46" s="13"/>
      <c r="D46" s="51">
        <f>+'Copy Other Data Here'!C21</f>
        <v>-3724109</v>
      </c>
      <c r="E46" s="52">
        <f>+'Copy Other Data Here'!C33</f>
        <v>-3828522</v>
      </c>
    </row>
    <row r="47" spans="1:5" x14ac:dyDescent="0.25">
      <c r="A47" s="49"/>
      <c r="B47" s="13" t="s">
        <v>55</v>
      </c>
      <c r="C47" s="13"/>
      <c r="D47" s="51">
        <f>+'Copy Other Data Here'!C23</f>
        <v>-75883695</v>
      </c>
      <c r="E47" s="52">
        <f>+'Copy Other Data Here'!C35</f>
        <v>-75427470</v>
      </c>
    </row>
    <row r="48" spans="1:5" x14ac:dyDescent="0.25">
      <c r="A48" s="49"/>
      <c r="B48" s="13" t="s">
        <v>56</v>
      </c>
      <c r="C48" s="13"/>
      <c r="D48" s="53">
        <v>0</v>
      </c>
      <c r="E48" s="54">
        <v>0</v>
      </c>
    </row>
    <row r="49" spans="1:5" x14ac:dyDescent="0.25">
      <c r="A49" s="49"/>
      <c r="B49" s="13"/>
      <c r="C49" s="13" t="s">
        <v>57</v>
      </c>
      <c r="D49" s="55">
        <f>D42+SUM(D45:D48)</f>
        <v>376154251</v>
      </c>
      <c r="E49" s="50">
        <f>E42+SUM(E45:E48)</f>
        <v>361913692</v>
      </c>
    </row>
    <row r="50" spans="1:5" x14ac:dyDescent="0.25">
      <c r="A50" s="49"/>
      <c r="B50" s="13"/>
      <c r="C50" s="13"/>
      <c r="D50" s="55"/>
      <c r="E50" s="50"/>
    </row>
    <row r="51" spans="1:5" x14ac:dyDescent="0.25">
      <c r="A51" s="49" t="s">
        <v>58</v>
      </c>
      <c r="B51" s="13"/>
      <c r="C51" s="13"/>
      <c r="D51" s="53">
        <f>'Copy Other Data Here'!C25</f>
        <v>7802850</v>
      </c>
      <c r="E51" s="54">
        <f>'Copy Other Data Here'!C37</f>
        <v>7238274</v>
      </c>
    </row>
    <row r="52" spans="1:5" ht="15.75" thickBot="1" x14ac:dyDescent="0.3">
      <c r="A52" s="66" t="s">
        <v>59</v>
      </c>
      <c r="B52" s="67"/>
      <c r="C52" s="67"/>
      <c r="D52" s="73">
        <f>D49+D51</f>
        <v>383957101</v>
      </c>
      <c r="E52" s="74">
        <f>E49+E51</f>
        <v>369151966</v>
      </c>
    </row>
    <row r="53" spans="1:5" x14ac:dyDescent="0.25">
      <c r="D53" s="44"/>
      <c r="E53" s="44"/>
    </row>
    <row r="54" spans="1:5" x14ac:dyDescent="0.25">
      <c r="A54" s="38" t="s">
        <v>313</v>
      </c>
      <c r="D54" s="44"/>
      <c r="E54" s="44"/>
    </row>
    <row r="55" spans="1:5" x14ac:dyDescent="0.25">
      <c r="D55" s="44"/>
      <c r="E55" s="44"/>
    </row>
    <row r="56" spans="1:5" x14ac:dyDescent="0.25">
      <c r="D56" s="44"/>
      <c r="E56" s="44"/>
    </row>
    <row r="57" spans="1:5" x14ac:dyDescent="0.25">
      <c r="D57" s="44"/>
      <c r="E57" s="44"/>
    </row>
    <row r="58" spans="1:5" x14ac:dyDescent="0.25">
      <c r="D58" s="44"/>
      <c r="E58" s="44"/>
    </row>
    <row r="59" spans="1:5" x14ac:dyDescent="0.25">
      <c r="D59" s="44"/>
      <c r="E59" s="44"/>
    </row>
    <row r="60" spans="1:5" x14ac:dyDescent="0.25">
      <c r="D60" s="44"/>
      <c r="E60" s="44"/>
    </row>
    <row r="61" spans="1:5" x14ac:dyDescent="0.25">
      <c r="D61" s="44"/>
      <c r="E61" s="44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tabSelected="1" topLeftCell="A4" zoomScaleNormal="100" zoomScaleSheetLayoutView="70" workbookViewId="0">
      <selection sqref="A1:XFD1048576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3" customWidth="1"/>
    <col min="5" max="5" width="17.570312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59" t="str">
        <f>"Month and Twelve Months Ended " &amp; TEXT(DATE(YEAR(StatementDate),MONTH(StatementDate),1)-1,"m/d/yyy")</f>
        <v>Month and Twelve Months Ended 11/30/2019</v>
      </c>
      <c r="B5" s="159"/>
      <c r="C5" s="159"/>
      <c r="D5" s="159"/>
      <c r="E5" s="159"/>
    </row>
    <row r="6" spans="1:5" x14ac:dyDescent="0.25">
      <c r="A6" s="43"/>
      <c r="B6" s="38"/>
      <c r="C6" s="38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Here'!D10</f>
        <v>28873986.43</v>
      </c>
      <c r="E10" s="52">
        <f>+'Copy Allocation Report Here'!G10</f>
        <v>214971934.03</v>
      </c>
    </row>
    <row r="11" spans="1:5" x14ac:dyDescent="0.25">
      <c r="A11" s="49"/>
      <c r="B11" s="13" t="s">
        <v>28</v>
      </c>
      <c r="C11" s="13"/>
      <c r="D11" s="51">
        <f>+'Copy Allocation Report Here'!D14</f>
        <v>1968942.06</v>
      </c>
      <c r="E11" s="52">
        <f>+'Copy Allocation Report Here'!G14</f>
        <v>23851461.630000003</v>
      </c>
    </row>
    <row r="12" spans="1:5" x14ac:dyDescent="0.25">
      <c r="A12" s="49"/>
      <c r="B12" s="13" t="s">
        <v>29</v>
      </c>
      <c r="C12" s="13"/>
      <c r="D12" s="53">
        <f>+'Copy Allocation Report Here'!D20-'Copy Allocation Report Here'!D14</f>
        <v>191930.42000000039</v>
      </c>
      <c r="E12" s="54">
        <f>+'Copy Allocation Report Here'!G20-'Copy Allocation Report Here'!G14</f>
        <v>2056550.8599999994</v>
      </c>
    </row>
    <row r="13" spans="1:5" x14ac:dyDescent="0.25">
      <c r="A13" s="49"/>
      <c r="B13" s="13"/>
      <c r="C13" s="13"/>
      <c r="D13" s="55">
        <f>SUM(D10:D12)</f>
        <v>31034858.91</v>
      </c>
      <c r="E13" s="50">
        <f>SUM(E10:E12)</f>
        <v>240879946.51999998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Here'!D30+'Copy Allocation Report Here'!D44</f>
        <v>17570630.289999999</v>
      </c>
      <c r="E14" s="52">
        <f>+'Copy Allocation Report Here'!G30+'Copy Allocation Report Here'!G44</f>
        <v>119571696.02000001</v>
      </c>
    </row>
    <row r="15" spans="1:5" x14ac:dyDescent="0.25">
      <c r="A15" s="49"/>
      <c r="B15" s="13" t="s">
        <v>32</v>
      </c>
      <c r="C15" s="13"/>
      <c r="D15" s="51">
        <f>+'Copy Allocation Report Here'!D46</f>
        <v>2254649.75</v>
      </c>
      <c r="E15" s="52">
        <f>+'Copy Allocation Report Here'!G46</f>
        <v>19928737.399999999</v>
      </c>
    </row>
    <row r="16" spans="1:5" x14ac:dyDescent="0.25">
      <c r="A16" s="49" t="s">
        <v>33</v>
      </c>
      <c r="B16" s="13"/>
      <c r="C16" s="13"/>
      <c r="D16" s="56">
        <f>D13-D14-D15</f>
        <v>11209578.870000001</v>
      </c>
      <c r="E16" s="57">
        <f>E13-E14-E15</f>
        <v>101379513.09999996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Here'!D50</f>
        <v>-867.33999999999992</v>
      </c>
      <c r="E18" s="50">
        <f>'Copy Allocation Report Here'!G50</f>
        <v>321047.32</v>
      </c>
    </row>
    <row r="19" spans="1:5" x14ac:dyDescent="0.25">
      <c r="A19" s="49"/>
      <c r="B19" s="13" t="s">
        <v>35</v>
      </c>
      <c r="C19" s="13"/>
      <c r="D19" s="51">
        <f>+'Copy Allocation Report Here'!D78</f>
        <v>1576340.79</v>
      </c>
      <c r="E19" s="52">
        <f>+'Copy Allocation Report Here'!G78</f>
        <v>20266839.640000001</v>
      </c>
    </row>
    <row r="20" spans="1:5" x14ac:dyDescent="0.25">
      <c r="A20" s="49"/>
      <c r="B20" s="13" t="s">
        <v>36</v>
      </c>
      <c r="C20" s="13"/>
      <c r="D20" s="51">
        <f>+'Copy Allocation Report Here'!D86</f>
        <v>498777.69</v>
      </c>
      <c r="E20" s="52">
        <f>+'Copy Allocation Report Here'!G86</f>
        <v>5648106.4400000004</v>
      </c>
    </row>
    <row r="21" spans="1:5" x14ac:dyDescent="0.25">
      <c r="A21" s="49"/>
      <c r="B21" s="13" t="s">
        <v>37</v>
      </c>
      <c r="C21" s="13"/>
      <c r="D21" s="51">
        <f>+'Copy Allocation Report Here'!D93</f>
        <v>819637.91999999993</v>
      </c>
      <c r="E21" s="52">
        <f>+'Copy Allocation Report Here'!G93</f>
        <v>7348986.3500000006</v>
      </c>
    </row>
    <row r="22" spans="1:5" x14ac:dyDescent="0.25">
      <c r="A22" s="49"/>
      <c r="B22" s="13" t="s">
        <v>0</v>
      </c>
      <c r="C22" s="13"/>
      <c r="D22" s="51">
        <f>+'Copy Allocation Report Here'!D100</f>
        <v>763.73</v>
      </c>
      <c r="E22" s="52">
        <f>+'Copy Allocation Report Here'!G100</f>
        <v>4590.17</v>
      </c>
    </row>
    <row r="23" spans="1:5" x14ac:dyDescent="0.25">
      <c r="A23" s="49"/>
      <c r="B23" s="13" t="s">
        <v>38</v>
      </c>
      <c r="C23" s="13"/>
      <c r="D23" s="51">
        <f>+'Copy Allocation Report Here'!D116</f>
        <v>1510095.43</v>
      </c>
      <c r="E23" s="52">
        <f>+'Copy Allocation Report Here'!G116</f>
        <v>18250066.030000001</v>
      </c>
    </row>
    <row r="24" spans="1:5" x14ac:dyDescent="0.25">
      <c r="A24" s="49"/>
      <c r="B24" s="13" t="s">
        <v>39</v>
      </c>
      <c r="C24" s="13"/>
      <c r="D24" s="51">
        <f>+'Copy Allocation Report Here'!D128</f>
        <v>2135644.39</v>
      </c>
      <c r="E24" s="52">
        <f>+'Copy Allocation Report Here'!G128</f>
        <v>24806295.219999999</v>
      </c>
    </row>
    <row r="25" spans="1:5" x14ac:dyDescent="0.25">
      <c r="A25" s="49"/>
      <c r="B25" s="13" t="s">
        <v>40</v>
      </c>
      <c r="C25" s="13"/>
      <c r="D25" s="51">
        <f>+'Copy Allocation Report Here'!D133</f>
        <v>364592.04</v>
      </c>
      <c r="E25" s="52">
        <f>+'Copy Allocation Report Here'!G133</f>
        <v>4089607.0600000005</v>
      </c>
    </row>
    <row r="26" spans="1:5" x14ac:dyDescent="0.25">
      <c r="A26" s="49"/>
      <c r="B26" s="13" t="s">
        <v>41</v>
      </c>
      <c r="C26" s="13"/>
      <c r="D26" s="51">
        <f>+'Copy Allocation Report Here'!D142</f>
        <v>518127.87999999995</v>
      </c>
      <c r="E26" s="52">
        <f>+'Copy Allocation Report Here'!G142</f>
        <v>-506117.86000000359</v>
      </c>
    </row>
    <row r="27" spans="1:5" x14ac:dyDescent="0.25">
      <c r="A27" s="49"/>
      <c r="B27" s="13"/>
      <c r="C27" s="13" t="s">
        <v>42</v>
      </c>
      <c r="D27" s="56">
        <f>SUM(D18:D26)</f>
        <v>7423112.5299999993</v>
      </c>
      <c r="E27" s="57">
        <f>SUM(E18:E26)</f>
        <v>80229420.370000005</v>
      </c>
    </row>
    <row r="28" spans="1:5" ht="15.75" thickBot="1" x14ac:dyDescent="0.3">
      <c r="A28" s="49" t="s">
        <v>43</v>
      </c>
      <c r="B28" s="13"/>
      <c r="C28" s="13"/>
      <c r="D28" s="58">
        <f>D16-D27</f>
        <v>3786466.3400000017</v>
      </c>
      <c r="E28" s="59">
        <f>E16-E27</f>
        <v>21150092.729999959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386771332.89999998</v>
      </c>
      <c r="E30" s="61">
        <f>E52</f>
        <v>371822198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9.7899353388194253E-3</v>
      </c>
      <c r="E32" s="65">
        <f>E28/E30</f>
        <v>5.6882275570862929E-2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Here'!D18</f>
        <v>854299023.65499997</v>
      </c>
      <c r="E40" s="114">
        <f>+'Copy Other Data Here'!D30</f>
        <v>831881401</v>
      </c>
    </row>
    <row r="41" spans="1:5" x14ac:dyDescent="0.25">
      <c r="A41" s="79" t="s">
        <v>50</v>
      </c>
      <c r="B41" s="3"/>
      <c r="C41" s="13"/>
      <c r="D41" s="53">
        <f>+'Copy Other Data Here'!D19</f>
        <v>-394674009.71000004</v>
      </c>
      <c r="E41" s="54">
        <f>+'Copy Other Data Here'!D31</f>
        <v>-387744685</v>
      </c>
    </row>
    <row r="42" spans="1:5" x14ac:dyDescent="0.25">
      <c r="A42" s="79" t="s">
        <v>51</v>
      </c>
      <c r="B42" s="3"/>
      <c r="C42" s="13"/>
      <c r="D42" s="55">
        <f>D40+D41</f>
        <v>459625013.94499993</v>
      </c>
      <c r="E42" s="50">
        <f>E40+E41</f>
        <v>444136716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Here'!D22</f>
        <v>0</v>
      </c>
      <c r="E45" s="52">
        <f>+'Copy Other Data Here'!D34</f>
        <v>0</v>
      </c>
    </row>
    <row r="46" spans="1:5" x14ac:dyDescent="0.25">
      <c r="A46" s="79"/>
      <c r="B46" s="3" t="s">
        <v>54</v>
      </c>
      <c r="C46" s="13"/>
      <c r="D46" s="51">
        <f>+'Copy Other Data Here'!D21</f>
        <v>-3730285.5549999997</v>
      </c>
      <c r="E46" s="52">
        <f>+'Copy Other Data Here'!D33</f>
        <v>-3813852</v>
      </c>
    </row>
    <row r="47" spans="1:5" x14ac:dyDescent="0.25">
      <c r="A47" s="79"/>
      <c r="B47" s="3" t="s">
        <v>55</v>
      </c>
      <c r="C47" s="13"/>
      <c r="D47" s="51">
        <f>+'Copy Other Data Here'!D23</f>
        <v>-76564459.489999995</v>
      </c>
      <c r="E47" s="52">
        <f>+'Copy Other Data Here'!D35</f>
        <v>-75505166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379330268.89999998</v>
      </c>
      <c r="E49" s="50">
        <f>E42+SUM(E45:E48)</f>
        <v>364817698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Here'!D25</f>
        <v>7441064</v>
      </c>
      <c r="E51" s="54">
        <f>+'Copy Other Data Here'!D37</f>
        <v>7004500</v>
      </c>
    </row>
    <row r="52" spans="1:5" ht="15.75" thickBot="1" x14ac:dyDescent="0.3">
      <c r="A52" s="80" t="s">
        <v>59</v>
      </c>
      <c r="B52" s="81"/>
      <c r="C52" s="67"/>
      <c r="D52" s="73">
        <f>D49+D51</f>
        <v>386771332.89999998</v>
      </c>
      <c r="E52" s="74">
        <f>E49+E51</f>
        <v>371822198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tabSelected="1" zoomScaleNormal="100" zoomScaleSheetLayoutView="80" workbookViewId="0">
      <selection sqref="A1:XFD1048576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3" customWidth="1"/>
    <col min="5" max="5" width="17.710937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59" t="str">
        <f>"Month and Twelve Months Ended " &amp; TEXT(StatementDate,"m/d/yyy")</f>
        <v>Month and Twelve Months Ended 12/31/2019</v>
      </c>
      <c r="B5" s="159"/>
      <c r="C5" s="159"/>
      <c r="D5" s="159"/>
      <c r="E5" s="159"/>
    </row>
    <row r="6" spans="1:5" x14ac:dyDescent="0.25">
      <c r="A6" s="85"/>
      <c r="B6" s="86"/>
      <c r="C6" s="86"/>
      <c r="D6" s="70"/>
      <c r="E6" s="70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Here'!E10</f>
        <v>35674583.549999997</v>
      </c>
      <c r="E10" s="52">
        <f>+'Copy Allocation Report Here'!H10</f>
        <v>221481599.95999998</v>
      </c>
    </row>
    <row r="11" spans="1:5" x14ac:dyDescent="0.25">
      <c r="A11" s="49"/>
      <c r="B11" s="13" t="s">
        <v>28</v>
      </c>
      <c r="C11" s="13"/>
      <c r="D11" s="51">
        <f>+'Copy Allocation Report Here'!E14</f>
        <v>2193759.77</v>
      </c>
      <c r="E11" s="52">
        <f>+'Copy Allocation Report Here'!H14</f>
        <v>24094627.940000001</v>
      </c>
    </row>
    <row r="12" spans="1:5" x14ac:dyDescent="0.25">
      <c r="A12" s="49"/>
      <c r="B12" s="13" t="s">
        <v>29</v>
      </c>
      <c r="C12" s="13"/>
      <c r="D12" s="53">
        <f>+'Copy Allocation Report Here'!E20-'Copy Allocation Report Here'!E14</f>
        <v>-231723.70000000019</v>
      </c>
      <c r="E12" s="54">
        <f>+'Copy Allocation Report Here'!H20-'Copy Allocation Report Here'!H14</f>
        <v>1748761.5300000012</v>
      </c>
    </row>
    <row r="13" spans="1:5" x14ac:dyDescent="0.25">
      <c r="A13" s="49"/>
      <c r="B13" s="13"/>
      <c r="C13" s="13"/>
      <c r="D13" s="55">
        <f>SUM(D10:D12)</f>
        <v>37636619.619999997</v>
      </c>
      <c r="E13" s="50">
        <f>SUM(E10:E12)</f>
        <v>247324989.42999998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Here'!E30+'Copy Allocation Report Here'!E44</f>
        <v>20798670.790000003</v>
      </c>
      <c r="E14" s="52">
        <f>+'Copy Allocation Report Here'!H30+'Copy Allocation Report Here'!H44</f>
        <v>125165839.18000001</v>
      </c>
    </row>
    <row r="15" spans="1:5" x14ac:dyDescent="0.25">
      <c r="A15" s="49"/>
      <c r="B15" s="13" t="s">
        <v>32</v>
      </c>
      <c r="C15" s="13"/>
      <c r="D15" s="51">
        <f>+'Copy Allocation Report Here'!E46</f>
        <v>3094343.62</v>
      </c>
      <c r="E15" s="52">
        <f>+'Copy Allocation Report Here'!H46</f>
        <v>20632282.93</v>
      </c>
    </row>
    <row r="16" spans="1:5" x14ac:dyDescent="0.25">
      <c r="A16" s="49" t="s">
        <v>33</v>
      </c>
      <c r="B16" s="13"/>
      <c r="C16" s="13"/>
      <c r="D16" s="56">
        <f>D13-D14-D15</f>
        <v>13743605.209999993</v>
      </c>
      <c r="E16" s="57">
        <f>E13-E14-E15</f>
        <v>101526867.31999996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Here'!E50</f>
        <v>17179.53</v>
      </c>
      <c r="E18" s="50">
        <f>'Copy Allocation Report Here'!H50</f>
        <v>320028.11</v>
      </c>
    </row>
    <row r="19" spans="1:5" x14ac:dyDescent="0.25">
      <c r="A19" s="49"/>
      <c r="B19" s="13" t="s">
        <v>35</v>
      </c>
      <c r="C19" s="13"/>
      <c r="D19" s="51">
        <f>+'Copy Allocation Report Here'!E78</f>
        <v>1759194.1400000001</v>
      </c>
      <c r="E19" s="52">
        <f>+'Copy Allocation Report Here'!H78</f>
        <v>20414279.720000003</v>
      </c>
    </row>
    <row r="20" spans="1:5" x14ac:dyDescent="0.25">
      <c r="A20" s="49"/>
      <c r="B20" s="13" t="s">
        <v>36</v>
      </c>
      <c r="C20" s="13"/>
      <c r="D20" s="51">
        <f>+'Copy Allocation Report Here'!E86</f>
        <v>706801.33000000007</v>
      </c>
      <c r="E20" s="52">
        <f>+'Copy Allocation Report Here'!H86</f>
        <v>5854250.6700000009</v>
      </c>
    </row>
    <row r="21" spans="1:5" x14ac:dyDescent="0.25">
      <c r="A21" s="49"/>
      <c r="B21" s="13" t="s">
        <v>37</v>
      </c>
      <c r="C21" s="13"/>
      <c r="D21" s="51">
        <f>+'Copy Allocation Report Here'!E93</f>
        <v>985957.48999999987</v>
      </c>
      <c r="E21" s="52">
        <f>+'Copy Allocation Report Here'!H93</f>
        <v>7311469.46</v>
      </c>
    </row>
    <row r="22" spans="1:5" x14ac:dyDescent="0.25">
      <c r="A22" s="49"/>
      <c r="B22" s="13" t="s">
        <v>0</v>
      </c>
      <c r="C22" s="13"/>
      <c r="D22" s="51">
        <f>+'Copy Allocation Report Here'!E100</f>
        <v>818.52</v>
      </c>
      <c r="E22" s="52">
        <f>+'Copy Allocation Report Here'!H100</f>
        <v>5408.6900000000005</v>
      </c>
    </row>
    <row r="23" spans="1:5" x14ac:dyDescent="0.25">
      <c r="A23" s="49"/>
      <c r="B23" s="13" t="s">
        <v>38</v>
      </c>
      <c r="C23" s="13"/>
      <c r="D23" s="51">
        <f>+'Copy Allocation Report Here'!E116</f>
        <v>1904175.5999999996</v>
      </c>
      <c r="E23" s="52">
        <f>+'Copy Allocation Report Here'!H116</f>
        <v>18950113.18</v>
      </c>
    </row>
    <row r="24" spans="1:5" x14ac:dyDescent="0.25">
      <c r="A24" s="49"/>
      <c r="B24" s="13" t="s">
        <v>39</v>
      </c>
      <c r="C24" s="13"/>
      <c r="D24" s="51">
        <f>+'Copy Allocation Report Here'!E128</f>
        <v>2148029.36</v>
      </c>
      <c r="E24" s="52">
        <f>+'Copy Allocation Report Here'!H128</f>
        <v>24915117.609999999</v>
      </c>
    </row>
    <row r="25" spans="1:5" x14ac:dyDescent="0.25">
      <c r="A25" s="49"/>
      <c r="B25" s="13" t="s">
        <v>40</v>
      </c>
      <c r="C25" s="13"/>
      <c r="D25" s="51">
        <f>+'Copy Allocation Report Here'!E133</f>
        <v>416144.98</v>
      </c>
      <c r="E25" s="52">
        <f>+'Copy Allocation Report Here'!H133</f>
        <v>4176014.52</v>
      </c>
    </row>
    <row r="26" spans="1:5" x14ac:dyDescent="0.25">
      <c r="A26" s="49"/>
      <c r="B26" s="13" t="s">
        <v>41</v>
      </c>
      <c r="C26" s="13"/>
      <c r="D26" s="51">
        <f>+'Copy Allocation Report Here'!E142</f>
        <v>756615.72999999986</v>
      </c>
      <c r="E26" s="52">
        <f>+'Copy Allocation Report Here'!H142</f>
        <v>-1224199.5100000019</v>
      </c>
    </row>
    <row r="27" spans="1:5" x14ac:dyDescent="0.25">
      <c r="A27" s="49"/>
      <c r="B27" s="13"/>
      <c r="C27" s="13" t="s">
        <v>42</v>
      </c>
      <c r="D27" s="56">
        <f>SUM(D18:D26)</f>
        <v>8694916.6799999997</v>
      </c>
      <c r="E27" s="57">
        <f>SUM(E18:E26)</f>
        <v>80722482.449999988</v>
      </c>
    </row>
    <row r="28" spans="1:5" ht="15.75" thickBot="1" x14ac:dyDescent="0.3">
      <c r="A28" s="49" t="s">
        <v>43</v>
      </c>
      <c r="B28" s="13"/>
      <c r="C28" s="13"/>
      <c r="D28" s="58">
        <f>D16-D27</f>
        <v>5048688.5299999937</v>
      </c>
      <c r="E28" s="59">
        <f>E16-E27</f>
        <v>20804384.869999975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393201758.88999993</v>
      </c>
      <c r="E30" s="61">
        <f>E52</f>
        <v>375260464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1.2839943911370926E-2</v>
      </c>
      <c r="E32" s="65">
        <f>E28/E30</f>
        <v>5.5439852757843348E-2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Here'!E18</f>
        <v>861878061.15499997</v>
      </c>
      <c r="E40" s="114">
        <f>+'Copy Other Data Here'!E30</f>
        <v>835867892</v>
      </c>
    </row>
    <row r="41" spans="1:5" x14ac:dyDescent="0.25">
      <c r="A41" s="79" t="s">
        <v>50</v>
      </c>
      <c r="B41" s="3"/>
      <c r="C41" s="13"/>
      <c r="D41" s="53">
        <f>+'Copy Other Data Here'!E19</f>
        <v>-394925957.71000004</v>
      </c>
      <c r="E41" s="54">
        <f>+'Copy Other Data Here'!E31</f>
        <v>-388720269</v>
      </c>
    </row>
    <row r="42" spans="1:5" x14ac:dyDescent="0.25">
      <c r="A42" s="79" t="s">
        <v>51</v>
      </c>
      <c r="B42" s="3"/>
      <c r="C42" s="13"/>
      <c r="D42" s="55">
        <f>D40+D41</f>
        <v>466952103.44499993</v>
      </c>
      <c r="E42" s="50">
        <f>E40+E41</f>
        <v>447147623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Here'!E22</f>
        <v>0</v>
      </c>
      <c r="E45" s="52">
        <f>+'Copy Other Data Here'!E34</f>
        <v>0</v>
      </c>
    </row>
    <row r="46" spans="1:5" x14ac:dyDescent="0.25">
      <c r="A46" s="79"/>
      <c r="B46" s="3" t="s">
        <v>54</v>
      </c>
      <c r="C46" s="13"/>
      <c r="D46" s="51">
        <f>+'Copy Other Data Here'!E21</f>
        <v>-3744586.5549999997</v>
      </c>
      <c r="E46" s="52">
        <f>+'Copy Other Data Here'!E33</f>
        <v>-3800413</v>
      </c>
    </row>
    <row r="47" spans="1:5" x14ac:dyDescent="0.25">
      <c r="A47" s="79"/>
      <c r="B47" s="3" t="s">
        <v>55</v>
      </c>
      <c r="C47" s="13"/>
      <c r="D47" s="51">
        <f>+'Copy Other Data Here'!E23</f>
        <v>-77673011</v>
      </c>
      <c r="E47" s="52">
        <f>+'Copy Other Data Here'!E35</f>
        <v>-75625050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385534505.88999993</v>
      </c>
      <c r="E49" s="50">
        <f>E42+SUM(E45:E48)</f>
        <v>367722160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Here'!E25</f>
        <v>7667253</v>
      </c>
      <c r="E51" s="54">
        <f>+'Copy Other Data Here'!E37</f>
        <v>7538304</v>
      </c>
    </row>
    <row r="52" spans="1:5" ht="15.75" thickBot="1" x14ac:dyDescent="0.3">
      <c r="A52" s="80" t="s">
        <v>59</v>
      </c>
      <c r="B52" s="81"/>
      <c r="C52" s="67"/>
      <c r="D52" s="73">
        <f>D49+D51</f>
        <v>393201758.88999993</v>
      </c>
      <c r="E52" s="74">
        <f>E49+E51</f>
        <v>375260464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H145"/>
  <sheetViews>
    <sheetView tabSelected="1" zoomScaleNormal="100" zoomScaleSheetLayoutView="100" workbookViewId="0">
      <pane xSplit="2" topLeftCell="C1" activePane="topRight" state="frozen"/>
      <selection sqref="A1:XFD1048576"/>
      <selection pane="topRight" sqref="A1:XFD1048576"/>
    </sheetView>
  </sheetViews>
  <sheetFormatPr defaultRowHeight="15" x14ac:dyDescent="0.25"/>
  <cols>
    <col min="1" max="1" width="14.5703125" style="38" customWidth="1"/>
    <col min="2" max="2" width="33.5703125" style="38" bestFit="1" customWidth="1"/>
    <col min="3" max="3" width="14.42578125" style="38" bestFit="1" customWidth="1"/>
    <col min="4" max="5" width="15" style="38" bestFit="1" customWidth="1"/>
    <col min="6" max="6" width="17.85546875" style="38" customWidth="1"/>
    <col min="7" max="7" width="17.140625" style="38" customWidth="1"/>
    <col min="8" max="8" width="16.42578125" style="38" customWidth="1"/>
    <col min="9" max="16384" width="9.140625" style="38"/>
  </cols>
  <sheetData>
    <row r="1" spans="1:8" x14ac:dyDescent="0.25">
      <c r="A1" s="38" t="s">
        <v>7</v>
      </c>
    </row>
    <row r="2" spans="1:8" x14ac:dyDescent="0.25">
      <c r="A2" s="38" t="s">
        <v>269</v>
      </c>
    </row>
    <row r="3" spans="1:8" x14ac:dyDescent="0.25">
      <c r="A3" s="38" t="s">
        <v>270</v>
      </c>
      <c r="B3" s="87">
        <v>43830</v>
      </c>
      <c r="C3" s="128"/>
      <c r="D3" s="128"/>
      <c r="E3" s="128"/>
      <c r="F3" s="128"/>
      <c r="G3" s="128"/>
      <c r="H3" s="128"/>
    </row>
    <row r="4" spans="1:8" ht="15.75" thickBot="1" x14ac:dyDescent="0.3">
      <c r="B4" s="87"/>
      <c r="C4" s="128"/>
      <c r="D4" s="128"/>
      <c r="E4" s="128"/>
      <c r="F4" s="128"/>
      <c r="G4" s="128"/>
      <c r="H4" s="128"/>
    </row>
    <row r="5" spans="1:8" ht="21" customHeight="1" x14ac:dyDescent="0.25">
      <c r="A5" s="177"/>
      <c r="B5" s="178"/>
      <c r="C5" s="171" t="s">
        <v>305</v>
      </c>
      <c r="D5" s="172"/>
      <c r="E5" s="173"/>
      <c r="F5" s="174" t="s">
        <v>306</v>
      </c>
      <c r="G5" s="175"/>
      <c r="H5" s="176"/>
    </row>
    <row r="6" spans="1:8" s="102" customFormat="1" ht="56.25" customHeight="1" thickBot="1" x14ac:dyDescent="0.3">
      <c r="A6" s="169" t="s">
        <v>304</v>
      </c>
      <c r="B6" s="170"/>
      <c r="C6" s="182">
        <v>43739</v>
      </c>
      <c r="D6" s="182">
        <v>43770</v>
      </c>
      <c r="E6" s="182">
        <v>43800</v>
      </c>
      <c r="F6" s="183" t="s">
        <v>319</v>
      </c>
      <c r="G6" s="184" t="s">
        <v>320</v>
      </c>
      <c r="H6" s="183" t="s">
        <v>321</v>
      </c>
    </row>
    <row r="7" spans="1:8" x14ac:dyDescent="0.25">
      <c r="A7" s="103" t="s">
        <v>83</v>
      </c>
      <c r="B7" s="89"/>
      <c r="C7" s="146"/>
      <c r="D7" s="147"/>
      <c r="E7" s="148"/>
      <c r="F7" s="146"/>
      <c r="G7" s="147"/>
      <c r="H7" s="148"/>
    </row>
    <row r="8" spans="1:8" x14ac:dyDescent="0.25">
      <c r="A8" s="90" t="s">
        <v>84</v>
      </c>
      <c r="B8" s="91" t="s">
        <v>85</v>
      </c>
      <c r="C8" s="137">
        <v>9781859.5199999996</v>
      </c>
      <c r="D8" s="138">
        <v>15742840.050000001</v>
      </c>
      <c r="E8" s="139">
        <v>19957748.239999998</v>
      </c>
      <c r="F8" s="137">
        <v>114993364.77000001</v>
      </c>
      <c r="G8" s="138">
        <v>117330897.01000001</v>
      </c>
      <c r="H8" s="139">
        <v>120476426.38</v>
      </c>
    </row>
    <row r="9" spans="1:8" x14ac:dyDescent="0.25">
      <c r="A9" s="90" t="s">
        <v>86</v>
      </c>
      <c r="B9" s="91" t="s">
        <v>87</v>
      </c>
      <c r="C9" s="137">
        <v>9110023.1600000001</v>
      </c>
      <c r="D9" s="138">
        <v>13131146.380000001</v>
      </c>
      <c r="E9" s="139">
        <v>15716835.310000001</v>
      </c>
      <c r="F9" s="137">
        <v>93824043.969999999</v>
      </c>
      <c r="G9" s="138">
        <v>97641037.019999996</v>
      </c>
      <c r="H9" s="139">
        <v>101005173.58</v>
      </c>
    </row>
    <row r="10" spans="1:8" x14ac:dyDescent="0.25">
      <c r="A10" s="103" t="s">
        <v>88</v>
      </c>
      <c r="B10" s="89"/>
      <c r="C10" s="140">
        <f>+C8+C9</f>
        <v>18891882.68</v>
      </c>
      <c r="D10" s="140">
        <f t="shared" ref="D10:H10" si="0">+D8+D9</f>
        <v>28873986.43</v>
      </c>
      <c r="E10" s="140">
        <f t="shared" si="0"/>
        <v>35674583.549999997</v>
      </c>
      <c r="F10" s="140">
        <f t="shared" si="0"/>
        <v>208817408.74000001</v>
      </c>
      <c r="G10" s="140">
        <f t="shared" si="0"/>
        <v>214971934.03</v>
      </c>
      <c r="H10" s="140">
        <f t="shared" si="0"/>
        <v>221481599.95999998</v>
      </c>
    </row>
    <row r="11" spans="1:8" x14ac:dyDescent="0.25">
      <c r="A11" s="104"/>
      <c r="B11" s="89"/>
      <c r="C11" s="137"/>
      <c r="D11" s="138"/>
      <c r="E11" s="139"/>
      <c r="F11" s="137"/>
      <c r="G11" s="138"/>
      <c r="H11" s="139"/>
    </row>
    <row r="12" spans="1:8" x14ac:dyDescent="0.25">
      <c r="A12" s="103" t="s">
        <v>89</v>
      </c>
      <c r="B12" s="89"/>
      <c r="C12" s="137"/>
      <c r="D12" s="138"/>
      <c r="E12" s="139"/>
      <c r="F12" s="137"/>
      <c r="G12" s="138"/>
      <c r="H12" s="139"/>
    </row>
    <row r="13" spans="1:8" x14ac:dyDescent="0.25">
      <c r="A13" s="90" t="s">
        <v>90</v>
      </c>
      <c r="B13" s="91" t="s">
        <v>91</v>
      </c>
      <c r="C13" s="137">
        <v>37754.480000000003</v>
      </c>
      <c r="D13" s="138">
        <v>42062.09</v>
      </c>
      <c r="E13" s="139">
        <v>44919.77</v>
      </c>
      <c r="F13" s="137">
        <v>554740.81999999995</v>
      </c>
      <c r="G13" s="138">
        <v>536393.37999999989</v>
      </c>
      <c r="H13" s="139">
        <v>527669.76000000001</v>
      </c>
    </row>
    <row r="14" spans="1:8" x14ac:dyDescent="0.25">
      <c r="A14" s="105" t="s">
        <v>92</v>
      </c>
      <c r="B14" s="91" t="s">
        <v>93</v>
      </c>
      <c r="C14" s="137">
        <v>2074979.45</v>
      </c>
      <c r="D14" s="138">
        <v>1968942.06</v>
      </c>
      <c r="E14" s="139">
        <v>2193759.77</v>
      </c>
      <c r="F14" s="137">
        <v>23663743.690000001</v>
      </c>
      <c r="G14" s="138">
        <v>23851461.630000003</v>
      </c>
      <c r="H14" s="139">
        <v>24094627.940000001</v>
      </c>
    </row>
    <row r="15" spans="1:8" x14ac:dyDescent="0.25">
      <c r="A15" s="105" t="s">
        <v>94</v>
      </c>
      <c r="B15" s="91" t="s">
        <v>95</v>
      </c>
      <c r="C15" s="137">
        <v>0</v>
      </c>
      <c r="D15" s="138">
        <v>0</v>
      </c>
      <c r="E15" s="139">
        <v>0</v>
      </c>
      <c r="F15" s="137">
        <v>0</v>
      </c>
      <c r="G15" s="138">
        <v>0</v>
      </c>
      <c r="H15" s="139">
        <v>0</v>
      </c>
    </row>
    <row r="16" spans="1:8" x14ac:dyDescent="0.25">
      <c r="A16" s="105" t="s">
        <v>310</v>
      </c>
      <c r="B16" s="91" t="s">
        <v>311</v>
      </c>
      <c r="C16" s="137">
        <v>10662.11</v>
      </c>
      <c r="D16" s="138">
        <v>10662.11</v>
      </c>
      <c r="E16" s="139">
        <v>10662.11</v>
      </c>
      <c r="F16" s="137">
        <v>120881.53</v>
      </c>
      <c r="G16" s="138">
        <v>124413.43000000001</v>
      </c>
      <c r="H16" s="139">
        <v>127945.33</v>
      </c>
    </row>
    <row r="17" spans="1:8" x14ac:dyDescent="0.25">
      <c r="A17" s="105" t="s">
        <v>96</v>
      </c>
      <c r="B17" s="91" t="s">
        <v>97</v>
      </c>
      <c r="C17" s="137">
        <v>3824.81</v>
      </c>
      <c r="D17" s="138">
        <v>30694.58</v>
      </c>
      <c r="E17" s="139">
        <v>15142.4</v>
      </c>
      <c r="F17" s="137">
        <v>50376.25</v>
      </c>
      <c r="G17" s="138">
        <v>78736.87</v>
      </c>
      <c r="H17" s="139">
        <v>91457.44</v>
      </c>
    </row>
    <row r="18" spans="1:8" x14ac:dyDescent="0.25">
      <c r="A18" s="90" t="s">
        <v>98</v>
      </c>
      <c r="B18" s="91" t="s">
        <v>99</v>
      </c>
      <c r="C18" s="137">
        <v>0</v>
      </c>
      <c r="D18" s="138">
        <v>0</v>
      </c>
      <c r="E18" s="139">
        <v>0</v>
      </c>
      <c r="F18" s="137">
        <v>0</v>
      </c>
      <c r="G18" s="138">
        <v>0</v>
      </c>
      <c r="H18" s="139">
        <v>0</v>
      </c>
    </row>
    <row r="19" spans="1:8" x14ac:dyDescent="0.25">
      <c r="A19" s="136">
        <v>4962</v>
      </c>
      <c r="B19" s="91" t="s">
        <v>314</v>
      </c>
      <c r="C19" s="137">
        <v>122423.86</v>
      </c>
      <c r="D19" s="149">
        <v>108511.64</v>
      </c>
      <c r="E19" s="185">
        <v>-302447.98</v>
      </c>
      <c r="F19" s="137">
        <v>1400919.5300000003</v>
      </c>
      <c r="G19" s="149">
        <v>1317007.1799999997</v>
      </c>
      <c r="H19" s="149">
        <v>1001689</v>
      </c>
    </row>
    <row r="20" spans="1:8" x14ac:dyDescent="0.25">
      <c r="A20" s="103" t="s">
        <v>100</v>
      </c>
      <c r="B20" s="89"/>
      <c r="C20" s="140">
        <f>SUM(C13:C19)</f>
        <v>2249644.71</v>
      </c>
      <c r="D20" s="140">
        <f t="shared" ref="D20:H20" si="1">SUM(D13:D19)</f>
        <v>2160872.4800000004</v>
      </c>
      <c r="E20" s="140">
        <f t="shared" si="1"/>
        <v>1962036.0699999998</v>
      </c>
      <c r="F20" s="140">
        <f t="shared" si="1"/>
        <v>25790661.820000004</v>
      </c>
      <c r="G20" s="140">
        <f t="shared" si="1"/>
        <v>25908012.490000002</v>
      </c>
      <c r="H20" s="140">
        <f t="shared" si="1"/>
        <v>25843389.470000003</v>
      </c>
    </row>
    <row r="21" spans="1:8" ht="15.75" thickBot="1" x14ac:dyDescent="0.3">
      <c r="A21" s="103" t="s">
        <v>101</v>
      </c>
      <c r="B21" s="89"/>
      <c r="C21" s="141">
        <f>+C20+C10</f>
        <v>21141527.390000001</v>
      </c>
      <c r="D21" s="141">
        <f t="shared" ref="D21:H21" si="2">+D20+D10</f>
        <v>31034858.91</v>
      </c>
      <c r="E21" s="141">
        <f t="shared" si="2"/>
        <v>37636619.619999997</v>
      </c>
      <c r="F21" s="141">
        <f t="shared" si="2"/>
        <v>234608070.56</v>
      </c>
      <c r="G21" s="141">
        <f t="shared" si="2"/>
        <v>240879946.52000001</v>
      </c>
      <c r="H21" s="141">
        <f t="shared" si="2"/>
        <v>247324989.42999998</v>
      </c>
    </row>
    <row r="22" spans="1:8" ht="15.75" thickTop="1" x14ac:dyDescent="0.25">
      <c r="A22" s="88"/>
      <c r="B22" s="89"/>
      <c r="C22" s="137"/>
      <c r="D22" s="138"/>
      <c r="E22" s="139"/>
      <c r="F22" s="137"/>
      <c r="G22" s="138"/>
      <c r="H22" s="139"/>
    </row>
    <row r="23" spans="1:8" x14ac:dyDescent="0.25">
      <c r="A23" s="103" t="s">
        <v>102</v>
      </c>
      <c r="B23" s="89"/>
      <c r="C23" s="137"/>
      <c r="D23" s="138"/>
      <c r="E23" s="139"/>
      <c r="F23" s="137"/>
      <c r="G23" s="138"/>
      <c r="H23" s="139"/>
    </row>
    <row r="24" spans="1:8" x14ac:dyDescent="0.25">
      <c r="A24" s="90" t="s">
        <v>103</v>
      </c>
      <c r="B24" s="91" t="s">
        <v>104</v>
      </c>
      <c r="C24" s="137">
        <v>10926607.609999999</v>
      </c>
      <c r="D24" s="138">
        <v>13206284.77</v>
      </c>
      <c r="E24" s="139">
        <v>20080412.800000001</v>
      </c>
      <c r="F24" s="137">
        <v>212967075.50999999</v>
      </c>
      <c r="G24" s="138">
        <v>203915425.06999999</v>
      </c>
      <c r="H24" s="139">
        <v>183154598.38</v>
      </c>
    </row>
    <row r="25" spans="1:8" x14ac:dyDescent="0.25">
      <c r="A25" s="90" t="s">
        <v>105</v>
      </c>
      <c r="B25" s="91" t="s">
        <v>106</v>
      </c>
      <c r="C25" s="137">
        <v>0</v>
      </c>
      <c r="D25" s="138">
        <v>0</v>
      </c>
      <c r="E25" s="139">
        <v>0</v>
      </c>
      <c r="F25" s="137">
        <v>0</v>
      </c>
      <c r="G25" s="138">
        <v>0</v>
      </c>
      <c r="H25" s="139">
        <v>0</v>
      </c>
    </row>
    <row r="26" spans="1:8" x14ac:dyDescent="0.25">
      <c r="A26" s="90" t="s">
        <v>107</v>
      </c>
      <c r="B26" s="91" t="s">
        <v>108</v>
      </c>
      <c r="C26" s="137">
        <v>460890</v>
      </c>
      <c r="D26" s="138">
        <v>3343739.65</v>
      </c>
      <c r="E26" s="139">
        <v>-27946.32</v>
      </c>
      <c r="F26" s="137">
        <v>-94826465.329999998</v>
      </c>
      <c r="G26" s="138">
        <v>-81298096.799999997</v>
      </c>
      <c r="H26" s="139">
        <v>-56334340.969999999</v>
      </c>
    </row>
    <row r="27" spans="1:8" x14ac:dyDescent="0.25">
      <c r="A27" s="90" t="s">
        <v>109</v>
      </c>
      <c r="B27" s="91" t="s">
        <v>110</v>
      </c>
      <c r="C27" s="137">
        <v>492051.78</v>
      </c>
      <c r="D27" s="138">
        <v>1025195.83</v>
      </c>
      <c r="E27" s="139">
        <v>754639.28</v>
      </c>
      <c r="F27" s="137">
        <v>4968406.32</v>
      </c>
      <c r="G27" s="138">
        <v>5911603.54</v>
      </c>
      <c r="H27" s="139">
        <v>6419366.4000000004</v>
      </c>
    </row>
    <row r="28" spans="1:8" x14ac:dyDescent="0.25">
      <c r="A28" s="90" t="s">
        <v>111</v>
      </c>
      <c r="B28" s="91" t="s">
        <v>112</v>
      </c>
      <c r="C28" s="137">
        <v>-315598.77</v>
      </c>
      <c r="D28" s="138">
        <v>0</v>
      </c>
      <c r="E28" s="139">
        <v>0</v>
      </c>
      <c r="F28" s="137">
        <v>-9039883.7100000009</v>
      </c>
      <c r="G28" s="138">
        <v>-8889502.2200000007</v>
      </c>
      <c r="H28" s="139">
        <v>-8003476.1100000003</v>
      </c>
    </row>
    <row r="29" spans="1:8" x14ac:dyDescent="0.25">
      <c r="A29" s="90" t="s">
        <v>113</v>
      </c>
      <c r="B29" s="91" t="s">
        <v>114</v>
      </c>
      <c r="C29" s="137">
        <v>-8050.63</v>
      </c>
      <c r="D29" s="138">
        <v>-4589.96</v>
      </c>
      <c r="E29" s="139">
        <v>-8434.9699999999993</v>
      </c>
      <c r="F29" s="137">
        <v>-65793.53</v>
      </c>
      <c r="G29" s="138">
        <v>-67733.570000000007</v>
      </c>
      <c r="H29" s="139">
        <v>-70308.52</v>
      </c>
    </row>
    <row r="30" spans="1:8" x14ac:dyDescent="0.25">
      <c r="A30" s="103" t="s">
        <v>115</v>
      </c>
      <c r="B30" s="89"/>
      <c r="C30" s="140">
        <f>SUM(C24:C29)</f>
        <v>11555899.989999998</v>
      </c>
      <c r="D30" s="140">
        <f t="shared" ref="D30:H30" si="3">SUM(D24:D29)</f>
        <v>17570630.289999999</v>
      </c>
      <c r="E30" s="140">
        <f t="shared" si="3"/>
        <v>20798670.790000003</v>
      </c>
      <c r="F30" s="140">
        <f t="shared" si="3"/>
        <v>114003339.25999999</v>
      </c>
      <c r="G30" s="140">
        <f t="shared" si="3"/>
        <v>119571696.02000001</v>
      </c>
      <c r="H30" s="140">
        <f t="shared" si="3"/>
        <v>125165839.18000001</v>
      </c>
    </row>
    <row r="31" spans="1:8" x14ac:dyDescent="0.25">
      <c r="A31" s="88"/>
      <c r="B31" s="89"/>
      <c r="C31" s="137"/>
      <c r="D31" s="138"/>
      <c r="E31" s="139"/>
      <c r="F31" s="137"/>
      <c r="G31" s="138"/>
      <c r="H31" s="139"/>
    </row>
    <row r="32" spans="1:8" x14ac:dyDescent="0.25">
      <c r="A32" s="103" t="s">
        <v>116</v>
      </c>
      <c r="B32" s="89"/>
      <c r="C32" s="137"/>
      <c r="D32" s="138"/>
      <c r="E32" s="139"/>
      <c r="F32" s="137"/>
      <c r="G32" s="138"/>
      <c r="H32" s="139"/>
    </row>
    <row r="33" spans="1:8" x14ac:dyDescent="0.25">
      <c r="A33" s="90" t="s">
        <v>117</v>
      </c>
      <c r="B33" s="91" t="s">
        <v>118</v>
      </c>
      <c r="C33" s="137">
        <v>0</v>
      </c>
      <c r="D33" s="138">
        <v>0</v>
      </c>
      <c r="E33" s="139">
        <v>0</v>
      </c>
      <c r="F33" s="137">
        <v>0</v>
      </c>
      <c r="G33" s="138">
        <v>0</v>
      </c>
      <c r="H33" s="139">
        <v>0</v>
      </c>
    </row>
    <row r="34" spans="1:8" x14ac:dyDescent="0.25">
      <c r="A34" s="90" t="s">
        <v>119</v>
      </c>
      <c r="B34" s="91" t="s">
        <v>120</v>
      </c>
      <c r="C34" s="137">
        <v>0</v>
      </c>
      <c r="D34" s="138">
        <v>0</v>
      </c>
      <c r="E34" s="139">
        <v>0</v>
      </c>
      <c r="F34" s="137">
        <v>0</v>
      </c>
      <c r="G34" s="138">
        <v>0</v>
      </c>
      <c r="H34" s="139">
        <v>0</v>
      </c>
    </row>
    <row r="35" spans="1:8" x14ac:dyDescent="0.25">
      <c r="A35" s="90" t="s">
        <v>121</v>
      </c>
      <c r="B35" s="91" t="s">
        <v>122</v>
      </c>
      <c r="C35" s="137">
        <v>0</v>
      </c>
      <c r="D35" s="138">
        <v>0</v>
      </c>
      <c r="E35" s="139">
        <v>0</v>
      </c>
      <c r="F35" s="137">
        <v>0</v>
      </c>
      <c r="G35" s="138">
        <v>0</v>
      </c>
      <c r="H35" s="139">
        <v>0</v>
      </c>
    </row>
    <row r="36" spans="1:8" x14ac:dyDescent="0.25">
      <c r="A36" s="90" t="s">
        <v>123</v>
      </c>
      <c r="B36" s="91" t="s">
        <v>124</v>
      </c>
      <c r="C36" s="137">
        <v>0</v>
      </c>
      <c r="D36" s="138">
        <v>0</v>
      </c>
      <c r="E36" s="139">
        <v>0</v>
      </c>
      <c r="F36" s="137">
        <v>0</v>
      </c>
      <c r="G36" s="138">
        <v>0</v>
      </c>
      <c r="H36" s="139">
        <v>0</v>
      </c>
    </row>
    <row r="37" spans="1:8" x14ac:dyDescent="0.25">
      <c r="A37" s="90" t="s">
        <v>125</v>
      </c>
      <c r="B37" s="91" t="s">
        <v>126</v>
      </c>
      <c r="C37" s="137">
        <v>0</v>
      </c>
      <c r="D37" s="138">
        <v>0</v>
      </c>
      <c r="E37" s="139">
        <v>0</v>
      </c>
      <c r="F37" s="137">
        <v>0</v>
      </c>
      <c r="G37" s="138">
        <v>0</v>
      </c>
      <c r="H37" s="139">
        <v>0</v>
      </c>
    </row>
    <row r="38" spans="1:8" x14ac:dyDescent="0.25">
      <c r="A38" s="90" t="s">
        <v>127</v>
      </c>
      <c r="B38" s="91" t="s">
        <v>128</v>
      </c>
      <c r="C38" s="137">
        <v>0</v>
      </c>
      <c r="D38" s="138">
        <v>0</v>
      </c>
      <c r="E38" s="139">
        <v>0</v>
      </c>
      <c r="F38" s="137">
        <v>0</v>
      </c>
      <c r="G38" s="138">
        <v>0</v>
      </c>
      <c r="H38" s="139">
        <v>0</v>
      </c>
    </row>
    <row r="39" spans="1:8" x14ac:dyDescent="0.25">
      <c r="A39" s="90" t="s">
        <v>129</v>
      </c>
      <c r="B39" s="91" t="s">
        <v>130</v>
      </c>
      <c r="C39" s="137">
        <v>0</v>
      </c>
      <c r="D39" s="138">
        <v>0</v>
      </c>
      <c r="E39" s="139">
        <v>0</v>
      </c>
      <c r="F39" s="137">
        <v>0</v>
      </c>
      <c r="G39" s="138">
        <v>0</v>
      </c>
      <c r="H39" s="139">
        <v>0</v>
      </c>
    </row>
    <row r="40" spans="1:8" x14ac:dyDescent="0.25">
      <c r="A40" s="90" t="s">
        <v>131</v>
      </c>
      <c r="B40" s="91" t="s">
        <v>132</v>
      </c>
      <c r="C40" s="137">
        <v>0</v>
      </c>
      <c r="D40" s="138">
        <v>0</v>
      </c>
      <c r="E40" s="139">
        <v>0</v>
      </c>
      <c r="F40" s="137">
        <v>0</v>
      </c>
      <c r="G40" s="138">
        <v>0</v>
      </c>
      <c r="H40" s="139">
        <v>0</v>
      </c>
    </row>
    <row r="41" spans="1:8" x14ac:dyDescent="0.25">
      <c r="A41" s="90" t="s">
        <v>133</v>
      </c>
      <c r="B41" s="91" t="s">
        <v>134</v>
      </c>
      <c r="C41" s="137">
        <v>0</v>
      </c>
      <c r="D41" s="138">
        <v>0</v>
      </c>
      <c r="E41" s="139">
        <v>0</v>
      </c>
      <c r="F41" s="137">
        <v>0</v>
      </c>
      <c r="G41" s="138">
        <v>0</v>
      </c>
      <c r="H41" s="139">
        <v>0</v>
      </c>
    </row>
    <row r="42" spans="1:8" x14ac:dyDescent="0.25">
      <c r="A42" s="90" t="s">
        <v>135</v>
      </c>
      <c r="B42" s="91" t="s">
        <v>136</v>
      </c>
      <c r="C42" s="137">
        <v>0</v>
      </c>
      <c r="D42" s="138">
        <v>0</v>
      </c>
      <c r="E42" s="139">
        <v>0</v>
      </c>
      <c r="F42" s="137">
        <v>0</v>
      </c>
      <c r="G42" s="138">
        <v>0</v>
      </c>
      <c r="H42" s="139">
        <v>0</v>
      </c>
    </row>
    <row r="43" spans="1:8" x14ac:dyDescent="0.25">
      <c r="A43" s="90" t="s">
        <v>137</v>
      </c>
      <c r="B43" s="91" t="s">
        <v>138</v>
      </c>
      <c r="C43" s="137">
        <v>0</v>
      </c>
      <c r="D43" s="138">
        <v>0</v>
      </c>
      <c r="E43" s="139">
        <v>0</v>
      </c>
      <c r="F43" s="137">
        <v>0</v>
      </c>
      <c r="G43" s="138">
        <v>0</v>
      </c>
      <c r="H43" s="139">
        <v>0</v>
      </c>
    </row>
    <row r="44" spans="1:8" x14ac:dyDescent="0.25">
      <c r="A44" s="103" t="s">
        <v>139</v>
      </c>
      <c r="B44" s="106"/>
      <c r="C44" s="140">
        <v>0</v>
      </c>
      <c r="D44" s="142">
        <v>0</v>
      </c>
      <c r="E44" s="143">
        <v>0</v>
      </c>
      <c r="F44" s="140">
        <v>0</v>
      </c>
      <c r="G44" s="142">
        <v>0</v>
      </c>
      <c r="H44" s="143">
        <v>0</v>
      </c>
    </row>
    <row r="45" spans="1:8" x14ac:dyDescent="0.25">
      <c r="A45" s="88"/>
      <c r="B45" s="89"/>
      <c r="C45" s="137"/>
      <c r="D45" s="138"/>
      <c r="E45" s="139"/>
      <c r="F45" s="137"/>
      <c r="G45" s="138"/>
      <c r="H45" s="139"/>
    </row>
    <row r="46" spans="1:8" x14ac:dyDescent="0.25">
      <c r="A46" s="90" t="s">
        <v>140</v>
      </c>
      <c r="B46" s="91" t="s">
        <v>32</v>
      </c>
      <c r="C46" s="144">
        <v>1434697.28</v>
      </c>
      <c r="D46" s="149">
        <v>2254649.75</v>
      </c>
      <c r="E46" s="150">
        <v>3094343.62</v>
      </c>
      <c r="F46" s="144">
        <v>19304028.899999999</v>
      </c>
      <c r="G46" s="149">
        <v>19928737.399999999</v>
      </c>
      <c r="H46" s="150">
        <v>20632282.93</v>
      </c>
    </row>
    <row r="47" spans="1:8" ht="15.75" thickBot="1" x14ac:dyDescent="0.3">
      <c r="A47" s="103" t="s">
        <v>141</v>
      </c>
      <c r="B47" s="89"/>
      <c r="C47" s="141">
        <f>+C21-C30-C46</f>
        <v>8150930.120000002</v>
      </c>
      <c r="D47" s="141">
        <f t="shared" ref="D47:H47" si="4">+D21-D30-D46</f>
        <v>11209578.870000001</v>
      </c>
      <c r="E47" s="141">
        <f t="shared" si="4"/>
        <v>13743605.209999993</v>
      </c>
      <c r="F47" s="141">
        <f t="shared" si="4"/>
        <v>101300702.40000001</v>
      </c>
      <c r="G47" s="141">
        <f t="shared" si="4"/>
        <v>101379513.09999999</v>
      </c>
      <c r="H47" s="141">
        <f t="shared" si="4"/>
        <v>101526867.31999996</v>
      </c>
    </row>
    <row r="48" spans="1:8" ht="15.75" thickTop="1" x14ac:dyDescent="0.25">
      <c r="A48" s="103"/>
      <c r="B48" s="89"/>
      <c r="C48" s="137"/>
      <c r="D48" s="138"/>
      <c r="E48" s="185"/>
      <c r="F48" s="137"/>
      <c r="G48" s="138"/>
      <c r="H48" s="139"/>
    </row>
    <row r="49" spans="1:8" x14ac:dyDescent="0.25">
      <c r="A49" s="103" t="s">
        <v>307</v>
      </c>
      <c r="B49" s="89"/>
      <c r="C49" s="137"/>
      <c r="D49" s="138"/>
      <c r="E49" s="185"/>
      <c r="F49" s="137"/>
      <c r="G49" s="138"/>
      <c r="H49" s="139"/>
    </row>
    <row r="50" spans="1:8" x14ac:dyDescent="0.25">
      <c r="A50" s="107">
        <v>813</v>
      </c>
      <c r="B50" s="91" t="s">
        <v>308</v>
      </c>
      <c r="C50" s="137">
        <v>105225.89</v>
      </c>
      <c r="D50" s="138">
        <v>-867.33999999999992</v>
      </c>
      <c r="E50" s="185">
        <v>17179.53</v>
      </c>
      <c r="F50" s="137">
        <v>341892.21</v>
      </c>
      <c r="G50" s="138">
        <v>321047.32</v>
      </c>
      <c r="H50" s="139">
        <v>320028.11</v>
      </c>
    </row>
    <row r="51" spans="1:8" x14ac:dyDescent="0.25">
      <c r="A51" s="88"/>
      <c r="B51" s="89"/>
      <c r="C51" s="137"/>
      <c r="D51" s="138"/>
      <c r="E51" s="139"/>
      <c r="F51" s="137"/>
      <c r="G51" s="138"/>
      <c r="H51" s="139"/>
    </row>
    <row r="52" spans="1:8" x14ac:dyDescent="0.25">
      <c r="A52" s="103" t="s">
        <v>142</v>
      </c>
      <c r="B52" s="89"/>
      <c r="C52" s="137"/>
      <c r="D52" s="138"/>
      <c r="E52" s="139"/>
      <c r="F52" s="137"/>
      <c r="G52" s="138"/>
      <c r="H52" s="139"/>
    </row>
    <row r="53" spans="1:8" x14ac:dyDescent="0.25">
      <c r="A53" s="103" t="s">
        <v>143</v>
      </c>
      <c r="B53" s="89"/>
      <c r="C53" s="137"/>
      <c r="D53" s="138"/>
      <c r="E53" s="139"/>
      <c r="F53" s="137"/>
      <c r="G53" s="138"/>
      <c r="H53" s="139"/>
    </row>
    <row r="54" spans="1:8" x14ac:dyDescent="0.25">
      <c r="A54" s="90" t="s">
        <v>144</v>
      </c>
      <c r="B54" s="91" t="s">
        <v>145</v>
      </c>
      <c r="C54" s="137">
        <v>189159.53</v>
      </c>
      <c r="D54" s="138">
        <v>130856.09</v>
      </c>
      <c r="E54" s="139">
        <v>200508.55</v>
      </c>
      <c r="F54" s="137">
        <v>2063276.6000000003</v>
      </c>
      <c r="G54" s="138">
        <v>2037368.4</v>
      </c>
      <c r="H54" s="139">
        <v>2064596.33</v>
      </c>
    </row>
    <row r="55" spans="1:8" x14ac:dyDescent="0.25">
      <c r="A55" s="90" t="s">
        <v>146</v>
      </c>
      <c r="B55" s="91" t="s">
        <v>147</v>
      </c>
      <c r="C55" s="137">
        <v>24467.340000000004</v>
      </c>
      <c r="D55" s="138">
        <v>22339.58</v>
      </c>
      <c r="E55" s="139">
        <v>26669.040000000001</v>
      </c>
      <c r="F55" s="137">
        <v>298211.61</v>
      </c>
      <c r="G55" s="138">
        <v>292257</v>
      </c>
      <c r="H55" s="139">
        <v>304073.88</v>
      </c>
    </row>
    <row r="56" spans="1:8" x14ac:dyDescent="0.25">
      <c r="A56" s="105" t="s">
        <v>148</v>
      </c>
      <c r="B56" s="91" t="s">
        <v>149</v>
      </c>
      <c r="C56" s="137">
        <v>5009.76</v>
      </c>
      <c r="D56" s="138">
        <v>1551.75</v>
      </c>
      <c r="E56" s="139">
        <v>2901.27</v>
      </c>
      <c r="F56" s="137">
        <v>40319.359999999986</v>
      </c>
      <c r="G56" s="138">
        <v>38017.550000000003</v>
      </c>
      <c r="H56" s="139">
        <v>37041.43</v>
      </c>
    </row>
    <row r="57" spans="1:8" x14ac:dyDescent="0.25">
      <c r="A57" s="105" t="s">
        <v>150</v>
      </c>
      <c r="B57" s="91" t="s">
        <v>151</v>
      </c>
      <c r="C57" s="137">
        <v>547440.51</v>
      </c>
      <c r="D57" s="138">
        <v>277439.01999999996</v>
      </c>
      <c r="E57" s="139">
        <v>270446.25</v>
      </c>
      <c r="F57" s="137">
        <v>4135626.5600000005</v>
      </c>
      <c r="G57" s="138">
        <v>4152240.84</v>
      </c>
      <c r="H57" s="139">
        <v>4080958.82</v>
      </c>
    </row>
    <row r="58" spans="1:8" x14ac:dyDescent="0.25">
      <c r="A58" s="90" t="s">
        <v>152</v>
      </c>
      <c r="B58" s="91" t="s">
        <v>153</v>
      </c>
      <c r="C58" s="137">
        <v>30047.11</v>
      </c>
      <c r="D58" s="138">
        <v>20653.07</v>
      </c>
      <c r="E58" s="139">
        <v>28730.13</v>
      </c>
      <c r="F58" s="137">
        <v>407443.27</v>
      </c>
      <c r="G58" s="138">
        <v>404086.58</v>
      </c>
      <c r="H58" s="139">
        <v>404219.45</v>
      </c>
    </row>
    <row r="59" spans="1:8" x14ac:dyDescent="0.25">
      <c r="A59" s="90" t="s">
        <v>154</v>
      </c>
      <c r="B59" s="91" t="s">
        <v>155</v>
      </c>
      <c r="C59" s="137">
        <v>4325.6499999999996</v>
      </c>
      <c r="D59" s="138">
        <v>10955.15</v>
      </c>
      <c r="E59" s="139">
        <v>2967.63</v>
      </c>
      <c r="F59" s="137">
        <v>141732.06</v>
      </c>
      <c r="G59" s="138">
        <v>137809.16</v>
      </c>
      <c r="H59" s="139">
        <v>126915.06</v>
      </c>
    </row>
    <row r="60" spans="1:8" x14ac:dyDescent="0.25">
      <c r="A60" s="90" t="s">
        <v>156</v>
      </c>
      <c r="B60" s="91" t="s">
        <v>157</v>
      </c>
      <c r="C60" s="137">
        <v>121872.29</v>
      </c>
      <c r="D60" s="138">
        <v>88873.74</v>
      </c>
      <c r="E60" s="139">
        <v>77057.67</v>
      </c>
      <c r="F60" s="137">
        <v>1102268.22</v>
      </c>
      <c r="G60" s="138">
        <v>1110274.0499999998</v>
      </c>
      <c r="H60" s="139">
        <v>1097839.44</v>
      </c>
    </row>
    <row r="61" spans="1:8" x14ac:dyDescent="0.25">
      <c r="A61" s="90" t="s">
        <v>158</v>
      </c>
      <c r="B61" s="91" t="s">
        <v>159</v>
      </c>
      <c r="C61" s="137">
        <v>75541.100000000006</v>
      </c>
      <c r="D61" s="138">
        <v>50198.65</v>
      </c>
      <c r="E61" s="139">
        <v>63288.44</v>
      </c>
      <c r="F61" s="137">
        <v>700269.82000000007</v>
      </c>
      <c r="G61" s="138">
        <v>670790.05000000005</v>
      </c>
      <c r="H61" s="139">
        <v>674150</v>
      </c>
    </row>
    <row r="62" spans="1:8" x14ac:dyDescent="0.25">
      <c r="A62" s="90" t="s">
        <v>160</v>
      </c>
      <c r="B62" s="91" t="s">
        <v>161</v>
      </c>
      <c r="C62" s="137">
        <v>539527.24</v>
      </c>
      <c r="D62" s="138">
        <v>456529.22</v>
      </c>
      <c r="E62" s="139">
        <v>459179.06</v>
      </c>
      <c r="F62" s="137">
        <v>4553799.71</v>
      </c>
      <c r="G62" s="138">
        <v>4614330.4800000004</v>
      </c>
      <c r="H62" s="139">
        <v>4797198.3500000006</v>
      </c>
    </row>
    <row r="63" spans="1:8" x14ac:dyDescent="0.25">
      <c r="A63" s="90" t="s">
        <v>162</v>
      </c>
      <c r="B63" s="91" t="s">
        <v>163</v>
      </c>
      <c r="C63" s="137">
        <v>6308.08</v>
      </c>
      <c r="D63" s="138">
        <v>3519.25</v>
      </c>
      <c r="E63" s="139">
        <v>23781.01</v>
      </c>
      <c r="F63" s="137">
        <v>115130.76</v>
      </c>
      <c r="G63" s="138">
        <v>109185.87</v>
      </c>
      <c r="H63" s="139">
        <v>105625.15</v>
      </c>
    </row>
    <row r="64" spans="1:8" x14ac:dyDescent="0.25">
      <c r="A64" s="90" t="s">
        <v>164</v>
      </c>
      <c r="B64" s="91" t="s">
        <v>165</v>
      </c>
      <c r="C64" s="137">
        <v>0</v>
      </c>
      <c r="D64" s="138">
        <v>0</v>
      </c>
      <c r="E64" s="139">
        <v>0</v>
      </c>
      <c r="F64" s="137">
        <v>0</v>
      </c>
      <c r="G64" s="138">
        <v>0</v>
      </c>
      <c r="H64" s="139">
        <v>0</v>
      </c>
    </row>
    <row r="65" spans="1:8" x14ac:dyDescent="0.25">
      <c r="A65" s="88"/>
      <c r="B65" s="108" t="s">
        <v>300</v>
      </c>
      <c r="C65" s="140">
        <f>SUM(C54:C64)</f>
        <v>1543698.61</v>
      </c>
      <c r="D65" s="140">
        <f t="shared" ref="D65:H65" si="5">SUM(D54:D64)</f>
        <v>1062915.52</v>
      </c>
      <c r="E65" s="140">
        <f t="shared" si="5"/>
        <v>1155529.05</v>
      </c>
      <c r="F65" s="140">
        <f t="shared" si="5"/>
        <v>13558077.970000001</v>
      </c>
      <c r="G65" s="140">
        <f t="shared" si="5"/>
        <v>13566359.979999999</v>
      </c>
      <c r="H65" s="140">
        <f t="shared" si="5"/>
        <v>13692617.910000002</v>
      </c>
    </row>
    <row r="66" spans="1:8" x14ac:dyDescent="0.25">
      <c r="A66" s="88"/>
      <c r="B66" s="89"/>
      <c r="C66" s="137"/>
      <c r="D66" s="138"/>
      <c r="E66" s="139"/>
      <c r="F66" s="137"/>
      <c r="G66" s="138"/>
      <c r="H66" s="139"/>
    </row>
    <row r="67" spans="1:8" x14ac:dyDescent="0.25">
      <c r="A67" s="103" t="s">
        <v>166</v>
      </c>
      <c r="B67" s="89"/>
      <c r="C67" s="137"/>
      <c r="D67" s="138"/>
      <c r="E67" s="139"/>
      <c r="F67" s="137"/>
      <c r="G67" s="138"/>
      <c r="H67" s="139"/>
    </row>
    <row r="68" spans="1:8" x14ac:dyDescent="0.25">
      <c r="A68" s="90" t="s">
        <v>167</v>
      </c>
      <c r="B68" s="91" t="s">
        <v>168</v>
      </c>
      <c r="C68" s="137">
        <v>115644.56</v>
      </c>
      <c r="D68" s="138">
        <v>96139.75</v>
      </c>
      <c r="E68" s="139">
        <v>112152.26999999999</v>
      </c>
      <c r="F68" s="137">
        <v>1065923.46</v>
      </c>
      <c r="G68" s="138">
        <v>1084202.26</v>
      </c>
      <c r="H68" s="139">
        <v>1100694.52</v>
      </c>
    </row>
    <row r="69" spans="1:8" x14ac:dyDescent="0.25">
      <c r="A69" s="90" t="s">
        <v>169</v>
      </c>
      <c r="B69" s="91" t="s">
        <v>170</v>
      </c>
      <c r="C69" s="137">
        <v>0</v>
      </c>
      <c r="D69" s="138">
        <v>0</v>
      </c>
      <c r="E69" s="139">
        <v>0</v>
      </c>
      <c r="F69" s="137">
        <v>1106.0299999999988</v>
      </c>
      <c r="G69" s="138">
        <v>1106.0299999999988</v>
      </c>
      <c r="H69" s="139">
        <v>1106.0299999999988</v>
      </c>
    </row>
    <row r="70" spans="1:8" x14ac:dyDescent="0.25">
      <c r="A70" s="90" t="s">
        <v>171</v>
      </c>
      <c r="B70" s="91" t="s">
        <v>172</v>
      </c>
      <c r="C70" s="137">
        <v>168967.6</v>
      </c>
      <c r="D70" s="138">
        <v>92838.17</v>
      </c>
      <c r="E70" s="139">
        <v>146254.64000000001</v>
      </c>
      <c r="F70" s="137">
        <v>1643612.67</v>
      </c>
      <c r="G70" s="138">
        <v>1638090.8699999999</v>
      </c>
      <c r="H70" s="139">
        <v>1677499.9900000002</v>
      </c>
    </row>
    <row r="71" spans="1:8" x14ac:dyDescent="0.25">
      <c r="A71" s="105" t="s">
        <v>173</v>
      </c>
      <c r="B71" s="91" t="s">
        <v>149</v>
      </c>
      <c r="C71" s="137">
        <v>6516.69</v>
      </c>
      <c r="D71" s="138">
        <v>8003.08</v>
      </c>
      <c r="E71" s="139">
        <v>5827.38</v>
      </c>
      <c r="F71" s="137">
        <v>70768.649999999994</v>
      </c>
      <c r="G71" s="138">
        <v>69695.679999999993</v>
      </c>
      <c r="H71" s="139">
        <v>73744.02</v>
      </c>
    </row>
    <row r="72" spans="1:8" x14ac:dyDescent="0.25">
      <c r="A72" s="90" t="s">
        <v>174</v>
      </c>
      <c r="B72" s="91" t="s">
        <v>175</v>
      </c>
      <c r="C72" s="137">
        <v>29506.76</v>
      </c>
      <c r="D72" s="138">
        <v>33494.080000000002</v>
      </c>
      <c r="E72" s="139">
        <v>16096.210000000001</v>
      </c>
      <c r="F72" s="137">
        <v>468225.7</v>
      </c>
      <c r="G72" s="138">
        <v>474054.68999999994</v>
      </c>
      <c r="H72" s="139">
        <v>393027.88</v>
      </c>
    </row>
    <row r="73" spans="1:8" x14ac:dyDescent="0.25">
      <c r="A73" s="90" t="s">
        <v>176</v>
      </c>
      <c r="B73" s="91" t="s">
        <v>177</v>
      </c>
      <c r="C73" s="137">
        <v>5571.76</v>
      </c>
      <c r="D73" s="138">
        <v>704.5</v>
      </c>
      <c r="E73" s="139">
        <v>936.53</v>
      </c>
      <c r="F73" s="137">
        <v>50554.380000000005</v>
      </c>
      <c r="G73" s="138">
        <v>46994.000000000007</v>
      </c>
      <c r="H73" s="139">
        <v>47202.01</v>
      </c>
    </row>
    <row r="74" spans="1:8" x14ac:dyDescent="0.25">
      <c r="A74" s="90" t="s">
        <v>178</v>
      </c>
      <c r="B74" s="91" t="s">
        <v>179</v>
      </c>
      <c r="C74" s="137">
        <v>101968.7</v>
      </c>
      <c r="D74" s="138">
        <v>107734.63</v>
      </c>
      <c r="E74" s="139">
        <v>106370.42</v>
      </c>
      <c r="F74" s="137">
        <v>1364485.72</v>
      </c>
      <c r="G74" s="138">
        <v>1355624.8</v>
      </c>
      <c r="H74" s="139">
        <v>1334463.01</v>
      </c>
    </row>
    <row r="75" spans="1:8" x14ac:dyDescent="0.25">
      <c r="A75" s="90" t="s">
        <v>180</v>
      </c>
      <c r="B75" s="91" t="s">
        <v>181</v>
      </c>
      <c r="C75" s="137">
        <v>86383.959999999992</v>
      </c>
      <c r="D75" s="138">
        <v>76488.17</v>
      </c>
      <c r="E75" s="139">
        <v>89165.73</v>
      </c>
      <c r="F75" s="137">
        <v>990398.26</v>
      </c>
      <c r="G75" s="138">
        <v>998962.12000000011</v>
      </c>
      <c r="H75" s="139">
        <v>992165.73</v>
      </c>
    </row>
    <row r="76" spans="1:8" x14ac:dyDescent="0.25">
      <c r="A76" s="90" t="s">
        <v>182</v>
      </c>
      <c r="B76" s="91" t="s">
        <v>183</v>
      </c>
      <c r="C76" s="137">
        <v>123008.87</v>
      </c>
      <c r="D76" s="138">
        <v>98022.89</v>
      </c>
      <c r="E76" s="139">
        <v>126861.91</v>
      </c>
      <c r="F76" s="137">
        <v>1046127.6699999999</v>
      </c>
      <c r="G76" s="138">
        <v>1031749.2100000001</v>
      </c>
      <c r="H76" s="139">
        <v>1101758.6200000001</v>
      </c>
    </row>
    <row r="77" spans="1:8" x14ac:dyDescent="0.25">
      <c r="A77" s="88"/>
      <c r="B77" s="108" t="s">
        <v>301</v>
      </c>
      <c r="C77" s="140">
        <f>SUM(C68:C76)</f>
        <v>637568.9</v>
      </c>
      <c r="D77" s="140">
        <f t="shared" ref="D77:H77" si="6">SUM(D68:D76)</f>
        <v>513425.26999999996</v>
      </c>
      <c r="E77" s="140">
        <f t="shared" si="6"/>
        <v>603665.09</v>
      </c>
      <c r="F77" s="140">
        <f t="shared" si="6"/>
        <v>6701202.54</v>
      </c>
      <c r="G77" s="140">
        <f t="shared" si="6"/>
        <v>6700479.6600000001</v>
      </c>
      <c r="H77" s="140">
        <f t="shared" si="6"/>
        <v>6721661.8099999996</v>
      </c>
    </row>
    <row r="78" spans="1:8" x14ac:dyDescent="0.25">
      <c r="A78" s="103" t="s">
        <v>184</v>
      </c>
      <c r="B78" s="89"/>
      <c r="C78" s="144">
        <f>+C65+C77</f>
        <v>2181267.5100000002</v>
      </c>
      <c r="D78" s="144">
        <f t="shared" ref="D78:H78" si="7">+D65+D77</f>
        <v>1576340.79</v>
      </c>
      <c r="E78" s="144">
        <f t="shared" si="7"/>
        <v>1759194.1400000001</v>
      </c>
      <c r="F78" s="144">
        <f t="shared" si="7"/>
        <v>20259280.510000002</v>
      </c>
      <c r="G78" s="144">
        <f t="shared" si="7"/>
        <v>20266839.640000001</v>
      </c>
      <c r="H78" s="144">
        <f t="shared" si="7"/>
        <v>20414279.720000003</v>
      </c>
    </row>
    <row r="79" spans="1:8" x14ac:dyDescent="0.25">
      <c r="A79" s="88"/>
      <c r="B79" s="89"/>
      <c r="C79" s="137"/>
      <c r="D79" s="138"/>
      <c r="E79" s="139"/>
      <c r="F79" s="137"/>
      <c r="G79" s="138"/>
      <c r="H79" s="139"/>
    </row>
    <row r="80" spans="1:8" x14ac:dyDescent="0.25">
      <c r="A80" s="103" t="s">
        <v>185</v>
      </c>
      <c r="B80" s="89"/>
      <c r="C80" s="137"/>
      <c r="D80" s="138"/>
      <c r="E80" s="139"/>
      <c r="F80" s="137"/>
      <c r="G80" s="138"/>
      <c r="H80" s="139"/>
    </row>
    <row r="81" spans="1:8" x14ac:dyDescent="0.25">
      <c r="A81" s="90" t="s">
        <v>186</v>
      </c>
      <c r="B81" s="91" t="s">
        <v>187</v>
      </c>
      <c r="C81" s="137">
        <v>9997.9699999999993</v>
      </c>
      <c r="D81" s="138">
        <v>8972.2000000000007</v>
      </c>
      <c r="E81" s="139">
        <v>10934.66</v>
      </c>
      <c r="F81" s="137">
        <v>109141.09</v>
      </c>
      <c r="G81" s="138">
        <v>109725.63</v>
      </c>
      <c r="H81" s="139">
        <v>109515.04</v>
      </c>
    </row>
    <row r="82" spans="1:8" x14ac:dyDescent="0.25">
      <c r="A82" s="90" t="s">
        <v>188</v>
      </c>
      <c r="B82" s="91" t="s">
        <v>189</v>
      </c>
      <c r="C82" s="137">
        <v>46975.42</v>
      </c>
      <c r="D82" s="138">
        <v>58065.15</v>
      </c>
      <c r="E82" s="139">
        <v>48770.240000000005</v>
      </c>
      <c r="F82" s="137">
        <v>562110.35</v>
      </c>
      <c r="G82" s="138">
        <v>564249.1</v>
      </c>
      <c r="H82" s="139">
        <v>570761.14</v>
      </c>
    </row>
    <row r="83" spans="1:8" x14ac:dyDescent="0.25">
      <c r="A83" s="90" t="s">
        <v>190</v>
      </c>
      <c r="B83" s="91" t="s">
        <v>191</v>
      </c>
      <c r="C83" s="137">
        <v>363189.59</v>
      </c>
      <c r="D83" s="138">
        <v>311738.53000000003</v>
      </c>
      <c r="E83" s="139">
        <v>379302.81</v>
      </c>
      <c r="F83" s="137">
        <v>4055790.2199999997</v>
      </c>
      <c r="G83" s="138">
        <v>4020010.5100000002</v>
      </c>
      <c r="H83" s="139">
        <v>4080675.6</v>
      </c>
    </row>
    <row r="84" spans="1:8" x14ac:dyDescent="0.25">
      <c r="A84" s="90" t="s">
        <v>192</v>
      </c>
      <c r="B84" s="91" t="s">
        <v>193</v>
      </c>
      <c r="C84" s="137">
        <v>89594.9</v>
      </c>
      <c r="D84" s="138">
        <v>120001.81</v>
      </c>
      <c r="E84" s="139">
        <v>168712.34</v>
      </c>
      <c r="F84" s="137">
        <v>896035.8899999999</v>
      </c>
      <c r="G84" s="138">
        <v>954121.2</v>
      </c>
      <c r="H84" s="139">
        <v>994217.61</v>
      </c>
    </row>
    <row r="85" spans="1:8" x14ac:dyDescent="0.25">
      <c r="A85" s="90" t="s">
        <v>194</v>
      </c>
      <c r="B85" s="91" t="s">
        <v>195</v>
      </c>
      <c r="C85" s="137">
        <v>0</v>
      </c>
      <c r="D85" s="138">
        <v>0</v>
      </c>
      <c r="E85" s="139">
        <v>99081.279999999999</v>
      </c>
      <c r="F85" s="137">
        <v>5.27</v>
      </c>
      <c r="G85" s="138">
        <v>0</v>
      </c>
      <c r="H85" s="139">
        <v>99081.279999999999</v>
      </c>
    </row>
    <row r="86" spans="1:8" x14ac:dyDescent="0.25">
      <c r="A86" s="103" t="s">
        <v>196</v>
      </c>
      <c r="B86" s="89"/>
      <c r="C86" s="140">
        <f>SUM(C81:C85)</f>
        <v>509757.88</v>
      </c>
      <c r="D86" s="140">
        <f t="shared" ref="D86:H86" si="8">SUM(D81:D85)</f>
        <v>498777.69</v>
      </c>
      <c r="E86" s="140">
        <f t="shared" si="8"/>
        <v>706801.33000000007</v>
      </c>
      <c r="F86" s="140">
        <f t="shared" si="8"/>
        <v>5623082.8199999994</v>
      </c>
      <c r="G86" s="140">
        <f t="shared" si="8"/>
        <v>5648106.4400000004</v>
      </c>
      <c r="H86" s="140">
        <f t="shared" si="8"/>
        <v>5854250.6700000009</v>
      </c>
    </row>
    <row r="87" spans="1:8" x14ac:dyDescent="0.25">
      <c r="A87" s="88"/>
      <c r="B87" s="89"/>
      <c r="C87" s="137"/>
      <c r="D87" s="138"/>
      <c r="E87" s="139"/>
      <c r="F87" s="137"/>
      <c r="G87" s="138"/>
      <c r="H87" s="139"/>
    </row>
    <row r="88" spans="1:8" x14ac:dyDescent="0.25">
      <c r="A88" s="103" t="s">
        <v>197</v>
      </c>
      <c r="B88" s="89"/>
      <c r="C88" s="137"/>
      <c r="D88" s="138"/>
      <c r="E88" s="139"/>
      <c r="F88" s="137"/>
      <c r="G88" s="138"/>
      <c r="H88" s="139"/>
    </row>
    <row r="89" spans="1:8" x14ac:dyDescent="0.25">
      <c r="A89" s="90" t="s">
        <v>198</v>
      </c>
      <c r="B89" s="91" t="s">
        <v>187</v>
      </c>
      <c r="C89" s="137">
        <v>0</v>
      </c>
      <c r="D89" s="138">
        <v>0</v>
      </c>
      <c r="E89" s="139">
        <v>0</v>
      </c>
      <c r="F89" s="137">
        <v>0</v>
      </c>
      <c r="G89" s="138" t="s">
        <v>315</v>
      </c>
      <c r="H89" s="139">
        <v>0</v>
      </c>
    </row>
    <row r="90" spans="1:8" x14ac:dyDescent="0.25">
      <c r="A90" s="90" t="s">
        <v>199</v>
      </c>
      <c r="B90" s="91" t="s">
        <v>200</v>
      </c>
      <c r="C90" s="137">
        <v>629023.46</v>
      </c>
      <c r="D90" s="138">
        <v>805331.41999999993</v>
      </c>
      <c r="E90" s="139">
        <v>954264.94</v>
      </c>
      <c r="F90" s="137">
        <v>6864078.3399999999</v>
      </c>
      <c r="G90" s="138">
        <v>6961034.9300000006</v>
      </c>
      <c r="H90" s="139">
        <v>6913182.5699999994</v>
      </c>
    </row>
    <row r="91" spans="1:8" x14ac:dyDescent="0.25">
      <c r="A91" s="90" t="s">
        <v>201</v>
      </c>
      <c r="B91" s="91" t="s">
        <v>202</v>
      </c>
      <c r="C91" s="137">
        <v>1856.19</v>
      </c>
      <c r="D91" s="138">
        <v>1400.94</v>
      </c>
      <c r="E91" s="139">
        <v>17300.23</v>
      </c>
      <c r="F91" s="137">
        <v>118651.08</v>
      </c>
      <c r="G91" s="138">
        <v>119250.29000000001</v>
      </c>
      <c r="H91" s="139">
        <v>128325.24</v>
      </c>
    </row>
    <row r="92" spans="1:8" x14ac:dyDescent="0.25">
      <c r="A92" s="109" t="s">
        <v>203</v>
      </c>
      <c r="B92" s="91" t="s">
        <v>204</v>
      </c>
      <c r="C92" s="137">
        <v>14440.51</v>
      </c>
      <c r="D92" s="138">
        <v>12905.56</v>
      </c>
      <c r="E92" s="139">
        <v>14392.32</v>
      </c>
      <c r="F92" s="137">
        <v>277259.12</v>
      </c>
      <c r="G92" s="138">
        <v>268701.13</v>
      </c>
      <c r="H92" s="139">
        <v>269961.65000000002</v>
      </c>
    </row>
    <row r="93" spans="1:8" x14ac:dyDescent="0.25">
      <c r="A93" s="104" t="s">
        <v>205</v>
      </c>
      <c r="B93" s="89"/>
      <c r="C93" s="140">
        <f>SUM(C89:C92)</f>
        <v>645320.15999999992</v>
      </c>
      <c r="D93" s="140">
        <f t="shared" ref="D93:H93" si="9">SUM(D89:D92)</f>
        <v>819637.91999999993</v>
      </c>
      <c r="E93" s="140">
        <f t="shared" si="9"/>
        <v>985957.48999999987</v>
      </c>
      <c r="F93" s="140">
        <f t="shared" si="9"/>
        <v>7259988.54</v>
      </c>
      <c r="G93" s="140">
        <f t="shared" si="9"/>
        <v>7348986.3500000006</v>
      </c>
      <c r="H93" s="140">
        <f t="shared" si="9"/>
        <v>7311469.46</v>
      </c>
    </row>
    <row r="94" spans="1:8" x14ac:dyDescent="0.25">
      <c r="A94" s="88"/>
      <c r="B94" s="89"/>
      <c r="C94" s="137"/>
      <c r="D94" s="138"/>
      <c r="E94" s="139"/>
      <c r="F94" s="137"/>
      <c r="G94" s="138"/>
      <c r="H94" s="139"/>
    </row>
    <row r="95" spans="1:8" x14ac:dyDescent="0.25">
      <c r="A95" s="103" t="s">
        <v>206</v>
      </c>
      <c r="B95" s="89"/>
      <c r="C95" s="137"/>
      <c r="D95" s="138"/>
      <c r="E95" s="139"/>
      <c r="F95" s="137"/>
      <c r="G95" s="138"/>
      <c r="H95" s="139"/>
    </row>
    <row r="96" spans="1:8" x14ac:dyDescent="0.25">
      <c r="A96" s="90" t="s">
        <v>207</v>
      </c>
      <c r="B96" s="91" t="s">
        <v>187</v>
      </c>
      <c r="C96" s="137">
        <v>0</v>
      </c>
      <c r="D96" s="138">
        <v>0</v>
      </c>
      <c r="E96" s="139">
        <v>0</v>
      </c>
      <c r="F96" s="137">
        <v>0</v>
      </c>
      <c r="G96" s="138">
        <v>0</v>
      </c>
      <c r="H96" s="139">
        <v>0</v>
      </c>
    </row>
    <row r="97" spans="1:8" x14ac:dyDescent="0.25">
      <c r="A97" s="90" t="s">
        <v>208</v>
      </c>
      <c r="B97" s="91" t="s">
        <v>209</v>
      </c>
      <c r="C97" s="137">
        <v>835.62</v>
      </c>
      <c r="D97" s="138">
        <v>763.73</v>
      </c>
      <c r="E97" s="139">
        <v>818.52</v>
      </c>
      <c r="F97" s="137">
        <v>1599.21</v>
      </c>
      <c r="G97" s="138">
        <v>2362.94</v>
      </c>
      <c r="H97" s="139">
        <v>3181.46</v>
      </c>
    </row>
    <row r="98" spans="1:8" x14ac:dyDescent="0.25">
      <c r="A98" s="90" t="s">
        <v>210</v>
      </c>
      <c r="B98" s="91" t="s">
        <v>211</v>
      </c>
      <c r="C98" s="137">
        <v>0</v>
      </c>
      <c r="D98" s="138">
        <v>0</v>
      </c>
      <c r="E98" s="139"/>
      <c r="F98" s="137">
        <v>2227.23</v>
      </c>
      <c r="G98" s="138">
        <v>2227.23</v>
      </c>
      <c r="H98" s="139">
        <v>2227.23</v>
      </c>
    </row>
    <row r="99" spans="1:8" x14ac:dyDescent="0.25">
      <c r="A99" s="90" t="s">
        <v>212</v>
      </c>
      <c r="B99" s="91" t="s">
        <v>213</v>
      </c>
      <c r="C99" s="137">
        <v>0</v>
      </c>
      <c r="D99" s="138">
        <v>0</v>
      </c>
      <c r="E99" s="139">
        <v>0</v>
      </c>
      <c r="F99" s="137">
        <v>0</v>
      </c>
      <c r="G99" s="138">
        <v>0</v>
      </c>
      <c r="H99" s="139">
        <v>0</v>
      </c>
    </row>
    <row r="100" spans="1:8" x14ac:dyDescent="0.25">
      <c r="A100" s="103" t="s">
        <v>214</v>
      </c>
      <c r="B100" s="89"/>
      <c r="C100" s="140">
        <f>SUM(C96:C99)</f>
        <v>835.62</v>
      </c>
      <c r="D100" s="140">
        <f t="shared" ref="D100:H100" si="10">SUM(D96:D99)</f>
        <v>763.73</v>
      </c>
      <c r="E100" s="140">
        <f t="shared" si="10"/>
        <v>818.52</v>
      </c>
      <c r="F100" s="140">
        <f t="shared" si="10"/>
        <v>3826.44</v>
      </c>
      <c r="G100" s="140">
        <f t="shared" si="10"/>
        <v>4590.17</v>
      </c>
      <c r="H100" s="140">
        <f t="shared" si="10"/>
        <v>5408.6900000000005</v>
      </c>
    </row>
    <row r="101" spans="1:8" x14ac:dyDescent="0.25">
      <c r="A101" s="88"/>
      <c r="B101" s="89"/>
      <c r="C101" s="137"/>
      <c r="D101" s="138"/>
      <c r="E101" s="139"/>
      <c r="F101" s="137"/>
      <c r="G101" s="138"/>
      <c r="H101" s="139"/>
    </row>
    <row r="102" spans="1:8" x14ac:dyDescent="0.25">
      <c r="A102" s="103" t="s">
        <v>215</v>
      </c>
      <c r="B102" s="89"/>
      <c r="C102" s="137"/>
      <c r="D102" s="138"/>
      <c r="E102" s="139"/>
      <c r="F102" s="137"/>
      <c r="G102" s="138"/>
      <c r="H102" s="139"/>
    </row>
    <row r="103" spans="1:8" x14ac:dyDescent="0.25">
      <c r="A103" s="90" t="s">
        <v>216</v>
      </c>
      <c r="B103" s="91" t="s">
        <v>217</v>
      </c>
      <c r="C103" s="137">
        <v>557486.28</v>
      </c>
      <c r="D103" s="138">
        <v>719533.11</v>
      </c>
      <c r="E103" s="139">
        <v>688868.06</v>
      </c>
      <c r="F103" s="137">
        <v>6056979.0199999996</v>
      </c>
      <c r="G103" s="138">
        <v>6292006.5800000001</v>
      </c>
      <c r="H103" s="139">
        <v>6618215.96</v>
      </c>
    </row>
    <row r="104" spans="1:8" x14ac:dyDescent="0.25">
      <c r="A104" s="90" t="s">
        <v>218</v>
      </c>
      <c r="B104" s="91" t="s">
        <v>219</v>
      </c>
      <c r="C104" s="137">
        <v>242518.54</v>
      </c>
      <c r="D104" s="138">
        <v>355557.37</v>
      </c>
      <c r="E104" s="139">
        <v>334529.64</v>
      </c>
      <c r="F104" s="137">
        <v>3056236.44</v>
      </c>
      <c r="G104" s="138">
        <v>3247551.4</v>
      </c>
      <c r="H104" s="139">
        <v>3397997.35</v>
      </c>
    </row>
    <row r="105" spans="1:8" x14ac:dyDescent="0.25">
      <c r="A105" s="90" t="s">
        <v>220</v>
      </c>
      <c r="B105" s="91" t="s">
        <v>221</v>
      </c>
      <c r="C105" s="137">
        <v>55446.44</v>
      </c>
      <c r="D105" s="138">
        <v>43600.34</v>
      </c>
      <c r="E105" s="139">
        <v>50462.79</v>
      </c>
      <c r="F105" s="137">
        <v>605971.83000000007</v>
      </c>
      <c r="G105" s="138">
        <v>603234.6</v>
      </c>
      <c r="H105" s="139">
        <v>595625</v>
      </c>
    </row>
    <row r="106" spans="1:8" x14ac:dyDescent="0.25">
      <c r="A106" s="90" t="s">
        <v>222</v>
      </c>
      <c r="B106" s="91" t="s">
        <v>223</v>
      </c>
      <c r="C106" s="137">
        <v>6914.78</v>
      </c>
      <c r="D106" s="138">
        <v>6908.67</v>
      </c>
      <c r="E106" s="139">
        <v>6908.68</v>
      </c>
      <c r="F106" s="137">
        <v>79390.700000000012</v>
      </c>
      <c r="G106" s="138">
        <v>81177.930000000008</v>
      </c>
      <c r="H106" s="139">
        <v>82965.17</v>
      </c>
    </row>
    <row r="107" spans="1:8" x14ac:dyDescent="0.25">
      <c r="A107" s="90" t="s">
        <v>224</v>
      </c>
      <c r="B107" s="91" t="s">
        <v>225</v>
      </c>
      <c r="C107" s="137">
        <v>-78838.12999999999</v>
      </c>
      <c r="D107" s="138">
        <v>37258.089999999997</v>
      </c>
      <c r="E107" s="139">
        <v>109088.92</v>
      </c>
      <c r="F107" s="137">
        <v>1353189.7399999998</v>
      </c>
      <c r="G107" s="138">
        <v>1296529.2399999998</v>
      </c>
      <c r="H107" s="139">
        <v>1326740.28</v>
      </c>
    </row>
    <row r="108" spans="1:8" x14ac:dyDescent="0.25">
      <c r="A108" s="90" t="s">
        <v>226</v>
      </c>
      <c r="B108" s="91" t="s">
        <v>227</v>
      </c>
      <c r="C108" s="137">
        <v>438552.05000000005</v>
      </c>
      <c r="D108" s="138">
        <v>399858.86</v>
      </c>
      <c r="E108" s="139">
        <v>633121.48</v>
      </c>
      <c r="F108" s="137">
        <v>4905727.09</v>
      </c>
      <c r="G108" s="138">
        <v>4950844.629999999</v>
      </c>
      <c r="H108" s="139">
        <v>5198008.33</v>
      </c>
    </row>
    <row r="109" spans="1:8" x14ac:dyDescent="0.25">
      <c r="A109" s="90" t="s">
        <v>228</v>
      </c>
      <c r="B109" s="91" t="s">
        <v>229</v>
      </c>
      <c r="C109" s="137">
        <v>16453.3</v>
      </c>
      <c r="D109" s="138">
        <v>2312.62</v>
      </c>
      <c r="E109" s="139">
        <v>3195.72</v>
      </c>
      <c r="F109" s="137">
        <v>108227.85</v>
      </c>
      <c r="G109" s="138">
        <v>110540.47</v>
      </c>
      <c r="H109" s="139">
        <v>113736.19</v>
      </c>
    </row>
    <row r="110" spans="1:8" x14ac:dyDescent="0.25">
      <c r="A110" s="90" t="s">
        <v>230</v>
      </c>
      <c r="B110" s="91" t="s">
        <v>231</v>
      </c>
      <c r="C110" s="137">
        <v>3575.51</v>
      </c>
      <c r="D110" s="138">
        <v>2723.62</v>
      </c>
      <c r="E110" s="139">
        <v>2472.88</v>
      </c>
      <c r="F110" s="137">
        <v>24929.930000000004</v>
      </c>
      <c r="G110" s="138">
        <v>25400.760000000002</v>
      </c>
      <c r="H110" s="139">
        <v>25735.65</v>
      </c>
    </row>
    <row r="111" spans="1:8" x14ac:dyDescent="0.25">
      <c r="A111" s="90" t="s">
        <v>232</v>
      </c>
      <c r="B111" s="91" t="s">
        <v>233</v>
      </c>
      <c r="C111" s="137">
        <v>68038.679999999993</v>
      </c>
      <c r="D111" s="138">
        <v>-138043.35</v>
      </c>
      <c r="E111" s="139">
        <v>42923.38</v>
      </c>
      <c r="F111" s="137">
        <v>999139.66999999993</v>
      </c>
      <c r="G111" s="138">
        <v>796028.45</v>
      </c>
      <c r="H111" s="139">
        <v>781888.28999999992</v>
      </c>
    </row>
    <row r="112" spans="1:8" x14ac:dyDescent="0.25">
      <c r="A112" s="90" t="s">
        <v>234</v>
      </c>
      <c r="B112" s="91" t="s">
        <v>163</v>
      </c>
      <c r="C112" s="137">
        <v>89156.82</v>
      </c>
      <c r="D112" s="138">
        <v>90162.94</v>
      </c>
      <c r="E112" s="139">
        <v>88889.24</v>
      </c>
      <c r="F112" s="137">
        <v>1085944.0799999998</v>
      </c>
      <c r="G112" s="138">
        <v>1079302.8599999999</v>
      </c>
      <c r="H112" s="139">
        <v>1072996.2</v>
      </c>
    </row>
    <row r="113" spans="1:8" x14ac:dyDescent="0.25">
      <c r="A113" s="90" t="s">
        <v>235</v>
      </c>
      <c r="B113" s="91" t="s">
        <v>236</v>
      </c>
      <c r="C113" s="144">
        <v>5299.6900000000005</v>
      </c>
      <c r="D113" s="149">
        <v>6207.0300000000007</v>
      </c>
      <c r="E113" s="150">
        <v>1798.29</v>
      </c>
      <c r="F113" s="144">
        <v>43583.57</v>
      </c>
      <c r="G113" s="149">
        <v>46345.509999999995</v>
      </c>
      <c r="H113" s="150">
        <v>46987.03</v>
      </c>
    </row>
    <row r="114" spans="1:8" x14ac:dyDescent="0.25">
      <c r="A114" s="88"/>
      <c r="B114" s="89"/>
      <c r="C114" s="151">
        <f>SUM(C103:C113)</f>
        <v>1404603.96</v>
      </c>
      <c r="D114" s="151">
        <f t="shared" ref="D114:H114" si="11">SUM(D103:D113)</f>
        <v>1526079.3</v>
      </c>
      <c r="E114" s="151">
        <f t="shared" si="11"/>
        <v>1962259.0799999996</v>
      </c>
      <c r="F114" s="151">
        <f t="shared" si="11"/>
        <v>18319319.919999994</v>
      </c>
      <c r="G114" s="151">
        <f t="shared" si="11"/>
        <v>18528962.43</v>
      </c>
      <c r="H114" s="151">
        <f t="shared" si="11"/>
        <v>19260895.449999999</v>
      </c>
    </row>
    <row r="115" spans="1:8" x14ac:dyDescent="0.25">
      <c r="A115" s="90" t="s">
        <v>237</v>
      </c>
      <c r="B115" s="91" t="s">
        <v>238</v>
      </c>
      <c r="C115" s="137">
        <v>-9394.6299999999992</v>
      </c>
      <c r="D115" s="138">
        <v>-15983.87</v>
      </c>
      <c r="E115" s="139">
        <v>-58083.48</v>
      </c>
      <c r="F115" s="137">
        <v>-278374.11</v>
      </c>
      <c r="G115" s="138">
        <v>-278896.40000000002</v>
      </c>
      <c r="H115" s="139">
        <v>-310782.27</v>
      </c>
    </row>
    <row r="116" spans="1:8" x14ac:dyDescent="0.25">
      <c r="A116" s="103" t="s">
        <v>239</v>
      </c>
      <c r="B116" s="89"/>
      <c r="C116" s="140">
        <f>+C114+C115</f>
        <v>1395209.33</v>
      </c>
      <c r="D116" s="140">
        <f t="shared" ref="D116:H116" si="12">+D114+D115</f>
        <v>1510095.43</v>
      </c>
      <c r="E116" s="140">
        <f t="shared" si="12"/>
        <v>1904175.5999999996</v>
      </c>
      <c r="F116" s="140">
        <f t="shared" si="12"/>
        <v>18040945.809999995</v>
      </c>
      <c r="G116" s="140">
        <f t="shared" si="12"/>
        <v>18250066.030000001</v>
      </c>
      <c r="H116" s="140">
        <f t="shared" si="12"/>
        <v>18950113.18</v>
      </c>
    </row>
    <row r="117" spans="1:8" ht="13.5" customHeight="1" x14ac:dyDescent="0.25">
      <c r="A117" s="88"/>
      <c r="B117" s="89"/>
      <c r="C117" s="137"/>
      <c r="D117" s="138"/>
      <c r="E117" s="139"/>
      <c r="F117" s="137"/>
      <c r="G117" s="138"/>
      <c r="H117" s="139"/>
    </row>
    <row r="118" spans="1:8" ht="13.5" customHeight="1" thickBot="1" x14ac:dyDescent="0.3">
      <c r="A118" s="167" t="s">
        <v>302</v>
      </c>
      <c r="B118" s="168"/>
      <c r="C118" s="141">
        <f>+C50+C78+C86+C93+C100+C116</f>
        <v>4837616.3900000006</v>
      </c>
      <c r="D118" s="141">
        <f t="shared" ref="D118:H118" si="13">+D50+D78+D86+D93+D100+D116</f>
        <v>4404748.22</v>
      </c>
      <c r="E118" s="141">
        <f t="shared" si="13"/>
        <v>5374126.6099999994</v>
      </c>
      <c r="F118" s="141">
        <f t="shared" si="13"/>
        <v>51529016.329999998</v>
      </c>
      <c r="G118" s="141">
        <f t="shared" si="13"/>
        <v>51839635.950000003</v>
      </c>
      <c r="H118" s="141">
        <f t="shared" si="13"/>
        <v>52855549.829999998</v>
      </c>
    </row>
    <row r="119" spans="1:8" ht="15.75" thickTop="1" x14ac:dyDescent="0.25">
      <c r="A119" s="88"/>
      <c r="B119" s="89"/>
      <c r="C119" s="137"/>
      <c r="D119" s="138"/>
      <c r="E119" s="139"/>
      <c r="F119" s="137"/>
      <c r="G119" s="138"/>
      <c r="H119" s="139"/>
    </row>
    <row r="120" spans="1:8" x14ac:dyDescent="0.25">
      <c r="A120" s="103" t="s">
        <v>240</v>
      </c>
      <c r="B120" s="89"/>
      <c r="C120" s="137"/>
      <c r="D120" s="138"/>
      <c r="E120" s="139"/>
      <c r="F120" s="137"/>
      <c r="G120" s="138"/>
      <c r="H120" s="139"/>
    </row>
    <row r="121" spans="1:8" x14ac:dyDescent="0.25">
      <c r="A121" s="90" t="s">
        <v>241</v>
      </c>
      <c r="B121" s="91" t="s">
        <v>242</v>
      </c>
      <c r="C121" s="137">
        <v>2116784.89</v>
      </c>
      <c r="D121" s="138">
        <v>2135644.39</v>
      </c>
      <c r="E121" s="139">
        <v>2148029.36</v>
      </c>
      <c r="F121" s="137">
        <v>24642524.559999999</v>
      </c>
      <c r="G121" s="138">
        <v>24806295.219999999</v>
      </c>
      <c r="H121" s="139">
        <v>24915117.609999999</v>
      </c>
    </row>
    <row r="122" spans="1:8" x14ac:dyDescent="0.25">
      <c r="A122" s="88"/>
      <c r="B122" s="91" t="s">
        <v>243</v>
      </c>
      <c r="C122" s="137" t="s">
        <v>315</v>
      </c>
      <c r="D122" s="138" t="s">
        <v>315</v>
      </c>
      <c r="E122" s="139">
        <v>0</v>
      </c>
      <c r="F122" s="137" t="s">
        <v>315</v>
      </c>
      <c r="G122" s="138" t="s">
        <v>315</v>
      </c>
      <c r="H122" s="139">
        <v>0</v>
      </c>
    </row>
    <row r="123" spans="1:8" x14ac:dyDescent="0.25">
      <c r="A123" s="88"/>
      <c r="B123" s="91" t="s">
        <v>244</v>
      </c>
      <c r="C123" s="137" t="s">
        <v>315</v>
      </c>
      <c r="D123" s="138" t="s">
        <v>315</v>
      </c>
      <c r="E123" s="139">
        <v>0</v>
      </c>
      <c r="F123" s="137" t="s">
        <v>315</v>
      </c>
      <c r="G123" s="138" t="s">
        <v>315</v>
      </c>
      <c r="H123" s="139">
        <v>0</v>
      </c>
    </row>
    <row r="124" spans="1:8" x14ac:dyDescent="0.25">
      <c r="A124" s="88"/>
      <c r="B124" s="91" t="s">
        <v>245</v>
      </c>
      <c r="C124" s="137" t="s">
        <v>315</v>
      </c>
      <c r="D124" s="138" t="s">
        <v>315</v>
      </c>
      <c r="E124" s="139" t="s">
        <v>315</v>
      </c>
      <c r="F124" s="137" t="s">
        <v>315</v>
      </c>
      <c r="G124" s="138" t="s">
        <v>315</v>
      </c>
      <c r="H124" s="139" t="s">
        <v>315</v>
      </c>
    </row>
    <row r="125" spans="1:8" x14ac:dyDescent="0.25">
      <c r="A125" s="88"/>
      <c r="B125" s="91" t="s">
        <v>246</v>
      </c>
      <c r="C125" s="137" t="s">
        <v>315</v>
      </c>
      <c r="D125" s="138" t="s">
        <v>315</v>
      </c>
      <c r="E125" s="139">
        <v>0</v>
      </c>
      <c r="F125" s="137" t="s">
        <v>315</v>
      </c>
      <c r="G125" s="138" t="s">
        <v>315</v>
      </c>
      <c r="H125" s="139">
        <v>0</v>
      </c>
    </row>
    <row r="126" spans="1:8" x14ac:dyDescent="0.25">
      <c r="A126" s="88"/>
      <c r="B126" s="91" t="s">
        <v>247</v>
      </c>
      <c r="C126" s="137" t="s">
        <v>315</v>
      </c>
      <c r="D126" s="138" t="s">
        <v>315</v>
      </c>
      <c r="E126" s="139">
        <v>0</v>
      </c>
      <c r="F126" s="137" t="s">
        <v>315</v>
      </c>
      <c r="G126" s="138" t="s">
        <v>315</v>
      </c>
      <c r="H126" s="139">
        <v>0</v>
      </c>
    </row>
    <row r="127" spans="1:8" x14ac:dyDescent="0.25">
      <c r="A127" s="90" t="s">
        <v>248</v>
      </c>
      <c r="B127" s="91" t="s">
        <v>249</v>
      </c>
      <c r="C127" s="137" t="s">
        <v>315</v>
      </c>
      <c r="D127" s="138" t="s">
        <v>315</v>
      </c>
      <c r="E127" s="139">
        <v>0</v>
      </c>
      <c r="F127" s="137" t="s">
        <v>315</v>
      </c>
      <c r="G127" s="138" t="s">
        <v>315</v>
      </c>
      <c r="H127" s="139">
        <v>0</v>
      </c>
    </row>
    <row r="128" spans="1:8" x14ac:dyDescent="0.25">
      <c r="A128" s="103" t="s">
        <v>250</v>
      </c>
      <c r="B128" s="89"/>
      <c r="C128" s="140">
        <f>SUM(C121:C127)</f>
        <v>2116784.89</v>
      </c>
      <c r="D128" s="140">
        <f t="shared" ref="D128:H128" si="14">SUM(D121:D127)</f>
        <v>2135644.39</v>
      </c>
      <c r="E128" s="140">
        <f t="shared" si="14"/>
        <v>2148029.36</v>
      </c>
      <c r="F128" s="140">
        <f t="shared" si="14"/>
        <v>24642524.559999999</v>
      </c>
      <c r="G128" s="140">
        <f t="shared" si="14"/>
        <v>24806295.219999999</v>
      </c>
      <c r="H128" s="140">
        <f t="shared" si="14"/>
        <v>24915117.609999999</v>
      </c>
    </row>
    <row r="129" spans="1:8" x14ac:dyDescent="0.25">
      <c r="A129" s="88"/>
      <c r="B129" s="89"/>
      <c r="C129" s="137"/>
      <c r="D129" s="138"/>
      <c r="E129" s="139"/>
      <c r="F129" s="137"/>
      <c r="G129" s="138"/>
      <c r="H129" s="139"/>
    </row>
    <row r="130" spans="1:8" x14ac:dyDescent="0.25">
      <c r="A130" s="105" t="s">
        <v>303</v>
      </c>
      <c r="B130" s="89" t="s">
        <v>251</v>
      </c>
      <c r="C130" s="137">
        <v>0</v>
      </c>
      <c r="D130" s="138">
        <v>0</v>
      </c>
      <c r="E130" s="139">
        <v>0</v>
      </c>
      <c r="F130" s="137">
        <v>0</v>
      </c>
      <c r="G130" s="138">
        <v>0</v>
      </c>
      <c r="H130" s="139">
        <v>0</v>
      </c>
    </row>
    <row r="131" spans="1:8" x14ac:dyDescent="0.25">
      <c r="A131" s="88"/>
      <c r="B131" s="89"/>
      <c r="C131" s="137"/>
      <c r="D131" s="138"/>
      <c r="E131" s="139"/>
      <c r="F131" s="137"/>
      <c r="G131" s="138"/>
      <c r="H131" s="139"/>
    </row>
    <row r="132" spans="1:8" x14ac:dyDescent="0.25">
      <c r="A132" s="103" t="s">
        <v>252</v>
      </c>
      <c r="B132" s="89"/>
      <c r="C132" s="137"/>
      <c r="D132" s="138"/>
      <c r="E132" s="139"/>
      <c r="F132" s="137"/>
      <c r="G132" s="138"/>
      <c r="H132" s="139"/>
    </row>
    <row r="133" spans="1:8" x14ac:dyDescent="0.25">
      <c r="A133" s="90" t="s">
        <v>253</v>
      </c>
      <c r="B133" s="91" t="s">
        <v>254</v>
      </c>
      <c r="C133" s="144">
        <v>384782.53</v>
      </c>
      <c r="D133" s="149">
        <v>364592.04</v>
      </c>
      <c r="E133" s="186">
        <v>416144.98</v>
      </c>
      <c r="F133" s="144">
        <v>4066340.18</v>
      </c>
      <c r="G133" s="149">
        <v>4089607.0600000005</v>
      </c>
      <c r="H133" s="150">
        <v>4176014.52</v>
      </c>
    </row>
    <row r="134" spans="1:8" x14ac:dyDescent="0.25">
      <c r="A134" s="88"/>
      <c r="B134" s="89"/>
      <c r="C134" s="137"/>
      <c r="D134" s="138"/>
      <c r="E134" s="139"/>
      <c r="F134" s="137"/>
      <c r="G134" s="138"/>
      <c r="H134" s="139"/>
    </row>
    <row r="135" spans="1:8" x14ac:dyDescent="0.25">
      <c r="A135" s="103" t="s">
        <v>255</v>
      </c>
      <c r="B135" s="89"/>
      <c r="C135" s="137"/>
      <c r="D135" s="138"/>
      <c r="E135" s="139"/>
      <c r="F135" s="137"/>
      <c r="G135" s="138"/>
      <c r="H135" s="139"/>
    </row>
    <row r="136" spans="1:8" x14ac:dyDescent="0.25">
      <c r="A136" s="90" t="s">
        <v>256</v>
      </c>
      <c r="B136" s="91" t="s">
        <v>257</v>
      </c>
      <c r="C136" s="137">
        <v>-155961.68</v>
      </c>
      <c r="D136" s="138">
        <v>-191792.85</v>
      </c>
      <c r="E136" s="139">
        <v>557248.26</v>
      </c>
      <c r="F136" s="137">
        <v>-18792683.140000001</v>
      </c>
      <c r="G136" s="138">
        <v>-18088000.380000003</v>
      </c>
      <c r="H136" s="152">
        <v>-10887316.07</v>
      </c>
    </row>
    <row r="137" spans="1:8" x14ac:dyDescent="0.25">
      <c r="A137" s="90" t="s">
        <v>256</v>
      </c>
      <c r="B137" s="91" t="s">
        <v>258</v>
      </c>
      <c r="C137" s="137">
        <v>0</v>
      </c>
      <c r="D137" s="138">
        <v>0</v>
      </c>
      <c r="E137" s="139">
        <v>0</v>
      </c>
      <c r="F137" s="137">
        <v>0</v>
      </c>
      <c r="G137" s="138">
        <v>0</v>
      </c>
      <c r="H137" s="139">
        <v>0</v>
      </c>
    </row>
    <row r="138" spans="1:8" x14ac:dyDescent="0.25">
      <c r="A138" s="90" t="s">
        <v>259</v>
      </c>
      <c r="B138" s="91" t="s">
        <v>260</v>
      </c>
      <c r="C138" s="137">
        <v>235470.53</v>
      </c>
      <c r="D138" s="138">
        <v>1929273.52</v>
      </c>
      <c r="E138" s="139">
        <v>2306946.59</v>
      </c>
      <c r="F138" s="137">
        <v>46334023.649999999</v>
      </c>
      <c r="G138" s="138">
        <v>46437481.549999997</v>
      </c>
      <c r="H138" s="139">
        <v>32227813.57</v>
      </c>
    </row>
    <row r="139" spans="1:8" x14ac:dyDescent="0.25">
      <c r="A139" s="90" t="s">
        <v>259</v>
      </c>
      <c r="B139" s="91" t="s">
        <v>261</v>
      </c>
      <c r="C139" s="137">
        <v>0</v>
      </c>
      <c r="D139" s="138">
        <v>0</v>
      </c>
      <c r="E139" s="139">
        <v>0</v>
      </c>
      <c r="F139" s="137">
        <v>0</v>
      </c>
      <c r="G139" s="138">
        <v>0</v>
      </c>
      <c r="H139" s="139">
        <v>0</v>
      </c>
    </row>
    <row r="140" spans="1:8" x14ac:dyDescent="0.25">
      <c r="A140" s="90" t="s">
        <v>262</v>
      </c>
      <c r="B140" s="91" t="s">
        <v>263</v>
      </c>
      <c r="C140" s="137">
        <v>-290400.52</v>
      </c>
      <c r="D140" s="138">
        <v>-1216707.7</v>
      </c>
      <c r="E140" s="139">
        <v>-2104934.0299999998</v>
      </c>
      <c r="F140" s="137">
        <v>-27607098.060000002</v>
      </c>
      <c r="G140" s="138">
        <v>-28823805.759999998</v>
      </c>
      <c r="H140" s="139">
        <v>-22532955.920000002</v>
      </c>
    </row>
    <row r="141" spans="1:8" x14ac:dyDescent="0.25">
      <c r="A141" s="90" t="s">
        <v>264</v>
      </c>
      <c r="B141" s="91" t="s">
        <v>265</v>
      </c>
      <c r="C141" s="137">
        <v>-2645.09</v>
      </c>
      <c r="D141" s="138">
        <v>-2645.09</v>
      </c>
      <c r="E141" s="139">
        <v>-2645.09</v>
      </c>
      <c r="F141" s="137">
        <v>-31469.929999999997</v>
      </c>
      <c r="G141" s="138">
        <v>-31793.269999999997</v>
      </c>
      <c r="H141" s="139">
        <v>-31741.09</v>
      </c>
    </row>
    <row r="142" spans="1:8" x14ac:dyDescent="0.25">
      <c r="A142" s="103" t="s">
        <v>266</v>
      </c>
      <c r="B142" s="89"/>
      <c r="C142" s="140">
        <f>SUM(C136:C141)</f>
        <v>-213536.76</v>
      </c>
      <c r="D142" s="140">
        <f t="shared" ref="D142:H142" si="15">SUM(D136:D141)</f>
        <v>518127.87999999995</v>
      </c>
      <c r="E142" s="140">
        <f t="shared" si="15"/>
        <v>756615.72999999986</v>
      </c>
      <c r="F142" s="140">
        <f t="shared" si="15"/>
        <v>-97227.480000004463</v>
      </c>
      <c r="G142" s="140">
        <f t="shared" si="15"/>
        <v>-506117.86000000359</v>
      </c>
      <c r="H142" s="142">
        <f t="shared" si="15"/>
        <v>-1224199.5100000019</v>
      </c>
    </row>
    <row r="143" spans="1:8" x14ac:dyDescent="0.25">
      <c r="A143" s="103" t="s">
        <v>267</v>
      </c>
      <c r="B143" s="89"/>
      <c r="C143" s="137">
        <f>+C50+C78+C86+C93+C100+C128+C133+C142+C116</f>
        <v>7125647.0500000017</v>
      </c>
      <c r="D143" s="137">
        <f t="shared" ref="D143:H143" si="16">+D50+D78+D86+D93+D100+D128+D133+D142+D116</f>
        <v>7423112.5299999993</v>
      </c>
      <c r="E143" s="137">
        <f t="shared" si="16"/>
        <v>8694916.6799999997</v>
      </c>
      <c r="F143" s="137">
        <f t="shared" si="16"/>
        <v>80140653.589999989</v>
      </c>
      <c r="G143" s="137">
        <f t="shared" si="16"/>
        <v>80229420.370000005</v>
      </c>
      <c r="H143" s="138">
        <f t="shared" si="16"/>
        <v>80722482.449999988</v>
      </c>
    </row>
    <row r="144" spans="1:8" ht="15.75" thickBot="1" x14ac:dyDescent="0.3">
      <c r="A144" s="110" t="s">
        <v>268</v>
      </c>
      <c r="B144" s="111"/>
      <c r="C144" s="187">
        <f>+C47-C143</f>
        <v>1025283.0700000003</v>
      </c>
      <c r="D144" s="187">
        <f t="shared" ref="D144:H144" si="17">+D47-D143</f>
        <v>3786466.3400000017</v>
      </c>
      <c r="E144" s="187">
        <f t="shared" si="17"/>
        <v>5048688.5299999937</v>
      </c>
      <c r="F144" s="187">
        <f t="shared" si="17"/>
        <v>21160048.810000017</v>
      </c>
      <c r="G144" s="187">
        <f t="shared" si="17"/>
        <v>21150092.729999989</v>
      </c>
      <c r="H144" s="153">
        <f t="shared" si="17"/>
        <v>20804384.869999975</v>
      </c>
    </row>
    <row r="145" spans="1:8" ht="15.75" thickTop="1" x14ac:dyDescent="0.25">
      <c r="A145" s="88"/>
      <c r="B145" s="112"/>
      <c r="C145" s="129"/>
      <c r="D145" s="129"/>
      <c r="E145" s="129"/>
      <c r="F145" s="129"/>
      <c r="G145" s="129"/>
      <c r="H145" s="129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B1:P40"/>
  <sheetViews>
    <sheetView topLeftCell="A2" zoomScale="120" zoomScaleNormal="120" workbookViewId="0">
      <selection activeCell="P10" sqref="P10:P13"/>
    </sheetView>
  </sheetViews>
  <sheetFormatPr defaultRowHeight="12.75" x14ac:dyDescent="0.2"/>
  <cols>
    <col min="1" max="1" width="1.140625" style="94" customWidth="1"/>
    <col min="2" max="2" width="33.5703125" style="94" bestFit="1" customWidth="1"/>
    <col min="3" max="3" width="12.85546875" style="94" bestFit="1" customWidth="1"/>
    <col min="4" max="5" width="10.85546875" style="94" bestFit="1" customWidth="1"/>
    <col min="6" max="8" width="1.28515625" style="94" customWidth="1"/>
    <col min="9" max="9" width="14.5703125" style="94" bestFit="1" customWidth="1"/>
    <col min="10" max="10" width="9.140625" style="94"/>
    <col min="11" max="13" width="1.140625" style="94" customWidth="1"/>
    <col min="14" max="14" width="11.42578125" style="94" bestFit="1" customWidth="1"/>
    <col min="15" max="15" width="11.7109375" style="94" bestFit="1" customWidth="1"/>
    <col min="16" max="16" width="12.85546875" style="94" bestFit="1" customWidth="1"/>
    <col min="17" max="16384" width="9.140625" style="94"/>
  </cols>
  <sheetData>
    <row r="1" spans="2:16" ht="25.5" x14ac:dyDescent="0.35">
      <c r="B1" s="179" t="s">
        <v>296</v>
      </c>
      <c r="C1" s="179"/>
      <c r="D1" s="179"/>
      <c r="E1" s="179"/>
      <c r="I1" s="179" t="s">
        <v>297</v>
      </c>
      <c r="J1" s="179"/>
      <c r="K1" s="179"/>
      <c r="L1" s="179"/>
      <c r="M1" s="179"/>
      <c r="N1" s="179"/>
      <c r="O1" s="179"/>
      <c r="P1" s="179"/>
    </row>
    <row r="2" spans="2:16" x14ac:dyDescent="0.2">
      <c r="B2" s="95"/>
      <c r="I2" s="157"/>
      <c r="J2" s="157"/>
      <c r="N2" s="188" t="str">
        <f>+C4</f>
        <v>October</v>
      </c>
      <c r="O2" s="188" t="str">
        <f>+D4</f>
        <v>November</v>
      </c>
      <c r="P2" s="188" t="str">
        <f>+E4</f>
        <v>December</v>
      </c>
    </row>
    <row r="3" spans="2:16" x14ac:dyDescent="0.2">
      <c r="B3" s="96"/>
      <c r="C3" s="145"/>
      <c r="D3" s="145"/>
      <c r="E3" s="145"/>
      <c r="I3" s="180" t="s">
        <v>299</v>
      </c>
      <c r="J3" s="180"/>
      <c r="K3" s="180"/>
      <c r="L3" s="180"/>
      <c r="M3" s="180"/>
      <c r="N3" s="180"/>
      <c r="O3" s="180"/>
      <c r="P3" s="180"/>
    </row>
    <row r="4" spans="2:16" x14ac:dyDescent="0.2">
      <c r="B4" s="97" t="s">
        <v>271</v>
      </c>
      <c r="C4" s="145" t="s">
        <v>316</v>
      </c>
      <c r="D4" s="145" t="s">
        <v>317</v>
      </c>
      <c r="E4" s="145" t="s">
        <v>318</v>
      </c>
      <c r="I4" s="98" t="s">
        <v>9</v>
      </c>
      <c r="J4" s="98" t="s">
        <v>285</v>
      </c>
      <c r="K4" s="134"/>
      <c r="L4" s="134"/>
      <c r="M4" s="134"/>
      <c r="N4" s="135">
        <v>11085416</v>
      </c>
      <c r="O4" s="135">
        <v>15903738</v>
      </c>
      <c r="P4" s="135">
        <v>19793411</v>
      </c>
    </row>
    <row r="5" spans="2:16" x14ac:dyDescent="0.2">
      <c r="I5" s="99"/>
      <c r="J5" s="98" t="s">
        <v>286</v>
      </c>
      <c r="K5" s="134"/>
      <c r="L5" s="134"/>
      <c r="M5" s="134"/>
      <c r="N5" s="135">
        <v>10299854</v>
      </c>
      <c r="O5" s="135">
        <v>14379308</v>
      </c>
      <c r="P5" s="135">
        <v>16122311</v>
      </c>
    </row>
    <row r="6" spans="2:16" x14ac:dyDescent="0.2">
      <c r="B6" s="97" t="s">
        <v>272</v>
      </c>
      <c r="C6" s="189">
        <v>851787146</v>
      </c>
      <c r="D6" s="190">
        <v>856810901.30999994</v>
      </c>
      <c r="E6" s="189">
        <v>866945221</v>
      </c>
      <c r="I6" s="99"/>
      <c r="J6" s="98" t="s">
        <v>287</v>
      </c>
      <c r="K6" s="134"/>
      <c r="L6" s="134"/>
      <c r="M6" s="134"/>
      <c r="N6" s="135">
        <v>1687630</v>
      </c>
      <c r="O6" s="135">
        <v>1643539</v>
      </c>
      <c r="P6" s="135">
        <v>1791294</v>
      </c>
    </row>
    <row r="7" spans="2:16" x14ac:dyDescent="0.2">
      <c r="B7" s="97" t="s">
        <v>273</v>
      </c>
      <c r="C7" s="191">
        <v>-393707695</v>
      </c>
      <c r="D7" s="191">
        <v>-395640324.42000002</v>
      </c>
      <c r="E7" s="191">
        <v>-394211591</v>
      </c>
      <c r="I7" s="99"/>
      <c r="J7" s="98" t="s">
        <v>288</v>
      </c>
      <c r="K7" s="134"/>
      <c r="L7" s="134"/>
      <c r="M7" s="134"/>
      <c r="N7" s="135">
        <v>233137</v>
      </c>
      <c r="O7" s="135">
        <v>230724</v>
      </c>
      <c r="P7" s="135">
        <v>254274</v>
      </c>
    </row>
    <row r="8" spans="2:16" x14ac:dyDescent="0.2">
      <c r="B8" s="97" t="s">
        <v>274</v>
      </c>
      <c r="C8" s="189">
        <f>+C6+C7</f>
        <v>458079451</v>
      </c>
      <c r="D8" s="189">
        <f>+D6+D7</f>
        <v>461170576.88999993</v>
      </c>
      <c r="E8" s="189">
        <f>+E6+E7</f>
        <v>472733630</v>
      </c>
      <c r="I8" s="99"/>
      <c r="J8" s="98" t="s">
        <v>289</v>
      </c>
      <c r="K8" s="134"/>
      <c r="L8" s="134"/>
      <c r="M8" s="134"/>
      <c r="N8" s="135">
        <v>64562818</v>
      </c>
      <c r="O8" s="135">
        <v>64197498</v>
      </c>
      <c r="P8" s="135">
        <v>84674336</v>
      </c>
    </row>
    <row r="9" spans="2:16" x14ac:dyDescent="0.2">
      <c r="B9" s="97" t="s">
        <v>275</v>
      </c>
      <c r="C9" s="189">
        <v>-3726949</v>
      </c>
      <c r="D9" s="189">
        <v>-3733622.11</v>
      </c>
      <c r="E9" s="189">
        <v>-3755551</v>
      </c>
      <c r="I9" s="134"/>
      <c r="J9" s="134"/>
      <c r="K9" s="134"/>
      <c r="L9" s="134"/>
      <c r="M9" s="134"/>
      <c r="N9" s="135"/>
      <c r="O9" s="135"/>
      <c r="P9" s="135"/>
    </row>
    <row r="10" spans="2:16" x14ac:dyDescent="0.2">
      <c r="B10" s="97" t="s">
        <v>276</v>
      </c>
      <c r="C10" s="189">
        <v>0</v>
      </c>
      <c r="D10" s="189">
        <v>0</v>
      </c>
      <c r="E10" s="189"/>
      <c r="I10" s="98" t="s">
        <v>290</v>
      </c>
      <c r="J10" s="98" t="s">
        <v>285</v>
      </c>
      <c r="K10" s="134"/>
      <c r="L10" s="134"/>
      <c r="M10" s="134"/>
      <c r="N10" s="135">
        <v>130063965</v>
      </c>
      <c r="O10" s="135">
        <v>130472433</v>
      </c>
      <c r="P10" s="135">
        <v>130865446</v>
      </c>
    </row>
    <row r="11" spans="2:16" x14ac:dyDescent="0.2">
      <c r="B11" s="97" t="s">
        <v>277</v>
      </c>
      <c r="C11" s="191">
        <v>-75883695</v>
      </c>
      <c r="D11" s="191">
        <v>-76564459.489999995</v>
      </c>
      <c r="E11" s="191">
        <v>-77673011</v>
      </c>
      <c r="I11" s="99"/>
      <c r="J11" s="98" t="s">
        <v>286</v>
      </c>
      <c r="K11" s="134"/>
      <c r="L11" s="134"/>
      <c r="M11" s="134"/>
      <c r="N11" s="135">
        <v>106179340</v>
      </c>
      <c r="O11" s="135">
        <v>109417823</v>
      </c>
      <c r="P11" s="135">
        <v>111078907</v>
      </c>
    </row>
    <row r="12" spans="2:16" x14ac:dyDescent="0.2">
      <c r="B12" s="97" t="s">
        <v>278</v>
      </c>
      <c r="C12" s="189">
        <f>SUM(C8:C11)</f>
        <v>378468807</v>
      </c>
      <c r="D12" s="189">
        <f>SUM(D8:D11)</f>
        <v>380872495.2899999</v>
      </c>
      <c r="E12" s="189">
        <f>SUM(E8:E11)</f>
        <v>391305068</v>
      </c>
      <c r="I12" s="99"/>
      <c r="J12" s="98" t="s">
        <v>287</v>
      </c>
      <c r="K12" s="134"/>
      <c r="L12" s="134"/>
      <c r="M12" s="134"/>
      <c r="N12" s="135">
        <v>16800717</v>
      </c>
      <c r="O12" s="135">
        <v>17269869</v>
      </c>
      <c r="P12" s="135">
        <v>17280578</v>
      </c>
    </row>
    <row r="13" spans="2:16" x14ac:dyDescent="0.2">
      <c r="B13" s="97" t="s">
        <v>279</v>
      </c>
      <c r="C13" s="191">
        <v>7569376</v>
      </c>
      <c r="D13" s="191">
        <v>7312752</v>
      </c>
      <c r="E13" s="191">
        <v>8021754</v>
      </c>
      <c r="I13" s="99"/>
      <c r="J13" s="98" t="s">
        <v>288</v>
      </c>
      <c r="K13" s="134"/>
      <c r="L13" s="134"/>
      <c r="M13" s="134"/>
      <c r="N13" s="135">
        <v>2259255</v>
      </c>
      <c r="O13" s="135">
        <v>2272230</v>
      </c>
      <c r="P13" s="135">
        <v>2265943</v>
      </c>
    </row>
    <row r="14" spans="2:16" ht="13.5" thickBot="1" x14ac:dyDescent="0.25">
      <c r="B14" s="95" t="s">
        <v>280</v>
      </c>
      <c r="C14" s="192">
        <f>+C13+C12</f>
        <v>386038183</v>
      </c>
      <c r="D14" s="192">
        <f>+D13+D12</f>
        <v>388185247.2899999</v>
      </c>
      <c r="E14" s="192">
        <f>+E13+E12</f>
        <v>399326822</v>
      </c>
      <c r="I14" s="99"/>
      <c r="J14" s="98" t="s">
        <v>289</v>
      </c>
      <c r="K14" s="134"/>
      <c r="L14" s="134"/>
      <c r="M14" s="134"/>
      <c r="N14" s="135">
        <v>768095507</v>
      </c>
      <c r="O14" s="135">
        <v>793674615</v>
      </c>
      <c r="P14" s="135">
        <v>815829905</v>
      </c>
    </row>
    <row r="15" spans="2:16" ht="13.5" thickTop="1" x14ac:dyDescent="0.2">
      <c r="B15" s="92"/>
      <c r="C15" s="133"/>
      <c r="D15" s="133"/>
      <c r="E15" s="133"/>
      <c r="I15" s="134"/>
      <c r="J15" s="134"/>
      <c r="K15" s="134"/>
      <c r="L15" s="134"/>
      <c r="M15" s="134"/>
      <c r="N15" s="100"/>
      <c r="O15" s="100"/>
      <c r="P15" s="100"/>
    </row>
    <row r="16" spans="2:16" x14ac:dyDescent="0.2">
      <c r="B16" s="97" t="s">
        <v>281</v>
      </c>
      <c r="C16" s="93"/>
      <c r="D16" s="93"/>
      <c r="E16" s="93"/>
      <c r="I16" s="134"/>
      <c r="J16" s="134"/>
      <c r="K16" s="134"/>
      <c r="L16" s="134"/>
      <c r="M16" s="134"/>
      <c r="N16" s="134"/>
      <c r="O16" s="134"/>
      <c r="P16" s="134"/>
    </row>
    <row r="17" spans="2:16" x14ac:dyDescent="0.2">
      <c r="B17" s="92"/>
      <c r="C17" s="133"/>
      <c r="D17" s="133"/>
      <c r="E17" s="133"/>
      <c r="I17" s="181" t="s">
        <v>298</v>
      </c>
      <c r="J17" s="181"/>
      <c r="K17" s="181"/>
      <c r="L17" s="181"/>
      <c r="M17" s="181"/>
      <c r="N17" s="181"/>
      <c r="O17" s="181"/>
      <c r="P17" s="181"/>
    </row>
    <row r="18" spans="2:16" x14ac:dyDescent="0.2">
      <c r="B18" s="97" t="s">
        <v>272</v>
      </c>
      <c r="C18" s="189">
        <f>AVERAGE(C6,845534633)</f>
        <v>848660889.5</v>
      </c>
      <c r="D18" s="189">
        <f>AVERAGE(C6,D6)</f>
        <v>854299023.65499997</v>
      </c>
      <c r="E18" s="189">
        <f>AVERAGE(D6,E6)</f>
        <v>861878061.15499997</v>
      </c>
      <c r="I18" s="134"/>
      <c r="J18" s="134"/>
      <c r="K18" s="134"/>
      <c r="L18" s="134"/>
      <c r="M18" s="134"/>
      <c r="N18" s="134"/>
      <c r="O18" s="134"/>
      <c r="P18" s="134"/>
    </row>
    <row r="19" spans="2:16" x14ac:dyDescent="0.2">
      <c r="B19" s="97" t="s">
        <v>273</v>
      </c>
      <c r="C19" s="191">
        <f>AVERAGE(C7,-392089974)</f>
        <v>-392898834.5</v>
      </c>
      <c r="D19" s="191">
        <f>AVERAGE(C7,D7)</f>
        <v>-394674009.71000004</v>
      </c>
      <c r="E19" s="191">
        <f>AVERAGE(D7,E7)</f>
        <v>-394925957.71000004</v>
      </c>
      <c r="I19" s="134"/>
      <c r="J19" s="98" t="s">
        <v>291</v>
      </c>
      <c r="K19" s="134"/>
      <c r="L19" s="134"/>
      <c r="M19" s="134"/>
      <c r="N19" s="135">
        <v>192838</v>
      </c>
      <c r="O19" s="135">
        <v>193448</v>
      </c>
      <c r="P19" s="135">
        <v>193905</v>
      </c>
    </row>
    <row r="20" spans="2:16" x14ac:dyDescent="0.2">
      <c r="B20" s="97" t="s">
        <v>274</v>
      </c>
      <c r="C20" s="189">
        <f>+C19+C18</f>
        <v>455762055</v>
      </c>
      <c r="D20" s="189">
        <f>+D19+D18</f>
        <v>459625013.94499993</v>
      </c>
      <c r="E20" s="189">
        <f>+E19+E18</f>
        <v>466952103.44499993</v>
      </c>
      <c r="I20" s="134"/>
      <c r="J20" s="98" t="s">
        <v>292</v>
      </c>
      <c r="K20" s="134"/>
      <c r="L20" s="134"/>
      <c r="M20" s="134"/>
      <c r="N20" s="135">
        <v>26609</v>
      </c>
      <c r="O20" s="135">
        <v>26756</v>
      </c>
      <c r="P20" s="135">
        <v>26880</v>
      </c>
    </row>
    <row r="21" spans="2:16" x14ac:dyDescent="0.2">
      <c r="B21" s="97" t="s">
        <v>275</v>
      </c>
      <c r="C21" s="189">
        <f>AVERAGE(C9,-3721269)</f>
        <v>-3724109</v>
      </c>
      <c r="D21" s="189">
        <f>AVERAGE(C9,D9)</f>
        <v>-3730285.5549999997</v>
      </c>
      <c r="E21" s="189">
        <f>AVERAGE(D9,E9)</f>
        <v>-3744586.5549999997</v>
      </c>
      <c r="I21" s="134"/>
      <c r="J21" s="98" t="s">
        <v>293</v>
      </c>
      <c r="K21" s="134"/>
      <c r="L21" s="134"/>
      <c r="M21" s="134"/>
      <c r="N21" s="135">
        <v>496</v>
      </c>
      <c r="O21" s="135">
        <v>497</v>
      </c>
      <c r="P21" s="135">
        <v>495</v>
      </c>
    </row>
    <row r="22" spans="2:16" x14ac:dyDescent="0.2">
      <c r="B22" s="97" t="s">
        <v>276</v>
      </c>
      <c r="C22" s="189">
        <v>0</v>
      </c>
      <c r="D22" s="189">
        <v>0</v>
      </c>
      <c r="E22" s="189">
        <v>0</v>
      </c>
      <c r="I22" s="134"/>
      <c r="J22" s="98" t="s">
        <v>294</v>
      </c>
      <c r="K22" s="134"/>
      <c r="L22" s="134"/>
      <c r="M22" s="134"/>
      <c r="N22" s="135">
        <v>8</v>
      </c>
      <c r="O22" s="135">
        <v>8</v>
      </c>
      <c r="P22" s="135">
        <v>8</v>
      </c>
    </row>
    <row r="23" spans="2:16" x14ac:dyDescent="0.2">
      <c r="B23" s="97" t="s">
        <v>277</v>
      </c>
      <c r="C23" s="191">
        <f>+C11</f>
        <v>-75883695</v>
      </c>
      <c r="D23" s="191">
        <f>+D11</f>
        <v>-76564459.489999995</v>
      </c>
      <c r="E23" s="191">
        <f>+E11</f>
        <v>-77673011</v>
      </c>
      <c r="I23" s="134"/>
      <c r="J23" s="98" t="s">
        <v>295</v>
      </c>
      <c r="K23" s="134"/>
      <c r="L23" s="134"/>
      <c r="M23" s="134"/>
      <c r="N23" s="135">
        <v>192</v>
      </c>
      <c r="O23" s="135">
        <v>194</v>
      </c>
      <c r="P23" s="135">
        <v>195</v>
      </c>
    </row>
    <row r="24" spans="2:16" x14ac:dyDescent="0.2">
      <c r="B24" s="97" t="s">
        <v>278</v>
      </c>
      <c r="C24" s="189">
        <f>SUM(C20:C23)</f>
        <v>376154251</v>
      </c>
      <c r="D24" s="189">
        <f>SUM(D20:D23)</f>
        <v>379330268.89999992</v>
      </c>
      <c r="E24" s="189">
        <f>SUM(E20:E23)</f>
        <v>385534505.88999993</v>
      </c>
      <c r="N24" s="1" t="s">
        <v>312</v>
      </c>
      <c r="O24" s="1" t="s">
        <v>312</v>
      </c>
      <c r="P24" s="1" t="s">
        <v>312</v>
      </c>
    </row>
    <row r="25" spans="2:16" x14ac:dyDescent="0.2">
      <c r="B25" s="97" t="s">
        <v>279</v>
      </c>
      <c r="C25" s="191">
        <f>AVERAGE(C13,8036324)</f>
        <v>7802850</v>
      </c>
      <c r="D25" s="191">
        <f>AVERAGE(C13,D13)</f>
        <v>7441064</v>
      </c>
      <c r="E25" s="191">
        <f>AVERAGE(D13,E13)</f>
        <v>7667253</v>
      </c>
      <c r="N25" s="101"/>
      <c r="O25" s="101"/>
      <c r="P25" s="101"/>
    </row>
    <row r="26" spans="2:16" ht="13.5" thickBot="1" x14ac:dyDescent="0.25">
      <c r="B26" s="95" t="s">
        <v>282</v>
      </c>
      <c r="C26" s="192">
        <f>+C25+C24</f>
        <v>383957101</v>
      </c>
      <c r="D26" s="192">
        <f>+D25+D24</f>
        <v>386771332.89999992</v>
      </c>
      <c r="E26" s="192">
        <f>+E25+E24</f>
        <v>393201758.88999993</v>
      </c>
      <c r="N26" s="1"/>
      <c r="O26" s="1"/>
      <c r="P26" s="1"/>
    </row>
    <row r="27" spans="2:16" ht="13.5" thickTop="1" x14ac:dyDescent="0.2">
      <c r="C27" s="93"/>
      <c r="D27" s="93"/>
      <c r="E27" s="93"/>
      <c r="J27" s="131"/>
      <c r="N27" s="1"/>
      <c r="O27" s="1"/>
      <c r="P27" s="132"/>
    </row>
    <row r="28" spans="2:16" x14ac:dyDescent="0.2">
      <c r="B28" s="97" t="s">
        <v>283</v>
      </c>
      <c r="C28" s="133"/>
      <c r="D28" s="133"/>
      <c r="E28" s="133"/>
      <c r="N28" s="1"/>
      <c r="O28" s="1"/>
      <c r="P28" s="1"/>
    </row>
    <row r="29" spans="2:16" x14ac:dyDescent="0.2">
      <c r="B29" s="92"/>
      <c r="C29" s="133"/>
      <c r="D29" s="133"/>
      <c r="E29" s="133"/>
      <c r="N29" s="1"/>
      <c r="O29" s="1"/>
      <c r="P29" s="1"/>
    </row>
    <row r="30" spans="2:16" x14ac:dyDescent="0.2">
      <c r="B30" s="97" t="s">
        <v>272</v>
      </c>
      <c r="C30" s="193">
        <v>828031665</v>
      </c>
      <c r="D30" s="193">
        <v>831881401</v>
      </c>
      <c r="E30" s="194">
        <v>835867892</v>
      </c>
      <c r="N30" s="1"/>
      <c r="O30" s="1"/>
      <c r="P30" s="1"/>
    </row>
    <row r="31" spans="2:16" x14ac:dyDescent="0.2">
      <c r="B31" s="97" t="s">
        <v>273</v>
      </c>
      <c r="C31" s="195">
        <v>-386861981</v>
      </c>
      <c r="D31" s="195">
        <v>-387744685</v>
      </c>
      <c r="E31" s="191">
        <v>-388720269</v>
      </c>
      <c r="N31" s="101"/>
      <c r="O31" s="101"/>
      <c r="P31" s="101"/>
    </row>
    <row r="32" spans="2:16" x14ac:dyDescent="0.2">
      <c r="B32" s="97" t="s">
        <v>274</v>
      </c>
      <c r="C32" s="194">
        <f>+C31+C30</f>
        <v>441169684</v>
      </c>
      <c r="D32" s="194">
        <f>+D31+D30</f>
        <v>444136716</v>
      </c>
      <c r="E32" s="194">
        <f>+E31+E30</f>
        <v>447147623</v>
      </c>
    </row>
    <row r="33" spans="2:5" x14ac:dyDescent="0.2">
      <c r="B33" s="97" t="s">
        <v>275</v>
      </c>
      <c r="C33" s="193">
        <v>-3828522</v>
      </c>
      <c r="D33" s="194">
        <v>-3813852</v>
      </c>
      <c r="E33" s="193">
        <v>-3800413</v>
      </c>
    </row>
    <row r="34" spans="2:5" x14ac:dyDescent="0.2">
      <c r="B34" s="97" t="s">
        <v>276</v>
      </c>
      <c r="C34" s="194">
        <v>0</v>
      </c>
      <c r="D34" s="194">
        <v>0</v>
      </c>
      <c r="E34" s="194">
        <v>0</v>
      </c>
    </row>
    <row r="35" spans="2:5" x14ac:dyDescent="0.2">
      <c r="B35" s="97" t="s">
        <v>277</v>
      </c>
      <c r="C35" s="195">
        <v>-75427470</v>
      </c>
      <c r="D35" s="191">
        <v>-75505166</v>
      </c>
      <c r="E35" s="195">
        <v>-75625050</v>
      </c>
    </row>
    <row r="36" spans="2:5" x14ac:dyDescent="0.2">
      <c r="B36" s="97" t="s">
        <v>278</v>
      </c>
      <c r="C36" s="194">
        <f>SUM(C32:C35)</f>
        <v>361913692</v>
      </c>
      <c r="D36" s="194">
        <f>SUM(D32:D35)</f>
        <v>364817698</v>
      </c>
      <c r="E36" s="194">
        <f>SUM(E32:E35)</f>
        <v>367722160</v>
      </c>
    </row>
    <row r="37" spans="2:5" x14ac:dyDescent="0.2">
      <c r="B37" s="97" t="s">
        <v>279</v>
      </c>
      <c r="C37" s="193">
        <v>7238274</v>
      </c>
      <c r="D37" s="191">
        <v>7004500</v>
      </c>
      <c r="E37" s="193">
        <v>7538304</v>
      </c>
    </row>
    <row r="38" spans="2:5" ht="13.5" thickBot="1" x14ac:dyDescent="0.25">
      <c r="B38" s="95" t="s">
        <v>284</v>
      </c>
      <c r="C38" s="192">
        <f>+C37+C36</f>
        <v>369151966</v>
      </c>
      <c r="D38" s="196">
        <f>+D37+D36</f>
        <v>371822198</v>
      </c>
      <c r="E38" s="196">
        <f>+E37+E36</f>
        <v>375260464</v>
      </c>
    </row>
    <row r="39" spans="2:5" ht="13.5" thickTop="1" x14ac:dyDescent="0.2">
      <c r="C39" s="93"/>
      <c r="D39" s="93"/>
      <c r="E39" s="93"/>
    </row>
    <row r="40" spans="2:5" x14ac:dyDescent="0.2">
      <c r="B40" s="131"/>
      <c r="C40" s="127"/>
      <c r="D40" s="130"/>
      <c r="E40" s="130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38C40D21E98B47AB19A2F0E5F86436" ma:contentTypeVersion="52" ma:contentTypeDescription="" ma:contentTypeScope="" ma:versionID="7debea43e30e01e050f38faa6e6434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2020-01-30T08:00:00+00:00</OpenedDate>
    <SignificantOrder xmlns="dc463f71-b30c-4ab2-9473-d307f9d35888">false</SignificantOrder>
    <Date1 xmlns="dc463f71-b30c-4ab2-9473-d307f9d35888">2020-01-30T08:00:00+00:00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200063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943F83B-2EC7-4638-B317-6B3AECA27AE4}"/>
</file>

<file path=customXml/itemProps2.xml><?xml version="1.0" encoding="utf-8"?>
<ds:datastoreItem xmlns:ds="http://schemas.openxmlformats.org/officeDocument/2006/customXml" ds:itemID="{B5FC7294-09B0-47CF-A71D-5AB0370B446C}"/>
</file>

<file path=customXml/itemProps3.xml><?xml version="1.0" encoding="utf-8"?>
<ds:datastoreItem xmlns:ds="http://schemas.openxmlformats.org/officeDocument/2006/customXml" ds:itemID="{D286AAF9-E1C4-4DF7-BEBD-E4086BD49877}"/>
</file>

<file path=customXml/itemProps4.xml><?xml version="1.0" encoding="utf-8"?>
<ds:datastoreItem xmlns:ds="http://schemas.openxmlformats.org/officeDocument/2006/customXml" ds:itemID="{475B2025-3FC1-490A-B302-572B84770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Peters, Maryalice</cp:lastModifiedBy>
  <cp:lastPrinted>2020-01-20T18:43:38Z</cp:lastPrinted>
  <dcterms:created xsi:type="dcterms:W3CDTF">2004-02-03T00:32:55Z</dcterms:created>
  <dcterms:modified xsi:type="dcterms:W3CDTF">2020-01-20T18:50:20Z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0x0101006E56B4D1795A2E4DB2F0B01679ED314A006138C40D21E98B47AB19A2F0E5F86436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