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10920" tabRatio="782"/>
  </bookViews>
  <sheets>
    <sheet name="References" sheetId="5" r:id="rId1"/>
    <sheet name="DF Calc (Mason Co.)" sheetId="6" r:id="rId2"/>
    <sheet name="Prop. Rates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>[1]Hidden!$D$11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[5]ControlPanel!$Z$2:$Z$5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'[6]Vashon BS'!#REF!</definedName>
    <definedName name="DistrictNum">#REF!</definedName>
    <definedName name="drlFilter">[1]Settings!$D$27</definedName>
    <definedName name="End">#REF!</definedName>
    <definedName name="ExcludeIC">'[6]Vashon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1">'DF Calc (Mason Co.)'!$A$1:$S$94</definedName>
    <definedName name="_xlnm.Print_Area" localSheetId="0">References!$A$1:$I$67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1">'DF Calc (Mason Co.)'!$5:$5</definedName>
    <definedName name="_xlnm.Print_Titles" localSheetId="2">'Prop. Rates'!$4:$5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[8]ControlPanel!$S$2:$S$16</definedName>
    <definedName name="ReportVersion">[1]Settings!$D$5</definedName>
    <definedName name="RetainedEarnings">#REF!</definedName>
    <definedName name="RevCust">[9]RevenuesCust!#REF!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'[6]Vashon BS'!#REF!</definedName>
    <definedName name="YWMedWasteDisp">#N/A</definedName>
  </definedNames>
  <calcPr calcId="145621" concurrentManualCount="4"/>
</workbook>
</file>

<file path=xl/calcChain.xml><?xml version="1.0" encoding="utf-8"?>
<calcChain xmlns="http://schemas.openxmlformats.org/spreadsheetml/2006/main">
  <c r="C72" i="9" l="1"/>
  <c r="D72" i="9" s="1"/>
  <c r="A1" i="9"/>
  <c r="S61" i="6"/>
  <c r="A1" i="6" l="1"/>
  <c r="C90" i="6" l="1"/>
  <c r="C91" i="6" s="1"/>
  <c r="M84" i="6"/>
  <c r="G84" i="6"/>
  <c r="M83" i="6"/>
  <c r="G83" i="6"/>
  <c r="M82" i="6"/>
  <c r="G82" i="6"/>
  <c r="M81" i="6"/>
  <c r="G81" i="6"/>
  <c r="M80" i="6"/>
  <c r="G80" i="6"/>
  <c r="M79" i="6"/>
  <c r="G79" i="6"/>
  <c r="M78" i="6"/>
  <c r="G78" i="6"/>
  <c r="M77" i="6"/>
  <c r="G77" i="6"/>
  <c r="M76" i="6"/>
  <c r="G76" i="6"/>
  <c r="M75" i="6"/>
  <c r="G75" i="6"/>
  <c r="M74" i="6"/>
  <c r="G74" i="6"/>
  <c r="M73" i="6"/>
  <c r="G73" i="6"/>
  <c r="M72" i="6"/>
  <c r="G72" i="6"/>
  <c r="M71" i="6"/>
  <c r="M70" i="6"/>
  <c r="G70" i="6"/>
  <c r="M69" i="6"/>
  <c r="G69" i="6"/>
  <c r="M68" i="6"/>
  <c r="G68" i="6"/>
  <c r="M67" i="6"/>
  <c r="G67" i="6"/>
  <c r="M66" i="6"/>
  <c r="G66" i="6"/>
  <c r="M64" i="6"/>
  <c r="G64" i="6"/>
  <c r="M63" i="6"/>
  <c r="G63" i="6"/>
  <c r="M62" i="6"/>
  <c r="G62" i="6"/>
  <c r="M61" i="6"/>
  <c r="G61" i="6"/>
  <c r="M60" i="6"/>
  <c r="G60" i="6"/>
  <c r="M59" i="6"/>
  <c r="G59" i="6"/>
  <c r="M58" i="6"/>
  <c r="G58" i="6"/>
  <c r="M57" i="6"/>
  <c r="G57" i="6"/>
  <c r="M56" i="6"/>
  <c r="G56" i="6"/>
  <c r="D52" i="6"/>
  <c r="D51" i="6"/>
  <c r="M49" i="6"/>
  <c r="G49" i="6"/>
  <c r="M48" i="6"/>
  <c r="G48" i="6"/>
  <c r="M47" i="6"/>
  <c r="G47" i="6"/>
  <c r="M46" i="6"/>
  <c r="G46" i="6"/>
  <c r="D46" i="6"/>
  <c r="M45" i="6"/>
  <c r="G45" i="6"/>
  <c r="M44" i="6"/>
  <c r="G44" i="6"/>
  <c r="M43" i="6"/>
  <c r="G43" i="6"/>
  <c r="D42" i="6"/>
  <c r="M40" i="6"/>
  <c r="G40" i="6"/>
  <c r="M39" i="6"/>
  <c r="G39" i="6"/>
  <c r="M38" i="6"/>
  <c r="G38" i="6"/>
  <c r="M37" i="6"/>
  <c r="G37" i="6"/>
  <c r="M36" i="6"/>
  <c r="G36" i="6"/>
  <c r="M35" i="6"/>
  <c r="G35" i="6"/>
  <c r="M34" i="6"/>
  <c r="G34" i="6"/>
  <c r="M32" i="6"/>
  <c r="P32" i="6" s="1"/>
  <c r="G32" i="6"/>
  <c r="M31" i="6"/>
  <c r="P31" i="6" s="1"/>
  <c r="G31" i="6"/>
  <c r="M30" i="6"/>
  <c r="P30" i="6" s="1"/>
  <c r="G30" i="6"/>
  <c r="M29" i="6"/>
  <c r="P29" i="6" s="1"/>
  <c r="G29" i="6"/>
  <c r="M28" i="6"/>
  <c r="P28" i="6" s="1"/>
  <c r="G28" i="6"/>
  <c r="M26" i="6"/>
  <c r="P26" i="6" s="1"/>
  <c r="G26" i="6"/>
  <c r="M25" i="6"/>
  <c r="P25" i="6" s="1"/>
  <c r="G25" i="6"/>
  <c r="M24" i="6"/>
  <c r="P24" i="6" s="1"/>
  <c r="G24" i="6"/>
  <c r="M23" i="6"/>
  <c r="P23" i="6" s="1"/>
  <c r="G23" i="6"/>
  <c r="M22" i="6"/>
  <c r="P22" i="6" s="1"/>
  <c r="M21" i="6"/>
  <c r="P21" i="6" s="1"/>
  <c r="G21" i="6"/>
  <c r="M19" i="6"/>
  <c r="P19" i="6" s="1"/>
  <c r="G19" i="6"/>
  <c r="M18" i="6"/>
  <c r="P18" i="6" s="1"/>
  <c r="G18" i="6"/>
  <c r="M17" i="6"/>
  <c r="P17" i="6" s="1"/>
  <c r="G17" i="6"/>
  <c r="M16" i="6"/>
  <c r="P16" i="6" s="1"/>
  <c r="G16" i="6"/>
  <c r="M13" i="6"/>
  <c r="M14" i="6" s="1"/>
  <c r="P14" i="6" s="1"/>
  <c r="G13" i="6"/>
  <c r="G14" i="6" s="1"/>
  <c r="M12" i="6"/>
  <c r="P12" i="6" s="1"/>
  <c r="G12" i="6"/>
  <c r="M11" i="6"/>
  <c r="P11" i="6" s="1"/>
  <c r="G11" i="6"/>
  <c r="M10" i="6"/>
  <c r="P10" i="6" s="1"/>
  <c r="G10" i="6"/>
  <c r="E10" i="6"/>
  <c r="F10" i="6" s="1"/>
  <c r="M9" i="6"/>
  <c r="P9" i="6" s="1"/>
  <c r="G9" i="6"/>
  <c r="M8" i="6"/>
  <c r="P8" i="6" s="1"/>
  <c r="G8" i="6"/>
  <c r="G22" i="6" s="1"/>
  <c r="M7" i="6"/>
  <c r="P7" i="6" s="1"/>
  <c r="G7" i="6"/>
  <c r="M6" i="6"/>
  <c r="P6" i="6" s="1"/>
  <c r="G6" i="6"/>
  <c r="B53" i="5"/>
  <c r="G52" i="5"/>
  <c r="C52" i="5"/>
  <c r="G51" i="5"/>
  <c r="G54" i="5" s="1"/>
  <c r="G56" i="5" s="1"/>
  <c r="C51" i="5"/>
  <c r="B12" i="5"/>
  <c r="E74" i="6" s="1"/>
  <c r="F74" i="6" s="1"/>
  <c r="E11" i="5"/>
  <c r="B11" i="5"/>
  <c r="E48" i="6" s="1"/>
  <c r="F48" i="6" s="1"/>
  <c r="H10" i="5"/>
  <c r="E10" i="5"/>
  <c r="D10" i="5"/>
  <c r="B10" i="5"/>
  <c r="E82" i="6" s="1"/>
  <c r="F82" i="6" s="1"/>
  <c r="H9" i="5"/>
  <c r="G9" i="5"/>
  <c r="E9" i="5"/>
  <c r="D9" i="5"/>
  <c r="C9" i="5"/>
  <c r="B9" i="5"/>
  <c r="F9" i="5" s="1"/>
  <c r="B8" i="5"/>
  <c r="E8" i="5" s="1"/>
  <c r="E7" i="5"/>
  <c r="B7" i="5"/>
  <c r="H7" i="5" s="1"/>
  <c r="H6" i="5"/>
  <c r="E6" i="5"/>
  <c r="D6" i="5"/>
  <c r="B6" i="5"/>
  <c r="G6" i="5" s="1"/>
  <c r="R61" i="6" l="1"/>
  <c r="C66" i="9"/>
  <c r="D66" i="9" s="1"/>
  <c r="C64" i="9"/>
  <c r="D64" i="9" s="1"/>
  <c r="B54" i="5"/>
  <c r="C53" i="5"/>
  <c r="B57" i="5"/>
  <c r="B58" i="5" s="1"/>
  <c r="B60" i="5" s="1"/>
  <c r="E18" i="6"/>
  <c r="F18" i="6" s="1"/>
  <c r="E19" i="6"/>
  <c r="F19" i="6" s="1"/>
  <c r="H19" i="6" s="1"/>
  <c r="E23" i="6"/>
  <c r="F23" i="6" s="1"/>
  <c r="H23" i="6" s="1"/>
  <c r="E29" i="6"/>
  <c r="F29" i="6" s="1"/>
  <c r="E34" i="6"/>
  <c r="F34" i="6" s="1"/>
  <c r="E39" i="6"/>
  <c r="F39" i="6" s="1"/>
  <c r="E47" i="6"/>
  <c r="F47" i="6" s="1"/>
  <c r="E59" i="6"/>
  <c r="F59" i="6" s="1"/>
  <c r="H59" i="6" s="1"/>
  <c r="E66" i="6"/>
  <c r="F66" i="6" s="1"/>
  <c r="H66" i="6" s="1"/>
  <c r="E70" i="6"/>
  <c r="F70" i="6" s="1"/>
  <c r="E73" i="6"/>
  <c r="F73" i="6" s="1"/>
  <c r="H73" i="6" s="1"/>
  <c r="E77" i="6"/>
  <c r="F77" i="6" s="1"/>
  <c r="H77" i="6" s="1"/>
  <c r="E81" i="6"/>
  <c r="F81" i="6" s="1"/>
  <c r="H81" i="6" s="1"/>
  <c r="F8" i="5"/>
  <c r="C8" i="5"/>
  <c r="F11" i="5"/>
  <c r="C12" i="5"/>
  <c r="G12" i="5"/>
  <c r="E9" i="6"/>
  <c r="F9" i="6" s="1"/>
  <c r="H9" i="6" s="1"/>
  <c r="E13" i="6"/>
  <c r="F13" i="6" s="1"/>
  <c r="H13" i="6" s="1"/>
  <c r="E14" i="6"/>
  <c r="F14" i="6" s="1"/>
  <c r="E17" i="6"/>
  <c r="F17" i="6" s="1"/>
  <c r="E28" i="6"/>
  <c r="F28" i="6" s="1"/>
  <c r="E32" i="6"/>
  <c r="F32" i="6" s="1"/>
  <c r="H32" i="6" s="1"/>
  <c r="E38" i="6"/>
  <c r="F38" i="6" s="1"/>
  <c r="E45" i="6"/>
  <c r="F45" i="6" s="1"/>
  <c r="E46" i="6"/>
  <c r="F46" i="6" s="1"/>
  <c r="E58" i="6"/>
  <c r="F58" i="6" s="1"/>
  <c r="H58" i="6" s="1"/>
  <c r="E64" i="6"/>
  <c r="F64" i="6" s="1"/>
  <c r="H64" i="6" s="1"/>
  <c r="E69" i="6"/>
  <c r="F69" i="6" s="1"/>
  <c r="E72" i="6"/>
  <c r="F72" i="6" s="1"/>
  <c r="H72" i="6" s="1"/>
  <c r="E76" i="6"/>
  <c r="F76" i="6" s="1"/>
  <c r="E80" i="6"/>
  <c r="F80" i="6" s="1"/>
  <c r="H80" i="6" s="1"/>
  <c r="E84" i="6"/>
  <c r="F84" i="6" s="1"/>
  <c r="H84" i="6" s="1"/>
  <c r="F12" i="5"/>
  <c r="G8" i="5"/>
  <c r="F6" i="5"/>
  <c r="D8" i="5"/>
  <c r="C11" i="5"/>
  <c r="D12" i="5"/>
  <c r="E7" i="6"/>
  <c r="F7" i="6" s="1"/>
  <c r="H7" i="6" s="1"/>
  <c r="E8" i="6"/>
  <c r="F8" i="6" s="1"/>
  <c r="H8" i="6" s="1"/>
  <c r="E12" i="6"/>
  <c r="F12" i="6" s="1"/>
  <c r="E16" i="6"/>
  <c r="F16" i="6" s="1"/>
  <c r="E22" i="6"/>
  <c r="F22" i="6" s="1"/>
  <c r="E25" i="6"/>
  <c r="F25" i="6" s="1"/>
  <c r="E26" i="6"/>
  <c r="F26" i="6" s="1"/>
  <c r="E31" i="6"/>
  <c r="F31" i="6" s="1"/>
  <c r="H31" i="6" s="1"/>
  <c r="E36" i="6"/>
  <c r="F36" i="6" s="1"/>
  <c r="E37" i="6"/>
  <c r="F37" i="6" s="1"/>
  <c r="E44" i="6"/>
  <c r="F44" i="6" s="1"/>
  <c r="E49" i="6"/>
  <c r="F49" i="6" s="1"/>
  <c r="E57" i="6"/>
  <c r="F57" i="6" s="1"/>
  <c r="H57" i="6" s="1"/>
  <c r="E61" i="6"/>
  <c r="F61" i="6" s="1"/>
  <c r="H61" i="6" s="1"/>
  <c r="E63" i="6"/>
  <c r="F63" i="6" s="1"/>
  <c r="E68" i="6"/>
  <c r="F68" i="6" s="1"/>
  <c r="H68" i="6" s="1"/>
  <c r="E75" i="6"/>
  <c r="F75" i="6" s="1"/>
  <c r="E79" i="6"/>
  <c r="F79" i="6" s="1"/>
  <c r="E83" i="6"/>
  <c r="F83" i="6" s="1"/>
  <c r="F7" i="5"/>
  <c r="C7" i="5"/>
  <c r="G7" i="5"/>
  <c r="H8" i="5"/>
  <c r="F10" i="5"/>
  <c r="G11" i="5"/>
  <c r="H12" i="5"/>
  <c r="C6" i="5"/>
  <c r="D7" i="5"/>
  <c r="C10" i="5"/>
  <c r="G10" i="5"/>
  <c r="D11" i="5"/>
  <c r="H11" i="5"/>
  <c r="E12" i="5"/>
  <c r="E6" i="6"/>
  <c r="F6" i="6" s="1"/>
  <c r="H6" i="6" s="1"/>
  <c r="E11" i="6"/>
  <c r="F11" i="6" s="1"/>
  <c r="E21" i="6"/>
  <c r="F21" i="6" s="1"/>
  <c r="H21" i="6" s="1"/>
  <c r="E24" i="6"/>
  <c r="F24" i="6" s="1"/>
  <c r="E30" i="6"/>
  <c r="F30" i="6" s="1"/>
  <c r="H30" i="6" s="1"/>
  <c r="E35" i="6"/>
  <c r="F35" i="6" s="1"/>
  <c r="E40" i="6"/>
  <c r="F40" i="6" s="1"/>
  <c r="E43" i="6"/>
  <c r="F43" i="6" s="1"/>
  <c r="E56" i="6"/>
  <c r="F56" i="6" s="1"/>
  <c r="H56" i="6" s="1"/>
  <c r="E60" i="6"/>
  <c r="F60" i="6" s="1"/>
  <c r="H60" i="6" s="1"/>
  <c r="E62" i="6"/>
  <c r="F62" i="6" s="1"/>
  <c r="H62" i="6" s="1"/>
  <c r="E67" i="6"/>
  <c r="F67" i="6" s="1"/>
  <c r="H67" i="6" s="1"/>
  <c r="E71" i="6"/>
  <c r="F71" i="6" s="1"/>
  <c r="H71" i="6" s="1"/>
  <c r="E78" i="6"/>
  <c r="F78" i="6" s="1"/>
  <c r="H78" i="6" s="1"/>
  <c r="P45" i="6"/>
  <c r="P40" i="6"/>
  <c r="P13" i="6"/>
  <c r="H16" i="6"/>
  <c r="P46" i="6"/>
  <c r="H79" i="6"/>
  <c r="H69" i="6"/>
  <c r="H82" i="6"/>
  <c r="H18" i="6"/>
  <c r="H76" i="6"/>
  <c r="H10" i="6"/>
  <c r="H17" i="6"/>
  <c r="H24" i="6"/>
  <c r="H70" i="6"/>
  <c r="H11" i="6"/>
  <c r="H12" i="6"/>
  <c r="H25" i="6"/>
  <c r="H26" i="6"/>
  <c r="H28" i="6"/>
  <c r="H29" i="6"/>
  <c r="H63" i="6"/>
  <c r="H75" i="6"/>
  <c r="H83" i="6"/>
  <c r="H14" i="6"/>
  <c r="H74" i="6"/>
  <c r="F42" i="6"/>
  <c r="H22" i="6"/>
  <c r="P38" i="6"/>
  <c r="H38" i="6"/>
  <c r="P36" i="6"/>
  <c r="H36" i="6"/>
  <c r="P49" i="6"/>
  <c r="H49" i="6"/>
  <c r="P34" i="6"/>
  <c r="P44" i="6"/>
  <c r="H44" i="6"/>
  <c r="P48" i="6"/>
  <c r="H48" i="6"/>
  <c r="H34" i="6"/>
  <c r="P35" i="6"/>
  <c r="H35" i="6"/>
  <c r="P39" i="6"/>
  <c r="H39" i="6"/>
  <c r="F51" i="6"/>
  <c r="P43" i="6"/>
  <c r="H43" i="6"/>
  <c r="H37" i="6"/>
  <c r="P37" i="6"/>
  <c r="H47" i="6"/>
  <c r="P47" i="6"/>
  <c r="H40" i="6"/>
  <c r="H45" i="6"/>
  <c r="H46" i="6"/>
  <c r="C65" i="9" l="1"/>
  <c r="D65" i="9" s="1"/>
  <c r="C69" i="9"/>
  <c r="D69" i="9" s="1"/>
  <c r="C70" i="9"/>
  <c r="D70" i="9" s="1"/>
  <c r="C67" i="9"/>
  <c r="D67" i="9" s="1"/>
  <c r="C71" i="9"/>
  <c r="D71" i="9" s="1"/>
  <c r="C68" i="9"/>
  <c r="D68" i="9" s="1"/>
  <c r="H51" i="6"/>
  <c r="P51" i="6"/>
  <c r="P42" i="6"/>
  <c r="H42" i="6"/>
  <c r="H52" i="6" s="1"/>
  <c r="C93" i="6" s="1"/>
  <c r="F52" i="6"/>
  <c r="C92" i="6" s="1"/>
  <c r="P52" i="6" l="1"/>
  <c r="I82" i="6"/>
  <c r="J82" i="6" s="1"/>
  <c r="K82" i="6" s="1"/>
  <c r="L82" i="6" s="1"/>
  <c r="C100" i="9" s="1"/>
  <c r="D100" i="9" s="1"/>
  <c r="I78" i="6"/>
  <c r="J78" i="6" s="1"/>
  <c r="K78" i="6" s="1"/>
  <c r="L78" i="6" s="1"/>
  <c r="C95" i="9" s="1"/>
  <c r="D95" i="9" s="1"/>
  <c r="I74" i="6"/>
  <c r="J74" i="6" s="1"/>
  <c r="K74" i="6" s="1"/>
  <c r="L74" i="6" s="1"/>
  <c r="C91" i="9" s="1"/>
  <c r="D91" i="9" s="1"/>
  <c r="I83" i="6"/>
  <c r="J83" i="6" s="1"/>
  <c r="K83" i="6" s="1"/>
  <c r="L83" i="6" s="1"/>
  <c r="C101" i="9" s="1"/>
  <c r="D101" i="9" s="1"/>
  <c r="I79" i="6"/>
  <c r="J79" i="6" s="1"/>
  <c r="K79" i="6" s="1"/>
  <c r="L79" i="6" s="1"/>
  <c r="C96" i="9" s="1"/>
  <c r="D96" i="9" s="1"/>
  <c r="I75" i="6"/>
  <c r="J75" i="6" s="1"/>
  <c r="K75" i="6" s="1"/>
  <c r="L75" i="6" s="1"/>
  <c r="C92" i="9" s="1"/>
  <c r="D92" i="9" s="1"/>
  <c r="I84" i="6"/>
  <c r="J84" i="6" s="1"/>
  <c r="K84" i="6" s="1"/>
  <c r="L84" i="6" s="1"/>
  <c r="C102" i="9" s="1"/>
  <c r="D102" i="9" s="1"/>
  <c r="I80" i="6"/>
  <c r="J80" i="6" s="1"/>
  <c r="K80" i="6" s="1"/>
  <c r="L80" i="6" s="1"/>
  <c r="C97" i="9" s="1"/>
  <c r="D97" i="9" s="1"/>
  <c r="I76" i="6"/>
  <c r="J76" i="6" s="1"/>
  <c r="K76" i="6" s="1"/>
  <c r="L76" i="6" s="1"/>
  <c r="I81" i="6"/>
  <c r="J81" i="6" s="1"/>
  <c r="K81" i="6" s="1"/>
  <c r="L81" i="6" s="1"/>
  <c r="C99" i="9" s="1"/>
  <c r="D99" i="9" s="1"/>
  <c r="I77" i="6"/>
  <c r="J77" i="6" s="1"/>
  <c r="K77" i="6" s="1"/>
  <c r="L77" i="6" s="1"/>
  <c r="C94" i="9" s="1"/>
  <c r="D94" i="9" s="1"/>
  <c r="I73" i="6"/>
  <c r="J73" i="6" s="1"/>
  <c r="K73" i="6" s="1"/>
  <c r="L73" i="6" s="1"/>
  <c r="C90" i="9" s="1"/>
  <c r="D90" i="9" s="1"/>
  <c r="I69" i="6"/>
  <c r="J69" i="6" s="1"/>
  <c r="K69" i="6" s="1"/>
  <c r="L69" i="6" s="1"/>
  <c r="C84" i="9" s="1"/>
  <c r="D84" i="9" s="1"/>
  <c r="I72" i="6"/>
  <c r="J72" i="6" s="1"/>
  <c r="K72" i="6" s="1"/>
  <c r="L72" i="6" s="1"/>
  <c r="C89" i="9" s="1"/>
  <c r="D89" i="9" s="1"/>
  <c r="I71" i="6"/>
  <c r="J71" i="6" s="1"/>
  <c r="K71" i="6" s="1"/>
  <c r="L71" i="6" s="1"/>
  <c r="C88" i="9" s="1"/>
  <c r="D88" i="9" s="1"/>
  <c r="I67" i="6"/>
  <c r="J67" i="6" s="1"/>
  <c r="K67" i="6" s="1"/>
  <c r="L67" i="6" s="1"/>
  <c r="C82" i="9" s="1"/>
  <c r="D82" i="9" s="1"/>
  <c r="I62" i="6"/>
  <c r="J62" i="6" s="1"/>
  <c r="K62" i="6" s="1"/>
  <c r="L62" i="6" s="1"/>
  <c r="C55" i="9" s="1"/>
  <c r="D55" i="9" s="1"/>
  <c r="I60" i="6"/>
  <c r="J60" i="6" s="1"/>
  <c r="K60" i="6" s="1"/>
  <c r="L60" i="6" s="1"/>
  <c r="C51" i="9" s="1"/>
  <c r="D51" i="9" s="1"/>
  <c r="I47" i="6"/>
  <c r="J47" i="6" s="1"/>
  <c r="K47" i="6" s="1"/>
  <c r="L47" i="6" s="1"/>
  <c r="N47" i="6" s="1"/>
  <c r="S47" i="6" s="1"/>
  <c r="I37" i="6"/>
  <c r="J37" i="6" s="1"/>
  <c r="K37" i="6" s="1"/>
  <c r="L37" i="6" s="1"/>
  <c r="I32" i="6"/>
  <c r="J32" i="6" s="1"/>
  <c r="K32" i="6" s="1"/>
  <c r="L32" i="6" s="1"/>
  <c r="N32" i="6" s="1"/>
  <c r="S32" i="6" s="1"/>
  <c r="I70" i="6"/>
  <c r="J70" i="6" s="1"/>
  <c r="K70" i="6" s="1"/>
  <c r="L70" i="6" s="1"/>
  <c r="C85" i="9" s="1"/>
  <c r="D85" i="9" s="1"/>
  <c r="I68" i="6"/>
  <c r="J68" i="6" s="1"/>
  <c r="K68" i="6" s="1"/>
  <c r="L68" i="6" s="1"/>
  <c r="C83" i="9" s="1"/>
  <c r="D83" i="9" s="1"/>
  <c r="I63" i="6"/>
  <c r="J63" i="6" s="1"/>
  <c r="K63" i="6" s="1"/>
  <c r="L63" i="6" s="1"/>
  <c r="C56" i="9" s="1"/>
  <c r="D56" i="9" s="1"/>
  <c r="I61" i="6"/>
  <c r="J61" i="6" s="1"/>
  <c r="K61" i="6" s="1"/>
  <c r="L61" i="6" s="1"/>
  <c r="C54" i="9" s="1"/>
  <c r="D54" i="9" s="1"/>
  <c r="I48" i="6"/>
  <c r="J48" i="6" s="1"/>
  <c r="K48" i="6" s="1"/>
  <c r="L48" i="6" s="1"/>
  <c r="N48" i="6" s="1"/>
  <c r="S48" i="6" s="1"/>
  <c r="I43" i="6"/>
  <c r="I38" i="6"/>
  <c r="J38" i="6" s="1"/>
  <c r="K38" i="6" s="1"/>
  <c r="L38" i="6" s="1"/>
  <c r="I34" i="6"/>
  <c r="J34" i="6" s="1"/>
  <c r="K34" i="6" s="1"/>
  <c r="L34" i="6" s="1"/>
  <c r="N34" i="6" s="1"/>
  <c r="S34" i="6" s="1"/>
  <c r="I64" i="6"/>
  <c r="J64" i="6" s="1"/>
  <c r="K64" i="6" s="1"/>
  <c r="L64" i="6" s="1"/>
  <c r="C57" i="9" s="1"/>
  <c r="D57" i="9" s="1"/>
  <c r="I58" i="6"/>
  <c r="J58" i="6" s="1"/>
  <c r="K58" i="6" s="1"/>
  <c r="L58" i="6" s="1"/>
  <c r="N58" i="6" s="1"/>
  <c r="I57" i="6"/>
  <c r="J57" i="6" s="1"/>
  <c r="K57" i="6" s="1"/>
  <c r="L57" i="6" s="1"/>
  <c r="C46" i="9" s="1"/>
  <c r="I49" i="6"/>
  <c r="J49" i="6" s="1"/>
  <c r="K49" i="6" s="1"/>
  <c r="L49" i="6" s="1"/>
  <c r="N49" i="6" s="1"/>
  <c r="S49" i="6" s="1"/>
  <c r="I44" i="6"/>
  <c r="J44" i="6" s="1"/>
  <c r="K44" i="6" s="1"/>
  <c r="L44" i="6" s="1"/>
  <c r="C75" i="9" s="1"/>
  <c r="D75" i="9" s="1"/>
  <c r="I39" i="6"/>
  <c r="J39" i="6" s="1"/>
  <c r="K39" i="6" s="1"/>
  <c r="L39" i="6" s="1"/>
  <c r="C37" i="9" s="1"/>
  <c r="D37" i="9" s="1"/>
  <c r="I66" i="6"/>
  <c r="J66" i="6" s="1"/>
  <c r="K66" i="6" s="1"/>
  <c r="L66" i="6" s="1"/>
  <c r="C81" i="9" s="1"/>
  <c r="D81" i="9" s="1"/>
  <c r="I59" i="6"/>
  <c r="J59" i="6" s="1"/>
  <c r="K59" i="6" s="1"/>
  <c r="L59" i="6" s="1"/>
  <c r="C50" i="9" s="1"/>
  <c r="D50" i="9" s="1"/>
  <c r="I56" i="6"/>
  <c r="J56" i="6" s="1"/>
  <c r="K56" i="6" s="1"/>
  <c r="L56" i="6" s="1"/>
  <c r="C7" i="9" s="1"/>
  <c r="D7" i="9" s="1"/>
  <c r="I46" i="6"/>
  <c r="J46" i="6" s="1"/>
  <c r="K46" i="6" s="1"/>
  <c r="L46" i="6" s="1"/>
  <c r="C77" i="9" s="1"/>
  <c r="D77" i="9" s="1"/>
  <c r="I45" i="6"/>
  <c r="J45" i="6" s="1"/>
  <c r="K45" i="6" s="1"/>
  <c r="L45" i="6" s="1"/>
  <c r="C76" i="9" s="1"/>
  <c r="D76" i="9" s="1"/>
  <c r="I40" i="6"/>
  <c r="J40" i="6" s="1"/>
  <c r="K40" i="6" s="1"/>
  <c r="L40" i="6" s="1"/>
  <c r="N40" i="6" s="1"/>
  <c r="S40" i="6" s="1"/>
  <c r="I36" i="6"/>
  <c r="J36" i="6" s="1"/>
  <c r="K36" i="6" s="1"/>
  <c r="L36" i="6" s="1"/>
  <c r="I31" i="6"/>
  <c r="J31" i="6" s="1"/>
  <c r="K31" i="6" s="1"/>
  <c r="L31" i="6" s="1"/>
  <c r="N31" i="6" s="1"/>
  <c r="S31" i="6" s="1"/>
  <c r="I25" i="6"/>
  <c r="J25" i="6" s="1"/>
  <c r="K25" i="6" s="1"/>
  <c r="L25" i="6" s="1"/>
  <c r="C29" i="9" s="1"/>
  <c r="D29" i="9" s="1"/>
  <c r="I21" i="6"/>
  <c r="J21" i="6" s="1"/>
  <c r="K21" i="6" s="1"/>
  <c r="L21" i="6" s="1"/>
  <c r="C17" i="9" s="1"/>
  <c r="D17" i="9" s="1"/>
  <c r="I16" i="6"/>
  <c r="J16" i="6" s="1"/>
  <c r="K16" i="6" s="1"/>
  <c r="L16" i="6" s="1"/>
  <c r="C23" i="9" s="1"/>
  <c r="D23" i="9" s="1"/>
  <c r="I11" i="6"/>
  <c r="J11" i="6" s="1"/>
  <c r="K11" i="6" s="1"/>
  <c r="L11" i="6" s="1"/>
  <c r="C14" i="9" s="1"/>
  <c r="D14" i="9" s="1"/>
  <c r="I7" i="6"/>
  <c r="J7" i="6" s="1"/>
  <c r="K7" i="6" s="1"/>
  <c r="L7" i="6" s="1"/>
  <c r="C10" i="9" s="1"/>
  <c r="D10" i="9" s="1"/>
  <c r="I26" i="6"/>
  <c r="J26" i="6" s="1"/>
  <c r="K26" i="6" s="1"/>
  <c r="L26" i="6" s="1"/>
  <c r="C30" i="9" s="1"/>
  <c r="D30" i="9" s="1"/>
  <c r="I22" i="6"/>
  <c r="J22" i="6" s="1"/>
  <c r="K22" i="6" s="1"/>
  <c r="L22" i="6" s="1"/>
  <c r="C18" i="9" s="1"/>
  <c r="D18" i="9" s="1"/>
  <c r="I17" i="6"/>
  <c r="J17" i="6" s="1"/>
  <c r="K17" i="6" s="1"/>
  <c r="L17" i="6" s="1"/>
  <c r="C24" i="9" s="1"/>
  <c r="D24" i="9" s="1"/>
  <c r="I12" i="6"/>
  <c r="J12" i="6" s="1"/>
  <c r="K12" i="6" s="1"/>
  <c r="L12" i="6" s="1"/>
  <c r="C15" i="9" s="1"/>
  <c r="D15" i="9" s="1"/>
  <c r="I8" i="6"/>
  <c r="J8" i="6" s="1"/>
  <c r="K8" i="6" s="1"/>
  <c r="L8" i="6" s="1"/>
  <c r="C11" i="9" s="1"/>
  <c r="D11" i="9" s="1"/>
  <c r="I35" i="6"/>
  <c r="J35" i="6" s="1"/>
  <c r="K35" i="6" s="1"/>
  <c r="L35" i="6" s="1"/>
  <c r="I23" i="6"/>
  <c r="J23" i="6" s="1"/>
  <c r="K23" i="6" s="1"/>
  <c r="L23" i="6" s="1"/>
  <c r="C27" i="9" s="1"/>
  <c r="D27" i="9" s="1"/>
  <c r="I18" i="6"/>
  <c r="J18" i="6" s="1"/>
  <c r="K18" i="6" s="1"/>
  <c r="L18" i="6" s="1"/>
  <c r="C25" i="9" s="1"/>
  <c r="D25" i="9" s="1"/>
  <c r="I13" i="6"/>
  <c r="J13" i="6" s="1"/>
  <c r="K13" i="6" s="1"/>
  <c r="L13" i="6" s="1"/>
  <c r="C16" i="9" s="1"/>
  <c r="D16" i="9" s="1"/>
  <c r="I9" i="6"/>
  <c r="J9" i="6" s="1"/>
  <c r="K9" i="6" s="1"/>
  <c r="L9" i="6" s="1"/>
  <c r="C12" i="9" s="1"/>
  <c r="D12" i="9" s="1"/>
  <c r="I30" i="6"/>
  <c r="J30" i="6" s="1"/>
  <c r="K30" i="6" s="1"/>
  <c r="L30" i="6" s="1"/>
  <c r="N30" i="6" s="1"/>
  <c r="S30" i="6" s="1"/>
  <c r="I29" i="6"/>
  <c r="J29" i="6" s="1"/>
  <c r="K29" i="6" s="1"/>
  <c r="L29" i="6" s="1"/>
  <c r="N29" i="6" s="1"/>
  <c r="S29" i="6" s="1"/>
  <c r="I28" i="6"/>
  <c r="J28" i="6" s="1"/>
  <c r="K28" i="6" s="1"/>
  <c r="L28" i="6" s="1"/>
  <c r="I24" i="6"/>
  <c r="J24" i="6" s="1"/>
  <c r="K24" i="6" s="1"/>
  <c r="L24" i="6" s="1"/>
  <c r="C28" i="9" s="1"/>
  <c r="D28" i="9" s="1"/>
  <c r="I19" i="6"/>
  <c r="J19" i="6" s="1"/>
  <c r="K19" i="6" s="1"/>
  <c r="L19" i="6" s="1"/>
  <c r="C26" i="9" s="1"/>
  <c r="D26" i="9" s="1"/>
  <c r="I14" i="6"/>
  <c r="J14" i="6" s="1"/>
  <c r="K14" i="6" s="1"/>
  <c r="I10" i="6"/>
  <c r="J10" i="6" s="1"/>
  <c r="K10" i="6" s="1"/>
  <c r="L10" i="6" s="1"/>
  <c r="C13" i="9" s="1"/>
  <c r="D13" i="9" s="1"/>
  <c r="I6" i="6"/>
  <c r="J6" i="6" s="1"/>
  <c r="C41" i="9" l="1"/>
  <c r="D41" i="9" s="1"/>
  <c r="C32" i="9"/>
  <c r="D32" i="9" s="1"/>
  <c r="C78" i="9"/>
  <c r="D78" i="9" s="1"/>
  <c r="C60" i="9"/>
  <c r="C40" i="9"/>
  <c r="D40" i="9" s="1"/>
  <c r="C31" i="9"/>
  <c r="D31" i="9" s="1"/>
  <c r="C19" i="9"/>
  <c r="D19" i="9" s="1"/>
  <c r="C38" i="9"/>
  <c r="D38" i="9" s="1"/>
  <c r="C47" i="9"/>
  <c r="D47" i="9" s="1"/>
  <c r="D46" i="9"/>
  <c r="C43" i="9"/>
  <c r="D43" i="9" s="1"/>
  <c r="C34" i="9"/>
  <c r="D34" i="9" s="1"/>
  <c r="C42" i="9"/>
  <c r="D42" i="9" s="1"/>
  <c r="C33" i="9"/>
  <c r="D33" i="9" s="1"/>
  <c r="I42" i="6"/>
  <c r="K6" i="6"/>
  <c r="L6" i="6" s="1"/>
  <c r="C20" i="9" s="1"/>
  <c r="D20" i="9" s="1"/>
  <c r="N24" i="6"/>
  <c r="S24" i="6" s="1"/>
  <c r="N9" i="6"/>
  <c r="S9" i="6" s="1"/>
  <c r="N35" i="6"/>
  <c r="S35" i="6" s="1"/>
  <c r="N22" i="6"/>
  <c r="S22" i="6" s="1"/>
  <c r="N16" i="6"/>
  <c r="S16" i="6" s="1"/>
  <c r="N36" i="6"/>
  <c r="S36" i="6" s="1"/>
  <c r="N56" i="6"/>
  <c r="N44" i="6"/>
  <c r="S44" i="6" s="1"/>
  <c r="N64" i="6"/>
  <c r="N70" i="6"/>
  <c r="N60" i="6"/>
  <c r="N72" i="6"/>
  <c r="N81" i="6"/>
  <c r="N75" i="6"/>
  <c r="N78" i="6"/>
  <c r="N10" i="6"/>
  <c r="S10" i="6" s="1"/>
  <c r="N8" i="6"/>
  <c r="S8" i="6" s="1"/>
  <c r="N26" i="6"/>
  <c r="S26" i="6" s="1"/>
  <c r="N21" i="6"/>
  <c r="N59" i="6"/>
  <c r="N61" i="6"/>
  <c r="N62" i="6"/>
  <c r="N69" i="6"/>
  <c r="N76" i="6"/>
  <c r="N79" i="6"/>
  <c r="N82" i="6"/>
  <c r="N28" i="6"/>
  <c r="S28" i="6" s="1"/>
  <c r="N12" i="6"/>
  <c r="S12" i="6" s="1"/>
  <c r="N7" i="6"/>
  <c r="S7" i="6" s="1"/>
  <c r="N25" i="6"/>
  <c r="S25" i="6" s="1"/>
  <c r="N45" i="6"/>
  <c r="S45" i="6" s="1"/>
  <c r="N66" i="6"/>
  <c r="N57" i="6"/>
  <c r="N38" i="6"/>
  <c r="S38" i="6" s="1"/>
  <c r="N63" i="6"/>
  <c r="N37" i="6"/>
  <c r="S37" i="6" s="1"/>
  <c r="N67" i="6"/>
  <c r="N73" i="6"/>
  <c r="N80" i="6"/>
  <c r="N83" i="6"/>
  <c r="L14" i="6"/>
  <c r="N14" i="6" s="1"/>
  <c r="S14" i="6" s="1"/>
  <c r="N13" i="6"/>
  <c r="S13" i="6" s="1"/>
  <c r="N18" i="6"/>
  <c r="S18" i="6" s="1"/>
  <c r="N19" i="6"/>
  <c r="S19" i="6" s="1"/>
  <c r="N23" i="6"/>
  <c r="N17" i="6"/>
  <c r="S17" i="6" s="1"/>
  <c r="N11" i="6"/>
  <c r="S11" i="6" s="1"/>
  <c r="N46" i="6"/>
  <c r="S46" i="6" s="1"/>
  <c r="N39" i="6"/>
  <c r="S39" i="6" s="1"/>
  <c r="I51" i="6"/>
  <c r="J43" i="6"/>
  <c r="K43" i="6" s="1"/>
  <c r="L43" i="6" s="1"/>
  <c r="N43" i="6" s="1"/>
  <c r="S43" i="6" s="1"/>
  <c r="N68" i="6"/>
  <c r="N71" i="6"/>
  <c r="N77" i="6"/>
  <c r="N84" i="6"/>
  <c r="N74" i="6"/>
  <c r="C61" i="9" l="1"/>
  <c r="D61" i="9" s="1"/>
  <c r="D60" i="9"/>
  <c r="O82" i="6"/>
  <c r="O83" i="6"/>
  <c r="O84" i="6"/>
  <c r="O81" i="6"/>
  <c r="O79" i="6"/>
  <c r="O80" i="6"/>
  <c r="O78" i="6"/>
  <c r="O73" i="6"/>
  <c r="O75" i="6"/>
  <c r="O72" i="6"/>
  <c r="O71" i="6"/>
  <c r="O74" i="6"/>
  <c r="O70" i="6"/>
  <c r="O68" i="6"/>
  <c r="O67" i="6"/>
  <c r="O66" i="6"/>
  <c r="O69" i="6"/>
  <c r="O63" i="6"/>
  <c r="O62" i="6"/>
  <c r="O61" i="6"/>
  <c r="O64" i="6"/>
  <c r="O59" i="6"/>
  <c r="O60" i="6"/>
  <c r="O36" i="6"/>
  <c r="Q36" i="6" s="1"/>
  <c r="R36" i="6" s="1"/>
  <c r="O35" i="6"/>
  <c r="Q35" i="6" s="1"/>
  <c r="R35" i="6" s="1"/>
  <c r="O37" i="6"/>
  <c r="Q37" i="6" s="1"/>
  <c r="R37" i="6" s="1"/>
  <c r="O38" i="6"/>
  <c r="Q38" i="6" s="1"/>
  <c r="R38" i="6" s="1"/>
  <c r="O34" i="6"/>
  <c r="Q34" i="6" s="1"/>
  <c r="R34" i="6" s="1"/>
  <c r="O16" i="6"/>
  <c r="Q16" i="6" s="1"/>
  <c r="R16" i="6" s="1"/>
  <c r="O29" i="6"/>
  <c r="Q29" i="6" s="1"/>
  <c r="R29" i="6" s="1"/>
  <c r="O19" i="6"/>
  <c r="Q19" i="6" s="1"/>
  <c r="R19" i="6" s="1"/>
  <c r="O31" i="6"/>
  <c r="Q31" i="6" s="1"/>
  <c r="R31" i="6" s="1"/>
  <c r="O26" i="6"/>
  <c r="Q26" i="6" s="1"/>
  <c r="R26" i="6" s="1"/>
  <c r="O24" i="6"/>
  <c r="Q24" i="6" s="1"/>
  <c r="R24" i="6" s="1"/>
  <c r="O30" i="6"/>
  <c r="Q30" i="6" s="1"/>
  <c r="R30" i="6" s="1"/>
  <c r="O17" i="6"/>
  <c r="Q17" i="6" s="1"/>
  <c r="R17" i="6" s="1"/>
  <c r="O18" i="6"/>
  <c r="Q18" i="6" s="1"/>
  <c r="R18" i="6" s="1"/>
  <c r="O32" i="6"/>
  <c r="Q32" i="6" s="1"/>
  <c r="R32" i="6" s="1"/>
  <c r="O25" i="6"/>
  <c r="Q25" i="6" s="1"/>
  <c r="R25" i="6" s="1"/>
  <c r="O23" i="6"/>
  <c r="O7" i="6"/>
  <c r="Q7" i="6" s="1"/>
  <c r="R7" i="6" s="1"/>
  <c r="O28" i="6"/>
  <c r="Q28" i="6" s="1"/>
  <c r="R28" i="6" s="1"/>
  <c r="O10" i="6"/>
  <c r="Q10" i="6" s="1"/>
  <c r="R10" i="6" s="1"/>
  <c r="O13" i="6"/>
  <c r="O14" i="6" s="1"/>
  <c r="Q14" i="6" s="1"/>
  <c r="R14" i="6" s="1"/>
  <c r="O22" i="6"/>
  <c r="Q22" i="6" s="1"/>
  <c r="R22" i="6" s="1"/>
  <c r="O11" i="6"/>
  <c r="Q11" i="6" s="1"/>
  <c r="R11" i="6" s="1"/>
  <c r="O21" i="6"/>
  <c r="O12" i="6"/>
  <c r="Q12" i="6" s="1"/>
  <c r="R12" i="6" s="1"/>
  <c r="O8" i="6"/>
  <c r="Q8" i="6" s="1"/>
  <c r="R8" i="6" s="1"/>
  <c r="O9" i="6"/>
  <c r="Q9" i="6" s="1"/>
  <c r="R9" i="6" s="1"/>
  <c r="O56" i="6"/>
  <c r="O49" i="6"/>
  <c r="Q49" i="6" s="1"/>
  <c r="R49" i="6" s="1"/>
  <c r="O46" i="6"/>
  <c r="Q46" i="6" s="1"/>
  <c r="R46" i="6" s="1"/>
  <c r="O45" i="6"/>
  <c r="Q45" i="6" s="1"/>
  <c r="R45" i="6" s="1"/>
  <c r="O48" i="6"/>
  <c r="Q48" i="6" s="1"/>
  <c r="R48" i="6" s="1"/>
  <c r="O76" i="6"/>
  <c r="O44" i="6"/>
  <c r="Q44" i="6" s="1"/>
  <c r="R44" i="6" s="1"/>
  <c r="O47" i="6"/>
  <c r="Q47" i="6" s="1"/>
  <c r="R47" i="6" s="1"/>
  <c r="S23" i="6"/>
  <c r="Q23" i="6"/>
  <c r="R23" i="6" s="1"/>
  <c r="Q21" i="6"/>
  <c r="R21" i="6" s="1"/>
  <c r="S21" i="6"/>
  <c r="N6" i="6"/>
  <c r="S6" i="6" s="1"/>
  <c r="O77" i="6"/>
  <c r="O43" i="6"/>
  <c r="Q43" i="6" s="1"/>
  <c r="O39" i="6"/>
  <c r="Q39" i="6" s="1"/>
  <c r="R39" i="6" s="1"/>
  <c r="O40" i="6"/>
  <c r="Q40" i="6" s="1"/>
  <c r="R40" i="6" s="1"/>
  <c r="I52" i="6"/>
  <c r="Q13" i="6" l="1"/>
  <c r="R13" i="6" s="1"/>
  <c r="O58" i="6"/>
  <c r="O57" i="6"/>
  <c r="O6" i="6"/>
  <c r="Q6" i="6" s="1"/>
  <c r="R43" i="6"/>
  <c r="R51" i="6" s="1"/>
  <c r="Q51" i="6"/>
  <c r="Q42" i="6" l="1"/>
  <c r="Q52" i="6" s="1"/>
  <c r="R6" i="6"/>
  <c r="R42" i="6" s="1"/>
  <c r="R52" i="6" s="1"/>
  <c r="B64" i="5" s="1"/>
  <c r="B65" i="5" s="1"/>
  <c r="R56" i="6"/>
  <c r="S56" i="6"/>
  <c r="R55" i="6" l="1"/>
  <c r="R57" i="6" s="1"/>
  <c r="S55" i="6"/>
</calcChain>
</file>

<file path=xl/sharedStrings.xml><?xml version="1.0" encoding="utf-8"?>
<sst xmlns="http://schemas.openxmlformats.org/spreadsheetml/2006/main" count="286" uniqueCount="255">
  <si>
    <t xml:space="preserve"> </t>
  </si>
  <si>
    <t>1-20 gal Mini Can Wkly</t>
  </si>
  <si>
    <t>1-32 gal Can Wkly</t>
  </si>
  <si>
    <t>2-32 g Can Wkly</t>
  </si>
  <si>
    <t>3-32 g Can Wkly</t>
  </si>
  <si>
    <t>4-32 g Can Wkly</t>
  </si>
  <si>
    <t>5-32 g Can Wkly</t>
  </si>
  <si>
    <t>6-32 g Can Wkly</t>
  </si>
  <si>
    <t>1-35 gal Cart Wkly</t>
  </si>
  <si>
    <t>2-45 gal Cart Wkly</t>
  </si>
  <si>
    <t>1-48 gal Cart Wkly</t>
  </si>
  <si>
    <t>1-64 gal Cart Wkly</t>
  </si>
  <si>
    <t>1-96 gal Cart Wkly</t>
  </si>
  <si>
    <t>1-32 gal Can EOW</t>
  </si>
  <si>
    <t>2-32 g Can EOW</t>
  </si>
  <si>
    <t>1-35 gal Cart EOW</t>
  </si>
  <si>
    <t>1-48 gal Cart EOW</t>
  </si>
  <si>
    <t>1-64 gal Cart EOW</t>
  </si>
  <si>
    <t>1-96 gal Cart EOW</t>
  </si>
  <si>
    <t>1-32 gal Can Monthly</t>
  </si>
  <si>
    <t>1-35 gal Cart Monthly</t>
  </si>
  <si>
    <t>1-48 gal Cart Monthly</t>
  </si>
  <si>
    <t>1-64 gal Cart Monthly</t>
  </si>
  <si>
    <t>1-96 gal Cart Monthly</t>
  </si>
  <si>
    <t>1-32 gal Can On Call Svc</t>
  </si>
  <si>
    <t>1-35 gal Cart On Call Svc</t>
  </si>
  <si>
    <t>1-48 gal Cart On Call Svc</t>
  </si>
  <si>
    <t>1-64 gal Cart On Call Svc</t>
  </si>
  <si>
    <t>1-96 gal Cart On Call Svc</t>
  </si>
  <si>
    <t>Extra Can, Bag, Box etc</t>
  </si>
  <si>
    <t>Extra Pickup</t>
  </si>
  <si>
    <t>Total</t>
  </si>
  <si>
    <t>Extra Can</t>
  </si>
  <si>
    <t>1 Yard Wkly</t>
  </si>
  <si>
    <t>1.50 Yard Wkly</t>
  </si>
  <si>
    <t>2 Yard Wkly</t>
  </si>
  <si>
    <t>1 Yard EOW</t>
  </si>
  <si>
    <t>1.50 Yard EOW</t>
  </si>
  <si>
    <t>2 Yard EOW</t>
  </si>
  <si>
    <t>Extra Yardage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</si>
  <si>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</si>
  <si>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</si>
  <si>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</si>
  <si>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</si>
  <si>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</si>
  <si>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</si>
  <si>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</si>
  <si>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</si>
  <si>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</si>
  <si>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</si>
  <si>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</si>
  <si>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</si>
  <si>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</si>
  <si>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</si>
  <si>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</si>
  <si>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</si>
  <si>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</si>
  <si>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</si>
  <si>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</si>
  <si>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</si>
  <si>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</si>
  <si>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</si>
  <si>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</si>
  <si>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</si>
  <si>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</si>
  <si>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</si>
  <si>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</si>
  <si>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</si>
  <si>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</si>
  <si>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Once a month</t>
  </si>
  <si>
    <t>Extras</t>
  </si>
  <si>
    <t>Com'l</t>
  </si>
  <si>
    <t>Cans</t>
  </si>
  <si>
    <t>1 yd container</t>
  </si>
  <si>
    <t>1.5 yd container</t>
  </si>
  <si>
    <t>*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</si>
  <si>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</si>
  <si>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</si>
  <si>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</si>
  <si>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</si>
  <si>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</si>
  <si>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</si>
  <si>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</si>
  <si>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</si>
  <si>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</si>
  <si>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</si>
  <si>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</si>
  <si>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</si>
  <si>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</si>
  <si>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</si>
  <si>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</si>
  <si>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</si>
  <si>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</si>
  <si>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</si>
  <si>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</si>
  <si>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</si>
  <si>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</si>
  <si>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</si>
  <si>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</si>
  <si>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Increase per ton</t>
  </si>
  <si>
    <t>Factor</t>
  </si>
  <si>
    <t>Grossed Up Increase per ton</t>
  </si>
  <si>
    <t>Tons Collected</t>
  </si>
  <si>
    <t>Mason County</t>
  </si>
  <si>
    <t>Tariff Rate Increase</t>
  </si>
  <si>
    <t>Over-weight cans</t>
  </si>
  <si>
    <t>Item 100, pg 21</t>
  </si>
  <si>
    <t xml:space="preserve"> 1 can</t>
  </si>
  <si>
    <t>Automated Service:</t>
  </si>
  <si>
    <t>Item 100, pg 22</t>
  </si>
  <si>
    <t>32 gal can on call</t>
  </si>
  <si>
    <t>Item 120, pg 28</t>
  </si>
  <si>
    <t>Drum</t>
  </si>
  <si>
    <t>Special PU</t>
  </si>
  <si>
    <t>Item 130, pg 28</t>
  </si>
  <si>
    <t>Litter Toter, per pu</t>
  </si>
  <si>
    <t>Item 150, pg 28</t>
  </si>
  <si>
    <t>Bulky</t>
  </si>
  <si>
    <t>Loose</t>
  </si>
  <si>
    <t>Additional yard</t>
  </si>
  <si>
    <t>Minimum</t>
  </si>
  <si>
    <t>Item 207, pg 32</t>
  </si>
  <si>
    <t>All container per yard</t>
  </si>
  <si>
    <t>All Drop boxes per yard</t>
  </si>
  <si>
    <t>Item 240, pg 35</t>
  </si>
  <si>
    <t>Item 245, pg 36</t>
  </si>
  <si>
    <t xml:space="preserve"> 35-gal cart </t>
  </si>
  <si>
    <t xml:space="preserve"> 48-gal cart </t>
  </si>
  <si>
    <t xml:space="preserve"> 64-gal cart</t>
  </si>
  <si>
    <t xml:space="preserve"> 96-gal cart</t>
  </si>
  <si>
    <t>Oversized Can</t>
  </si>
  <si>
    <t>Drum - Special Pick-Up</t>
  </si>
  <si>
    <t>Item 55, page 16</t>
  </si>
  <si>
    <t>Note 2 - Each Addn'l Unit</t>
  </si>
  <si>
    <t>Note 4 - Grouped Cans</t>
  </si>
  <si>
    <t>Note 4 - Non-Grouped Cans</t>
  </si>
  <si>
    <t>Note 5 - 35 Gal Mo. Min</t>
  </si>
  <si>
    <t>Note 5 - 48 Gal Mo. Min</t>
  </si>
  <si>
    <t>Note 5 - 64 Gal Mo. Min</t>
  </si>
  <si>
    <t>Note 5 - 96 Gal Mo. Min</t>
  </si>
  <si>
    <t>Note 3 - Monthly Min.</t>
  </si>
  <si>
    <t>Residential</t>
  </si>
  <si>
    <t>Commercial</t>
  </si>
  <si>
    <t>Increase/(Decrease)</t>
  </si>
  <si>
    <t>Disposal Fee Revenue Increase/(Decrease)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</si>
  <si>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</si>
  <si>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</si>
  <si>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</si>
  <si>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</si>
  <si>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</si>
  <si>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</si>
  <si>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Monthly Frequency</t>
  </si>
  <si>
    <t>Annual PU's</t>
  </si>
  <si>
    <t>Calculated Annual Pounds</t>
  </si>
  <si>
    <t>Adjusted Annual Pounds</t>
  </si>
  <si>
    <t>Increase/
(Decrease)</t>
  </si>
  <si>
    <t>Gross Up</t>
  </si>
  <si>
    <t>Company Current Tariff</t>
  </si>
  <si>
    <t>Company Proposed Tariff</t>
  </si>
  <si>
    <t>Company Current Revenue</t>
  </si>
  <si>
    <t>Company Proposed Revenue</t>
  </si>
  <si>
    <t>Company Increased/(Decreased) Revenue</t>
  </si>
  <si>
    <t>Revised Tariff Rate</t>
  </si>
  <si>
    <t>Totals</t>
  </si>
  <si>
    <t>No Current Customers</t>
  </si>
  <si>
    <t>Adjustment Factor Calculation</t>
  </si>
  <si>
    <t>Legend</t>
  </si>
  <si>
    <t>Not on Meeks</t>
  </si>
  <si>
    <t>Total Tonnage</t>
  </si>
  <si>
    <t>Note</t>
  </si>
  <si>
    <t>Total Pounds</t>
  </si>
  <si>
    <t>Total Pick Ups</t>
  </si>
  <si>
    <t>Adjustment factor</t>
  </si>
  <si>
    <t>48 gallon cart</t>
  </si>
  <si>
    <t>35 gallon cart</t>
  </si>
  <si>
    <t>Litter Toter, per month (Min.)</t>
  </si>
  <si>
    <t>Note 4 (extras)</t>
  </si>
  <si>
    <t>Note 2 (Addn'l can)</t>
  </si>
  <si>
    <t>Note 3 (Monthly Min.)</t>
  </si>
  <si>
    <t>Note 4 (extra recepticles)</t>
  </si>
  <si>
    <t>Note 4 (recepticles not placed together)</t>
  </si>
  <si>
    <t>Note 5 (Automated Carts Monthly Min.)</t>
  </si>
  <si>
    <t>1 can - Special PU</t>
  </si>
  <si>
    <t>35-gal cart Special PU</t>
  </si>
  <si>
    <t>48-gal cart Special PU</t>
  </si>
  <si>
    <t>64-gal cart Special PU</t>
  </si>
  <si>
    <t>96-gal cart Special PU</t>
  </si>
  <si>
    <t>from TG-121791 (Most recent rate case)</t>
  </si>
  <si>
    <t>Litter Toter, per month (min.)</t>
  </si>
  <si>
    <t>1-45 gal Can Wkly</t>
  </si>
  <si>
    <t>Annual</t>
  </si>
  <si>
    <t xml:space="preserve"> Calculated Rate</t>
  </si>
  <si>
    <t>Supercan 64</t>
  </si>
  <si>
    <t>Supercan 94</t>
  </si>
  <si>
    <t>Equal to 1.5 cans</t>
  </si>
  <si>
    <t>Equal to 2 cans</t>
  </si>
  <si>
    <t>Equal to 3 cans</t>
  </si>
  <si>
    <t>Increase</t>
  </si>
  <si>
    <t>Rate</t>
  </si>
  <si>
    <t>Pass Thru  Tons</t>
  </si>
  <si>
    <t>Pass Thru Increase</t>
  </si>
  <si>
    <t xml:space="preserve"> Monthly Customers from  TG-121791</t>
  </si>
  <si>
    <t>Additional yard (Bulky/Loose)</t>
  </si>
  <si>
    <t>Minimum (Bulky/Loose)</t>
  </si>
  <si>
    <t>1 yard pickup (first, additional, temp)</t>
  </si>
  <si>
    <t>1.5 yard (first, additional, temp)</t>
  </si>
  <si>
    <t>2 yard (first, additional, temp)</t>
  </si>
  <si>
    <t>Solid Waste (per ton)</t>
  </si>
  <si>
    <t>Minimum Fee</t>
  </si>
  <si>
    <t>Demolition Waste</t>
  </si>
  <si>
    <t>Refrigerators</t>
  </si>
  <si>
    <t>Tires (no rim)</t>
  </si>
  <si>
    <t>Tires (with rim)</t>
  </si>
  <si>
    <t>Batteries</t>
  </si>
  <si>
    <t>Item 230, pg 34</t>
  </si>
  <si>
    <t>Mason County Garbage Co., Inc. G-88</t>
  </si>
  <si>
    <t>Dump Fee Calculation References</t>
  </si>
  <si>
    <t>Proposed Effective January 1, 2019</t>
  </si>
  <si>
    <t>Current</t>
  </si>
  <si>
    <t>Proposed</t>
  </si>
  <si>
    <t>Rates</t>
  </si>
  <si>
    <t>Occasional extra unit (All Sizes)</t>
  </si>
  <si>
    <t>2 can</t>
  </si>
  <si>
    <t>3 can</t>
  </si>
  <si>
    <t>4 can</t>
  </si>
  <si>
    <t>5 can</t>
  </si>
  <si>
    <t>6 can</t>
  </si>
  <si>
    <t>45-gallon can</t>
  </si>
  <si>
    <t>1 can every-other-week</t>
  </si>
  <si>
    <t>2 can every-other-week</t>
  </si>
  <si>
    <t>1 can once-per-month</t>
  </si>
  <si>
    <t>Mini</t>
  </si>
  <si>
    <t>35-gallon tote</t>
  </si>
  <si>
    <t>48-gallon tote</t>
  </si>
  <si>
    <t>64-gallon tote</t>
  </si>
  <si>
    <t>96-gallon tote</t>
  </si>
  <si>
    <t>35-gal tote every-other-week</t>
  </si>
  <si>
    <t>48-gal tote every-other-week</t>
  </si>
  <si>
    <t>64-gal tote every-other-week</t>
  </si>
  <si>
    <t>96-gal tote every-other-week</t>
  </si>
  <si>
    <t>35-gal tote once-per-month</t>
  </si>
  <si>
    <t>48-gal tote once-per-month</t>
  </si>
  <si>
    <t>64-gal tote once-per-month</t>
  </si>
  <si>
    <t>96-gal tote once-per-month</t>
  </si>
  <si>
    <t>35-gal tote on call</t>
  </si>
  <si>
    <t>48-gal tote on call</t>
  </si>
  <si>
    <t>64-gal tote on call</t>
  </si>
  <si>
    <t>96-gal tote on call</t>
  </si>
  <si>
    <t xml:space="preserve">35-gal cart </t>
  </si>
  <si>
    <t xml:space="preserve">48-gal cart </t>
  </si>
  <si>
    <t>64-gal cart</t>
  </si>
  <si>
    <t>96-gal cart</t>
  </si>
  <si>
    <t>Appliances</t>
  </si>
  <si>
    <t>Small animals</t>
  </si>
  <si>
    <t>Mason County - Dump Fee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</si>
</sst>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_);_(&quot;$&quot;* \(#,##0.000\);_(&quot;$&quot;* &quot;-&quot;??_);_(@_)"/>
    <numFmt numFmtId="167" formatCode="_(* #,##0.000000_);_(* \(#,##0.000000\);_(* &quot;-&quot;??_);_(@_)"/>
    <numFmt numFmtId="168" formatCode="_(&quot;$&quot;* #,##0.000000_);_(&quot;$&quot;* \(#,##0.000000\);_(&quot;$&quot;* &quot;-&quot;??_);_(@_)"/>
    <numFmt numFmtId="169" formatCode="0.0000%"/>
    <numFmt numFmtId="170" formatCode="_(&quot;$&quot;* #,##0_);_(&quot;$&quot;* \(#,##0\);_(&quot;$&quot;* &quot;-&quot;??_);_(@_)"/>
    <numFmt numFmtId="171" formatCode="_(* #,##0.000_);_(* \(#,##0.000\);_(* &quot;-&quot;??_);_(@_)"/>
    <numFmt numFmtId="172" formatCode="&quot;$&quot;#,##0\ ;\(&quot;$&quot;#,##0\)"/>
    <numFmt numFmtId="175" formatCode="General_)"/>
    <numFmt numFmtId="176" formatCode="mm\-yy;\-0;;@"/>
    <numFmt numFmtId="177" formatCode=".00#####;\-.00####;;@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name val="CG Omega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b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8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63"/>
      </patternFill>
    </fill>
    <fill>
      <patternFill patternType="solid">
        <fgColor indexed="42"/>
        <bgColor indexed="29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1">
    <xf numFmtId="0" fontId="0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41" fontId="7" fillId="0" borderId="0"/>
    <xf numFmtId="0" fontId="9" fillId="6" borderId="0" applyNumberFormat="0" applyBorder="0" applyAlignment="0" applyProtection="0"/>
    <xf numFmtId="3" fontId="7" fillId="0" borderId="0"/>
    <xf numFmtId="0" fontId="10" fillId="24" borderId="3" applyNumberFormat="0" applyAlignment="0" applyProtection="0"/>
    <xf numFmtId="0" fontId="10" fillId="4" borderId="3" applyNumberFormat="0" applyAlignment="0" applyProtection="0"/>
    <xf numFmtId="0" fontId="11" fillId="25" borderId="4" applyNumberFormat="0" applyAlignment="0" applyProtection="0"/>
    <xf numFmtId="0" fontId="7" fillId="3" borderId="0">
      <alignment horizont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2" fillId="0" borderId="0"/>
    <xf numFmtId="0" fontId="13" fillId="0" borderId="0"/>
    <xf numFmtId="0" fontId="13" fillId="0" borderId="0"/>
    <xf numFmtId="0" fontId="14" fillId="26" borderId="1" applyAlignment="0">
      <alignment horizontal="right"/>
      <protection locked="0"/>
    </xf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27" borderId="0">
      <alignment horizontal="right"/>
      <protection locked="0"/>
    </xf>
    <xf numFmtId="14" fontId="7" fillId="0" borderId="0"/>
    <xf numFmtId="0" fontId="18" fillId="0" borderId="0" applyNumberFormat="0" applyFill="0" applyBorder="0" applyAlignment="0" applyProtection="0"/>
    <xf numFmtId="2" fontId="17" fillId="27" borderId="0">
      <alignment horizontal="right"/>
      <protection locked="0"/>
    </xf>
    <xf numFmtId="1" fontId="7" fillId="0" borderId="0">
      <alignment horizontal="center"/>
    </xf>
    <xf numFmtId="0" fontId="19" fillId="7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3" fontId="29" fillId="28" borderId="0">
      <protection locked="0"/>
    </xf>
    <xf numFmtId="4" fontId="29" fillId="28" borderId="0">
      <protection locked="0"/>
    </xf>
    <xf numFmtId="0" fontId="30" fillId="0" borderId="10" applyNumberFormat="0" applyFill="0" applyAlignment="0" applyProtection="0"/>
    <xf numFmtId="0" fontId="31" fillId="14" borderId="0" applyNumberFormat="0" applyBorder="0" applyAlignment="0" applyProtection="0"/>
    <xf numFmtId="43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29" borderId="11" applyNumberFormat="0" applyFont="0" applyAlignment="0" applyProtection="0"/>
    <xf numFmtId="0" fontId="4" fillId="29" borderId="11" applyNumberFormat="0" applyFont="0" applyAlignment="0" applyProtection="0"/>
    <xf numFmtId="165" fontId="33" fillId="0" borderId="0" applyNumberFormat="0"/>
    <xf numFmtId="0" fontId="34" fillId="4" borderId="12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7" fillId="0" borderId="0"/>
    <xf numFmtId="0" fontId="35" fillId="0" borderId="0" applyNumberFormat="0" applyFont="0" applyFill="0" applyBorder="0" applyAlignment="0" applyProtection="0">
      <alignment horizontal="left"/>
    </xf>
    <xf numFmtId="0" fontId="36" fillId="0" borderId="2">
      <alignment horizont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" fillId="0" borderId="0">
      <alignment vertical="top"/>
    </xf>
    <xf numFmtId="0" fontId="12" fillId="0" borderId="0" applyNumberFormat="0" applyBorder="0" applyAlignment="0"/>
    <xf numFmtId="37" fontId="38" fillId="0" borderId="0"/>
    <xf numFmtId="37" fontId="6" fillId="0" borderId="0"/>
    <xf numFmtId="0" fontId="39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36" borderId="0" applyNumberFormat="0" applyFont="0" applyBorder="0" applyAlignment="0" applyProtection="0"/>
    <xf numFmtId="164" fontId="46" fillId="37" borderId="0" applyFont="0" applyFill="0" applyBorder="0" applyAlignment="0" applyProtection="0">
      <alignment wrapText="1"/>
    </xf>
    <xf numFmtId="0" fontId="7" fillId="0" borderId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29" borderId="0" applyNumberFormat="0" applyBorder="0" applyAlignment="0" applyProtection="0"/>
    <xf numFmtId="0" fontId="8" fillId="9" borderId="0" applyNumberFormat="0" applyBorder="0" applyAlignment="0" applyProtection="0"/>
    <xf numFmtId="0" fontId="8" fillId="38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41" fontId="7" fillId="0" borderId="0"/>
    <xf numFmtId="41" fontId="7" fillId="0" borderId="0"/>
    <xf numFmtId="41" fontId="7" fillId="0" borderId="0"/>
    <xf numFmtId="0" fontId="9" fillId="8" borderId="0" applyNumberFormat="0" applyBorder="0" applyAlignment="0" applyProtection="0"/>
    <xf numFmtId="3" fontId="7" fillId="0" borderId="0"/>
    <xf numFmtId="3" fontId="7" fillId="0" borderId="0"/>
    <xf numFmtId="3" fontId="7" fillId="0" borderId="0"/>
    <xf numFmtId="0" fontId="48" fillId="24" borderId="3" applyNumberFormat="0" applyAlignment="0" applyProtection="0"/>
    <xf numFmtId="0" fontId="51" fillId="24" borderId="3" applyNumberFormat="0" applyAlignment="0" applyProtection="0"/>
    <xf numFmtId="0" fontId="11" fillId="25" borderId="4" applyNumberFormat="0" applyAlignment="0" applyProtection="0"/>
    <xf numFmtId="0" fontId="11" fillId="41" borderId="26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27" applyNumberFormat="0" applyFill="0" applyAlignment="0" applyProtection="0"/>
    <xf numFmtId="0" fontId="52" fillId="0" borderId="28" applyNumberFormat="0" applyFill="0" applyAlignment="0" applyProtection="0"/>
    <xf numFmtId="0" fontId="22" fillId="0" borderId="29" applyNumberFormat="0" applyFill="0" applyAlignment="0" applyProtection="0"/>
    <xf numFmtId="0" fontId="53" fillId="0" borderId="7" applyNumberFormat="0" applyFill="0" applyAlignment="0" applyProtection="0"/>
    <xf numFmtId="0" fontId="24" fillId="0" borderId="30" applyNumberFormat="0" applyFill="0" applyAlignment="0" applyProtection="0"/>
    <xf numFmtId="0" fontId="54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14" borderId="3" applyNumberFormat="0" applyAlignment="0" applyProtection="0"/>
    <xf numFmtId="0" fontId="55" fillId="14" borderId="3" applyNumberFormat="0" applyAlignment="0" applyProtection="0"/>
    <xf numFmtId="0" fontId="40" fillId="0" borderId="32" applyNumberFormat="0" applyFill="0" applyAlignment="0" applyProtection="0"/>
    <xf numFmtId="0" fontId="56" fillId="0" borderId="33" applyNumberFormat="0" applyFill="0" applyAlignment="0" applyProtection="0"/>
    <xf numFmtId="0" fontId="49" fillId="14" borderId="0" applyNumberFormat="0" applyBorder="0" applyAlignment="0" applyProtection="0"/>
    <xf numFmtId="0" fontId="57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1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32" fillId="29" borderId="11" applyNumberFormat="0" applyFont="0" applyAlignment="0" applyProtection="0"/>
    <xf numFmtId="0" fontId="12" fillId="29" borderId="11" applyNumberFormat="0" applyFont="0" applyAlignment="0" applyProtection="0"/>
    <xf numFmtId="0" fontId="34" fillId="24" borderId="12" applyNumberFormat="0" applyAlignment="0" applyProtection="0"/>
    <xf numFmtId="0" fontId="24" fillId="24" borderId="34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2" fillId="0" borderId="0">
      <alignment vertical="top"/>
    </xf>
    <xf numFmtId="0" fontId="5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35" applyNumberFormat="0" applyFill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7" fillId="0" borderId="0"/>
    <xf numFmtId="0" fontId="45" fillId="35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10" fillId="24" borderId="3" applyNumberFormat="0" applyAlignment="0" applyProtection="0"/>
    <xf numFmtId="0" fontId="10" fillId="4" borderId="3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30" fillId="0" borderId="10" applyNumberFormat="0" applyFill="0" applyAlignment="0" applyProtection="0"/>
    <xf numFmtId="0" fontId="31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9" borderId="11" applyNumberFormat="0" applyFont="0" applyAlignment="0" applyProtection="0"/>
    <xf numFmtId="0" fontId="4" fillId="29" borderId="11" applyNumberFormat="0" applyFont="0" applyAlignment="0" applyProtection="0"/>
    <xf numFmtId="9" fontId="5" fillId="0" borderId="0" applyFont="0" applyFill="0" applyBorder="0" applyAlignment="0" applyProtection="0"/>
    <xf numFmtId="0" fontId="39" fillId="0" borderId="13" applyNumberFormat="0" applyFill="0" applyAlignment="0" applyProtection="0"/>
    <xf numFmtId="0" fontId="39" fillId="0" borderId="14" applyNumberFormat="0" applyFill="0" applyAlignment="0" applyProtection="0"/>
    <xf numFmtId="0" fontId="7" fillId="0" borderId="0"/>
    <xf numFmtId="0" fontId="7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2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40" borderId="0" applyNumberFormat="0" applyBorder="0" applyAlignment="0" applyProtection="0"/>
    <xf numFmtId="0" fontId="8" fillId="21" borderId="0" applyNumberFormat="0" applyBorder="0" applyAlignment="0" applyProtection="0"/>
    <xf numFmtId="49" fontId="63" fillId="0" borderId="0" applyFill="0" applyBorder="0" applyAlignment="0" applyProtection="0"/>
    <xf numFmtId="0" fontId="64" fillId="0" borderId="37" applyBorder="0">
      <alignment horizontal="center" vertical="center" wrapText="1"/>
    </xf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48" fillId="24" borderId="3" applyNumberFormat="0" applyAlignment="0" applyProtection="0"/>
    <xf numFmtId="0" fontId="65" fillId="42" borderId="0" applyNumberFormat="0" applyBorder="0" applyAlignment="0" applyProtection="0">
      <alignment horizontal="center"/>
      <protection hidden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20" fillId="0" borderId="27" applyNumberFormat="0" applyFill="0" applyAlignment="0" applyProtection="0"/>
    <xf numFmtId="0" fontId="22" fillId="0" borderId="29" applyNumberFormat="0" applyFill="0" applyAlignment="0" applyProtection="0"/>
    <xf numFmtId="0" fontId="24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28" fillId="14" borderId="3" applyNumberFormat="0" applyAlignment="0" applyProtection="0"/>
    <xf numFmtId="0" fontId="64" fillId="0" borderId="37" applyBorder="0">
      <alignment horizontal="center" vertical="center" wrapText="1"/>
    </xf>
    <xf numFmtId="0" fontId="40" fillId="0" borderId="32" applyNumberFormat="0" applyFill="0" applyAlignment="0" applyProtection="0"/>
    <xf numFmtId="0" fontId="49" fillId="14" borderId="0" applyNumberFormat="0" applyBorder="0" applyAlignment="0" applyProtection="0"/>
    <xf numFmtId="0" fontId="5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8" fillId="0" borderId="0"/>
    <xf numFmtId="0" fontId="7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66" fillId="0" borderId="0"/>
    <xf numFmtId="0" fontId="7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32" fillId="0" borderId="0"/>
    <xf numFmtId="0" fontId="7" fillId="0" borderId="0"/>
    <xf numFmtId="0" fontId="5" fillId="0" borderId="0"/>
    <xf numFmtId="0" fontId="7" fillId="0" borderId="0"/>
    <xf numFmtId="0" fontId="7" fillId="0" borderId="0">
      <alignment wrapText="1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12" fillId="0" borderId="0">
      <alignment vertical="top"/>
    </xf>
    <xf numFmtId="0" fontId="5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>
      <alignment wrapText="1"/>
    </xf>
    <xf numFmtId="0" fontId="1" fillId="0" borderId="0"/>
    <xf numFmtId="0" fontId="7" fillId="0" borderId="0"/>
    <xf numFmtId="0" fontId="1" fillId="0" borderId="0"/>
    <xf numFmtId="0" fontId="35" fillId="0" borderId="0"/>
    <xf numFmtId="0" fontId="32" fillId="0" borderId="0"/>
    <xf numFmtId="0" fontId="12" fillId="0" borderId="0">
      <alignment vertical="top"/>
    </xf>
    <xf numFmtId="0" fontId="7" fillId="0" borderId="0">
      <alignment wrapText="1"/>
    </xf>
    <xf numFmtId="0" fontId="1" fillId="0" borderId="0"/>
    <xf numFmtId="0" fontId="5" fillId="0" borderId="0"/>
    <xf numFmtId="0" fontId="32" fillId="0" borderId="0"/>
    <xf numFmtId="0" fontId="1" fillId="0" borderId="0"/>
    <xf numFmtId="0" fontId="1" fillId="0" borderId="0"/>
    <xf numFmtId="0" fontId="7" fillId="0" borderId="0"/>
    <xf numFmtId="0" fontId="3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5" fillId="0" borderId="0"/>
    <xf numFmtId="0" fontId="5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5" fillId="0" borderId="0"/>
    <xf numFmtId="0" fontId="7" fillId="0" borderId="0"/>
    <xf numFmtId="0" fontId="68" fillId="0" borderId="0"/>
    <xf numFmtId="0" fontId="12" fillId="0" borderId="0">
      <alignment vertical="top"/>
    </xf>
    <xf numFmtId="0" fontId="7" fillId="0" borderId="0"/>
    <xf numFmtId="0" fontId="12" fillId="0" borderId="0">
      <alignment vertical="top"/>
    </xf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32" fillId="29" borderId="11" applyNumberFormat="0" applyFont="0" applyAlignment="0" applyProtection="0"/>
    <xf numFmtId="0" fontId="34" fillId="24" borderId="12" applyNumberFormat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6" fontId="15" fillId="0" borderId="0">
      <alignment horizontal="center"/>
    </xf>
    <xf numFmtId="0" fontId="12" fillId="0" borderId="0" applyNumberFormat="0" applyBorder="0" applyAlignment="0"/>
    <xf numFmtId="177" fontId="69" fillId="2" borderId="0" applyFill="0" applyBorder="0" applyProtection="0">
      <alignment horizontal="center"/>
      <protection hidden="1"/>
    </xf>
    <xf numFmtId="0" fontId="50" fillId="0" borderId="0" applyNumberFormat="0" applyFill="0" applyBorder="0" applyAlignment="0" applyProtection="0"/>
    <xf numFmtId="0" fontId="39" fillId="0" borderId="35" applyNumberFormat="0" applyFill="0" applyAlignment="0" applyProtection="0"/>
    <xf numFmtId="0" fontId="70" fillId="0" borderId="0">
      <alignment horizontal="center"/>
    </xf>
    <xf numFmtId="175" fontId="32" fillId="0" borderId="0"/>
  </cellStyleXfs>
  <cellXfs count="19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1"/>
    </xf>
    <xf numFmtId="0" fontId="2" fillId="0" borderId="0" xfId="0" applyFont="1" applyFill="1" applyAlignment="1">
      <alignment horizontal="center"/>
    </xf>
    <xf numFmtId="164" fontId="0" fillId="0" borderId="1" xfId="1" applyNumberFormat="1" applyFont="1" applyBorder="1"/>
    <xf numFmtId="44" fontId="1" fillId="0" borderId="0" xfId="2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Font="1" applyAlignment="1"/>
    <xf numFmtId="43" fontId="1" fillId="0" borderId="0" xfId="1" applyFont="1" applyAlignment="1"/>
    <xf numFmtId="43" fontId="0" fillId="0" borderId="0" xfId="0" applyNumberFormat="1" applyFont="1" applyAlignment="1"/>
    <xf numFmtId="0" fontId="3" fillId="0" borderId="0" xfId="0" applyFont="1" applyAlignment="1"/>
    <xf numFmtId="43" fontId="1" fillId="0" borderId="0" xfId="1" applyFont="1" applyAlignment="1">
      <alignment horizontal="center"/>
    </xf>
    <xf numFmtId="164" fontId="1" fillId="0" borderId="0" xfId="1" applyNumberFormat="1" applyFont="1" applyAlignment="1"/>
    <xf numFmtId="0" fontId="2" fillId="0" borderId="0" xfId="0" applyFont="1" applyFill="1" applyAlignment="1"/>
    <xf numFmtId="44" fontId="1" fillId="0" borderId="0" xfId="2" applyFont="1" applyFill="1"/>
    <xf numFmtId="166" fontId="1" fillId="0" borderId="0" xfId="2" applyNumberFormat="1" applyFont="1" applyFill="1"/>
    <xf numFmtId="167" fontId="1" fillId="0" borderId="0" xfId="1" applyNumberFormat="1" applyFont="1" applyAlignment="1"/>
    <xf numFmtId="166" fontId="1" fillId="0" borderId="1" xfId="2" applyNumberFormat="1" applyFont="1" applyFill="1" applyBorder="1"/>
    <xf numFmtId="167" fontId="1" fillId="0" borderId="0" xfId="1" applyNumberFormat="1" applyFont="1" applyBorder="1" applyAlignment="1"/>
    <xf numFmtId="168" fontId="1" fillId="0" borderId="0" xfId="2" applyNumberFormat="1" applyFont="1" applyFill="1"/>
    <xf numFmtId="167" fontId="1" fillId="0" borderId="1" xfId="1" applyNumberFormat="1" applyFont="1" applyBorder="1" applyAlignment="1"/>
    <xf numFmtId="169" fontId="0" fillId="0" borderId="0" xfId="0" applyNumberFormat="1" applyFont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166" fontId="1" fillId="0" borderId="0" xfId="2" applyNumberFormat="1" applyFont="1" applyFill="1" applyBorder="1"/>
    <xf numFmtId="10" fontId="0" fillId="0" borderId="0" xfId="3" applyNumberFormat="1" applyFont="1" applyAlignment="1"/>
    <xf numFmtId="44" fontId="0" fillId="0" borderId="0" xfId="0" applyNumberFormat="1" applyAlignment="1"/>
    <xf numFmtId="44" fontId="0" fillId="0" borderId="0" xfId="0" applyNumberFormat="1" applyFont="1" applyAlignment="1"/>
    <xf numFmtId="168" fontId="1" fillId="0" borderId="0" xfId="2" applyNumberFormat="1" applyFont="1" applyFill="1" applyBorder="1"/>
    <xf numFmtId="44" fontId="0" fillId="0" borderId="0" xfId="2" applyFont="1" applyAlignment="1"/>
    <xf numFmtId="0" fontId="0" fillId="0" borderId="0" xfId="0" applyFill="1" applyBorder="1" applyAlignment="1"/>
    <xf numFmtId="0" fontId="3" fillId="0" borderId="16" xfId="0" applyFont="1" applyBorder="1" applyAlignment="1"/>
    <xf numFmtId="0" fontId="0" fillId="0" borderId="18" xfId="0" applyFont="1" applyBorder="1" applyAlignment="1"/>
    <xf numFmtId="44" fontId="1" fillId="0" borderId="19" xfId="2" applyFont="1" applyBorder="1"/>
    <xf numFmtId="0" fontId="0" fillId="0" borderId="0" xfId="0" applyFont="1" applyBorder="1" applyAlignment="1"/>
    <xf numFmtId="43" fontId="41" fillId="0" borderId="0" xfId="1" applyNumberFormat="1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164" fontId="41" fillId="0" borderId="0" xfId="1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42" fillId="0" borderId="0" xfId="9" applyFont="1" applyFill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3" fontId="0" fillId="0" borderId="0" xfId="1" applyFont="1" applyFill="1" applyAlignment="1">
      <alignment vertical="top"/>
    </xf>
    <xf numFmtId="0" fontId="41" fillId="0" borderId="1" xfId="188" applyFont="1" applyBorder="1"/>
    <xf numFmtId="0" fontId="41" fillId="0" borderId="1" xfId="189" applyFont="1" applyBorder="1" applyAlignment="1">
      <alignment horizontal="left"/>
    </xf>
    <xf numFmtId="44" fontId="0" fillId="0" borderId="0" xfId="0" applyNumberFormat="1" applyFont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 textRotation="90"/>
    </xf>
    <xf numFmtId="0" fontId="2" fillId="0" borderId="0" xfId="189" applyFont="1" applyBorder="1" applyAlignment="1">
      <alignment horizontal="left"/>
    </xf>
    <xf numFmtId="170" fontId="0" fillId="0" borderId="0" xfId="0" applyNumberFormat="1" applyFont="1" applyBorder="1" applyAlignment="1"/>
    <xf numFmtId="0" fontId="0" fillId="0" borderId="23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31" borderId="24" xfId="0" applyFont="1" applyFill="1" applyBorder="1" applyAlignment="1">
      <alignment horizontal="left"/>
    </xf>
    <xf numFmtId="43" fontId="0" fillId="0" borderId="0" xfId="0" applyNumberFormat="1" applyFont="1" applyBorder="1" applyAlignment="1"/>
    <xf numFmtId="164" fontId="41" fillId="0" borderId="0" xfId="1" applyNumberFormat="1" applyFont="1" applyFill="1" applyBorder="1" applyAlignment="1">
      <alignment horizontal="left"/>
    </xf>
    <xf numFmtId="0" fontId="43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41" fillId="0" borderId="0" xfId="9" applyFont="1" applyFill="1" applyBorder="1" applyAlignment="1">
      <alignment horizontal="left"/>
    </xf>
    <xf numFmtId="43" fontId="0" fillId="0" borderId="0" xfId="1" applyFont="1" applyFill="1" applyBorder="1" applyAlignment="1">
      <alignment horizontal="right"/>
    </xf>
    <xf numFmtId="10" fontId="0" fillId="0" borderId="0" xfId="3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0" fontId="41" fillId="0" borderId="0" xfId="11" applyFont="1" applyFill="1" applyBorder="1"/>
    <xf numFmtId="0" fontId="0" fillId="0" borderId="0" xfId="0" applyFont="1" applyFill="1" applyAlignment="1">
      <alignment vertical="top"/>
    </xf>
    <xf numFmtId="0" fontId="0" fillId="0" borderId="0" xfId="0" applyBorder="1"/>
    <xf numFmtId="2" fontId="0" fillId="0" borderId="0" xfId="0" applyNumberFormat="1"/>
    <xf numFmtId="0" fontId="3" fillId="33" borderId="1" xfId="0" applyFont="1" applyFill="1" applyBorder="1" applyAlignment="1"/>
    <xf numFmtId="0" fontId="0" fillId="33" borderId="1" xfId="0" applyFont="1" applyFill="1" applyBorder="1" applyAlignment="1">
      <alignment horizontal="center"/>
    </xf>
    <xf numFmtId="0" fontId="0" fillId="33" borderId="1" xfId="0" applyFill="1" applyBorder="1" applyAlignment="1">
      <alignment horizontal="center"/>
    </xf>
    <xf numFmtId="0" fontId="0" fillId="33" borderId="17" xfId="0" applyFont="1" applyFill="1" applyBorder="1" applyAlignment="1">
      <alignment horizontal="center"/>
    </xf>
    <xf numFmtId="2" fontId="0" fillId="0" borderId="0" xfId="0" applyNumberFormat="1" applyFill="1"/>
    <xf numFmtId="164" fontId="0" fillId="0" borderId="0" xfId="1" applyNumberFormat="1" applyFont="1" applyFill="1" applyAlignment="1">
      <alignment vertical="top"/>
    </xf>
    <xf numFmtId="0" fontId="0" fillId="0" borderId="0" xfId="0" applyFont="1" applyFill="1" applyAlignment="1">
      <alignment horizontal="center"/>
    </xf>
    <xf numFmtId="43" fontId="0" fillId="0" borderId="0" xfId="1" applyFont="1" applyFill="1"/>
    <xf numFmtId="9" fontId="0" fillId="0" borderId="0" xfId="3" applyFont="1" applyBorder="1" applyAlignment="1"/>
    <xf numFmtId="43" fontId="41" fillId="0" borderId="0" xfId="0" applyNumberFormat="1" applyFont="1" applyFill="1" applyAlignment="1">
      <alignment vertical="top"/>
    </xf>
    <xf numFmtId="0" fontId="0" fillId="33" borderId="0" xfId="0" applyFill="1"/>
    <xf numFmtId="2" fontId="0" fillId="33" borderId="0" xfId="0" applyNumberFormat="1" applyFill="1"/>
    <xf numFmtId="43" fontId="0" fillId="33" borderId="0" xfId="1" applyFont="1" applyFill="1"/>
    <xf numFmtId="0" fontId="3" fillId="33" borderId="1" xfId="0" applyFont="1" applyFill="1" applyBorder="1" applyAlignment="1">
      <alignment horizontal="center" wrapText="1"/>
    </xf>
    <xf numFmtId="0" fontId="3" fillId="33" borderId="1" xfId="0" applyFont="1" applyFill="1" applyBorder="1" applyAlignment="1">
      <alignment horizontal="center" vertical="center"/>
    </xf>
    <xf numFmtId="164" fontId="3" fillId="33" borderId="1" xfId="1" applyNumberFormat="1" applyFont="1" applyFill="1" applyBorder="1" applyAlignment="1">
      <alignment horizontal="center" wrapText="1"/>
    </xf>
    <xf numFmtId="0" fontId="0" fillId="33" borderId="1" xfId="0" applyFont="1" applyFill="1" applyBorder="1" applyAlignment="1">
      <alignment vertical="center" textRotation="90"/>
    </xf>
    <xf numFmtId="0" fontId="0" fillId="33" borderId="1" xfId="0" applyFont="1" applyFill="1" applyBorder="1" applyAlignment="1">
      <alignment horizontal="center" vertical="center"/>
    </xf>
    <xf numFmtId="0" fontId="42" fillId="33" borderId="1" xfId="9" applyFont="1" applyFill="1" applyBorder="1" applyAlignment="1">
      <alignment horizontal="left"/>
    </xf>
    <xf numFmtId="3" fontId="3" fillId="33" borderId="1" xfId="0" applyNumberFormat="1" applyFont="1" applyFill="1" applyBorder="1" applyAlignment="1">
      <alignment horizontal="right"/>
    </xf>
    <xf numFmtId="164" fontId="3" fillId="33" borderId="1" xfId="0" applyNumberFormat="1" applyFont="1" applyFill="1" applyBorder="1" applyAlignment="1"/>
    <xf numFmtId="43" fontId="0" fillId="33" borderId="1" xfId="0" applyNumberFormat="1" applyFont="1" applyFill="1" applyBorder="1" applyAlignment="1"/>
    <xf numFmtId="3" fontId="3" fillId="33" borderId="1" xfId="0" applyNumberFormat="1" applyFont="1" applyFill="1" applyBorder="1" applyAlignment="1"/>
    <xf numFmtId="164" fontId="3" fillId="33" borderId="1" xfId="1" applyNumberFormat="1" applyFont="1" applyFill="1" applyBorder="1" applyAlignment="1"/>
    <xf numFmtId="44" fontId="3" fillId="33" borderId="1" xfId="2" applyFont="1" applyFill="1" applyBorder="1"/>
    <xf numFmtId="0" fontId="0" fillId="33" borderId="0" xfId="0" applyFont="1" applyFill="1" applyBorder="1" applyAlignment="1"/>
    <xf numFmtId="0" fontId="0" fillId="33" borderId="0" xfId="0" applyFont="1" applyFill="1" applyBorder="1" applyAlignment="1">
      <alignment horizontal="center"/>
    </xf>
    <xf numFmtId="0" fontId="3" fillId="33" borderId="0" xfId="0" applyFont="1" applyFill="1" applyBorder="1" applyAlignment="1"/>
    <xf numFmtId="0" fontId="0" fillId="33" borderId="0" xfId="0" applyFont="1" applyFill="1" applyBorder="1" applyAlignment="1">
      <alignment horizontal="right"/>
    </xf>
    <xf numFmtId="43" fontId="0" fillId="0" borderId="0" xfId="0" applyNumberFormat="1" applyFont="1" applyFill="1" applyAlignment="1"/>
    <xf numFmtId="10" fontId="0" fillId="0" borderId="0" xfId="3" applyNumberFormat="1" applyFont="1" applyBorder="1" applyAlignment="1"/>
    <xf numFmtId="3" fontId="0" fillId="0" borderId="0" xfId="0" applyNumberFormat="1" applyFont="1" applyBorder="1" applyAlignment="1"/>
    <xf numFmtId="0" fontId="41" fillId="0" borderId="0" xfId="0" applyFont="1" applyFill="1" applyAlignment="1"/>
    <xf numFmtId="0" fontId="41" fillId="0" borderId="0" xfId="0" applyFont="1" applyFill="1" applyAlignment="1">
      <alignment horizontal="right"/>
    </xf>
    <xf numFmtId="44" fontId="41" fillId="0" borderId="0" xfId="2" applyFont="1" applyBorder="1"/>
    <xf numFmtId="44" fontId="3" fillId="0" borderId="0" xfId="0" applyNumberFormat="1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44" fontId="41" fillId="0" borderId="1" xfId="2" applyFont="1" applyFill="1" applyBorder="1"/>
    <xf numFmtId="164" fontId="1" fillId="0" borderId="0" xfId="1" applyNumberFormat="1" applyFont="1" applyFill="1" applyAlignment="1"/>
    <xf numFmtId="44" fontId="0" fillId="0" borderId="0" xfId="0" applyNumberFormat="1" applyFont="1" applyFill="1" applyBorder="1" applyAlignment="1"/>
    <xf numFmtId="44" fontId="41" fillId="0" borderId="0" xfId="2" applyFont="1" applyFill="1" applyBorder="1"/>
    <xf numFmtId="44" fontId="0" fillId="0" borderId="0" xfId="3" applyNumberFormat="1" applyFont="1" applyBorder="1" applyAlignment="1"/>
    <xf numFmtId="44" fontId="41" fillId="0" borderId="22" xfId="2" applyFont="1" applyFill="1" applyBorder="1"/>
    <xf numFmtId="10" fontId="0" fillId="0" borderId="0" xfId="0" applyNumberFormat="1" applyFont="1" applyAlignment="1"/>
    <xf numFmtId="43" fontId="0" fillId="0" borderId="0" xfId="1" applyFont="1" applyAlignment="1">
      <alignment horizontal="left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10" fontId="0" fillId="0" borderId="0" xfId="0" applyNumberFormat="1" applyFont="1" applyBorder="1" applyAlignment="1"/>
    <xf numFmtId="42" fontId="0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 applyFill="1" applyBorder="1"/>
    <xf numFmtId="43" fontId="0" fillId="0" borderId="0" xfId="1" applyNumberFormat="1" applyFont="1"/>
    <xf numFmtId="0" fontId="0" fillId="0" borderId="0" xfId="0" applyFont="1" applyFill="1" applyBorder="1" applyAlignment="1">
      <alignment horizontal="center"/>
    </xf>
    <xf numFmtId="164" fontId="0" fillId="0" borderId="0" xfId="1" applyNumberFormat="1" applyFont="1" applyBorder="1" applyAlignment="1"/>
    <xf numFmtId="0" fontId="0" fillId="0" borderId="0" xfId="0" applyFont="1" applyBorder="1" applyAlignment="1">
      <alignment vertical="top"/>
    </xf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 wrapText="1"/>
    </xf>
    <xf numFmtId="44" fontId="0" fillId="0" borderId="0" xfId="2" applyFont="1" applyFill="1" applyBorder="1"/>
    <xf numFmtId="44" fontId="0" fillId="34" borderId="0" xfId="2" applyFont="1" applyFill="1" applyBorder="1"/>
    <xf numFmtId="44" fontId="0" fillId="0" borderId="0" xfId="2" applyNumberFormat="1" applyFont="1" applyFill="1" applyBorder="1"/>
    <xf numFmtId="0" fontId="0" fillId="0" borderId="0" xfId="0" applyFont="1" applyFill="1" applyBorder="1" applyAlignment="1">
      <alignment vertical="top"/>
    </xf>
    <xf numFmtId="43" fontId="0" fillId="33" borderId="1" xfId="1" applyFont="1" applyFill="1" applyBorder="1" applyAlignment="1"/>
    <xf numFmtId="44" fontId="0" fillId="33" borderId="1" xfId="2" applyFont="1" applyFill="1" applyBorder="1"/>
    <xf numFmtId="43" fontId="0" fillId="0" borderId="0" xfId="2" applyNumberFormat="1" applyFont="1" applyFill="1" applyBorder="1"/>
    <xf numFmtId="0" fontId="0" fillId="0" borderId="0" xfId="0" applyFont="1" applyFill="1" applyAlignment="1"/>
    <xf numFmtId="43" fontId="0" fillId="0" borderId="0" xfId="1" applyNumberFormat="1" applyFont="1" applyFill="1" applyBorder="1" applyAlignment="1"/>
    <xf numFmtId="44" fontId="0" fillId="0" borderId="0" xfId="1" applyNumberFormat="1" applyFont="1" applyFill="1" applyBorder="1" applyAlignment="1"/>
    <xf numFmtId="164" fontId="0" fillId="33" borderId="0" xfId="1" applyNumberFormat="1" applyFont="1" applyFill="1" applyBorder="1" applyAlignment="1"/>
    <xf numFmtId="44" fontId="0" fillId="33" borderId="0" xfId="1" applyNumberFormat="1" applyFont="1" applyFill="1" applyBorder="1" applyAlignment="1"/>
    <xf numFmtId="43" fontId="0" fillId="0" borderId="1" xfId="1" applyFont="1" applyBorder="1" applyAlignment="1">
      <alignment horizontal="right"/>
    </xf>
    <xf numFmtId="43" fontId="0" fillId="0" borderId="1" xfId="1" applyNumberFormat="1" applyFont="1" applyFill="1" applyBorder="1" applyAlignment="1"/>
    <xf numFmtId="164" fontId="0" fillId="0" borderId="1" xfId="1" applyNumberFormat="1" applyFont="1" applyFill="1" applyBorder="1" applyAlignment="1"/>
    <xf numFmtId="164" fontId="0" fillId="0" borderId="1" xfId="1" applyNumberFormat="1" applyFont="1" applyBorder="1" applyAlignment="1"/>
    <xf numFmtId="44" fontId="0" fillId="0" borderId="1" xfId="2" applyFont="1" applyFill="1" applyBorder="1"/>
    <xf numFmtId="43" fontId="0" fillId="0" borderId="1" xfId="2" applyNumberFormat="1" applyFont="1" applyFill="1" applyBorder="1"/>
    <xf numFmtId="0" fontId="0" fillId="0" borderId="0" xfId="0" applyFont="1" applyFill="1" applyAlignment="1">
      <alignment horizontal="left" vertical="top"/>
    </xf>
    <xf numFmtId="44" fontId="0" fillId="0" borderId="0" xfId="2" applyFont="1" applyBorder="1"/>
    <xf numFmtId="0" fontId="0" fillId="0" borderId="0" xfId="0" applyFont="1"/>
    <xf numFmtId="43" fontId="0" fillId="0" borderId="1" xfId="1" applyFont="1" applyFill="1" applyBorder="1" applyAlignment="1"/>
    <xf numFmtId="44" fontId="0" fillId="0" borderId="1" xfId="2" applyFont="1" applyBorder="1"/>
    <xf numFmtId="43" fontId="60" fillId="0" borderId="15" xfId="190" applyNumberFormat="1" applyFont="1" applyFill="1" applyBorder="1"/>
    <xf numFmtId="0" fontId="0" fillId="32" borderId="25" xfId="1" applyNumberFormat="1" applyFont="1" applyFill="1" applyBorder="1" applyAlignment="1"/>
    <xf numFmtId="164" fontId="0" fillId="0" borderId="0" xfId="1" applyNumberFormat="1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43" fontId="0" fillId="0" borderId="0" xfId="1" applyFont="1" applyBorder="1" applyAlignment="1"/>
    <xf numFmtId="170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66" fontId="0" fillId="0" borderId="0" xfId="2" applyNumberFormat="1" applyFont="1" applyBorder="1"/>
    <xf numFmtId="43" fontId="41" fillId="0" borderId="0" xfId="52" applyFont="1"/>
    <xf numFmtId="44" fontId="41" fillId="0" borderId="0" xfId="84" applyFont="1"/>
    <xf numFmtId="43" fontId="41" fillId="0" borderId="0" xfId="52" applyFont="1" applyFill="1"/>
    <xf numFmtId="164" fontId="41" fillId="0" borderId="0" xfId="5" applyNumberFormat="1" applyFont="1" applyFill="1" applyAlignment="1">
      <alignment vertical="center"/>
    </xf>
    <xf numFmtId="44" fontId="41" fillId="0" borderId="0" xfId="84" applyFont="1" applyFill="1"/>
    <xf numFmtId="0" fontId="61" fillId="0" borderId="0" xfId="0" applyFont="1" applyFill="1" applyBorder="1" applyAlignment="1">
      <alignment vertical="top"/>
    </xf>
    <xf numFmtId="164" fontId="41" fillId="0" borderId="0" xfId="1" applyNumberFormat="1" applyFont="1" applyFill="1" applyAlignment="1"/>
    <xf numFmtId="0" fontId="61" fillId="0" borderId="0" xfId="0" applyFont="1" applyFill="1" applyAlignment="1">
      <alignment vertical="top"/>
    </xf>
    <xf numFmtId="165" fontId="0" fillId="0" borderId="0" xfId="3" applyNumberFormat="1" applyFont="1" applyAlignment="1"/>
    <xf numFmtId="2" fontId="41" fillId="0" borderId="0" xfId="0" applyNumberFormat="1" applyFont="1"/>
    <xf numFmtId="0" fontId="0" fillId="3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3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2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30" borderId="0" xfId="0" applyFont="1" applyFill="1" applyBorder="1" applyAlignment="1">
      <alignment horizontal="center"/>
    </xf>
    <xf numFmtId="2" fontId="41" fillId="0" borderId="0" xfId="0" applyNumberFormat="1" applyFont="1" applyFill="1"/>
    <xf numFmtId="43" fontId="0" fillId="0" borderId="0" xfId="1" applyFont="1" applyFill="1" applyAlignment="1">
      <alignment wrapText="1"/>
    </xf>
    <xf numFmtId="43" fontId="0" fillId="0" borderId="0" xfId="1" applyFont="1" applyAlignment="1">
      <alignment horizontal="left" indent="1"/>
    </xf>
    <xf numFmtId="43" fontId="3" fillId="0" borderId="0" xfId="1" applyFont="1"/>
    <xf numFmtId="43" fontId="3" fillId="33" borderId="0" xfId="1" applyFont="1" applyFill="1"/>
    <xf numFmtId="43" fontId="71" fillId="30" borderId="0" xfId="1" applyFont="1" applyFill="1" applyBorder="1"/>
    <xf numFmtId="43" fontId="62" fillId="30" borderId="0" xfId="1" applyFont="1" applyFill="1" applyBorder="1" applyAlignment="1">
      <alignment horizontal="center"/>
    </xf>
    <xf numFmtId="43" fontId="3" fillId="0" borderId="0" xfId="1" applyFont="1" applyFill="1" applyBorder="1"/>
    <xf numFmtId="43" fontId="3" fillId="0" borderId="0" xfId="1" applyFont="1" applyBorder="1"/>
    <xf numFmtId="14" fontId="71" fillId="30" borderId="0" xfId="710" applyNumberFormat="1" applyFont="1" applyFill="1" applyBorder="1" applyAlignment="1">
      <alignment horizontal="center"/>
    </xf>
    <xf numFmtId="2" fontId="71" fillId="30" borderId="0" xfId="710" applyNumberFormat="1" applyFont="1" applyFill="1" applyBorder="1" applyAlignment="1">
      <alignment horizontal="center"/>
    </xf>
    <xf numFmtId="4" fontId="71" fillId="30" borderId="0" xfId="710" applyNumberFormat="1" applyFont="1" applyFill="1" applyBorder="1" applyAlignment="1">
      <alignment horizontal="center"/>
    </xf>
    <xf numFmtId="0" fontId="0" fillId="0" borderId="0" xfId="0"/>
  </cellXfs>
  <cellStyles count="711">
    <cellStyle name="20% - Accent1 2" xfId="12"/>
    <cellStyle name="20% - Accent1 2 2" xfId="441"/>
    <cellStyle name="20% - Accent1 2 3" xfId="217"/>
    <cellStyle name="20% - Accent1 3" xfId="13"/>
    <cellStyle name="20% - Accent1 3 2" xfId="442"/>
    <cellStyle name="20% - Accent1 3 3" xfId="216"/>
    <cellStyle name="20% - Accent1 4" xfId="486"/>
    <cellStyle name="20% - Accent2 2" xfId="14"/>
    <cellStyle name="20% - Accent2 2 2" xfId="219"/>
    <cellStyle name="20% - Accent2 3" xfId="218"/>
    <cellStyle name="20% - Accent2 3 2" xfId="487"/>
    <cellStyle name="20% - Accent3 2" xfId="15"/>
    <cellStyle name="20% - Accent3 2 2" xfId="221"/>
    <cellStyle name="20% - Accent3 3" xfId="220"/>
    <cellStyle name="20% - Accent3 3 2" xfId="488"/>
    <cellStyle name="20% - Accent4 2" xfId="16"/>
    <cellStyle name="20% - Accent4 2 2" xfId="443"/>
    <cellStyle name="20% - Accent4 2 3" xfId="223"/>
    <cellStyle name="20% - Accent4 3" xfId="17"/>
    <cellStyle name="20% - Accent4 3 2" xfId="444"/>
    <cellStyle name="20% - Accent4 3 3" xfId="222"/>
    <cellStyle name="20% - Accent4 4" xfId="489"/>
    <cellStyle name="20% - Accent5 2" xfId="18"/>
    <cellStyle name="20% - Accent5 3" xfId="224"/>
    <cellStyle name="20% - Accent6 2" xfId="19"/>
    <cellStyle name="20% - Accent6 2 2" xfId="226"/>
    <cellStyle name="20% - Accent6 3" xfId="225"/>
    <cellStyle name="20% - Accent6 3 2" xfId="490"/>
    <cellStyle name="40% - Accent1 2" xfId="20"/>
    <cellStyle name="40% - Accent1 2 2" xfId="491"/>
    <cellStyle name="40% - Accent1 3" xfId="21"/>
    <cellStyle name="40% - Accent1 3 2" xfId="445"/>
    <cellStyle name="40% - Accent1 3 3" xfId="227"/>
    <cellStyle name="40% - Accent1 4" xfId="492"/>
    <cellStyle name="40% - Accent2 2" xfId="22"/>
    <cellStyle name="40% - Accent2 3" xfId="228"/>
    <cellStyle name="40% - Accent3 2" xfId="23"/>
    <cellStyle name="40% - Accent3 2 2" xfId="230"/>
    <cellStyle name="40% - Accent3 3" xfId="229"/>
    <cellStyle name="40% - Accent3 3 2" xfId="493"/>
    <cellStyle name="40% - Accent4 2" xfId="24"/>
    <cellStyle name="40% - Accent4 2 2" xfId="494"/>
    <cellStyle name="40% - Accent4 3" xfId="25"/>
    <cellStyle name="40% - Accent4 3 2" xfId="446"/>
    <cellStyle name="40% - Accent4 3 3" xfId="231"/>
    <cellStyle name="40% - Accent4 4" xfId="495"/>
    <cellStyle name="40% - Accent5 2" xfId="26"/>
    <cellStyle name="40% - Accent5 2 2" xfId="496"/>
    <cellStyle name="40% - Accent5 3" xfId="232"/>
    <cellStyle name="40% - Accent5 3 2" xfId="497"/>
    <cellStyle name="40% - Accent6 2" xfId="27"/>
    <cellStyle name="40% - Accent6 2 2" xfId="498"/>
    <cellStyle name="40% - Accent6 3" xfId="28"/>
    <cellStyle name="40% - Accent6 3 2" xfId="447"/>
    <cellStyle name="40% - Accent6 3 3" xfId="233"/>
    <cellStyle name="40% - Accent6 4" xfId="499"/>
    <cellStyle name="60% - Accent1 2" xfId="29"/>
    <cellStyle name="60% - Accent1 2 2" xfId="448"/>
    <cellStyle name="60% - Accent1 2 3" xfId="235"/>
    <cellStyle name="60% - Accent1 3" xfId="30"/>
    <cellStyle name="60% - Accent1 3 2" xfId="449"/>
    <cellStyle name="60% - Accent1 3 3" xfId="234"/>
    <cellStyle name="60% - Accent1 4" xfId="500"/>
    <cellStyle name="60% - Accent2 2" xfId="31"/>
    <cellStyle name="60% - Accent2 2 2" xfId="501"/>
    <cellStyle name="60% - Accent2 3" xfId="236"/>
    <cellStyle name="60% - Accent2 3 2" xfId="502"/>
    <cellStyle name="60% - Accent3 2" xfId="32"/>
    <cellStyle name="60% - Accent3 2 2" xfId="503"/>
    <cellStyle name="60% - Accent3 3" xfId="33"/>
    <cellStyle name="60% - Accent3 3 2" xfId="450"/>
    <cellStyle name="60% - Accent3 3 3" xfId="237"/>
    <cellStyle name="60% - Accent3 4" xfId="504"/>
    <cellStyle name="60% - Accent4 2" xfId="34"/>
    <cellStyle name="60% - Accent4 2 2" xfId="505"/>
    <cellStyle name="60% - Accent4 3" xfId="35"/>
    <cellStyle name="60% - Accent4 3 2" xfId="451"/>
    <cellStyle name="60% - Accent4 3 3" xfId="238"/>
    <cellStyle name="60% - Accent4 4" xfId="506"/>
    <cellStyle name="60% - Accent5 2" xfId="36"/>
    <cellStyle name="60% - Accent5 2 2" xfId="452"/>
    <cellStyle name="60% - Accent5 2 3" xfId="240"/>
    <cellStyle name="60% - Accent5 3" xfId="239"/>
    <cellStyle name="60% - Accent5 3 2" xfId="507"/>
    <cellStyle name="60% - Accent6 2" xfId="37"/>
    <cellStyle name="60% - Accent6 2 2" xfId="242"/>
    <cellStyle name="60% - Accent6 3" xfId="241"/>
    <cellStyle name="60% - Accent6 3 2" xfId="508"/>
    <cellStyle name="Accent1 2" xfId="38"/>
    <cellStyle name="Accent1 2 2" xfId="453"/>
    <cellStyle name="Accent1 2 3" xfId="244"/>
    <cellStyle name="Accent1 3" xfId="39"/>
    <cellStyle name="Accent1 3 2" xfId="454"/>
    <cellStyle name="Accent1 3 3" xfId="243"/>
    <cellStyle name="Accent1 4" xfId="509"/>
    <cellStyle name="Accent2 2" xfId="40"/>
    <cellStyle name="Accent2 2 2" xfId="510"/>
    <cellStyle name="Accent2 3" xfId="245"/>
    <cellStyle name="Accent2 3 2" xfId="511"/>
    <cellStyle name="Accent3 2" xfId="41"/>
    <cellStyle name="Accent3 2 2" xfId="455"/>
    <cellStyle name="Accent3 2 3" xfId="247"/>
    <cellStyle name="Accent3 3" xfId="246"/>
    <cellStyle name="Accent3 3 2" xfId="512"/>
    <cellStyle name="Accent4 2" xfId="42"/>
    <cellStyle name="Accent4 2 2" xfId="249"/>
    <cellStyle name="Accent4 3" xfId="248"/>
    <cellStyle name="Accent4 3 2" xfId="513"/>
    <cellStyle name="Accent5 2" xfId="43"/>
    <cellStyle name="Accent5 2 2" xfId="251"/>
    <cellStyle name="Accent5 3" xfId="250"/>
    <cellStyle name="Accent6 2" xfId="44"/>
    <cellStyle name="Accent6 2 2" xfId="456"/>
    <cellStyle name="Accent6 2 3" xfId="253"/>
    <cellStyle name="Accent6 3" xfId="252"/>
    <cellStyle name="Accent6 3 2" xfId="514"/>
    <cellStyle name="Accounting" xfId="45"/>
    <cellStyle name="Accounting 2" xfId="254"/>
    <cellStyle name="Accounting 3" xfId="255"/>
    <cellStyle name="Accounting_2011-11" xfId="256"/>
    <cellStyle name="APS" xfId="515"/>
    <cellStyle name="APSLabels" xfId="516"/>
    <cellStyle name="Bad 2" xfId="46"/>
    <cellStyle name="Bad 2 2" xfId="517"/>
    <cellStyle name="Bad 3" xfId="257"/>
    <cellStyle name="Bad 3 2" xfId="518"/>
    <cellStyle name="Budget" xfId="47"/>
    <cellStyle name="Budget 2" xfId="258"/>
    <cellStyle name="Budget 3" xfId="259"/>
    <cellStyle name="Budget_2011-11" xfId="260"/>
    <cellStyle name="Calculation 2" xfId="48"/>
    <cellStyle name="Calculation 2 2" xfId="457"/>
    <cellStyle name="Calculation 2 3" xfId="262"/>
    <cellStyle name="Calculation 3" xfId="49"/>
    <cellStyle name="Calculation 3 2" xfId="458"/>
    <cellStyle name="Calculation 3 3" xfId="261"/>
    <cellStyle name="Calculation 4" xfId="519"/>
    <cellStyle name="Check Cell 2" xfId="50"/>
    <cellStyle name="Check Cell 2 2" xfId="264"/>
    <cellStyle name="Check Cell 3" xfId="263"/>
    <cellStyle name="Color" xfId="520"/>
    <cellStyle name="combo" xfId="51"/>
    <cellStyle name="Comma" xfId="1" builtinId="3"/>
    <cellStyle name="Comma 10" xfId="52"/>
    <cellStyle name="Comma 10 2" xfId="521"/>
    <cellStyle name="Comma 11" xfId="53"/>
    <cellStyle name="Comma 11 2" xfId="522"/>
    <cellStyle name="Comma 12" xfId="54"/>
    <cellStyle name="Comma 12 2" xfId="387"/>
    <cellStyle name="Comma 12 2 2" xfId="523"/>
    <cellStyle name="Comma 12 3" xfId="391"/>
    <cellStyle name="Comma 12 4" xfId="265"/>
    <cellStyle name="Comma 12 4 2" xfId="524"/>
    <cellStyle name="Comma 12 5" xfId="525"/>
    <cellStyle name="Comma 13" xfId="55"/>
    <cellStyle name="Comma 13 2" xfId="526"/>
    <cellStyle name="Comma 13 3" xfId="527"/>
    <cellStyle name="Comma 14" xfId="56"/>
    <cellStyle name="Comma 15" xfId="57"/>
    <cellStyle name="Comma 15 2" xfId="528"/>
    <cellStyle name="Comma 15 3" xfId="529"/>
    <cellStyle name="Comma 16" xfId="58"/>
    <cellStyle name="Comma 17" xfId="59"/>
    <cellStyle name="Comma 17 2" xfId="459"/>
    <cellStyle name="Comma 17 3" xfId="400"/>
    <cellStyle name="Comma 17 3 2" xfId="530"/>
    <cellStyle name="Comma 17 4" xfId="531"/>
    <cellStyle name="Comma 18" xfId="60"/>
    <cellStyle name="Comma 18 2" xfId="402"/>
    <cellStyle name="Comma 18 3" xfId="460"/>
    <cellStyle name="Comma 18 4" xfId="401"/>
    <cellStyle name="Comma 19" xfId="398"/>
    <cellStyle name="Comma 2" xfId="61"/>
    <cellStyle name="Comma 2 2" xfId="5"/>
    <cellStyle name="Comma 2 2 2" xfId="62"/>
    <cellStyle name="Comma 2 2 2 2" xfId="532"/>
    <cellStyle name="Comma 2 2 3" xfId="533"/>
    <cellStyle name="Comma 2 3" xfId="63"/>
    <cellStyle name="Comma 2 4" xfId="64"/>
    <cellStyle name="Comma 2 4 2" xfId="461"/>
    <cellStyle name="Comma 2 4 3" xfId="403"/>
    <cellStyle name="Comma 2 4 3 2" xfId="534"/>
    <cellStyle name="Comma 2 4 4" xfId="535"/>
    <cellStyle name="Comma 2 5" xfId="440"/>
    <cellStyle name="Comma 2 6" xfId="192"/>
    <cellStyle name="Comma 2 6 2" xfId="193"/>
    <cellStyle name="Comma 2 7" xfId="536"/>
    <cellStyle name="Comma 2 8" xfId="537"/>
    <cellStyle name="Comma 20" xfId="190"/>
    <cellStyle name="Comma 21" xfId="191"/>
    <cellStyle name="Comma 21 2" xfId="539"/>
    <cellStyle name="Comma 21 3" xfId="538"/>
    <cellStyle name="Comma 22" xfId="540"/>
    <cellStyle name="Comma 23" xfId="541"/>
    <cellStyle name="Comma 3" xfId="65"/>
    <cellStyle name="Comma 3 2" xfId="66"/>
    <cellStyle name="Comma 3 2 2" xfId="67"/>
    <cellStyle name="Comma 3 3" xfId="68"/>
    <cellStyle name="Comma 3 4" xfId="69"/>
    <cellStyle name="Comma 4" xfId="70"/>
    <cellStyle name="Comma 4 2" xfId="71"/>
    <cellStyle name="Comma 4 2 2" xfId="392"/>
    <cellStyle name="Comma 4 2 3" xfId="404"/>
    <cellStyle name="Comma 4 2 4" xfId="542"/>
    <cellStyle name="Comma 4 3" xfId="72"/>
    <cellStyle name="Comma 4 3 2" xfId="393"/>
    <cellStyle name="Comma 4 3 3" xfId="405"/>
    <cellStyle name="Comma 4 4" xfId="73"/>
    <cellStyle name="Comma 4 4 2" xfId="406"/>
    <cellStyle name="Comma 4 4 3" xfId="407"/>
    <cellStyle name="Comma 4 5" xfId="74"/>
    <cellStyle name="Comma 4 5 2" xfId="408"/>
    <cellStyle name="Comma 4 6" xfId="389"/>
    <cellStyle name="Comma 5" xfId="75"/>
    <cellStyle name="Comma 5 2" xfId="409"/>
    <cellStyle name="Comma 5 2 2" xfId="543"/>
    <cellStyle name="Comma 5 3" xfId="410"/>
    <cellStyle name="Comma 5 4" xfId="544"/>
    <cellStyle name="Comma 5 5" xfId="545"/>
    <cellStyle name="Comma 6" xfId="10"/>
    <cellStyle name="Comma 6 2" xfId="76"/>
    <cellStyle name="Comma 6 2 2" xfId="546"/>
    <cellStyle name="Comma 6 2 3" xfId="547"/>
    <cellStyle name="Comma 6 3" xfId="548"/>
    <cellStyle name="Comma 6 4" xfId="549"/>
    <cellStyle name="Comma 7" xfId="77"/>
    <cellStyle name="Comma 7 2" xfId="550"/>
    <cellStyle name="Comma 7 2 2" xfId="551"/>
    <cellStyle name="Comma 7 3" xfId="552"/>
    <cellStyle name="Comma 8" xfId="78"/>
    <cellStyle name="Comma 8 2" xfId="553"/>
    <cellStyle name="Comma 8 2 2" xfId="554"/>
    <cellStyle name="Comma 8 3" xfId="555"/>
    <cellStyle name="Comma 8 4" xfId="556"/>
    <cellStyle name="Comma 9" xfId="79"/>
    <cellStyle name="Comma 9 2" xfId="557"/>
    <cellStyle name="Comma(2)" xfId="80"/>
    <cellStyle name="Comma0" xfId="411"/>
    <cellStyle name="Comma0 - Style2" xfId="81"/>
    <cellStyle name="Comma1 - Style1" xfId="82"/>
    <cellStyle name="Comments" xfId="83"/>
    <cellStyle name="Currency" xfId="2" builtinId="4"/>
    <cellStyle name="Currency 10" xfId="399"/>
    <cellStyle name="Currency 11" xfId="558"/>
    <cellStyle name="Currency 12" xfId="559"/>
    <cellStyle name="Currency 13" xfId="560"/>
    <cellStyle name="Currency 14" xfId="561"/>
    <cellStyle name="Currency 15" xfId="562"/>
    <cellStyle name="Currency 2" xfId="84"/>
    <cellStyle name="Currency 2 2" xfId="85"/>
    <cellStyle name="Currency 2 2 2" xfId="268"/>
    <cellStyle name="Currency 2 2 3" xfId="195"/>
    <cellStyle name="Currency 2 2 4" xfId="563"/>
    <cellStyle name="Currency 2 3" xfId="86"/>
    <cellStyle name="Currency 2 3 2" xfId="462"/>
    <cellStyle name="Currency 2 3 3" xfId="267"/>
    <cellStyle name="Currency 2 4" xfId="412"/>
    <cellStyle name="Currency 2 5" xfId="194"/>
    <cellStyle name="Currency 2 5 2" xfId="564"/>
    <cellStyle name="Currency 2 6" xfId="196"/>
    <cellStyle name="Currency 2 6 2" xfId="197"/>
    <cellStyle name="Currency 3" xfId="87"/>
    <cellStyle name="Currency 3 2" xfId="88"/>
    <cellStyle name="Currency 3 2 2" xfId="270"/>
    <cellStyle name="Currency 3 2 2 2" xfId="565"/>
    <cellStyle name="Currency 3 3" xfId="269"/>
    <cellStyle name="Currency 3 3 2" xfId="566"/>
    <cellStyle name="Currency 3 4" xfId="394"/>
    <cellStyle name="Currency 3 5" xfId="198"/>
    <cellStyle name="Currency 4" xfId="89"/>
    <cellStyle name="Currency 4 2" xfId="200"/>
    <cellStyle name="Currency 4 2 2" xfId="567"/>
    <cellStyle name="Currency 4 3" xfId="199"/>
    <cellStyle name="Currency 4 3 2" xfId="568"/>
    <cellStyle name="Currency 4 4" xfId="569"/>
    <cellStyle name="Currency 5" xfId="90"/>
    <cellStyle name="Currency 5 2" xfId="386"/>
    <cellStyle name="Currency 5 3" xfId="395"/>
    <cellStyle name="Currency 5 4" xfId="266"/>
    <cellStyle name="Currency 6" xfId="91"/>
    <cellStyle name="Currency 7" xfId="92"/>
    <cellStyle name="Currency 8" xfId="93"/>
    <cellStyle name="Currency 8 2" xfId="463"/>
    <cellStyle name="Currency 8 3" xfId="413"/>
    <cellStyle name="Currency 9" xfId="4"/>
    <cellStyle name="Currency0" xfId="414"/>
    <cellStyle name="Data Enter" xfId="94"/>
    <cellStyle name="date" xfId="95"/>
    <cellStyle name="Explanatory Text 2" xfId="96"/>
    <cellStyle name="Explanatory Text 3" xfId="271"/>
    <cellStyle name="F9ReportControlStyle_ctpInquire" xfId="415"/>
    <cellStyle name="FactSheet" xfId="97"/>
    <cellStyle name="fish" xfId="98"/>
    <cellStyle name="Good 2" xfId="99"/>
    <cellStyle name="Good 2 2" xfId="570"/>
    <cellStyle name="Good 3" xfId="272"/>
    <cellStyle name="Good 3 2" xfId="571"/>
    <cellStyle name="Good 4" xfId="416"/>
    <cellStyle name="Heading 1 2" xfId="100"/>
    <cellStyle name="Heading 1 2 2" xfId="464"/>
    <cellStyle name="Heading 1 2 3" xfId="274"/>
    <cellStyle name="Heading 1 3" xfId="101"/>
    <cellStyle name="Heading 1 3 2" xfId="465"/>
    <cellStyle name="Heading 1 3 3" xfId="273"/>
    <cellStyle name="Heading 1 4" xfId="572"/>
    <cellStyle name="Heading 2 2" xfId="102"/>
    <cellStyle name="Heading 2 2 2" xfId="466"/>
    <cellStyle name="Heading 2 2 3" xfId="276"/>
    <cellStyle name="Heading 2 3" xfId="103"/>
    <cellStyle name="Heading 2 3 2" xfId="467"/>
    <cellStyle name="Heading 2 3 3" xfId="275"/>
    <cellStyle name="Heading 2 4" xfId="573"/>
    <cellStyle name="Heading 3 2" xfId="104"/>
    <cellStyle name="Heading 3 2 2" xfId="468"/>
    <cellStyle name="Heading 3 2 3" xfId="278"/>
    <cellStyle name="Heading 3 3" xfId="105"/>
    <cellStyle name="Heading 3 3 2" xfId="469"/>
    <cellStyle name="Heading 3 3 3" xfId="277"/>
    <cellStyle name="Heading 3 4" xfId="574"/>
    <cellStyle name="Heading 4 2" xfId="106"/>
    <cellStyle name="Heading 4 2 2" xfId="280"/>
    <cellStyle name="Heading 4 3" xfId="279"/>
    <cellStyle name="Heading 4 3 2" xfId="575"/>
    <cellStyle name="Hyperlink 2" xfId="107"/>
    <cellStyle name="Hyperlink 3" xfId="108"/>
    <cellStyle name="Hyperlink 3 2" xfId="396"/>
    <cellStyle name="Input 2" xfId="109"/>
    <cellStyle name="Input 2 2" xfId="282"/>
    <cellStyle name="Input 3" xfId="281"/>
    <cellStyle name="Input 3 2" xfId="576"/>
    <cellStyle name="input(0)" xfId="110"/>
    <cellStyle name="Input(2)" xfId="111"/>
    <cellStyle name="Labels" xfId="577"/>
    <cellStyle name="Linked Cell 2" xfId="112"/>
    <cellStyle name="Linked Cell 2 2" xfId="470"/>
    <cellStyle name="Linked Cell 2 3" xfId="284"/>
    <cellStyle name="Linked Cell 3" xfId="283"/>
    <cellStyle name="Linked Cell 3 2" xfId="578"/>
    <cellStyle name="Neutral 2" xfId="113"/>
    <cellStyle name="Neutral 2 2" xfId="471"/>
    <cellStyle name="Neutral 2 3" xfId="286"/>
    <cellStyle name="Neutral 3" xfId="285"/>
    <cellStyle name="Neutral 3 2" xfId="579"/>
    <cellStyle name="New_normal" xfId="114"/>
    <cellStyle name="Normal" xfId="0" builtinId="0"/>
    <cellStyle name="Normal - Style1" xfId="115"/>
    <cellStyle name="Normal - Style2" xfId="116"/>
    <cellStyle name="Normal - Style3" xfId="117"/>
    <cellStyle name="Normal - Style4" xfId="118"/>
    <cellStyle name="Normal - Style5" xfId="119"/>
    <cellStyle name="Normal 10" xfId="120"/>
    <cellStyle name="Normal 10 2" xfId="11"/>
    <cellStyle name="Normal 10 2 2" xfId="121"/>
    <cellStyle name="Normal 10 2 3" xfId="472"/>
    <cellStyle name="Normal 10 2 4" xfId="201"/>
    <cellStyle name="Normal 10 2 4 2" xfId="580"/>
    <cellStyle name="Normal 10 2 5" xfId="581"/>
    <cellStyle name="Normal 10 3" xfId="582"/>
    <cellStyle name="Normal 10_2112 DF Schedule" xfId="417"/>
    <cellStyle name="Normal 100" xfId="583"/>
    <cellStyle name="Normal 101" xfId="584"/>
    <cellStyle name="Normal 102" xfId="585"/>
    <cellStyle name="Normal 103" xfId="586"/>
    <cellStyle name="Normal 104" xfId="587"/>
    <cellStyle name="Normal 105" xfId="588"/>
    <cellStyle name="Normal 106" xfId="589"/>
    <cellStyle name="Normal 107" xfId="590"/>
    <cellStyle name="Normal 108" xfId="591"/>
    <cellStyle name="Normal 109" xfId="592"/>
    <cellStyle name="Normal 109 2" xfId="593"/>
    <cellStyle name="Normal 11" xfId="122"/>
    <cellStyle name="Normal 11 2" xfId="418"/>
    <cellStyle name="Normal 11 2 2" xfId="594"/>
    <cellStyle name="Normal 11 2 3" xfId="595"/>
    <cellStyle name="Normal 11 3" xfId="596"/>
    <cellStyle name="Normal 110" xfId="597"/>
    <cellStyle name="Normal 111" xfId="598"/>
    <cellStyle name="Normal 112" xfId="599"/>
    <cellStyle name="Normal 113" xfId="600"/>
    <cellStyle name="Normal 113 2" xfId="601"/>
    <cellStyle name="Normal 12" xfId="123"/>
    <cellStyle name="Normal 12 2" xfId="473"/>
    <cellStyle name="Normal 12 2 2" xfId="602"/>
    <cellStyle name="Normal 12 3" xfId="287"/>
    <cellStyle name="Normal 12 3 2" xfId="603"/>
    <cellStyle name="Normal 12 4" xfId="604"/>
    <cellStyle name="Normal 12 5" xfId="605"/>
    <cellStyle name="Normal 12 6" xfId="606"/>
    <cellStyle name="Normal 12_Sheet1" xfId="607"/>
    <cellStyle name="Normal 13" xfId="124"/>
    <cellStyle name="Normal 13 2" xfId="474"/>
    <cellStyle name="Normal 13 2 2" xfId="608"/>
    <cellStyle name="Normal 13 3" xfId="288"/>
    <cellStyle name="Normal 13 3 2" xfId="609"/>
    <cellStyle name="Normal 13 4" xfId="610"/>
    <cellStyle name="Normal 13 5" xfId="611"/>
    <cellStyle name="Normal 13 6" xfId="612"/>
    <cellStyle name="Normal 13_Sheet1" xfId="613"/>
    <cellStyle name="Normal 14" xfId="125"/>
    <cellStyle name="Normal 14 2" xfId="475"/>
    <cellStyle name="Normal 14 3" xfId="289"/>
    <cellStyle name="Normal 14 3 2" xfId="614"/>
    <cellStyle name="Normal 14 4" xfId="615"/>
    <cellStyle name="Normal 14 5" xfId="616"/>
    <cellStyle name="Normal 14_Sheet1" xfId="617"/>
    <cellStyle name="Normal 15" xfId="126"/>
    <cellStyle name="Normal 15 2" xfId="476"/>
    <cellStyle name="Normal 15 3" xfId="290"/>
    <cellStyle name="Normal 15 4" xfId="618"/>
    <cellStyle name="Normal 15 5" xfId="619"/>
    <cellStyle name="Normal 16" xfId="127"/>
    <cellStyle name="Normal 16 2" xfId="419"/>
    <cellStyle name="Normal 16 3" xfId="291"/>
    <cellStyle name="Normal 17" xfId="128"/>
    <cellStyle name="Normal 17 2" xfId="420"/>
    <cellStyle name="Normal 17 3" xfId="292"/>
    <cellStyle name="Normal 18" xfId="129"/>
    <cellStyle name="Normal 18 2" xfId="421"/>
    <cellStyle name="Normal 18 3" xfId="293"/>
    <cellStyle name="Normal 19" xfId="130"/>
    <cellStyle name="Normal 19 2" xfId="422"/>
    <cellStyle name="Normal 19 3" xfId="294"/>
    <cellStyle name="Normal 2" xfId="131"/>
    <cellStyle name="Normal 2 10" xfId="423"/>
    <cellStyle name="Normal 2 11" xfId="424"/>
    <cellStyle name="Normal 2 2" xfId="132"/>
    <cellStyle name="Normal 2 2 2" xfId="133"/>
    <cellStyle name="Normal 2 2 2 2" xfId="425"/>
    <cellStyle name="Normal 2 2 2_JE_IS11" xfId="620"/>
    <cellStyle name="Normal 2 2 3" xfId="134"/>
    <cellStyle name="Normal 2 2 4" xfId="202"/>
    <cellStyle name="Normal 2 2_4MthProj2" xfId="621"/>
    <cellStyle name="Normal 2 3" xfId="135"/>
    <cellStyle name="Normal 2 3 2" xfId="136"/>
    <cellStyle name="Normal 2 3 2 2" xfId="622"/>
    <cellStyle name="Normal 2 3 2 3" xfId="623"/>
    <cellStyle name="Normal 2 3 3" xfId="137"/>
    <cellStyle name="Normal 2 3 4" xfId="624"/>
    <cellStyle name="Normal 2 3_4MthProj2" xfId="625"/>
    <cellStyle name="Normal 2 4" xfId="138"/>
    <cellStyle name="Normal 2 4 2" xfId="626"/>
    <cellStyle name="Normal 2 4 3" xfId="627"/>
    <cellStyle name="Normal 2 5" xfId="139"/>
    <cellStyle name="Normal 2 6" xfId="426"/>
    <cellStyle name="Normal 2 7" xfId="427"/>
    <cellStyle name="Normal 2 8" xfId="428"/>
    <cellStyle name="Normal 2 9" xfId="429"/>
    <cellStyle name="Normal 2_2009 Regulated Price Out" xfId="430"/>
    <cellStyle name="Normal 20" xfId="140"/>
    <cellStyle name="Normal 20 2" xfId="295"/>
    <cellStyle name="Normal 20 2 2" xfId="628"/>
    <cellStyle name="Normal 20 3" xfId="629"/>
    <cellStyle name="Normal 20 4" xfId="630"/>
    <cellStyle name="Normal 20 5" xfId="631"/>
    <cellStyle name="Normal 20 6" xfId="632"/>
    <cellStyle name="Normal 21" xfId="141"/>
    <cellStyle name="Normal 21 2" xfId="296"/>
    <cellStyle name="Normal 21 2 2" xfId="633"/>
    <cellStyle name="Normal 21 3" xfId="634"/>
    <cellStyle name="Normal 21 4" xfId="635"/>
    <cellStyle name="Normal 22" xfId="142"/>
    <cellStyle name="Normal 22 2" xfId="297"/>
    <cellStyle name="Normal 22 2 2" xfId="636"/>
    <cellStyle name="Normal 22 3" xfId="637"/>
    <cellStyle name="Normal 22 4" xfId="638"/>
    <cellStyle name="Normal 23" xfId="143"/>
    <cellStyle name="Normal 23 2" xfId="298"/>
    <cellStyle name="Normal 23 2 2" xfId="639"/>
    <cellStyle name="Normal 23 3" xfId="640"/>
    <cellStyle name="Normal 24" xfId="144"/>
    <cellStyle name="Normal 24 2" xfId="299"/>
    <cellStyle name="Normal 25" xfId="145"/>
    <cellStyle name="Normal 25 2" xfId="300"/>
    <cellStyle name="Normal 25 2 2" xfId="641"/>
    <cellStyle name="Normal 26" xfId="146"/>
    <cellStyle name="Normal 26 2" xfId="301"/>
    <cellStyle name="Normal 26 3" xfId="642"/>
    <cellStyle name="Normal 26 4" xfId="643"/>
    <cellStyle name="Normal 27" xfId="147"/>
    <cellStyle name="Normal 27 2" xfId="302"/>
    <cellStyle name="Normal 27 3" xfId="644"/>
    <cellStyle name="Normal 27 4" xfId="645"/>
    <cellStyle name="Normal 27 5" xfId="646"/>
    <cellStyle name="Normal 28" xfId="148"/>
    <cellStyle name="Normal 28 2" xfId="303"/>
    <cellStyle name="Normal 28 3" xfId="647"/>
    <cellStyle name="Normal 29" xfId="149"/>
    <cellStyle name="Normal 29 2" xfId="304"/>
    <cellStyle name="Normal 29 2 2" xfId="648"/>
    <cellStyle name="Normal 3" xfId="150"/>
    <cellStyle name="Normal 3 2" xfId="151"/>
    <cellStyle name="Normal 3 2 2" xfId="431"/>
    <cellStyle name="Normal 3 3" xfId="305"/>
    <cellStyle name="Normal 3 3 2" xfId="649"/>
    <cellStyle name="Normal 3 3 3" xfId="650"/>
    <cellStyle name="Normal 3 3 4" xfId="651"/>
    <cellStyle name="Normal 3 4" xfId="390"/>
    <cellStyle name="Normal 3_2012 PR" xfId="306"/>
    <cellStyle name="Normal 30" xfId="307"/>
    <cellStyle name="Normal 30 2" xfId="652"/>
    <cellStyle name="Normal 31" xfId="308"/>
    <cellStyle name="Normal 31 2" xfId="653"/>
    <cellStyle name="Normal 31 3" xfId="654"/>
    <cellStyle name="Normal 32" xfId="309"/>
    <cellStyle name="Normal 32 2" xfId="655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152"/>
    <cellStyle name="Normal 4 2" xfId="317"/>
    <cellStyle name="Normal 4 2 2" xfId="656"/>
    <cellStyle name="Normal 4 2 3" xfId="657"/>
    <cellStyle name="Normal 4 2 4" xfId="658"/>
    <cellStyle name="Normal 4 3" xfId="432"/>
    <cellStyle name="Normal 4 3 2" xfId="659"/>
    <cellStyle name="Normal 4 3 3" xfId="660"/>
    <cellStyle name="Normal 4 4" xfId="203"/>
    <cellStyle name="Normal 4 4 2" xfId="661"/>
    <cellStyle name="Normal 4 5" xfId="662"/>
    <cellStyle name="Normal 4_Consolidated IS" xfId="663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53"/>
    <cellStyle name="Normal 5 2" xfId="154"/>
    <cellStyle name="Normal 5 2 2" xfId="664"/>
    <cellStyle name="Normal 5 3" xfId="204"/>
    <cellStyle name="Normal 5 3 2" xfId="665"/>
    <cellStyle name="Normal 5 4" xfId="666"/>
    <cellStyle name="Normal 5 5" xfId="667"/>
    <cellStyle name="Normal 5_2112 DF Schedule" xfId="433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155"/>
    <cellStyle name="Normal 6 2" xfId="338"/>
    <cellStyle name="Normal 6 2 2" xfId="668"/>
    <cellStyle name="Normal 6 2 3" xfId="669"/>
    <cellStyle name="Normal 6 3" xfId="205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156"/>
    <cellStyle name="Normal 7 2" xfId="434"/>
    <cellStyle name="Normal 7 2 2" xfId="670"/>
    <cellStyle name="Normal 7 2 2 2" xfId="671"/>
    <cellStyle name="Normal 7 2 3" xfId="672"/>
    <cellStyle name="Normal 7 3" xfId="673"/>
    <cellStyle name="Normal 7 3 2" xfId="674"/>
    <cellStyle name="Normal 7 4" xfId="675"/>
    <cellStyle name="Normal 70" xfId="349"/>
    <cellStyle name="Normal 71" xfId="350"/>
    <cellStyle name="Normal 72" xfId="351"/>
    <cellStyle name="Normal 73" xfId="352"/>
    <cellStyle name="Normal 74" xfId="353"/>
    <cellStyle name="Normal 75" xfId="354"/>
    <cellStyle name="Normal 76" xfId="355"/>
    <cellStyle name="Normal 77" xfId="356"/>
    <cellStyle name="Normal 78" xfId="357"/>
    <cellStyle name="Normal 79" xfId="358"/>
    <cellStyle name="Normal 8" xfId="157"/>
    <cellStyle name="Normal 8 2" xfId="435"/>
    <cellStyle name="Normal 8 2 2" xfId="676"/>
    <cellStyle name="Normal 8 2 3" xfId="677"/>
    <cellStyle name="Normal 8 3" xfId="678"/>
    <cellStyle name="Normal 8 4" xfId="679"/>
    <cellStyle name="Normal 80" xfId="359"/>
    <cellStyle name="Normal 81" xfId="360"/>
    <cellStyle name="Normal 82" xfId="361"/>
    <cellStyle name="Normal 83" xfId="362"/>
    <cellStyle name="Normal 84" xfId="215"/>
    <cellStyle name="Normal 84 2" xfId="188"/>
    <cellStyle name="Normal 84 3" xfId="477"/>
    <cellStyle name="Normal 85" xfId="369"/>
    <cellStyle name="Normal 85 2" xfId="478"/>
    <cellStyle name="Normal 85 3" xfId="680"/>
    <cellStyle name="Normal 86" xfId="381"/>
    <cellStyle name="Normal 87" xfId="382"/>
    <cellStyle name="Normal 88" xfId="383"/>
    <cellStyle name="Normal 89" xfId="384"/>
    <cellStyle name="Normal 9" xfId="158"/>
    <cellStyle name="Normal 9 2" xfId="436"/>
    <cellStyle name="Normal 9 2 2" xfId="681"/>
    <cellStyle name="Normal 9 2 3" xfId="682"/>
    <cellStyle name="Normal 9 3" xfId="683"/>
    <cellStyle name="Normal 90" xfId="189"/>
    <cellStyle name="Normal 91" xfId="388"/>
    <cellStyle name="Normal 92" xfId="439"/>
    <cellStyle name="Normal 92 2" xfId="685"/>
    <cellStyle name="Normal 92 3" xfId="684"/>
    <cellStyle name="Normal 93" xfId="484"/>
    <cellStyle name="Normal 93 2" xfId="687"/>
    <cellStyle name="Normal 93 3" xfId="686"/>
    <cellStyle name="Normal 94" xfId="485"/>
    <cellStyle name="Normal 95" xfId="688"/>
    <cellStyle name="Normal 96" xfId="689"/>
    <cellStyle name="Normal 97" xfId="690"/>
    <cellStyle name="Normal 98" xfId="691"/>
    <cellStyle name="Normal 99" xfId="692"/>
    <cellStyle name="Normal_Price out 2" xfId="9"/>
    <cellStyle name="Normal_Proforma Yakima UTC-Nicki 2009" xfId="710"/>
    <cellStyle name="Note 2" xfId="159"/>
    <cellStyle name="Note 2 2" xfId="479"/>
    <cellStyle name="Note 2 3" xfId="364"/>
    <cellStyle name="Note 3" xfId="160"/>
    <cellStyle name="Note 3 2" xfId="480"/>
    <cellStyle name="Note 3 3" xfId="363"/>
    <cellStyle name="Note 4" xfId="693"/>
    <cellStyle name="Notes" xfId="161"/>
    <cellStyle name="Output 2" xfId="162"/>
    <cellStyle name="Output 2 2" xfId="366"/>
    <cellStyle name="Output 3" xfId="365"/>
    <cellStyle name="Output 3 2" xfId="694"/>
    <cellStyle name="Percent" xfId="3" builtinId="5"/>
    <cellStyle name="Percent 10" xfId="695"/>
    <cellStyle name="Percent 2" xfId="163"/>
    <cellStyle name="Percent 2 2" xfId="164"/>
    <cellStyle name="Percent 2 2 2" xfId="368"/>
    <cellStyle name="Percent 2 2 3" xfId="206"/>
    <cellStyle name="Percent 2 3" xfId="165"/>
    <cellStyle name="Percent 2 4" xfId="397"/>
    <cellStyle name="Percent 2 6" xfId="207"/>
    <cellStyle name="Percent 3" xfId="166"/>
    <cellStyle name="Percent 3 2" xfId="208"/>
    <cellStyle name="Percent 3 2 2" xfId="696"/>
    <cellStyle name="Percent 3 3" xfId="697"/>
    <cellStyle name="Percent 4" xfId="8"/>
    <cellStyle name="Percent 4 2" xfId="6"/>
    <cellStyle name="Percent 4 3" xfId="437"/>
    <cellStyle name="Percent 4 4" xfId="698"/>
    <cellStyle name="Percent 5" xfId="167"/>
    <cellStyle name="Percent 5 2" xfId="370"/>
    <cellStyle name="Percent 5 2 2" xfId="699"/>
    <cellStyle name="Percent 5 3" xfId="700"/>
    <cellStyle name="Percent 5 4" xfId="701"/>
    <cellStyle name="Percent 6" xfId="371"/>
    <cellStyle name="Percent 6 2" xfId="702"/>
    <cellStyle name="Percent 7" xfId="7"/>
    <cellStyle name="Percent 7 2" xfId="385"/>
    <cellStyle name="Percent 7 3" xfId="481"/>
    <cellStyle name="Percent 7 4" xfId="367"/>
    <cellStyle name="Percent 8" xfId="438"/>
    <cellStyle name="Percent 9" xfId="703"/>
    <cellStyle name="Percent(1)" xfId="168"/>
    <cellStyle name="Percent(2)" xfId="169"/>
    <cellStyle name="Posting_Period" xfId="704"/>
    <cellStyle name="PRM" xfId="170"/>
    <cellStyle name="PRM 2" xfId="372"/>
    <cellStyle name="PRM 3" xfId="373"/>
    <cellStyle name="PRM_2011-11" xfId="374"/>
    <cellStyle name="PS_Comma" xfId="209"/>
    <cellStyle name="PSChar" xfId="171"/>
    <cellStyle name="PSDate" xfId="210"/>
    <cellStyle name="PSDec" xfId="211"/>
    <cellStyle name="PSHeading" xfId="172"/>
    <cellStyle name="PSInt" xfId="212"/>
    <cellStyle name="PSSpacer" xfId="213"/>
    <cellStyle name="STYL0 - Style1" xfId="173"/>
    <cellStyle name="STYL1 - Style2" xfId="174"/>
    <cellStyle name="STYL2 - Style3" xfId="175"/>
    <cellStyle name="STYL3 - Style4" xfId="176"/>
    <cellStyle name="STYL4 - Style5" xfId="177"/>
    <cellStyle name="STYL5 - Style6" xfId="178"/>
    <cellStyle name="STYL6 - Style7" xfId="179"/>
    <cellStyle name="STYL7 - Style8" xfId="180"/>
    <cellStyle name="Style 1" xfId="181"/>
    <cellStyle name="Style 1 2" xfId="375"/>
    <cellStyle name="STYLE1" xfId="182"/>
    <cellStyle name="STYLE1 2" xfId="705"/>
    <cellStyle name="sub heading" xfId="183"/>
    <cellStyle name="Tax_Rate" xfId="706"/>
    <cellStyle name="title 2" xfId="184"/>
    <cellStyle name="Title 2 2" xfId="377"/>
    <cellStyle name="Title 3" xfId="376"/>
    <cellStyle name="Title 3 2" xfId="707"/>
    <cellStyle name="Total 2" xfId="185"/>
    <cellStyle name="Total 2 2" xfId="482"/>
    <cellStyle name="Total 2 3" xfId="379"/>
    <cellStyle name="Total 3" xfId="186"/>
    <cellStyle name="Total 3 2" xfId="483"/>
    <cellStyle name="Total 3 3" xfId="378"/>
    <cellStyle name="Total 4" xfId="708"/>
    <cellStyle name="Transcript_Date" xfId="709"/>
    <cellStyle name="Warning Text 2" xfId="187"/>
    <cellStyle name="Warning Text 3" xfId="380"/>
    <cellStyle name="WM_STANDARD" xfId="21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Western%20Region/WUTC/WUTC-Mason%202149/Rate%20Filing/General%20Rate%20Filing%2011-13-2012/Audit/FINAL/Staff%20final%20Mason%20Proforma%20Linked%203-13-2013%20%20-%20Company%20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3080</v>
          </cell>
        </row>
      </sheetData>
      <sheetData sheetId="4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Legal Exp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2012 Capital Structure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1753938.3114074212</v>
          </cell>
        </row>
        <row r="214">
          <cell r="L214">
            <v>852492.14253095828</v>
          </cell>
        </row>
        <row r="278">
          <cell r="L278">
            <v>837580.65530511085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J15">
            <v>2138.64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L23">
            <v>2329.3388396454475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69"/>
  <sheetViews>
    <sheetView tabSelected="1" view="pageBreakPreview" zoomScale="85" zoomScaleNormal="90" zoomScaleSheetLayoutView="85" zoomScalePageLayoutView="60" workbookViewId="0"/>
  </sheetViews>
  <sheetFormatPr defaultColWidth="9.140625" defaultRowHeight="15"/>
  <cols>
    <col min="1" max="1" width="42.5703125" style="11" customWidth="1"/>
    <col min="2" max="2" width="16.7109375" style="11" customWidth="1"/>
    <col min="3" max="3" width="15" style="11" customWidth="1"/>
    <col min="4" max="4" width="16.5703125" style="11" customWidth="1"/>
    <col min="5" max="5" width="9.140625" style="11"/>
    <col min="6" max="6" width="12.42578125" style="11" customWidth="1"/>
    <col min="7" max="7" width="10.7109375" style="11" customWidth="1"/>
    <col min="8" max="16384" width="9.140625" style="11"/>
  </cols>
  <sheetData>
    <row r="1" spans="1:8">
      <c r="A1" s="15" t="s">
        <v>215</v>
      </c>
    </row>
    <row r="2" spans="1:8">
      <c r="A2" s="15" t="s">
        <v>216</v>
      </c>
    </row>
    <row r="4" spans="1:8">
      <c r="A4" s="173" t="s">
        <v>40</v>
      </c>
      <c r="B4" s="173"/>
      <c r="C4" s="173"/>
      <c r="D4" s="173"/>
      <c r="E4" s="173"/>
      <c r="F4" s="173"/>
      <c r="G4" s="173"/>
      <c r="H4" s="173"/>
    </row>
    <row r="5" spans="1:8">
      <c r="A5" s="12" t="s">
        <v>41</v>
      </c>
      <c r="B5" s="1" t="s">
        <v>42</v>
      </c>
      <c r="C5" s="1" t="s">
        <v>43</v>
      </c>
      <c r="D5" s="1" t="s">
        <v>44</v>
      </c>
      <c r="E5" s="2" t="s">
        <v>45</v>
      </c>
      <c r="F5" s="2" t="s">
        <v>46</v>
      </c>
      <c r="G5" s="2" t="s">
        <v>47</v>
      </c>
      <c r="H5" s="1" t="s">
        <v>48</v>
      </c>
    </row>
    <row r="6" spans="1:8">
      <c r="A6" s="12" t="s">
        <v>49</v>
      </c>
      <c r="B6" s="13">
        <f>52*5/12</f>
        <v>21.666666666666668</v>
      </c>
      <c r="C6" s="4">
        <f>$B$6*2</f>
        <v>43.333333333333336</v>
      </c>
      <c r="D6" s="4">
        <f>$B$6*3</f>
        <v>65</v>
      </c>
      <c r="E6" s="4">
        <f>$B$6*4</f>
        <v>86.666666666666671</v>
      </c>
      <c r="F6" s="4">
        <f>$B$6*5</f>
        <v>108.33333333333334</v>
      </c>
      <c r="G6" s="4">
        <f>$B$6*6</f>
        <v>130</v>
      </c>
      <c r="H6" s="4">
        <f>$B$6*7</f>
        <v>151.66666666666669</v>
      </c>
    </row>
    <row r="7" spans="1:8">
      <c r="A7" s="12" t="s">
        <v>50</v>
      </c>
      <c r="B7" s="13">
        <f>52*4/12</f>
        <v>17.333333333333332</v>
      </c>
      <c r="C7" s="4">
        <f>$B$7*2</f>
        <v>34.666666666666664</v>
      </c>
      <c r="D7" s="4">
        <f>$B$7*3</f>
        <v>52</v>
      </c>
      <c r="E7" s="4">
        <f>$B$7*4</f>
        <v>69.333333333333329</v>
      </c>
      <c r="F7" s="4">
        <f>$B$7*5</f>
        <v>86.666666666666657</v>
      </c>
      <c r="G7" s="4">
        <f>$B$7*6</f>
        <v>104</v>
      </c>
      <c r="H7" s="4">
        <f>$B$7*7</f>
        <v>121.33333333333333</v>
      </c>
    </row>
    <row r="8" spans="1:8">
      <c r="A8" s="12" t="s">
        <v>51</v>
      </c>
      <c r="B8" s="13">
        <f>52*3/12</f>
        <v>13</v>
      </c>
      <c r="C8" s="4">
        <f>$B$8*2</f>
        <v>26</v>
      </c>
      <c r="D8" s="4">
        <f>$B$8*3</f>
        <v>39</v>
      </c>
      <c r="E8" s="4">
        <f>$B$8*4</f>
        <v>52</v>
      </c>
      <c r="F8" s="4">
        <f>$B$8*5</f>
        <v>65</v>
      </c>
      <c r="G8" s="4">
        <f>$B$8*6</f>
        <v>78</v>
      </c>
      <c r="H8" s="4">
        <f>$B$8*7</f>
        <v>91</v>
      </c>
    </row>
    <row r="9" spans="1:8">
      <c r="A9" s="12" t="s">
        <v>52</v>
      </c>
      <c r="B9" s="13">
        <f>52*2/12</f>
        <v>8.6666666666666661</v>
      </c>
      <c r="C9" s="14">
        <f>$B$9*2</f>
        <v>17.333333333333332</v>
      </c>
      <c r="D9" s="14">
        <f>$B$9*3</f>
        <v>26</v>
      </c>
      <c r="E9" s="14">
        <f>$B$9*4</f>
        <v>34.666666666666664</v>
      </c>
      <c r="F9" s="14">
        <f>$B$9*5</f>
        <v>43.333333333333329</v>
      </c>
      <c r="G9" s="14">
        <f>$B$9*6</f>
        <v>52</v>
      </c>
      <c r="H9" s="14">
        <f>$B$9*7</f>
        <v>60.666666666666664</v>
      </c>
    </row>
    <row r="10" spans="1:8">
      <c r="A10" s="12" t="s">
        <v>53</v>
      </c>
      <c r="B10" s="13">
        <f>52/12</f>
        <v>4.333333333333333</v>
      </c>
      <c r="C10" s="14">
        <f>$B$10*2</f>
        <v>8.6666666666666661</v>
      </c>
      <c r="D10" s="14">
        <f>$B$10*3</f>
        <v>13</v>
      </c>
      <c r="E10" s="14">
        <f>$B$10*4</f>
        <v>17.333333333333332</v>
      </c>
      <c r="F10" s="14">
        <f>$B$10*5</f>
        <v>21.666666666666664</v>
      </c>
      <c r="G10" s="14">
        <f>$B$10*6</f>
        <v>26</v>
      </c>
      <c r="H10" s="14">
        <f>$B$10*7</f>
        <v>30.333333333333332</v>
      </c>
    </row>
    <row r="11" spans="1:8">
      <c r="A11" s="12" t="s">
        <v>54</v>
      </c>
      <c r="B11" s="13">
        <f>26/12</f>
        <v>2.1666666666666665</v>
      </c>
      <c r="C11" s="14">
        <f>$B$11*2</f>
        <v>4.333333333333333</v>
      </c>
      <c r="D11" s="14">
        <f>$B$11*3</f>
        <v>6.5</v>
      </c>
      <c r="E11" s="14">
        <f>$B$11*4</f>
        <v>8.6666666666666661</v>
      </c>
      <c r="F11" s="14">
        <f>$B$11*5</f>
        <v>10.833333333333332</v>
      </c>
      <c r="G11" s="14">
        <f>$B$11*6</f>
        <v>13</v>
      </c>
      <c r="H11" s="14">
        <f>$B$11*7</f>
        <v>15.166666666666666</v>
      </c>
    </row>
    <row r="12" spans="1:8">
      <c r="A12" s="12" t="s">
        <v>55</v>
      </c>
      <c r="B12" s="13">
        <f>12/12</f>
        <v>1</v>
      </c>
      <c r="C12" s="14">
        <f>$B$12*2</f>
        <v>2</v>
      </c>
      <c r="D12" s="14">
        <f>$B$12*3</f>
        <v>3</v>
      </c>
      <c r="E12" s="14">
        <f>$B$12*4</f>
        <v>4</v>
      </c>
      <c r="F12" s="14">
        <f>$B$12*5</f>
        <v>5</v>
      </c>
      <c r="G12" s="14">
        <f>$B$12*6</f>
        <v>6</v>
      </c>
      <c r="H12" s="14">
        <f>$B$12*7</f>
        <v>7</v>
      </c>
    </row>
    <row r="13" spans="1:8">
      <c r="A13" s="12"/>
      <c r="B13" s="13"/>
      <c r="C13" s="14"/>
      <c r="D13" s="14"/>
      <c r="E13" s="14"/>
      <c r="F13" s="14"/>
      <c r="G13" s="14"/>
      <c r="H13" s="14"/>
    </row>
    <row r="14" spans="1:8">
      <c r="A14" s="173" t="s">
        <v>56</v>
      </c>
      <c r="B14" s="173"/>
      <c r="C14" s="14"/>
      <c r="D14" s="14"/>
      <c r="E14" s="14"/>
      <c r="F14" s="14"/>
      <c r="G14" s="14"/>
      <c r="H14" s="14"/>
    </row>
    <row r="15" spans="1:8">
      <c r="A15" s="15" t="s">
        <v>57</v>
      </c>
      <c r="B15" s="16" t="s">
        <v>58</v>
      </c>
      <c r="C15" s="14"/>
      <c r="D15" s="14"/>
      <c r="E15" s="14"/>
      <c r="F15" s="14"/>
      <c r="G15" s="14"/>
      <c r="H15" s="14"/>
    </row>
    <row r="16" spans="1:8">
      <c r="A16" s="5" t="s">
        <v>59</v>
      </c>
      <c r="B16" s="17">
        <v>20</v>
      </c>
      <c r="C16" s="14"/>
      <c r="D16" s="14"/>
      <c r="E16" s="14"/>
      <c r="F16" s="14"/>
      <c r="G16" s="14"/>
      <c r="H16" s="14"/>
    </row>
    <row r="17" spans="1:8">
      <c r="A17" s="5" t="s">
        <v>60</v>
      </c>
      <c r="B17" s="17">
        <v>34</v>
      </c>
      <c r="C17" s="14"/>
      <c r="D17" s="14"/>
      <c r="E17" s="14"/>
      <c r="F17" s="14"/>
      <c r="G17" s="14"/>
      <c r="H17" s="14"/>
    </row>
    <row r="18" spans="1:8">
      <c r="A18" s="5" t="s">
        <v>61</v>
      </c>
      <c r="B18" s="17">
        <v>51</v>
      </c>
      <c r="C18" s="14"/>
      <c r="D18" s="14"/>
      <c r="E18" s="14"/>
      <c r="F18" s="14"/>
      <c r="G18" s="14"/>
      <c r="H18" s="14"/>
    </row>
    <row r="19" spans="1:8">
      <c r="A19" s="5" t="s">
        <v>62</v>
      </c>
      <c r="B19" s="17">
        <v>77</v>
      </c>
      <c r="C19" s="14"/>
      <c r="D19" s="14"/>
      <c r="E19" s="14"/>
      <c r="F19" s="12" t="s">
        <v>63</v>
      </c>
      <c r="G19" s="17">
        <v>2000</v>
      </c>
      <c r="H19" s="14"/>
    </row>
    <row r="20" spans="1:8">
      <c r="A20" s="5" t="s">
        <v>64</v>
      </c>
      <c r="B20" s="17">
        <v>97</v>
      </c>
      <c r="C20" s="14"/>
      <c r="D20" s="14"/>
      <c r="E20" s="14"/>
      <c r="F20" s="12" t="s">
        <v>65</v>
      </c>
      <c r="G20" s="80" t="s">
        <v>66</v>
      </c>
      <c r="H20" s="14"/>
    </row>
    <row r="21" spans="1:8">
      <c r="A21" s="5" t="s">
        <v>67</v>
      </c>
      <c r="B21" s="17">
        <v>117</v>
      </c>
      <c r="C21" s="14"/>
      <c r="D21" s="14"/>
      <c r="E21" s="14"/>
      <c r="F21" s="12"/>
      <c r="G21" s="12"/>
      <c r="H21" s="14"/>
    </row>
    <row r="22" spans="1:8">
      <c r="A22" s="5" t="s">
        <v>68</v>
      </c>
      <c r="B22" s="17">
        <v>157</v>
      </c>
      <c r="C22" s="14"/>
      <c r="D22" s="14"/>
      <c r="E22" s="14"/>
      <c r="F22" s="106" t="s">
        <v>190</v>
      </c>
      <c r="G22" s="107">
        <v>12</v>
      </c>
      <c r="H22" s="14"/>
    </row>
    <row r="23" spans="1:8">
      <c r="A23" s="5" t="s">
        <v>174</v>
      </c>
      <c r="B23" s="17">
        <v>37</v>
      </c>
      <c r="C23" s="14" t="s">
        <v>75</v>
      </c>
      <c r="D23" s="14"/>
      <c r="E23" s="14"/>
      <c r="F23" s="18"/>
      <c r="G23" s="6"/>
      <c r="H23" s="14"/>
    </row>
    <row r="24" spans="1:8">
      <c r="A24" s="5" t="s">
        <v>173</v>
      </c>
      <c r="B24" s="113">
        <v>48</v>
      </c>
      <c r="C24" s="103" t="s">
        <v>194</v>
      </c>
      <c r="D24" s="103"/>
      <c r="E24" s="14"/>
      <c r="F24" s="18"/>
      <c r="G24" s="6"/>
      <c r="H24" s="14"/>
    </row>
    <row r="25" spans="1:8">
      <c r="A25" s="5" t="s">
        <v>192</v>
      </c>
      <c r="B25" s="17">
        <v>51</v>
      </c>
      <c r="C25" s="14" t="s">
        <v>195</v>
      </c>
      <c r="D25" s="14"/>
      <c r="E25" s="14"/>
      <c r="F25" s="14"/>
      <c r="G25" s="14"/>
      <c r="H25" s="14"/>
    </row>
    <row r="26" spans="1:8">
      <c r="A26" s="5" t="s">
        <v>193</v>
      </c>
      <c r="B26" s="17">
        <v>77</v>
      </c>
      <c r="C26" s="14" t="s">
        <v>196</v>
      </c>
      <c r="D26" s="14"/>
      <c r="E26" s="14"/>
      <c r="F26" s="14"/>
      <c r="G26" s="14"/>
      <c r="H26" s="14"/>
    </row>
    <row r="27" spans="1:8">
      <c r="A27" s="5" t="s">
        <v>69</v>
      </c>
      <c r="B27" s="17">
        <v>34</v>
      </c>
      <c r="C27" s="14"/>
      <c r="D27" s="14"/>
      <c r="E27" s="14"/>
      <c r="F27" s="14"/>
      <c r="G27" s="14"/>
      <c r="H27" s="14"/>
    </row>
    <row r="28" spans="1:8">
      <c r="A28" s="5" t="s">
        <v>70</v>
      </c>
      <c r="B28" s="17">
        <v>34</v>
      </c>
      <c r="C28" s="14"/>
      <c r="D28" s="14"/>
      <c r="E28" s="14"/>
      <c r="F28" s="14"/>
      <c r="G28" s="14"/>
      <c r="H28" s="14"/>
    </row>
    <row r="29" spans="1:8">
      <c r="A29" s="15" t="s">
        <v>71</v>
      </c>
      <c r="B29" s="17"/>
      <c r="C29" s="14"/>
      <c r="D29" s="14"/>
      <c r="E29" s="14"/>
      <c r="F29" s="14"/>
      <c r="G29" s="14"/>
      <c r="H29" s="14"/>
    </row>
    <row r="30" spans="1:8">
      <c r="A30" s="5" t="s">
        <v>72</v>
      </c>
      <c r="B30" s="17">
        <v>29</v>
      </c>
      <c r="C30" s="14"/>
      <c r="D30" s="14"/>
      <c r="E30" s="14"/>
      <c r="F30" s="14"/>
      <c r="G30" s="14"/>
      <c r="H30" s="14"/>
    </row>
    <row r="31" spans="1:8">
      <c r="A31" s="5" t="s">
        <v>73</v>
      </c>
      <c r="B31" s="17">
        <v>175</v>
      </c>
      <c r="C31" s="14"/>
      <c r="D31" s="14"/>
      <c r="E31" s="14"/>
      <c r="F31" s="14"/>
      <c r="G31" s="14"/>
      <c r="H31" s="14"/>
    </row>
    <row r="32" spans="1:8">
      <c r="A32" s="5" t="s">
        <v>74</v>
      </c>
      <c r="B32" s="17">
        <v>250</v>
      </c>
      <c r="C32" s="14"/>
      <c r="D32" s="14"/>
      <c r="E32" s="14"/>
      <c r="F32" s="14"/>
      <c r="G32" s="14"/>
      <c r="H32" s="14"/>
    </row>
    <row r="33" spans="1:8">
      <c r="A33" s="5" t="s">
        <v>76</v>
      </c>
      <c r="B33" s="17">
        <v>324</v>
      </c>
      <c r="C33" s="14"/>
      <c r="D33" s="14"/>
      <c r="E33" s="14"/>
      <c r="F33" s="14"/>
      <c r="G33" s="14"/>
      <c r="H33" s="14"/>
    </row>
    <row r="34" spans="1:8">
      <c r="A34" s="5" t="s">
        <v>77</v>
      </c>
      <c r="B34" s="17">
        <v>473</v>
      </c>
      <c r="C34" s="14"/>
      <c r="D34" s="14"/>
      <c r="E34" s="14"/>
      <c r="F34" s="14"/>
      <c r="G34" s="14"/>
      <c r="H34" s="14"/>
    </row>
    <row r="35" spans="1:8">
      <c r="A35" s="5" t="s">
        <v>78</v>
      </c>
      <c r="B35" s="17">
        <v>613</v>
      </c>
      <c r="C35" s="14"/>
      <c r="D35" s="14"/>
      <c r="E35" s="14"/>
      <c r="F35" s="14"/>
      <c r="G35" s="14"/>
      <c r="H35" s="14"/>
    </row>
    <row r="36" spans="1:8">
      <c r="A36" s="5" t="s">
        <v>79</v>
      </c>
      <c r="B36" s="17">
        <v>840</v>
      </c>
      <c r="C36" s="14"/>
      <c r="D36" s="14"/>
      <c r="E36" s="14"/>
      <c r="F36" s="14"/>
      <c r="G36" s="14"/>
      <c r="H36" s="14"/>
    </row>
    <row r="37" spans="1:8">
      <c r="A37" s="5" t="s">
        <v>80</v>
      </c>
      <c r="B37" s="17">
        <v>980</v>
      </c>
      <c r="C37" s="14"/>
      <c r="D37" s="14"/>
      <c r="E37" s="14"/>
      <c r="F37" s="14"/>
      <c r="G37" s="14"/>
      <c r="H37" s="14"/>
    </row>
    <row r="38" spans="1:8">
      <c r="A38" s="5" t="s">
        <v>81</v>
      </c>
      <c r="B38" s="17">
        <v>482</v>
      </c>
      <c r="C38" s="14" t="s">
        <v>75</v>
      </c>
      <c r="D38" s="14"/>
      <c r="E38" s="14"/>
      <c r="F38" s="14"/>
      <c r="G38" s="14"/>
      <c r="H38" s="14"/>
    </row>
    <row r="39" spans="1:8">
      <c r="A39" s="5" t="s">
        <v>82</v>
      </c>
      <c r="B39" s="17">
        <v>689</v>
      </c>
      <c r="C39" s="14" t="s">
        <v>75</v>
      </c>
      <c r="D39" s="14"/>
      <c r="E39" s="14"/>
      <c r="F39" s="14"/>
      <c r="G39" s="14"/>
      <c r="H39" s="14"/>
    </row>
    <row r="40" spans="1:8">
      <c r="A40" s="5" t="s">
        <v>83</v>
      </c>
      <c r="B40" s="17">
        <v>892</v>
      </c>
      <c r="C40" s="14" t="s">
        <v>75</v>
      </c>
      <c r="D40" s="14"/>
      <c r="E40" s="14"/>
      <c r="F40" s="14"/>
      <c r="G40" s="14"/>
      <c r="H40" s="14"/>
    </row>
    <row r="41" spans="1:8">
      <c r="A41" s="5" t="s">
        <v>84</v>
      </c>
      <c r="B41" s="17">
        <v>1301</v>
      </c>
      <c r="C41" s="14"/>
      <c r="D41" s="14"/>
      <c r="E41" s="14"/>
      <c r="F41" s="14"/>
      <c r="G41" s="14"/>
      <c r="H41" s="14"/>
    </row>
    <row r="42" spans="1:8">
      <c r="A42" s="5" t="s">
        <v>85</v>
      </c>
      <c r="B42" s="17">
        <v>1686</v>
      </c>
      <c r="C42" s="14"/>
      <c r="D42" s="14"/>
      <c r="E42" s="14"/>
      <c r="F42" s="14"/>
      <c r="G42" s="14"/>
      <c r="H42" s="14"/>
    </row>
    <row r="43" spans="1:8">
      <c r="A43" s="5" t="s">
        <v>86</v>
      </c>
      <c r="B43" s="17">
        <v>2046</v>
      </c>
      <c r="C43" s="14"/>
      <c r="D43" s="14"/>
      <c r="E43" s="14"/>
      <c r="F43" s="14"/>
      <c r="G43" s="14"/>
      <c r="H43" s="14"/>
    </row>
    <row r="44" spans="1:8">
      <c r="A44" s="5" t="s">
        <v>87</v>
      </c>
      <c r="B44" s="17">
        <v>2310</v>
      </c>
      <c r="C44" s="14"/>
      <c r="D44" s="14"/>
      <c r="E44" s="14"/>
      <c r="F44" s="14"/>
      <c r="G44" s="14"/>
      <c r="H44" s="14"/>
    </row>
    <row r="45" spans="1:8">
      <c r="A45" s="5" t="s">
        <v>88</v>
      </c>
      <c r="B45" s="17">
        <v>2800</v>
      </c>
      <c r="C45" s="14" t="s">
        <v>75</v>
      </c>
      <c r="D45" s="14"/>
      <c r="E45" s="14"/>
      <c r="F45" s="14"/>
      <c r="G45" s="14"/>
      <c r="H45" s="14"/>
    </row>
    <row r="46" spans="1:8">
      <c r="A46" s="5" t="s">
        <v>89</v>
      </c>
      <c r="B46" s="17">
        <v>125</v>
      </c>
      <c r="C46" s="14"/>
      <c r="D46" s="14"/>
      <c r="E46" s="14"/>
      <c r="F46" s="14"/>
      <c r="G46" s="14"/>
      <c r="H46" s="14"/>
    </row>
    <row r="47" spans="1:8">
      <c r="A47" s="12"/>
      <c r="B47" s="174" t="s">
        <v>90</v>
      </c>
      <c r="C47" s="174"/>
      <c r="D47" s="12"/>
      <c r="E47" s="12"/>
      <c r="F47" s="12"/>
      <c r="G47" s="12"/>
      <c r="H47" s="12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74" t="s">
        <v>103</v>
      </c>
      <c r="B50" s="100" t="s">
        <v>91</v>
      </c>
      <c r="C50" s="75" t="s">
        <v>92</v>
      </c>
      <c r="D50" s="12"/>
      <c r="E50" s="12"/>
      <c r="F50" s="175" t="s">
        <v>93</v>
      </c>
      <c r="G50" s="175"/>
      <c r="H50" s="12"/>
    </row>
    <row r="51" spans="1:8">
      <c r="A51" s="10" t="s">
        <v>94</v>
      </c>
      <c r="B51" s="117">
        <v>96.16</v>
      </c>
      <c r="C51" s="20">
        <f>B51/2000</f>
        <v>4.8079999999999998E-2</v>
      </c>
      <c r="D51" s="12"/>
      <c r="E51" s="12"/>
      <c r="F51" s="12" t="s">
        <v>95</v>
      </c>
      <c r="G51" s="21">
        <f>0.015</f>
        <v>1.4999999999999999E-2</v>
      </c>
      <c r="H51" s="12"/>
    </row>
    <row r="52" spans="1:8">
      <c r="A52" s="10" t="s">
        <v>96</v>
      </c>
      <c r="B52" s="112">
        <v>99.52</v>
      </c>
      <c r="C52" s="22">
        <f>B52/2000</f>
        <v>4.9759999999999999E-2</v>
      </c>
      <c r="D52" s="118"/>
      <c r="E52" s="12"/>
      <c r="F52" s="12" t="s">
        <v>97</v>
      </c>
      <c r="G52" s="23">
        <f>0.004275</f>
        <v>4.2750000000000002E-3</v>
      </c>
      <c r="H52" s="12"/>
    </row>
    <row r="53" spans="1:8">
      <c r="A53" s="5" t="s">
        <v>143</v>
      </c>
      <c r="B53" s="19">
        <f>B52-B51</f>
        <v>3.3599999999999994</v>
      </c>
      <c r="C53" s="24">
        <f>C52-C51</f>
        <v>1.6800000000000009E-3</v>
      </c>
      <c r="D53" s="118"/>
      <c r="E53" s="12"/>
      <c r="F53" s="12" t="s">
        <v>98</v>
      </c>
      <c r="G53" s="25"/>
      <c r="H53" s="12"/>
    </row>
    <row r="54" spans="1:8">
      <c r="A54" s="12"/>
      <c r="B54" s="171">
        <f>+B53/B51</f>
        <v>3.4941763727121461E-2</v>
      </c>
      <c r="C54" s="12"/>
      <c r="D54" s="12"/>
      <c r="E54" s="12"/>
      <c r="F54" s="12" t="s">
        <v>31</v>
      </c>
      <c r="G54" s="26">
        <f>SUM(G51:G53)</f>
        <v>1.9275E-2</v>
      </c>
      <c r="H54" s="12"/>
    </row>
    <row r="55" spans="1:8">
      <c r="A55" s="27"/>
      <c r="B55" s="28"/>
      <c r="C55" s="28"/>
      <c r="D55" s="29"/>
      <c r="E55" s="12"/>
      <c r="F55" s="12"/>
      <c r="G55" s="12"/>
      <c r="H55" s="12"/>
    </row>
    <row r="56" spans="1:8">
      <c r="A56" s="12"/>
      <c r="B56" s="76" t="s">
        <v>103</v>
      </c>
      <c r="C56" s="30"/>
      <c r="D56" s="29"/>
      <c r="E56" s="12"/>
      <c r="F56" s="12" t="s">
        <v>100</v>
      </c>
      <c r="G56" s="31">
        <f>1-G54</f>
        <v>0.98072499999999996</v>
      </c>
      <c r="H56" s="12"/>
    </row>
    <row r="57" spans="1:8">
      <c r="A57" s="12" t="s">
        <v>99</v>
      </c>
      <c r="B57" s="32">
        <f>B53</f>
        <v>3.3599999999999994</v>
      </c>
      <c r="C57" s="30"/>
      <c r="D57" s="29"/>
      <c r="E57" s="12"/>
      <c r="F57" s="12"/>
      <c r="G57" s="12"/>
      <c r="H57" s="12"/>
    </row>
    <row r="58" spans="1:8">
      <c r="A58" s="12" t="s">
        <v>101</v>
      </c>
      <c r="B58" s="33">
        <f>B57/$G$56</f>
        <v>3.4260368604858646</v>
      </c>
      <c r="C58" s="34"/>
      <c r="D58" s="29"/>
      <c r="E58" s="12"/>
      <c r="F58" s="12"/>
      <c r="G58" s="12"/>
      <c r="H58" s="12"/>
    </row>
    <row r="59" spans="1:8">
      <c r="A59" s="12" t="s">
        <v>102</v>
      </c>
      <c r="B59" s="7">
        <v>7794</v>
      </c>
      <c r="C59" s="29" t="s">
        <v>187</v>
      </c>
      <c r="D59" s="29"/>
      <c r="E59" s="12"/>
      <c r="F59" s="12"/>
      <c r="G59" s="12"/>
      <c r="H59" s="12"/>
    </row>
    <row r="60" spans="1:8">
      <c r="A60" s="15" t="s">
        <v>144</v>
      </c>
      <c r="B60" s="35">
        <f>B58*B59</f>
        <v>26702.53129062683</v>
      </c>
      <c r="C60" s="36"/>
      <c r="D60" s="29"/>
      <c r="E60" s="12"/>
      <c r="F60" s="12"/>
      <c r="G60" s="12"/>
      <c r="H60" s="12"/>
    </row>
    <row r="61" spans="1:8">
      <c r="A61" s="36"/>
      <c r="B61" s="36"/>
      <c r="C61" s="36"/>
      <c r="D61" s="29"/>
      <c r="E61" s="12"/>
      <c r="F61" s="12"/>
      <c r="G61" s="12"/>
      <c r="H61" s="12"/>
    </row>
    <row r="62" spans="1:8" ht="15.75" thickBot="1">
      <c r="D62" s="33"/>
      <c r="E62" s="12"/>
      <c r="F62" s="12"/>
      <c r="G62" s="12"/>
      <c r="H62" s="12"/>
    </row>
    <row r="63" spans="1:8">
      <c r="A63" s="37" t="s">
        <v>145</v>
      </c>
      <c r="B63" s="77" t="s">
        <v>146</v>
      </c>
      <c r="C63" s="12"/>
      <c r="D63" s="12"/>
      <c r="E63" s="12"/>
      <c r="F63" s="12"/>
      <c r="G63" s="12"/>
      <c r="H63" s="12"/>
    </row>
    <row r="64" spans="1:8">
      <c r="A64" s="38" t="s">
        <v>147</v>
      </c>
      <c r="B64" s="39">
        <f>'DF Calc (Mason Co.)'!R52</f>
        <v>26956.215343596094</v>
      </c>
      <c r="C64" s="12"/>
      <c r="D64" s="12"/>
      <c r="E64" s="12"/>
      <c r="F64" s="12"/>
      <c r="G64" s="12"/>
      <c r="H64" s="12"/>
    </row>
    <row r="65" spans="1:8">
      <c r="A65" s="38" t="s">
        <v>148</v>
      </c>
      <c r="B65" s="39">
        <f>B64-B60</f>
        <v>253.68405296926358</v>
      </c>
      <c r="C65" s="12"/>
      <c r="D65" s="12"/>
      <c r="E65" s="12"/>
      <c r="F65" s="12"/>
      <c r="G65" s="12"/>
      <c r="H65" s="12"/>
    </row>
    <row r="66" spans="1:8" ht="15.75" thickBot="1">
      <c r="A66" s="110"/>
      <c r="B66" s="111"/>
      <c r="C66" s="12"/>
    </row>
    <row r="69" spans="1:8">
      <c r="A69" s="9"/>
      <c r="B69" s="8"/>
      <c r="C69" s="109"/>
    </row>
  </sheetData>
  <mergeCells count="4">
    <mergeCell ref="A4:H4"/>
    <mergeCell ref="A14:B14"/>
    <mergeCell ref="B47:C47"/>
    <mergeCell ref="F50:G50"/>
  </mergeCells>
  <pageMargins left="0.7" right="0.7" top="0.75" bottom="0.75" header="0.3" footer="0.3"/>
  <pageSetup scale="63" orientation="portrait" r:id="rId1"/>
  <headerFooter>
    <oddFooter xml:space="preserve">&amp;L&amp;F - &amp;A
&amp;R&amp;P of &amp;N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101"/>
  <sheetViews>
    <sheetView view="pageBreakPreview" zoomScale="85" zoomScaleNormal="80" zoomScaleSheetLayoutView="85" zoomScalePageLayoutView="50" workbookViewId="0">
      <selection activeCell="B3" sqref="B3"/>
    </sheetView>
  </sheetViews>
  <sheetFormatPr defaultColWidth="8.85546875" defaultRowHeight="15"/>
  <cols>
    <col min="1" max="1" width="4.140625" style="40" bestFit="1" customWidth="1"/>
    <col min="2" max="2" width="16.7109375" style="44" bestFit="1" customWidth="1"/>
    <col min="3" max="3" width="26.7109375" style="40" bestFit="1" customWidth="1"/>
    <col min="4" max="4" width="15.140625" style="48" customWidth="1"/>
    <col min="5" max="5" width="10" style="40" bestFit="1" customWidth="1"/>
    <col min="6" max="6" width="11.28515625" style="40" bestFit="1" customWidth="1"/>
    <col min="7" max="7" width="8.28515625" style="40" bestFit="1" customWidth="1"/>
    <col min="8" max="8" width="16.7109375" style="40" bestFit="1" customWidth="1"/>
    <col min="9" max="9" width="15.7109375" style="128" bestFit="1" customWidth="1"/>
    <col min="10" max="10" width="11.7109375" style="40" customWidth="1"/>
    <col min="11" max="11" width="13" style="40" customWidth="1"/>
    <col min="12" max="12" width="9.85546875" style="40" bestFit="1" customWidth="1"/>
    <col min="13" max="13" width="12.42578125" style="40" bestFit="1" customWidth="1"/>
    <col min="14" max="14" width="14.5703125" style="40" bestFit="1" customWidth="1"/>
    <col min="15" max="15" width="14.28515625" style="40" bestFit="1" customWidth="1"/>
    <col min="16" max="16" width="16.140625" style="40" bestFit="1" customWidth="1"/>
    <col min="17" max="17" width="20.140625" style="40" customWidth="1"/>
    <col min="18" max="18" width="21" style="40" bestFit="1" customWidth="1"/>
    <col min="19" max="19" width="12.85546875" style="40" bestFit="1" customWidth="1"/>
    <col min="20" max="16384" width="8.85546875" style="40"/>
  </cols>
  <sheetData>
    <row r="1" spans="1:21">
      <c r="A1" s="124" t="str">
        <f>References!A1</f>
        <v>Mason County Garbage Co., Inc. G-88</v>
      </c>
    </row>
    <row r="2" spans="1:21">
      <c r="A2" s="124" t="s">
        <v>254</v>
      </c>
    </row>
    <row r="3" spans="1:21">
      <c r="A3" s="125" t="s">
        <v>217</v>
      </c>
    </row>
    <row r="5" spans="1:21" ht="60">
      <c r="A5" s="74"/>
      <c r="B5" s="87" t="s">
        <v>149</v>
      </c>
      <c r="C5" s="88" t="s">
        <v>150</v>
      </c>
      <c r="D5" s="87" t="s">
        <v>201</v>
      </c>
      <c r="E5" s="87" t="s">
        <v>151</v>
      </c>
      <c r="F5" s="87" t="s">
        <v>152</v>
      </c>
      <c r="G5" s="87" t="s">
        <v>56</v>
      </c>
      <c r="H5" s="87" t="s">
        <v>153</v>
      </c>
      <c r="I5" s="89" t="s">
        <v>154</v>
      </c>
      <c r="J5" s="87" t="s">
        <v>155</v>
      </c>
      <c r="K5" s="87" t="s">
        <v>156</v>
      </c>
      <c r="L5" s="87" t="s">
        <v>104</v>
      </c>
      <c r="M5" s="87" t="s">
        <v>157</v>
      </c>
      <c r="N5" s="87" t="s">
        <v>191</v>
      </c>
      <c r="O5" s="87" t="s">
        <v>158</v>
      </c>
      <c r="P5" s="87" t="s">
        <v>159</v>
      </c>
      <c r="Q5" s="87" t="s">
        <v>160</v>
      </c>
      <c r="R5" s="87" t="s">
        <v>161</v>
      </c>
      <c r="S5" s="87" t="s">
        <v>162</v>
      </c>
    </row>
    <row r="6" spans="1:21" s="29" customFormat="1">
      <c r="A6" s="177" t="s">
        <v>141</v>
      </c>
      <c r="B6" s="42">
        <v>21</v>
      </c>
      <c r="C6" s="129" t="s">
        <v>1</v>
      </c>
      <c r="D6" s="130">
        <v>14</v>
      </c>
      <c r="E6" s="41">
        <f>References!$B$10</f>
        <v>4.333333333333333</v>
      </c>
      <c r="F6" s="130">
        <f>D6*E6*12</f>
        <v>728</v>
      </c>
      <c r="G6" s="163">
        <f>References!B16</f>
        <v>20</v>
      </c>
      <c r="H6" s="130">
        <f>F6*G6</f>
        <v>14560</v>
      </c>
      <c r="I6" s="131">
        <f t="shared" ref="I6:I14" si="0">$C$93*H6</f>
        <v>11255.071225017538</v>
      </c>
      <c r="J6" s="132">
        <f>References!$C$53*'DF Calc (Mason Co.)'!I6</f>
        <v>18.908519658029476</v>
      </c>
      <c r="K6" s="132">
        <f>J6/References!$G$56</f>
        <v>19.280144442151958</v>
      </c>
      <c r="L6" s="132">
        <f>K6/F6*E6</f>
        <v>0.11476276453661879</v>
      </c>
      <c r="M6" s="164">
        <f>'Prop. Rates'!B20</f>
        <v>13.25</v>
      </c>
      <c r="N6" s="132">
        <f>L6+M6</f>
        <v>13.36476276453662</v>
      </c>
      <c r="O6" s="164">
        <f>'Prop. Rates'!D20</f>
        <v>13.36</v>
      </c>
      <c r="P6" s="132">
        <f>D6*M6*12</f>
        <v>2226</v>
      </c>
      <c r="Q6" s="132">
        <f>D6*O6*12</f>
        <v>2244.48</v>
      </c>
      <c r="R6" s="132">
        <f>Q6-P6</f>
        <v>18.480000000000018</v>
      </c>
      <c r="S6" s="133">
        <f t="shared" ref="S6:S14" si="1">N6</f>
        <v>13.36476276453662</v>
      </c>
      <c r="U6" s="114"/>
    </row>
    <row r="7" spans="1:21" s="29" customFormat="1">
      <c r="A7" s="177"/>
      <c r="B7" s="42">
        <v>21</v>
      </c>
      <c r="C7" s="129" t="s">
        <v>2</v>
      </c>
      <c r="D7" s="130">
        <v>2338</v>
      </c>
      <c r="E7" s="41">
        <f>References!$B$10</f>
        <v>4.333333333333333</v>
      </c>
      <c r="F7" s="130">
        <f t="shared" ref="F7:F40" si="2">D7*E7*12</f>
        <v>121575.99999999999</v>
      </c>
      <c r="G7" s="163">
        <f>References!$B$17</f>
        <v>34</v>
      </c>
      <c r="H7" s="130">
        <f t="shared" ref="H7:H40" si="3">F7*G7</f>
        <v>4133583.9999999995</v>
      </c>
      <c r="I7" s="131">
        <f t="shared" si="0"/>
        <v>3195314.7207824788</v>
      </c>
      <c r="J7" s="132">
        <f>References!$C$53*'DF Calc (Mason Co.)'!I7</f>
        <v>5368.1287309145673</v>
      </c>
      <c r="K7" s="132">
        <f>J7/References!$G$56</f>
        <v>5473.6330071269394</v>
      </c>
      <c r="L7" s="132">
        <f t="shared" ref="L7:L32" si="4">K7/F7*E7</f>
        <v>0.19509669971225191</v>
      </c>
      <c r="M7" s="164">
        <f>'Prop. Rates'!B10</f>
        <v>15.77</v>
      </c>
      <c r="N7" s="132">
        <f t="shared" ref="N7:N40" si="5">L7+M7</f>
        <v>15.965096699712252</v>
      </c>
      <c r="O7" s="164">
        <f>'Prop. Rates'!D10</f>
        <v>15.97</v>
      </c>
      <c r="P7" s="132">
        <f t="shared" ref="P7:P32" si="6">D7*M7*12</f>
        <v>442443.12</v>
      </c>
      <c r="Q7" s="132">
        <f t="shared" ref="Q7:Q32" si="7">D7*O7*12</f>
        <v>448054.32</v>
      </c>
      <c r="R7" s="132">
        <f t="shared" ref="R7:R40" si="8">Q7-P7</f>
        <v>5611.2000000000116</v>
      </c>
      <c r="S7" s="133">
        <f t="shared" si="1"/>
        <v>15.965096699712252</v>
      </c>
      <c r="U7" s="114"/>
    </row>
    <row r="8" spans="1:21" s="29" customFormat="1">
      <c r="A8" s="177"/>
      <c r="B8" s="42">
        <v>21</v>
      </c>
      <c r="C8" s="129" t="s">
        <v>3</v>
      </c>
      <c r="D8" s="130">
        <v>457</v>
      </c>
      <c r="E8" s="41">
        <f>References!$B$10</f>
        <v>4.333333333333333</v>
      </c>
      <c r="F8" s="130">
        <f t="shared" si="2"/>
        <v>23764</v>
      </c>
      <c r="G8" s="165">
        <f>References!B18</f>
        <v>51</v>
      </c>
      <c r="H8" s="130">
        <f t="shared" si="3"/>
        <v>1211964</v>
      </c>
      <c r="I8" s="131">
        <f t="shared" si="0"/>
        <v>936864.08943387051</v>
      </c>
      <c r="J8" s="132">
        <f>References!$C$53*'DF Calc (Mason Co.)'!I8</f>
        <v>1573.9316702489034</v>
      </c>
      <c r="K8" s="132">
        <f>J8/References!$G$56</f>
        <v>1604.8654518329843</v>
      </c>
      <c r="L8" s="132">
        <f t="shared" si="4"/>
        <v>0.29264504956837789</v>
      </c>
      <c r="M8" s="164">
        <f>'Prop. Rates'!B11</f>
        <v>23.57</v>
      </c>
      <c r="N8" s="132">
        <f t="shared" si="5"/>
        <v>23.862645049568378</v>
      </c>
      <c r="O8" s="164">
        <f>'Prop. Rates'!D11</f>
        <v>23.86</v>
      </c>
      <c r="P8" s="132">
        <f t="shared" si="6"/>
        <v>129257.88</v>
      </c>
      <c r="Q8" s="132">
        <f t="shared" si="7"/>
        <v>130848.24</v>
      </c>
      <c r="R8" s="132">
        <f t="shared" si="8"/>
        <v>1590.3600000000006</v>
      </c>
      <c r="S8" s="133">
        <f t="shared" si="1"/>
        <v>23.862645049568378</v>
      </c>
      <c r="U8" s="114"/>
    </row>
    <row r="9" spans="1:21" s="29" customFormat="1">
      <c r="A9" s="177"/>
      <c r="B9" s="42">
        <v>21</v>
      </c>
      <c r="C9" s="129" t="s">
        <v>4</v>
      </c>
      <c r="D9" s="130">
        <v>32</v>
      </c>
      <c r="E9" s="41">
        <f>References!$B$10</f>
        <v>4.333333333333333</v>
      </c>
      <c r="F9" s="130">
        <f t="shared" si="2"/>
        <v>1664</v>
      </c>
      <c r="G9" s="165">
        <f>References!B19</f>
        <v>77</v>
      </c>
      <c r="H9" s="130">
        <f t="shared" si="3"/>
        <v>128128</v>
      </c>
      <c r="I9" s="131">
        <f t="shared" si="0"/>
        <v>99044.626780154329</v>
      </c>
      <c r="J9" s="132">
        <f>References!$C$53*'DF Calc (Mason Co.)'!I9</f>
        <v>166.39497299065937</v>
      </c>
      <c r="K9" s="132">
        <f>J9/References!$G$56</f>
        <v>169.66527109093718</v>
      </c>
      <c r="L9" s="132">
        <f t="shared" si="4"/>
        <v>0.44183664346598223</v>
      </c>
      <c r="M9" s="164">
        <f>'Prop. Rates'!B12</f>
        <v>31.83</v>
      </c>
      <c r="N9" s="132">
        <f t="shared" si="5"/>
        <v>32.271836643465981</v>
      </c>
      <c r="O9" s="164">
        <f>'Prop. Rates'!D12</f>
        <v>32.270000000000003</v>
      </c>
      <c r="P9" s="132">
        <f t="shared" si="6"/>
        <v>12222.72</v>
      </c>
      <c r="Q9" s="132">
        <f t="shared" si="7"/>
        <v>12391.68</v>
      </c>
      <c r="R9" s="132">
        <f t="shared" si="8"/>
        <v>168.96000000000095</v>
      </c>
      <c r="S9" s="133">
        <f t="shared" si="1"/>
        <v>32.271836643465981</v>
      </c>
      <c r="U9" s="114"/>
    </row>
    <row r="10" spans="1:21" s="29" customFormat="1">
      <c r="A10" s="177"/>
      <c r="B10" s="42">
        <v>21</v>
      </c>
      <c r="C10" s="129" t="s">
        <v>5</v>
      </c>
      <c r="D10" s="130">
        <v>4</v>
      </c>
      <c r="E10" s="41">
        <f>References!$B$10</f>
        <v>4.333333333333333</v>
      </c>
      <c r="F10" s="130">
        <f t="shared" si="2"/>
        <v>208</v>
      </c>
      <c r="G10" s="165">
        <f>References!B20</f>
        <v>97</v>
      </c>
      <c r="H10" s="130">
        <f t="shared" si="3"/>
        <v>20176</v>
      </c>
      <c r="I10" s="131">
        <f t="shared" si="0"/>
        <v>15596.312983238588</v>
      </c>
      <c r="J10" s="132">
        <f>References!$C$53*'DF Calc (Mason Co.)'!I10</f>
        <v>26.201805811840842</v>
      </c>
      <c r="K10" s="132">
        <f>J10/References!$G$56</f>
        <v>26.716771584124849</v>
      </c>
      <c r="L10" s="132">
        <f t="shared" si="4"/>
        <v>0.55659940800260099</v>
      </c>
      <c r="M10" s="164">
        <f>'Prop. Rates'!B13</f>
        <v>40.81</v>
      </c>
      <c r="N10" s="132">
        <f t="shared" si="5"/>
        <v>41.366599408002607</v>
      </c>
      <c r="O10" s="164">
        <f>'Prop. Rates'!D13</f>
        <v>41.37</v>
      </c>
      <c r="P10" s="132">
        <f t="shared" si="6"/>
        <v>1958.88</v>
      </c>
      <c r="Q10" s="132">
        <f t="shared" si="7"/>
        <v>1985.7599999999998</v>
      </c>
      <c r="R10" s="132">
        <f t="shared" si="8"/>
        <v>26.879999999999654</v>
      </c>
      <c r="S10" s="133">
        <f t="shared" si="1"/>
        <v>41.366599408002607</v>
      </c>
      <c r="U10" s="114"/>
    </row>
    <row r="11" spans="1:21" s="29" customFormat="1">
      <c r="A11" s="177"/>
      <c r="B11" s="42">
        <v>21</v>
      </c>
      <c r="C11" s="129" t="s">
        <v>6</v>
      </c>
      <c r="D11" s="130">
        <v>1</v>
      </c>
      <c r="E11" s="41">
        <f>References!$B$10</f>
        <v>4.333333333333333</v>
      </c>
      <c r="F11" s="130">
        <f t="shared" si="2"/>
        <v>52</v>
      </c>
      <c r="G11" s="165">
        <f>References!B21</f>
        <v>117</v>
      </c>
      <c r="H11" s="130">
        <f t="shared" si="3"/>
        <v>6084</v>
      </c>
      <c r="I11" s="131">
        <f t="shared" si="0"/>
        <v>4703.011904739471</v>
      </c>
      <c r="J11" s="132">
        <f>References!$C$53*'DF Calc (Mason Co.)'!I11</f>
        <v>7.9010599999623157</v>
      </c>
      <c r="K11" s="132">
        <f>J11/References!$G$56</f>
        <v>8.0563460704706369</v>
      </c>
      <c r="L11" s="132">
        <f t="shared" si="4"/>
        <v>0.6713621725392197</v>
      </c>
      <c r="M11" s="164">
        <f>'Prop. Rates'!B14</f>
        <v>48.82</v>
      </c>
      <c r="N11" s="132">
        <f t="shared" si="5"/>
        <v>49.491362172539219</v>
      </c>
      <c r="O11" s="164">
        <f>'Prop. Rates'!D14</f>
        <v>49.49</v>
      </c>
      <c r="P11" s="132">
        <f t="shared" si="6"/>
        <v>585.84</v>
      </c>
      <c r="Q11" s="132">
        <f t="shared" si="7"/>
        <v>593.88</v>
      </c>
      <c r="R11" s="132">
        <f t="shared" si="8"/>
        <v>8.0399999999999636</v>
      </c>
      <c r="S11" s="133">
        <f t="shared" si="1"/>
        <v>49.491362172539219</v>
      </c>
      <c r="U11" s="114"/>
    </row>
    <row r="12" spans="1:21" s="29" customFormat="1">
      <c r="A12" s="177"/>
      <c r="B12" s="42">
        <v>21</v>
      </c>
      <c r="C12" s="129" t="s">
        <v>7</v>
      </c>
      <c r="D12" s="130">
        <v>2</v>
      </c>
      <c r="E12" s="41">
        <f>References!$B$10</f>
        <v>4.333333333333333</v>
      </c>
      <c r="F12" s="130">
        <f t="shared" si="2"/>
        <v>104</v>
      </c>
      <c r="G12" s="165">
        <f>References!B22</f>
        <v>157</v>
      </c>
      <c r="H12" s="130">
        <f t="shared" si="3"/>
        <v>16328</v>
      </c>
      <c r="I12" s="131">
        <f t="shared" si="0"/>
        <v>12621.758445198238</v>
      </c>
      <c r="J12" s="132">
        <f>References!$C$53*'DF Calc (Mason Co.)'!I12</f>
        <v>21.204554187933052</v>
      </c>
      <c r="K12" s="132">
        <f>J12/References!$G$56</f>
        <v>21.621304838698975</v>
      </c>
      <c r="L12" s="132">
        <f t="shared" si="4"/>
        <v>0.90088770161245724</v>
      </c>
      <c r="M12" s="164">
        <f>'Prop. Rates'!B15</f>
        <v>56.8</v>
      </c>
      <c r="N12" s="132">
        <f t="shared" si="5"/>
        <v>57.700887701612452</v>
      </c>
      <c r="O12" s="164">
        <f>'Prop. Rates'!D15</f>
        <v>57.7</v>
      </c>
      <c r="P12" s="132">
        <f t="shared" si="6"/>
        <v>1363.1999999999998</v>
      </c>
      <c r="Q12" s="132">
        <f t="shared" si="7"/>
        <v>1384.8000000000002</v>
      </c>
      <c r="R12" s="132">
        <f t="shared" si="8"/>
        <v>21.600000000000364</v>
      </c>
      <c r="S12" s="133">
        <f t="shared" si="1"/>
        <v>57.700887701612452</v>
      </c>
      <c r="U12" s="114"/>
    </row>
    <row r="13" spans="1:21" s="29" customFormat="1">
      <c r="A13" s="177"/>
      <c r="B13" s="42">
        <v>21</v>
      </c>
      <c r="C13" s="129" t="s">
        <v>189</v>
      </c>
      <c r="D13" s="130">
        <v>500</v>
      </c>
      <c r="E13" s="41">
        <f>References!$B$10</f>
        <v>4.333333333333333</v>
      </c>
      <c r="F13" s="130">
        <f>D13*E13*12</f>
        <v>26000</v>
      </c>
      <c r="G13" s="165">
        <f>References!$B$24</f>
        <v>48</v>
      </c>
      <c r="H13" s="130">
        <f>F13*G13</f>
        <v>1248000</v>
      </c>
      <c r="I13" s="131">
        <f t="shared" si="0"/>
        <v>964720.39071578893</v>
      </c>
      <c r="J13" s="132">
        <f>References!$C$53*'DF Calc (Mason Co.)'!I13</f>
        <v>1620.7302564025263</v>
      </c>
      <c r="K13" s="132">
        <f>J13/References!$G$56</f>
        <v>1652.5838093273103</v>
      </c>
      <c r="L13" s="132">
        <f>K13/F13*E13</f>
        <v>0.27543063488788505</v>
      </c>
      <c r="M13" s="164">
        <f>'Prop. Rates'!B16</f>
        <v>21.21</v>
      </c>
      <c r="N13" s="132">
        <f>L13+M13</f>
        <v>21.485430634887887</v>
      </c>
      <c r="O13" s="164">
        <f>'Prop. Rates'!D16</f>
        <v>21.49</v>
      </c>
      <c r="P13" s="132">
        <f>D13*M13*12</f>
        <v>127260</v>
      </c>
      <c r="Q13" s="132">
        <f>D13*O13*12</f>
        <v>128940</v>
      </c>
      <c r="R13" s="132">
        <f>Q13-P13</f>
        <v>1680</v>
      </c>
      <c r="S13" s="133">
        <f t="shared" si="1"/>
        <v>21.485430634887887</v>
      </c>
      <c r="U13" s="114"/>
    </row>
    <row r="14" spans="1:21" s="29" customFormat="1">
      <c r="A14" s="177"/>
      <c r="B14" s="42">
        <v>21</v>
      </c>
      <c r="C14" s="129" t="s">
        <v>9</v>
      </c>
      <c r="D14" s="130">
        <v>22</v>
      </c>
      <c r="E14" s="41">
        <f>References!$B$10</f>
        <v>4.333333333333333</v>
      </c>
      <c r="F14" s="130">
        <f>D14*E14*12</f>
        <v>1144</v>
      </c>
      <c r="G14" s="165">
        <f>G13*2</f>
        <v>96</v>
      </c>
      <c r="H14" s="130">
        <f>F14*G14</f>
        <v>109824</v>
      </c>
      <c r="I14" s="131">
        <f t="shared" si="0"/>
        <v>84895.394382989427</v>
      </c>
      <c r="J14" s="132">
        <f>References!$C$53*'DF Calc (Mason Co.)'!I14</f>
        <v>142.62426256342232</v>
      </c>
      <c r="K14" s="132">
        <f>J14/References!$G$56</f>
        <v>145.4273752208033</v>
      </c>
      <c r="L14" s="132">
        <f>L13*2</f>
        <v>0.5508612697757701</v>
      </c>
      <c r="M14" s="164">
        <f>M13*2</f>
        <v>42.42</v>
      </c>
      <c r="N14" s="132">
        <f>L14+M14</f>
        <v>42.970861269775774</v>
      </c>
      <c r="O14" s="164">
        <f>O13*2</f>
        <v>42.98</v>
      </c>
      <c r="P14" s="132">
        <f>D14*M14*12</f>
        <v>11198.880000000001</v>
      </c>
      <c r="Q14" s="132">
        <f>D14*O14*12</f>
        <v>11346.72</v>
      </c>
      <c r="R14" s="132">
        <f>Q14-P14</f>
        <v>147.83999999999833</v>
      </c>
      <c r="S14" s="133">
        <f t="shared" si="1"/>
        <v>42.970861269775774</v>
      </c>
      <c r="U14" s="114"/>
    </row>
    <row r="15" spans="1:21" s="29" customFormat="1">
      <c r="A15" s="177"/>
      <c r="B15" s="42"/>
      <c r="C15" s="129"/>
      <c r="D15" s="130"/>
      <c r="E15" s="41"/>
      <c r="F15" s="130"/>
      <c r="G15" s="165"/>
      <c r="H15" s="130"/>
      <c r="I15" s="131"/>
      <c r="J15" s="132"/>
      <c r="K15" s="132"/>
      <c r="L15" s="132"/>
      <c r="M15" s="164"/>
      <c r="N15" s="132"/>
      <c r="O15" s="164"/>
      <c r="P15" s="132"/>
      <c r="Q15" s="132"/>
      <c r="R15" s="132"/>
      <c r="S15" s="133"/>
      <c r="U15" s="114"/>
    </row>
    <row r="16" spans="1:21" s="29" customFormat="1">
      <c r="A16" s="177"/>
      <c r="B16" s="42">
        <v>21</v>
      </c>
      <c r="C16" s="129" t="s">
        <v>8</v>
      </c>
      <c r="D16" s="130">
        <v>774</v>
      </c>
      <c r="E16" s="41">
        <f>References!$B$10</f>
        <v>4.333333333333333</v>
      </c>
      <c r="F16" s="130">
        <f t="shared" si="2"/>
        <v>40247.999999999993</v>
      </c>
      <c r="G16" s="165">
        <f>References!B23</f>
        <v>37</v>
      </c>
      <c r="H16" s="130">
        <f t="shared" si="3"/>
        <v>1489175.9999999998</v>
      </c>
      <c r="I16" s="131">
        <f>$C$93*H16</f>
        <v>1151152.6062216151</v>
      </c>
      <c r="J16" s="132">
        <f>References!$C$53*'DF Calc (Mason Co.)'!I16</f>
        <v>1933.9363784523146</v>
      </c>
      <c r="K16" s="132">
        <f>J16/References!$G$56</f>
        <v>1971.945630479813</v>
      </c>
      <c r="L16" s="132">
        <f t="shared" si="4"/>
        <v>0.21231111439274475</v>
      </c>
      <c r="M16" s="164">
        <f>'Prop. Rates'!B23</f>
        <v>18.09</v>
      </c>
      <c r="N16" s="132">
        <f t="shared" si="5"/>
        <v>18.302311114392744</v>
      </c>
      <c r="O16" s="164">
        <f>'Prop. Rates'!D23</f>
        <v>18.3</v>
      </c>
      <c r="P16" s="132">
        <f t="shared" si="6"/>
        <v>168019.91999999998</v>
      </c>
      <c r="Q16" s="132">
        <f t="shared" si="7"/>
        <v>169970.40000000002</v>
      </c>
      <c r="R16" s="132">
        <f t="shared" si="8"/>
        <v>1950.4800000000396</v>
      </c>
      <c r="S16" s="133">
        <f>N16</f>
        <v>18.302311114392744</v>
      </c>
      <c r="U16" s="114"/>
    </row>
    <row r="17" spans="1:21" s="29" customFormat="1">
      <c r="A17" s="177"/>
      <c r="B17" s="42">
        <v>21</v>
      </c>
      <c r="C17" s="129" t="s">
        <v>10</v>
      </c>
      <c r="D17" s="130">
        <v>299</v>
      </c>
      <c r="E17" s="41">
        <f>References!$B$10</f>
        <v>4.333333333333333</v>
      </c>
      <c r="F17" s="130">
        <f t="shared" si="2"/>
        <v>15547.999999999998</v>
      </c>
      <c r="G17" s="165">
        <f>References!B24</f>
        <v>48</v>
      </c>
      <c r="H17" s="130">
        <f t="shared" si="3"/>
        <v>746303.99999999988</v>
      </c>
      <c r="I17" s="131">
        <f>$C$93*H17</f>
        <v>576902.79364804167</v>
      </c>
      <c r="J17" s="132">
        <f>References!$C$53*'DF Calc (Mason Co.)'!I17</f>
        <v>969.19669332871058</v>
      </c>
      <c r="K17" s="132">
        <f>J17/References!$G$56</f>
        <v>988.24511797773141</v>
      </c>
      <c r="L17" s="132">
        <f t="shared" si="4"/>
        <v>0.27543063488788505</v>
      </c>
      <c r="M17" s="164">
        <f>'Prop. Rates'!B24</f>
        <v>22.97</v>
      </c>
      <c r="N17" s="132">
        <f t="shared" si="5"/>
        <v>23.245430634887885</v>
      </c>
      <c r="O17" s="164">
        <f>'Prop. Rates'!D24</f>
        <v>23.25</v>
      </c>
      <c r="P17" s="132">
        <f t="shared" si="6"/>
        <v>82416.36</v>
      </c>
      <c r="Q17" s="132">
        <f t="shared" si="7"/>
        <v>83421</v>
      </c>
      <c r="R17" s="132">
        <f t="shared" si="8"/>
        <v>1004.6399999999994</v>
      </c>
      <c r="S17" s="133">
        <f>N17</f>
        <v>23.245430634887885</v>
      </c>
      <c r="U17" s="114"/>
    </row>
    <row r="18" spans="1:21" s="29" customFormat="1">
      <c r="A18" s="177"/>
      <c r="B18" s="42">
        <v>21</v>
      </c>
      <c r="C18" s="129" t="s">
        <v>11</v>
      </c>
      <c r="D18" s="130">
        <v>261</v>
      </c>
      <c r="E18" s="41">
        <f>References!$B$10</f>
        <v>4.333333333333333</v>
      </c>
      <c r="F18" s="130">
        <f t="shared" si="2"/>
        <v>13572</v>
      </c>
      <c r="G18" s="165">
        <f>References!B25</f>
        <v>51</v>
      </c>
      <c r="H18" s="130">
        <f t="shared" si="3"/>
        <v>692172</v>
      </c>
      <c r="I18" s="131">
        <f>$C$93*H18</f>
        <v>535058.04670074442</v>
      </c>
      <c r="J18" s="132">
        <f>References!$C$53*'DF Calc (Mason Co.)'!I18</f>
        <v>898.89751845725118</v>
      </c>
      <c r="K18" s="132">
        <f>J18/References!$G$56</f>
        <v>916.56429524815951</v>
      </c>
      <c r="L18" s="132">
        <f t="shared" si="4"/>
        <v>0.29264504956837789</v>
      </c>
      <c r="M18" s="164">
        <f>'Prop. Rates'!B25</f>
        <v>28.09</v>
      </c>
      <c r="N18" s="134">
        <f t="shared" si="5"/>
        <v>28.382645049568378</v>
      </c>
      <c r="O18" s="164">
        <f>'Prop. Rates'!D25</f>
        <v>28.38</v>
      </c>
      <c r="P18" s="132">
        <f t="shared" si="6"/>
        <v>87977.88</v>
      </c>
      <c r="Q18" s="132">
        <f t="shared" si="7"/>
        <v>88886.159999999989</v>
      </c>
      <c r="R18" s="132">
        <f t="shared" si="8"/>
        <v>908.27999999998428</v>
      </c>
      <c r="S18" s="133">
        <f>N18</f>
        <v>28.382645049568378</v>
      </c>
      <c r="U18" s="114"/>
    </row>
    <row r="19" spans="1:21" s="29" customFormat="1">
      <c r="A19" s="177"/>
      <c r="B19" s="42">
        <v>21</v>
      </c>
      <c r="C19" s="129" t="s">
        <v>12</v>
      </c>
      <c r="D19" s="130">
        <v>77</v>
      </c>
      <c r="E19" s="41">
        <f>References!$B$10</f>
        <v>4.333333333333333</v>
      </c>
      <c r="F19" s="130">
        <f t="shared" si="2"/>
        <v>4003.9999999999995</v>
      </c>
      <c r="G19" s="165">
        <f>References!B26</f>
        <v>77</v>
      </c>
      <c r="H19" s="130">
        <f t="shared" si="3"/>
        <v>308307.99999999994</v>
      </c>
      <c r="I19" s="131">
        <f>$C$93*H19</f>
        <v>238326.13318974632</v>
      </c>
      <c r="J19" s="132">
        <f>References!$C$53*'DF Calc (Mason Co.)'!I19</f>
        <v>400.38790375877403</v>
      </c>
      <c r="K19" s="132">
        <f>J19/References!$G$56</f>
        <v>408.25705856256752</v>
      </c>
      <c r="L19" s="132">
        <f t="shared" si="4"/>
        <v>0.44183664346598217</v>
      </c>
      <c r="M19" s="164">
        <f>'Prop. Rates'!B26</f>
        <v>34.979999999999997</v>
      </c>
      <c r="N19" s="132">
        <f t="shared" si="5"/>
        <v>35.42183664346598</v>
      </c>
      <c r="O19" s="164">
        <f>'Prop. Rates'!D26</f>
        <v>35.42</v>
      </c>
      <c r="P19" s="132">
        <f t="shared" si="6"/>
        <v>32321.519999999997</v>
      </c>
      <c r="Q19" s="132">
        <f t="shared" si="7"/>
        <v>32728.080000000002</v>
      </c>
      <c r="R19" s="132">
        <f t="shared" si="8"/>
        <v>406.56000000000495</v>
      </c>
      <c r="S19" s="133">
        <f>N19</f>
        <v>35.42183664346598</v>
      </c>
      <c r="U19" s="114"/>
    </row>
    <row r="20" spans="1:21" s="29" customFormat="1">
      <c r="A20" s="177"/>
      <c r="B20" s="42"/>
      <c r="C20" s="129"/>
      <c r="D20" s="130"/>
      <c r="E20" s="41"/>
      <c r="F20" s="130"/>
      <c r="G20" s="165"/>
      <c r="H20" s="130"/>
      <c r="I20" s="131"/>
      <c r="J20" s="132"/>
      <c r="K20" s="132"/>
      <c r="L20" s="132"/>
      <c r="M20" s="164"/>
      <c r="N20" s="132"/>
      <c r="O20" s="164"/>
      <c r="P20" s="132"/>
      <c r="Q20" s="132"/>
      <c r="R20" s="132"/>
      <c r="S20" s="133"/>
      <c r="U20" s="114"/>
    </row>
    <row r="21" spans="1:21" s="29" customFormat="1">
      <c r="A21" s="177"/>
      <c r="B21" s="42">
        <v>21</v>
      </c>
      <c r="C21" s="129" t="s">
        <v>13</v>
      </c>
      <c r="D21" s="130">
        <v>1451</v>
      </c>
      <c r="E21" s="41">
        <f>References!$B$11</f>
        <v>2.1666666666666665</v>
      </c>
      <c r="F21" s="130">
        <f t="shared" si="2"/>
        <v>37726</v>
      </c>
      <c r="G21" s="165">
        <f>References!B17</f>
        <v>34</v>
      </c>
      <c r="H21" s="130">
        <f t="shared" si="3"/>
        <v>1282684</v>
      </c>
      <c r="I21" s="131">
        <f t="shared" ref="I21:I26" si="9">$C$93*H21</f>
        <v>991531.57824109856</v>
      </c>
      <c r="J21" s="132">
        <f>References!$C$53*'DF Calc (Mason Co.)'!I21</f>
        <v>1665.7730514450466</v>
      </c>
      <c r="K21" s="132">
        <f>J21/References!$G$56</f>
        <v>1698.5118676948653</v>
      </c>
      <c r="L21" s="132">
        <f>K21/F21*E21</f>
        <v>9.7548349856125954E-2</v>
      </c>
      <c r="M21" s="164">
        <f>'Prop. Rates'!B17</f>
        <v>9.02</v>
      </c>
      <c r="N21" s="132">
        <f>L21+M21</f>
        <v>9.1175483498561256</v>
      </c>
      <c r="O21" s="164">
        <f>'Prop. Rates'!D17</f>
        <v>9.1199999999999992</v>
      </c>
      <c r="P21" s="132">
        <f>D21*M21*12</f>
        <v>157056.24</v>
      </c>
      <c r="Q21" s="132">
        <f>D21*N21*12</f>
        <v>158754.75186769487</v>
      </c>
      <c r="R21" s="132">
        <f>Q21-P21</f>
        <v>1698.5118676948769</v>
      </c>
      <c r="S21" s="133">
        <f t="shared" ref="S21:S26" si="10">N21</f>
        <v>9.1175483498561256</v>
      </c>
      <c r="U21" s="114"/>
    </row>
    <row r="22" spans="1:21" s="29" customFormat="1">
      <c r="A22" s="177"/>
      <c r="B22" s="42">
        <v>21</v>
      </c>
      <c r="C22" s="129" t="s">
        <v>14</v>
      </c>
      <c r="D22" s="130">
        <v>139</v>
      </c>
      <c r="E22" s="41">
        <f>References!$B$11</f>
        <v>2.1666666666666665</v>
      </c>
      <c r="F22" s="130">
        <f t="shared" si="2"/>
        <v>3613.9999999999995</v>
      </c>
      <c r="G22" s="165">
        <f>G8</f>
        <v>51</v>
      </c>
      <c r="H22" s="130">
        <f t="shared" si="3"/>
        <v>184313.99999999997</v>
      </c>
      <c r="I22" s="131">
        <f t="shared" si="9"/>
        <v>142477.14270383806</v>
      </c>
      <c r="J22" s="132">
        <f>References!$C$53*'DF Calc (Mason Co.)'!I22</f>
        <v>239.36159974244808</v>
      </c>
      <c r="K22" s="132">
        <f>J22/References!$G$56</f>
        <v>244.06597134002712</v>
      </c>
      <c r="L22" s="132">
        <f t="shared" si="4"/>
        <v>0.14632252478418895</v>
      </c>
      <c r="M22" s="164">
        <f>'Prop. Rates'!B18</f>
        <v>14.48</v>
      </c>
      <c r="N22" s="132">
        <f t="shared" si="5"/>
        <v>14.626322524784189</v>
      </c>
      <c r="O22" s="164">
        <f>'Prop. Rates'!D18</f>
        <v>14.63</v>
      </c>
      <c r="P22" s="132">
        <f t="shared" si="6"/>
        <v>24152.639999999999</v>
      </c>
      <c r="Q22" s="132">
        <f t="shared" si="7"/>
        <v>24402.840000000004</v>
      </c>
      <c r="R22" s="132">
        <f t="shared" si="8"/>
        <v>250.20000000000437</v>
      </c>
      <c r="S22" s="133">
        <f t="shared" si="10"/>
        <v>14.626322524784189</v>
      </c>
      <c r="U22" s="114"/>
    </row>
    <row r="23" spans="1:21" s="29" customFormat="1">
      <c r="A23" s="177"/>
      <c r="B23" s="42">
        <v>21</v>
      </c>
      <c r="C23" s="129" t="s">
        <v>15</v>
      </c>
      <c r="D23" s="130">
        <v>469</v>
      </c>
      <c r="E23" s="41">
        <f>References!$B$11</f>
        <v>2.1666666666666665</v>
      </c>
      <c r="F23" s="130">
        <f t="shared" si="2"/>
        <v>12194</v>
      </c>
      <c r="G23" s="165">
        <f>References!B23</f>
        <v>37</v>
      </c>
      <c r="H23" s="130">
        <f t="shared" si="3"/>
        <v>451178</v>
      </c>
      <c r="I23" s="131">
        <f t="shared" si="9"/>
        <v>348766.51958523097</v>
      </c>
      <c r="J23" s="132">
        <f>References!$C$53*'DF Calc (Mason Co.)'!I23</f>
        <v>585.92775290318832</v>
      </c>
      <c r="K23" s="132">
        <f>J23/References!$G$56</f>
        <v>597.44347590118366</v>
      </c>
      <c r="L23" s="132">
        <f t="shared" si="4"/>
        <v>0.10615555719637235</v>
      </c>
      <c r="M23" s="164">
        <f>'Prop. Rates'!B27</f>
        <v>10.76</v>
      </c>
      <c r="N23" s="132">
        <f t="shared" si="5"/>
        <v>10.866155557196372</v>
      </c>
      <c r="O23" s="164">
        <f>'Prop. Rates'!D27</f>
        <v>10.87</v>
      </c>
      <c r="P23" s="132">
        <f t="shared" si="6"/>
        <v>60557.279999999999</v>
      </c>
      <c r="Q23" s="132">
        <f>D23*N23*12</f>
        <v>61154.723475901177</v>
      </c>
      <c r="R23" s="132">
        <f t="shared" si="8"/>
        <v>597.44347590117832</v>
      </c>
      <c r="S23" s="133">
        <f t="shared" si="10"/>
        <v>10.866155557196372</v>
      </c>
      <c r="U23" s="114"/>
    </row>
    <row r="24" spans="1:21" s="29" customFormat="1">
      <c r="A24" s="177"/>
      <c r="B24" s="42">
        <v>21</v>
      </c>
      <c r="C24" s="129" t="s">
        <v>16</v>
      </c>
      <c r="D24" s="130">
        <v>104</v>
      </c>
      <c r="E24" s="41">
        <f>References!$B$11</f>
        <v>2.1666666666666665</v>
      </c>
      <c r="F24" s="130">
        <f t="shared" si="2"/>
        <v>2704</v>
      </c>
      <c r="G24" s="165">
        <f>References!B24</f>
        <v>48</v>
      </c>
      <c r="H24" s="130">
        <f t="shared" si="3"/>
        <v>129792</v>
      </c>
      <c r="I24" s="131">
        <f t="shared" si="9"/>
        <v>100330.92063444205</v>
      </c>
      <c r="J24" s="132">
        <f>References!$C$53*'DF Calc (Mason Co.)'!I24</f>
        <v>168.55594666586273</v>
      </c>
      <c r="K24" s="132">
        <f>J24/References!$G$56</f>
        <v>171.86871617004027</v>
      </c>
      <c r="L24" s="132">
        <f t="shared" si="4"/>
        <v>0.13771531744394253</v>
      </c>
      <c r="M24" s="164">
        <f>'Prop. Rates'!B28</f>
        <v>14.23</v>
      </c>
      <c r="N24" s="132">
        <f t="shared" si="5"/>
        <v>14.367715317443944</v>
      </c>
      <c r="O24" s="164">
        <f>'Prop. Rates'!D28</f>
        <v>14.37</v>
      </c>
      <c r="P24" s="132">
        <f t="shared" si="6"/>
        <v>17759.04</v>
      </c>
      <c r="Q24" s="132">
        <f t="shared" si="7"/>
        <v>17933.760000000002</v>
      </c>
      <c r="R24" s="132">
        <f t="shared" si="8"/>
        <v>174.72000000000116</v>
      </c>
      <c r="S24" s="133">
        <f t="shared" si="10"/>
        <v>14.367715317443944</v>
      </c>
      <c r="U24" s="114"/>
    </row>
    <row r="25" spans="1:21" s="29" customFormat="1">
      <c r="A25" s="177"/>
      <c r="B25" s="42">
        <v>21</v>
      </c>
      <c r="C25" s="129" t="s">
        <v>17</v>
      </c>
      <c r="D25" s="130">
        <v>92</v>
      </c>
      <c r="E25" s="41">
        <f>References!$B$11</f>
        <v>2.1666666666666665</v>
      </c>
      <c r="F25" s="130">
        <f t="shared" si="2"/>
        <v>2392</v>
      </c>
      <c r="G25" s="165">
        <f>References!B25</f>
        <v>51</v>
      </c>
      <c r="H25" s="130">
        <f t="shared" si="3"/>
        <v>121992</v>
      </c>
      <c r="I25" s="131">
        <f t="shared" si="9"/>
        <v>94301.418192468365</v>
      </c>
      <c r="J25" s="132">
        <f>References!$C$53*'DF Calc (Mason Co.)'!I25</f>
        <v>158.42638256334695</v>
      </c>
      <c r="K25" s="132">
        <f>J25/References!$G$56</f>
        <v>161.54006736174458</v>
      </c>
      <c r="L25" s="132">
        <f t="shared" si="4"/>
        <v>0.14632252478418889</v>
      </c>
      <c r="M25" s="164">
        <f>'Prop. Rates'!B29</f>
        <v>16.989999999999998</v>
      </c>
      <c r="N25" s="132">
        <f t="shared" si="5"/>
        <v>17.136322524784187</v>
      </c>
      <c r="O25" s="164">
        <f>'Prop. Rates'!D29</f>
        <v>17.14</v>
      </c>
      <c r="P25" s="132">
        <f t="shared" si="6"/>
        <v>18756.96</v>
      </c>
      <c r="Q25" s="132">
        <f t="shared" si="7"/>
        <v>18922.560000000001</v>
      </c>
      <c r="R25" s="132">
        <f t="shared" si="8"/>
        <v>165.60000000000218</v>
      </c>
      <c r="S25" s="133">
        <f t="shared" si="10"/>
        <v>17.136322524784187</v>
      </c>
      <c r="U25" s="114"/>
    </row>
    <row r="26" spans="1:21" s="29" customFormat="1">
      <c r="A26" s="177"/>
      <c r="B26" s="42">
        <v>21</v>
      </c>
      <c r="C26" s="129" t="s">
        <v>18</v>
      </c>
      <c r="D26" s="130">
        <v>32</v>
      </c>
      <c r="E26" s="41">
        <f>References!$B$11</f>
        <v>2.1666666666666665</v>
      </c>
      <c r="F26" s="130">
        <f t="shared" si="2"/>
        <v>832</v>
      </c>
      <c r="G26" s="165">
        <f>References!B26</f>
        <v>77</v>
      </c>
      <c r="H26" s="130">
        <f t="shared" si="3"/>
        <v>64064</v>
      </c>
      <c r="I26" s="131">
        <f t="shared" si="9"/>
        <v>49522.313390077165</v>
      </c>
      <c r="J26" s="132">
        <f>References!$C$53*'DF Calc (Mason Co.)'!I26</f>
        <v>83.197486495329684</v>
      </c>
      <c r="K26" s="132">
        <f>J26/References!$G$56</f>
        <v>84.832635545468591</v>
      </c>
      <c r="L26" s="132">
        <f t="shared" si="4"/>
        <v>0.22091832173299111</v>
      </c>
      <c r="M26" s="164">
        <f>'Prop. Rates'!B30</f>
        <v>21.26</v>
      </c>
      <c r="N26" s="132">
        <f t="shared" si="5"/>
        <v>21.480918321732993</v>
      </c>
      <c r="O26" s="164">
        <f>'Prop. Rates'!D30</f>
        <v>21.48</v>
      </c>
      <c r="P26" s="132">
        <f t="shared" si="6"/>
        <v>8163.84</v>
      </c>
      <c r="Q26" s="132">
        <f t="shared" si="7"/>
        <v>8248.32</v>
      </c>
      <c r="R26" s="132">
        <f t="shared" si="8"/>
        <v>84.479999999999563</v>
      </c>
      <c r="S26" s="133">
        <f t="shared" si="10"/>
        <v>21.480918321732993</v>
      </c>
      <c r="U26" s="114"/>
    </row>
    <row r="27" spans="1:21" s="29" customFormat="1">
      <c r="A27" s="177"/>
      <c r="B27" s="42"/>
      <c r="C27" s="129"/>
      <c r="D27" s="130"/>
      <c r="E27" s="41"/>
      <c r="F27" s="130"/>
      <c r="G27" s="165"/>
      <c r="H27" s="130"/>
      <c r="I27" s="131"/>
      <c r="J27" s="132"/>
      <c r="K27" s="132"/>
      <c r="L27" s="132"/>
      <c r="M27" s="164"/>
      <c r="N27" s="132"/>
      <c r="O27" s="164"/>
      <c r="P27" s="132"/>
      <c r="Q27" s="132"/>
      <c r="R27" s="132"/>
      <c r="S27" s="133"/>
      <c r="U27" s="114"/>
    </row>
    <row r="28" spans="1:21" s="29" customFormat="1">
      <c r="A28" s="177"/>
      <c r="B28" s="42">
        <v>21</v>
      </c>
      <c r="C28" s="129" t="s">
        <v>19</v>
      </c>
      <c r="D28" s="130">
        <v>215</v>
      </c>
      <c r="E28" s="41">
        <f>References!$B$12</f>
        <v>1</v>
      </c>
      <c r="F28" s="130">
        <f t="shared" si="2"/>
        <v>2580</v>
      </c>
      <c r="G28" s="165">
        <f>References!B17</f>
        <v>34</v>
      </c>
      <c r="H28" s="130">
        <f t="shared" si="3"/>
        <v>87720</v>
      </c>
      <c r="I28" s="131">
        <f>$C$93*H28</f>
        <v>67808.712078196317</v>
      </c>
      <c r="J28" s="132">
        <f>References!$C$53*'DF Calc (Mason Co.)'!I28</f>
        <v>113.91863629136988</v>
      </c>
      <c r="K28" s="132">
        <f>J28/References!$G$56</f>
        <v>116.1575735209869</v>
      </c>
      <c r="L28" s="132">
        <f t="shared" si="4"/>
        <v>4.5022315318211978E-2</v>
      </c>
      <c r="M28" s="164">
        <f>'Prop. Rates'!B19</f>
        <v>4.9800000000000004</v>
      </c>
      <c r="N28" s="132">
        <f t="shared" si="5"/>
        <v>5.0250223153182123</v>
      </c>
      <c r="O28" s="164">
        <f>'Prop. Rates'!D19</f>
        <v>5.03</v>
      </c>
      <c r="P28" s="132">
        <f t="shared" si="6"/>
        <v>12848.400000000001</v>
      </c>
      <c r="Q28" s="132">
        <f t="shared" si="7"/>
        <v>12977.400000000001</v>
      </c>
      <c r="R28" s="132">
        <f t="shared" si="8"/>
        <v>129</v>
      </c>
      <c r="S28" s="133">
        <f>N28</f>
        <v>5.0250223153182123</v>
      </c>
      <c r="U28" s="114"/>
    </row>
    <row r="29" spans="1:21" s="29" customFormat="1">
      <c r="A29" s="177"/>
      <c r="B29" s="42">
        <v>21</v>
      </c>
      <c r="C29" s="129" t="s">
        <v>20</v>
      </c>
      <c r="D29" s="130">
        <v>63</v>
      </c>
      <c r="E29" s="41">
        <f>References!$B$12</f>
        <v>1</v>
      </c>
      <c r="F29" s="130">
        <f t="shared" si="2"/>
        <v>756</v>
      </c>
      <c r="G29" s="165">
        <f>References!B23</f>
        <v>37</v>
      </c>
      <c r="H29" s="130">
        <f t="shared" si="3"/>
        <v>27972</v>
      </c>
      <c r="I29" s="131">
        <f>$C$93*H29</f>
        <v>21622.723372677923</v>
      </c>
      <c r="J29" s="132">
        <f>References!$C$53*'DF Calc (Mason Co.)'!I29</f>
        <v>36.326175266098929</v>
      </c>
      <c r="K29" s="132">
        <f>J29/References!$G$56</f>
        <v>37.040123649441924</v>
      </c>
      <c r="L29" s="132">
        <f t="shared" si="4"/>
        <v>4.8994872552171859E-2</v>
      </c>
      <c r="M29" s="164">
        <f>'Prop. Rates'!B31</f>
        <v>6.4</v>
      </c>
      <c r="N29" s="132">
        <f t="shared" si="5"/>
        <v>6.4489948725521726</v>
      </c>
      <c r="O29" s="164">
        <f>'Prop. Rates'!D31</f>
        <v>6.45</v>
      </c>
      <c r="P29" s="132">
        <f t="shared" si="6"/>
        <v>4838.4000000000005</v>
      </c>
      <c r="Q29" s="132">
        <f t="shared" si="7"/>
        <v>4876.2000000000007</v>
      </c>
      <c r="R29" s="132">
        <f t="shared" si="8"/>
        <v>37.800000000000182</v>
      </c>
      <c r="S29" s="133">
        <f>N29</f>
        <v>6.4489948725521726</v>
      </c>
      <c r="U29" s="114"/>
    </row>
    <row r="30" spans="1:21" s="29" customFormat="1">
      <c r="A30" s="177"/>
      <c r="B30" s="42">
        <v>21</v>
      </c>
      <c r="C30" s="129" t="s">
        <v>21</v>
      </c>
      <c r="D30" s="130">
        <v>4</v>
      </c>
      <c r="E30" s="41">
        <f>References!$B$12</f>
        <v>1</v>
      </c>
      <c r="F30" s="130">
        <f t="shared" si="2"/>
        <v>48</v>
      </c>
      <c r="G30" s="165">
        <f>References!B24</f>
        <v>48</v>
      </c>
      <c r="H30" s="130">
        <f t="shared" si="3"/>
        <v>2304</v>
      </c>
      <c r="I30" s="131">
        <f>$C$93*H30</f>
        <v>1781.022259782995</v>
      </c>
      <c r="J30" s="132">
        <f>References!$C$53*'DF Calc (Mason Co.)'!I30</f>
        <v>2.9921173964354333</v>
      </c>
      <c r="K30" s="132">
        <f>J30/References!$G$56</f>
        <v>3.0509239556811885</v>
      </c>
      <c r="L30" s="132">
        <f t="shared" si="4"/>
        <v>6.3560915743358093E-2</v>
      </c>
      <c r="M30" s="164">
        <f>'Prop. Rates'!B32</f>
        <v>8.02</v>
      </c>
      <c r="N30" s="132">
        <f t="shared" si="5"/>
        <v>8.083560915743357</v>
      </c>
      <c r="O30" s="164">
        <f>'Prop. Rates'!D32</f>
        <v>8.08</v>
      </c>
      <c r="P30" s="132">
        <f t="shared" si="6"/>
        <v>384.96</v>
      </c>
      <c r="Q30" s="132">
        <f t="shared" si="7"/>
        <v>387.84000000000003</v>
      </c>
      <c r="R30" s="132">
        <f t="shared" si="8"/>
        <v>2.8800000000000523</v>
      </c>
      <c r="S30" s="133">
        <f>N30</f>
        <v>8.083560915743357</v>
      </c>
      <c r="U30" s="114"/>
    </row>
    <row r="31" spans="1:21" s="29" customFormat="1">
      <c r="A31" s="177"/>
      <c r="B31" s="42">
        <v>21</v>
      </c>
      <c r="C31" s="129" t="s">
        <v>22</v>
      </c>
      <c r="D31" s="130">
        <v>4</v>
      </c>
      <c r="E31" s="41">
        <f>References!$B$12</f>
        <v>1</v>
      </c>
      <c r="F31" s="130">
        <f t="shared" si="2"/>
        <v>48</v>
      </c>
      <c r="G31" s="165">
        <f>References!B25</f>
        <v>51</v>
      </c>
      <c r="H31" s="130">
        <f t="shared" si="3"/>
        <v>2448</v>
      </c>
      <c r="I31" s="131">
        <f>$C$93*H31</f>
        <v>1892.3361510194322</v>
      </c>
      <c r="J31" s="132">
        <f>References!$C$53*'DF Calc (Mason Co.)'!I31</f>
        <v>3.1791247337126478</v>
      </c>
      <c r="K31" s="132">
        <f>J31/References!$G$56</f>
        <v>3.2416067029112625</v>
      </c>
      <c r="L31" s="132">
        <f t="shared" si="4"/>
        <v>6.7533472977317974E-2</v>
      </c>
      <c r="M31" s="164">
        <f>'Prop. Rates'!B33</f>
        <v>9.4700000000000006</v>
      </c>
      <c r="N31" s="132">
        <f t="shared" si="5"/>
        <v>9.5375334729773193</v>
      </c>
      <c r="O31" s="164">
        <f>'Prop. Rates'!D33</f>
        <v>9.5399999999999991</v>
      </c>
      <c r="P31" s="132">
        <f t="shared" si="6"/>
        <v>454.56000000000006</v>
      </c>
      <c r="Q31" s="132">
        <f t="shared" si="7"/>
        <v>457.91999999999996</v>
      </c>
      <c r="R31" s="132">
        <f t="shared" si="8"/>
        <v>3.3599999999999</v>
      </c>
      <c r="S31" s="133">
        <f>N31</f>
        <v>9.5375334729773193</v>
      </c>
      <c r="U31" s="114"/>
    </row>
    <row r="32" spans="1:21" s="29" customFormat="1">
      <c r="A32" s="177"/>
      <c r="B32" s="42">
        <v>21</v>
      </c>
      <c r="C32" s="129" t="s">
        <v>23</v>
      </c>
      <c r="D32" s="130">
        <v>6</v>
      </c>
      <c r="E32" s="41">
        <f>References!$B$12</f>
        <v>1</v>
      </c>
      <c r="F32" s="130">
        <f t="shared" si="2"/>
        <v>72</v>
      </c>
      <c r="G32" s="165">
        <f>References!B26</f>
        <v>77</v>
      </c>
      <c r="H32" s="130">
        <f t="shared" si="3"/>
        <v>5544</v>
      </c>
      <c r="I32" s="131">
        <f>$C$93*H32</f>
        <v>4285.5848126028313</v>
      </c>
      <c r="J32" s="132">
        <f>References!$C$53*'DF Calc (Mason Co.)'!I32</f>
        <v>7.1997824851727605</v>
      </c>
      <c r="K32" s="132">
        <f>J32/References!$G$56</f>
        <v>7.3412857683578583</v>
      </c>
      <c r="L32" s="132">
        <f t="shared" si="4"/>
        <v>0.10196230233830358</v>
      </c>
      <c r="M32" s="164">
        <f>'Prop. Rates'!B34</f>
        <v>11.67</v>
      </c>
      <c r="N32" s="132">
        <f t="shared" si="5"/>
        <v>11.771962302338304</v>
      </c>
      <c r="O32" s="164">
        <f>'Prop. Rates'!D34</f>
        <v>11.77</v>
      </c>
      <c r="P32" s="132">
        <f t="shared" si="6"/>
        <v>840.24</v>
      </c>
      <c r="Q32" s="132">
        <f t="shared" si="7"/>
        <v>847.44</v>
      </c>
      <c r="R32" s="132">
        <f t="shared" si="8"/>
        <v>7.2000000000000455</v>
      </c>
      <c r="S32" s="133">
        <f>N32</f>
        <v>11.771962302338304</v>
      </c>
      <c r="U32" s="114"/>
    </row>
    <row r="33" spans="1:21" s="29" customFormat="1">
      <c r="A33" s="177"/>
      <c r="B33" s="42"/>
      <c r="C33" s="129"/>
      <c r="D33" s="130"/>
      <c r="E33" s="41"/>
      <c r="F33" s="130"/>
      <c r="G33" s="165"/>
      <c r="H33" s="130"/>
      <c r="I33" s="131"/>
      <c r="J33" s="132"/>
      <c r="K33" s="132"/>
      <c r="L33" s="132"/>
      <c r="M33" s="164"/>
      <c r="N33" s="132"/>
      <c r="O33" s="164"/>
      <c r="P33" s="132"/>
      <c r="Q33" s="132"/>
      <c r="R33" s="132"/>
      <c r="S33" s="133"/>
      <c r="U33" s="114"/>
    </row>
    <row r="34" spans="1:21" s="29" customFormat="1">
      <c r="A34" s="177"/>
      <c r="B34" s="42">
        <v>22</v>
      </c>
      <c r="C34" s="135" t="s">
        <v>24</v>
      </c>
      <c r="D34" s="166">
        <v>267</v>
      </c>
      <c r="E34" s="41">
        <f>References!$B$12</f>
        <v>1</v>
      </c>
      <c r="F34" s="130">
        <f t="shared" si="2"/>
        <v>3204</v>
      </c>
      <c r="G34" s="163">
        <f>References!B17</f>
        <v>34</v>
      </c>
      <c r="H34" s="130">
        <f t="shared" si="3"/>
        <v>108936</v>
      </c>
      <c r="I34" s="131">
        <f t="shared" ref="I34:I40" si="11">$C$93*H34</f>
        <v>84208.958720364739</v>
      </c>
      <c r="J34" s="132">
        <f>References!$C$53*'DF Calc (Mason Co.)'!I34</f>
        <v>141.47105065021285</v>
      </c>
      <c r="K34" s="132">
        <f>J34/References!$G$56</f>
        <v>144.25149827955121</v>
      </c>
      <c r="L34" s="132">
        <f>K34/F34</f>
        <v>4.5022315318211992E-2</v>
      </c>
      <c r="M34" s="164">
        <f>'Prop. Rates'!B38</f>
        <v>4.9800000000000004</v>
      </c>
      <c r="N34" s="132">
        <f t="shared" si="5"/>
        <v>5.0250223153182123</v>
      </c>
      <c r="O34" s="164">
        <f>'Prop. Rates'!D38</f>
        <v>5.03</v>
      </c>
      <c r="P34" s="132">
        <f>F34*M34</f>
        <v>15955.920000000002</v>
      </c>
      <c r="Q34" s="132">
        <f>F34*O34</f>
        <v>16116.12</v>
      </c>
      <c r="R34" s="132">
        <f t="shared" si="8"/>
        <v>160.19999999999891</v>
      </c>
      <c r="S34" s="133">
        <f t="shared" ref="S34:S40" si="12">N34</f>
        <v>5.0250223153182123</v>
      </c>
      <c r="U34" s="114"/>
    </row>
    <row r="35" spans="1:21" s="29" customFormat="1">
      <c r="A35" s="177"/>
      <c r="B35" s="42">
        <v>22</v>
      </c>
      <c r="C35" s="135" t="s">
        <v>25</v>
      </c>
      <c r="D35" s="166">
        <v>98</v>
      </c>
      <c r="E35" s="41">
        <f>References!$B$12</f>
        <v>1</v>
      </c>
      <c r="F35" s="130">
        <f t="shared" si="2"/>
        <v>1176</v>
      </c>
      <c r="G35" s="165">
        <f>References!B23</f>
        <v>37</v>
      </c>
      <c r="H35" s="130">
        <f t="shared" si="3"/>
        <v>43512</v>
      </c>
      <c r="I35" s="131">
        <f t="shared" si="11"/>
        <v>33635.347468610104</v>
      </c>
      <c r="J35" s="132">
        <f>References!$C$53*'DF Calc (Mason Co.)'!I35</f>
        <v>56.507383747265003</v>
      </c>
      <c r="K35" s="132">
        <f>J35/References!$G$56</f>
        <v>57.617970121354105</v>
      </c>
      <c r="L35" s="132">
        <f t="shared" ref="L35:L40" si="13">K35/F35</f>
        <v>4.8994872552171859E-2</v>
      </c>
      <c r="M35" s="164">
        <f>'Prop. Rates'!B40</f>
        <v>6.4</v>
      </c>
      <c r="N35" s="132">
        <f t="shared" si="5"/>
        <v>6.4489948725521726</v>
      </c>
      <c r="O35" s="164">
        <f>'Prop. Rates'!D40</f>
        <v>6.45</v>
      </c>
      <c r="P35" s="132">
        <f t="shared" ref="P35:P40" si="14">F35*M35</f>
        <v>7526.4000000000005</v>
      </c>
      <c r="Q35" s="132">
        <f t="shared" ref="Q35:Q40" si="15">F35*O35</f>
        <v>7585.2</v>
      </c>
      <c r="R35" s="132">
        <f t="shared" si="8"/>
        <v>58.799999999999272</v>
      </c>
      <c r="S35" s="133">
        <f t="shared" si="12"/>
        <v>6.4489948725521726</v>
      </c>
      <c r="U35" s="114"/>
    </row>
    <row r="36" spans="1:21" s="29" customFormat="1">
      <c r="A36" s="177"/>
      <c r="B36" s="42">
        <v>22</v>
      </c>
      <c r="C36" s="135" t="s">
        <v>26</v>
      </c>
      <c r="D36" s="166">
        <v>12</v>
      </c>
      <c r="E36" s="41">
        <f>References!$B$12</f>
        <v>1</v>
      </c>
      <c r="F36" s="130">
        <f t="shared" si="2"/>
        <v>144</v>
      </c>
      <c r="G36" s="165">
        <f>References!B24</f>
        <v>48</v>
      </c>
      <c r="H36" s="130">
        <f t="shared" si="3"/>
        <v>6912</v>
      </c>
      <c r="I36" s="131">
        <f t="shared" si="11"/>
        <v>5343.0667793489847</v>
      </c>
      <c r="J36" s="132">
        <f>References!$C$53*'DF Calc (Mason Co.)'!I36</f>
        <v>8.976352189306299</v>
      </c>
      <c r="K36" s="132">
        <f>J36/References!$G$56</f>
        <v>9.1527718670435636</v>
      </c>
      <c r="L36" s="132">
        <f t="shared" si="13"/>
        <v>6.3560915743358079E-2</v>
      </c>
      <c r="M36" s="164">
        <f>'Prop. Rates'!B41</f>
        <v>8.02</v>
      </c>
      <c r="N36" s="132">
        <f t="shared" si="5"/>
        <v>8.083560915743357</v>
      </c>
      <c r="O36" s="164">
        <f>'Prop. Rates'!D41</f>
        <v>8.08</v>
      </c>
      <c r="P36" s="132">
        <f t="shared" si="14"/>
        <v>1154.8799999999999</v>
      </c>
      <c r="Q36" s="132">
        <f t="shared" si="15"/>
        <v>1163.52</v>
      </c>
      <c r="R36" s="132">
        <f t="shared" si="8"/>
        <v>8.6400000000001</v>
      </c>
      <c r="S36" s="133">
        <f t="shared" si="12"/>
        <v>8.083560915743357</v>
      </c>
      <c r="U36" s="114"/>
    </row>
    <row r="37" spans="1:21" s="29" customFormat="1">
      <c r="A37" s="177"/>
      <c r="B37" s="42">
        <v>22</v>
      </c>
      <c r="C37" s="135" t="s">
        <v>27</v>
      </c>
      <c r="D37" s="166">
        <v>15</v>
      </c>
      <c r="E37" s="41">
        <f>References!$B$12</f>
        <v>1</v>
      </c>
      <c r="F37" s="130">
        <f t="shared" si="2"/>
        <v>180</v>
      </c>
      <c r="G37" s="163">
        <f>References!B25</f>
        <v>51</v>
      </c>
      <c r="H37" s="130">
        <f t="shared" si="3"/>
        <v>9180</v>
      </c>
      <c r="I37" s="131">
        <f t="shared" si="11"/>
        <v>7096.2605663228705</v>
      </c>
      <c r="J37" s="132">
        <f>References!$C$53*'DF Calc (Mason Co.)'!I37</f>
        <v>11.921717751422429</v>
      </c>
      <c r="K37" s="132">
        <f>J37/References!$G$56</f>
        <v>12.156025135917234</v>
      </c>
      <c r="L37" s="132">
        <f t="shared" si="13"/>
        <v>6.7533472977317974E-2</v>
      </c>
      <c r="M37" s="164">
        <f>'Prop. Rates'!B42</f>
        <v>9.4700000000000006</v>
      </c>
      <c r="N37" s="132">
        <f t="shared" si="5"/>
        <v>9.5375334729773193</v>
      </c>
      <c r="O37" s="164">
        <f>'Prop. Rates'!D42</f>
        <v>9.5399999999999991</v>
      </c>
      <c r="P37" s="132">
        <f t="shared" si="14"/>
        <v>1704.6000000000001</v>
      </c>
      <c r="Q37" s="132">
        <f t="shared" si="15"/>
        <v>1717.1999999999998</v>
      </c>
      <c r="R37" s="132">
        <f t="shared" si="8"/>
        <v>12.599999999999682</v>
      </c>
      <c r="S37" s="133">
        <f t="shared" si="12"/>
        <v>9.5375334729773193</v>
      </c>
      <c r="U37" s="114"/>
    </row>
    <row r="38" spans="1:21" s="29" customFormat="1">
      <c r="A38" s="177"/>
      <c r="B38" s="42">
        <v>22</v>
      </c>
      <c r="C38" s="135" t="s">
        <v>28</v>
      </c>
      <c r="D38" s="166">
        <v>6</v>
      </c>
      <c r="E38" s="41">
        <f>References!$B$12</f>
        <v>1</v>
      </c>
      <c r="F38" s="130">
        <f t="shared" si="2"/>
        <v>72</v>
      </c>
      <c r="G38" s="163">
        <f>References!B26</f>
        <v>77</v>
      </c>
      <c r="H38" s="130">
        <f t="shared" si="3"/>
        <v>5544</v>
      </c>
      <c r="I38" s="131">
        <f t="shared" si="11"/>
        <v>4285.5848126028313</v>
      </c>
      <c r="J38" s="132">
        <f>References!$C$53*'DF Calc (Mason Co.)'!I38</f>
        <v>7.1997824851727605</v>
      </c>
      <c r="K38" s="132">
        <f>J38/References!$G$56</f>
        <v>7.3412857683578583</v>
      </c>
      <c r="L38" s="132">
        <f t="shared" si="13"/>
        <v>0.10196230233830358</v>
      </c>
      <c r="M38" s="164">
        <f>'Prop. Rates'!B43</f>
        <v>11.67</v>
      </c>
      <c r="N38" s="132">
        <f t="shared" si="5"/>
        <v>11.771962302338304</v>
      </c>
      <c r="O38" s="164">
        <f>'Prop. Rates'!D43</f>
        <v>11.77</v>
      </c>
      <c r="P38" s="132">
        <f t="shared" si="14"/>
        <v>840.24</v>
      </c>
      <c r="Q38" s="132">
        <f t="shared" si="15"/>
        <v>847.43999999999994</v>
      </c>
      <c r="R38" s="132">
        <f t="shared" si="8"/>
        <v>7.1999999999999318</v>
      </c>
      <c r="S38" s="133">
        <f t="shared" si="12"/>
        <v>11.771962302338304</v>
      </c>
      <c r="U38" s="114"/>
    </row>
    <row r="39" spans="1:21" s="29" customFormat="1">
      <c r="A39" s="177"/>
      <c r="B39" s="42">
        <v>22</v>
      </c>
      <c r="C39" s="135" t="s">
        <v>29</v>
      </c>
      <c r="D39" s="166">
        <v>1019</v>
      </c>
      <c r="E39" s="41">
        <f>References!$B$12</f>
        <v>1</v>
      </c>
      <c r="F39" s="130">
        <f t="shared" si="2"/>
        <v>12228</v>
      </c>
      <c r="G39" s="163">
        <f>References!B28</f>
        <v>34</v>
      </c>
      <c r="H39" s="130">
        <f t="shared" si="3"/>
        <v>415752</v>
      </c>
      <c r="I39" s="131">
        <f t="shared" si="11"/>
        <v>321381.75631480024</v>
      </c>
      <c r="J39" s="132">
        <f>References!$C$53*'DF Calc (Mason Co.)'!I39</f>
        <v>539.92135060886471</v>
      </c>
      <c r="K39" s="132">
        <f>J39/References!$G$56</f>
        <v>550.53287171109616</v>
      </c>
      <c r="L39" s="132">
        <f t="shared" si="13"/>
        <v>4.5022315318211985E-2</v>
      </c>
      <c r="M39" s="164">
        <f>'Prop. Rates'!B37</f>
        <v>4.46</v>
      </c>
      <c r="N39" s="132">
        <f t="shared" si="5"/>
        <v>4.5050223153182118</v>
      </c>
      <c r="O39" s="164">
        <f>'Prop. Rates'!D37</f>
        <v>4.51</v>
      </c>
      <c r="P39" s="132">
        <f t="shared" si="14"/>
        <v>54536.88</v>
      </c>
      <c r="Q39" s="132">
        <f t="shared" si="15"/>
        <v>55148.28</v>
      </c>
      <c r="R39" s="132">
        <f t="shared" si="8"/>
        <v>611.40000000000146</v>
      </c>
      <c r="S39" s="133">
        <f t="shared" si="12"/>
        <v>4.5050223153182118</v>
      </c>
      <c r="U39" s="114"/>
    </row>
    <row r="40" spans="1:21" s="29" customFormat="1">
      <c r="A40" s="177"/>
      <c r="B40" s="42">
        <v>22</v>
      </c>
      <c r="C40" s="135" t="s">
        <v>30</v>
      </c>
      <c r="D40" s="166">
        <v>96</v>
      </c>
      <c r="E40" s="41">
        <f>References!$B$12</f>
        <v>1</v>
      </c>
      <c r="F40" s="130">
        <f t="shared" si="2"/>
        <v>1152</v>
      </c>
      <c r="G40" s="163">
        <f>References!B28</f>
        <v>34</v>
      </c>
      <c r="H40" s="130">
        <f t="shared" si="3"/>
        <v>39168</v>
      </c>
      <c r="I40" s="131">
        <f t="shared" si="11"/>
        <v>30277.378416310916</v>
      </c>
      <c r="J40" s="132">
        <f>References!$C$53*'DF Calc (Mason Co.)'!I40</f>
        <v>50.865995739402365</v>
      </c>
      <c r="K40" s="132">
        <f>J40/References!$G$56</f>
        <v>51.8657072465802</v>
      </c>
      <c r="L40" s="132">
        <f t="shared" si="13"/>
        <v>4.5022315318211978E-2</v>
      </c>
      <c r="M40" s="164">
        <f>'Prop. Rates'!B37</f>
        <v>4.46</v>
      </c>
      <c r="N40" s="132">
        <f t="shared" si="5"/>
        <v>4.5050223153182118</v>
      </c>
      <c r="O40" s="164">
        <f>'Prop. Rates'!D37</f>
        <v>4.51</v>
      </c>
      <c r="P40" s="132">
        <f t="shared" si="14"/>
        <v>5137.92</v>
      </c>
      <c r="Q40" s="132">
        <f t="shared" si="15"/>
        <v>5195.5199999999995</v>
      </c>
      <c r="R40" s="132">
        <f t="shared" si="8"/>
        <v>57.599999999999454</v>
      </c>
      <c r="S40" s="133">
        <f t="shared" si="12"/>
        <v>4.5050223153182118</v>
      </c>
      <c r="U40" s="114"/>
    </row>
    <row r="41" spans="1:21" s="29" customFormat="1">
      <c r="A41" s="177"/>
      <c r="B41" s="42"/>
      <c r="C41" s="40"/>
      <c r="D41" s="166"/>
      <c r="E41" s="41"/>
      <c r="F41" s="130"/>
      <c r="G41" s="165"/>
      <c r="H41" s="130"/>
      <c r="I41" s="131"/>
      <c r="J41" s="132"/>
      <c r="K41" s="132"/>
      <c r="L41" s="132"/>
      <c r="M41" s="167"/>
      <c r="N41" s="132"/>
      <c r="O41" s="132"/>
      <c r="P41" s="132"/>
      <c r="Q41" s="132"/>
      <c r="R41" s="132"/>
      <c r="S41" s="133"/>
    </row>
    <row r="42" spans="1:21" s="29" customFormat="1">
      <c r="A42" s="90"/>
      <c r="B42" s="91"/>
      <c r="C42" s="92" t="s">
        <v>31</v>
      </c>
      <c r="D42" s="93">
        <f>SUM(D6:D41)</f>
        <v>8873</v>
      </c>
      <c r="E42" s="136"/>
      <c r="F42" s="94">
        <f>SUM(F6:F41)</f>
        <v>329734</v>
      </c>
      <c r="G42" s="95"/>
      <c r="H42" s="96">
        <f>SUM(H6:H41)</f>
        <v>13113624</v>
      </c>
      <c r="I42" s="97">
        <f>SUM(I6:I41)</f>
        <v>10137003.580913421</v>
      </c>
      <c r="J42" s="137"/>
      <c r="K42" s="137"/>
      <c r="L42" s="137"/>
      <c r="M42" s="137"/>
      <c r="N42" s="137"/>
      <c r="O42" s="137"/>
      <c r="P42" s="98">
        <f>SUM(P6:P41)</f>
        <v>1491921.5999999994</v>
      </c>
      <c r="Q42" s="98">
        <f>SUM(Q6:Q41)</f>
        <v>1509532.5553435963</v>
      </c>
      <c r="R42" s="98">
        <f>SUM(R6:R41)</f>
        <v>17610.955343596099</v>
      </c>
      <c r="S42" s="98"/>
    </row>
    <row r="43" spans="1:21" s="29" customFormat="1" ht="15" customHeight="1">
      <c r="A43" s="178" t="s">
        <v>142</v>
      </c>
      <c r="B43" s="42"/>
      <c r="C43" s="168" t="s">
        <v>32</v>
      </c>
      <c r="D43" s="130">
        <v>141</v>
      </c>
      <c r="E43" s="41">
        <f>References!$B$12</f>
        <v>1</v>
      </c>
      <c r="F43" s="130">
        <f t="shared" ref="F43:F49" si="16">D43*E43*12</f>
        <v>1692</v>
      </c>
      <c r="G43" s="165">
        <f>References!B30</f>
        <v>29</v>
      </c>
      <c r="H43" s="43">
        <f>F43*G43</f>
        <v>49068</v>
      </c>
      <c r="I43" s="131">
        <f t="shared" ref="I43:I49" si="17">$C$93*H43</f>
        <v>37930.208438815971</v>
      </c>
      <c r="J43" s="132">
        <f>References!$C$53*'DF Calc (Mason Co.)'!I43</f>
        <v>63.72275017721087</v>
      </c>
      <c r="K43" s="132">
        <f>J43/References!$G$56</f>
        <v>64.975146118647814</v>
      </c>
      <c r="L43" s="132">
        <f>K43/F43</f>
        <v>3.8401386594945519E-2</v>
      </c>
      <c r="M43" s="132">
        <f>'Prop. Rates'!B94</f>
        <v>4.68</v>
      </c>
      <c r="N43" s="132">
        <f>L43+M43</f>
        <v>4.7184013865949455</v>
      </c>
      <c r="O43" s="138">
        <f>'Prop. Rates'!D94</f>
        <v>4.72</v>
      </c>
      <c r="P43" s="132">
        <f t="shared" ref="P43:P49" si="18">F43*M43</f>
        <v>7918.5599999999995</v>
      </c>
      <c r="Q43" s="132">
        <f t="shared" ref="Q43:Q49" si="19">F43*O43</f>
        <v>7986.24</v>
      </c>
      <c r="R43" s="132">
        <f>Q43-P43</f>
        <v>67.680000000000291</v>
      </c>
      <c r="S43" s="133">
        <f t="shared" ref="S43:S49" si="20">N43</f>
        <v>4.7184013865949455</v>
      </c>
      <c r="U43" s="114"/>
    </row>
    <row r="44" spans="1:21" s="29" customFormat="1" ht="15" customHeight="1">
      <c r="A44" s="177"/>
      <c r="B44" s="42"/>
      <c r="C44" s="168" t="s">
        <v>33</v>
      </c>
      <c r="D44" s="166">
        <v>1</v>
      </c>
      <c r="E44" s="41">
        <f>References!$B$10</f>
        <v>4.333333333333333</v>
      </c>
      <c r="F44" s="130">
        <f t="shared" si="16"/>
        <v>52</v>
      </c>
      <c r="G44" s="165">
        <f>References!B31</f>
        <v>175</v>
      </c>
      <c r="H44" s="43">
        <f t="shared" ref="H44:H49" si="21">F44*G44</f>
        <v>9100</v>
      </c>
      <c r="I44" s="131">
        <f t="shared" si="17"/>
        <v>7034.419515635961</v>
      </c>
      <c r="J44" s="132">
        <f>References!$C$53*'DF Calc (Mason Co.)'!I44</f>
        <v>11.817824786268421</v>
      </c>
      <c r="K44" s="132">
        <f>J44/References!$G$56</f>
        <v>12.050090276344971</v>
      </c>
      <c r="L44" s="132">
        <f t="shared" ref="L44:L49" si="22">K44/F44</f>
        <v>0.23173250531432638</v>
      </c>
      <c r="M44" s="132">
        <f>'Prop. Rates'!B75</f>
        <v>17.059999999999999</v>
      </c>
      <c r="N44" s="132">
        <f t="shared" ref="N44:N49" si="23">L44+M44</f>
        <v>17.291732505314325</v>
      </c>
      <c r="O44" s="138">
        <f>'Prop. Rates'!D75</f>
        <v>17.29</v>
      </c>
      <c r="P44" s="132">
        <f t="shared" si="18"/>
        <v>887.11999999999989</v>
      </c>
      <c r="Q44" s="132">
        <f t="shared" si="19"/>
        <v>899.07999999999993</v>
      </c>
      <c r="R44" s="132">
        <f t="shared" ref="R44:R49" si="24">Q44-P44</f>
        <v>11.960000000000036</v>
      </c>
      <c r="S44" s="133">
        <f t="shared" si="20"/>
        <v>17.291732505314325</v>
      </c>
      <c r="U44" s="114"/>
    </row>
    <row r="45" spans="1:21" s="29" customFormat="1" ht="15" customHeight="1">
      <c r="A45" s="177"/>
      <c r="B45" s="42"/>
      <c r="C45" s="168" t="s">
        <v>34</v>
      </c>
      <c r="D45" s="166">
        <v>75</v>
      </c>
      <c r="E45" s="41">
        <f>References!$B$10</f>
        <v>4.333333333333333</v>
      </c>
      <c r="F45" s="130">
        <f t="shared" si="16"/>
        <v>3900</v>
      </c>
      <c r="G45" s="165">
        <f>References!B32</f>
        <v>250</v>
      </c>
      <c r="H45" s="43">
        <f t="shared" si="21"/>
        <v>975000</v>
      </c>
      <c r="I45" s="131">
        <f t="shared" si="17"/>
        <v>753687.80524671008</v>
      </c>
      <c r="J45" s="132">
        <f>References!$C$53*'DF Calc (Mason Co.)'!I45</f>
        <v>1266.1955128144737</v>
      </c>
      <c r="K45" s="132">
        <f>J45/References!$G$56</f>
        <v>1291.0811010369612</v>
      </c>
      <c r="L45" s="132">
        <f t="shared" si="22"/>
        <v>0.33104643616332335</v>
      </c>
      <c r="M45" s="132">
        <f>'Prop. Rates'!B76</f>
        <v>18.84</v>
      </c>
      <c r="N45" s="132">
        <f t="shared" si="23"/>
        <v>19.171046436163323</v>
      </c>
      <c r="O45" s="138">
        <f>'Prop. Rates'!D76</f>
        <v>19.170000000000002</v>
      </c>
      <c r="P45" s="132">
        <f t="shared" si="18"/>
        <v>73476</v>
      </c>
      <c r="Q45" s="132">
        <f t="shared" si="19"/>
        <v>74763</v>
      </c>
      <c r="R45" s="132">
        <f t="shared" si="24"/>
        <v>1287</v>
      </c>
      <c r="S45" s="133">
        <f t="shared" si="20"/>
        <v>19.171046436163323</v>
      </c>
      <c r="U45" s="114"/>
    </row>
    <row r="46" spans="1:21" s="29" customFormat="1" ht="15" customHeight="1">
      <c r="A46" s="177"/>
      <c r="B46" s="42"/>
      <c r="C46" s="168" t="s">
        <v>35</v>
      </c>
      <c r="D46" s="166">
        <f>223+8</f>
        <v>231</v>
      </c>
      <c r="E46" s="41">
        <f>References!$B$10</f>
        <v>4.333333333333333</v>
      </c>
      <c r="F46" s="130">
        <f t="shared" si="16"/>
        <v>12011.999999999998</v>
      </c>
      <c r="G46" s="165">
        <f>References!B33</f>
        <v>324</v>
      </c>
      <c r="H46" s="43">
        <f t="shared" si="21"/>
        <v>3891887.9999999995</v>
      </c>
      <c r="I46" s="131">
        <f t="shared" si="17"/>
        <v>3008480.5384471877</v>
      </c>
      <c r="J46" s="132">
        <f>References!$C$53*'DF Calc (Mason Co.)'!I46</f>
        <v>5054.2473045912784</v>
      </c>
      <c r="K46" s="132">
        <f>J46/References!$G$56</f>
        <v>5153.5826093872174</v>
      </c>
      <c r="L46" s="132">
        <f t="shared" si="22"/>
        <v>0.42903618126766718</v>
      </c>
      <c r="M46" s="132">
        <f>'Prop. Rates'!B77</f>
        <v>24.9</v>
      </c>
      <c r="N46" s="132">
        <f t="shared" si="23"/>
        <v>25.329036181267664</v>
      </c>
      <c r="O46" s="138">
        <f>'Prop. Rates'!D77</f>
        <v>25.33</v>
      </c>
      <c r="P46" s="132">
        <f t="shared" si="18"/>
        <v>299098.79999999993</v>
      </c>
      <c r="Q46" s="132">
        <f t="shared" si="19"/>
        <v>304263.9599999999</v>
      </c>
      <c r="R46" s="132">
        <f t="shared" si="24"/>
        <v>5165.1599999999744</v>
      </c>
      <c r="S46" s="133">
        <f t="shared" si="20"/>
        <v>25.329036181267664</v>
      </c>
      <c r="U46" s="114"/>
    </row>
    <row r="47" spans="1:21" s="29" customFormat="1" ht="15" customHeight="1">
      <c r="A47" s="177"/>
      <c r="B47" s="42"/>
      <c r="C47" s="168" t="s">
        <v>36</v>
      </c>
      <c r="D47" s="166">
        <v>7</v>
      </c>
      <c r="E47" s="41">
        <f>References!$B$11</f>
        <v>2.1666666666666665</v>
      </c>
      <c r="F47" s="130">
        <f t="shared" si="16"/>
        <v>182</v>
      </c>
      <c r="G47" s="165">
        <f>References!B31</f>
        <v>175</v>
      </c>
      <c r="H47" s="43">
        <f t="shared" si="21"/>
        <v>31850</v>
      </c>
      <c r="I47" s="131">
        <f t="shared" si="17"/>
        <v>24620.468304725866</v>
      </c>
      <c r="J47" s="132">
        <f>References!$C$53*'DF Calc (Mason Co.)'!I47</f>
        <v>41.362386751939475</v>
      </c>
      <c r="K47" s="132">
        <f>J47/References!$G$56</f>
        <v>42.175315967207396</v>
      </c>
      <c r="L47" s="132">
        <f t="shared" si="22"/>
        <v>0.23173250531432635</v>
      </c>
      <c r="M47" s="132">
        <f>'Prop. Rates'!B75</f>
        <v>17.059999999999999</v>
      </c>
      <c r="N47" s="132">
        <f t="shared" si="23"/>
        <v>17.291732505314325</v>
      </c>
      <c r="O47" s="138">
        <f>'Prop. Rates'!D75</f>
        <v>17.29</v>
      </c>
      <c r="P47" s="132">
        <f t="shared" si="18"/>
        <v>3104.9199999999996</v>
      </c>
      <c r="Q47" s="132">
        <f t="shared" si="19"/>
        <v>3146.7799999999997</v>
      </c>
      <c r="R47" s="132">
        <f t="shared" si="24"/>
        <v>41.860000000000127</v>
      </c>
      <c r="S47" s="133">
        <f t="shared" si="20"/>
        <v>17.291732505314325</v>
      </c>
      <c r="U47" s="114"/>
    </row>
    <row r="48" spans="1:21" s="29" customFormat="1" ht="15" customHeight="1">
      <c r="A48" s="177"/>
      <c r="B48" s="42"/>
      <c r="C48" s="168" t="s">
        <v>37</v>
      </c>
      <c r="D48" s="166">
        <v>181</v>
      </c>
      <c r="E48" s="41">
        <f>References!$B$11</f>
        <v>2.1666666666666665</v>
      </c>
      <c r="F48" s="130">
        <f t="shared" si="16"/>
        <v>4706</v>
      </c>
      <c r="G48" s="165">
        <f>References!B32</f>
        <v>250</v>
      </c>
      <c r="H48" s="43">
        <f t="shared" si="21"/>
        <v>1176500</v>
      </c>
      <c r="I48" s="131">
        <f t="shared" si="17"/>
        <v>909449.9516643635</v>
      </c>
      <c r="J48" s="132">
        <f>References!$C$53*'DF Calc (Mason Co.)'!I48</f>
        <v>1527.8759187961316</v>
      </c>
      <c r="K48" s="132">
        <f>J48/References!$G$56</f>
        <v>1557.9045285845998</v>
      </c>
      <c r="L48" s="132">
        <f t="shared" si="22"/>
        <v>0.33104643616332335</v>
      </c>
      <c r="M48" s="132">
        <f>'Prop. Rates'!B76</f>
        <v>18.84</v>
      </c>
      <c r="N48" s="132">
        <f t="shared" si="23"/>
        <v>19.171046436163323</v>
      </c>
      <c r="O48" s="138">
        <f>'Prop. Rates'!D76</f>
        <v>19.170000000000002</v>
      </c>
      <c r="P48" s="132">
        <f t="shared" si="18"/>
        <v>88661.04</v>
      </c>
      <c r="Q48" s="132">
        <f t="shared" si="19"/>
        <v>90214.02</v>
      </c>
      <c r="R48" s="132">
        <f t="shared" si="24"/>
        <v>1552.9800000000105</v>
      </c>
      <c r="S48" s="133">
        <f t="shared" si="20"/>
        <v>19.171046436163323</v>
      </c>
      <c r="U48" s="114"/>
    </row>
    <row r="49" spans="1:21" s="29" customFormat="1" ht="15" customHeight="1">
      <c r="A49" s="177"/>
      <c r="B49" s="42"/>
      <c r="C49" s="168" t="s">
        <v>38</v>
      </c>
      <c r="D49" s="166">
        <v>109</v>
      </c>
      <c r="E49" s="41">
        <f>References!$B$11</f>
        <v>2.1666666666666665</v>
      </c>
      <c r="F49" s="130">
        <f t="shared" si="16"/>
        <v>2834</v>
      </c>
      <c r="G49" s="165">
        <f>References!B33</f>
        <v>324</v>
      </c>
      <c r="H49" s="43">
        <f t="shared" si="21"/>
        <v>918216</v>
      </c>
      <c r="I49" s="131">
        <f t="shared" si="17"/>
        <v>709793.02746914176</v>
      </c>
      <c r="J49" s="132">
        <f>References!$C$53*'DF Calc (Mason Co.)'!I49</f>
        <v>1192.4522861481589</v>
      </c>
      <c r="K49" s="132">
        <f>J49/References!$G$56</f>
        <v>1215.8885377125687</v>
      </c>
      <c r="L49" s="132">
        <f t="shared" si="22"/>
        <v>0.42903618126766713</v>
      </c>
      <c r="M49" s="132">
        <f>'Prop. Rates'!B77</f>
        <v>24.9</v>
      </c>
      <c r="N49" s="132">
        <f t="shared" si="23"/>
        <v>25.329036181267664</v>
      </c>
      <c r="O49" s="138">
        <f>'Prop. Rates'!D77</f>
        <v>25.33</v>
      </c>
      <c r="P49" s="132">
        <f t="shared" si="18"/>
        <v>70566.599999999991</v>
      </c>
      <c r="Q49" s="132">
        <f t="shared" si="19"/>
        <v>71785.22</v>
      </c>
      <c r="R49" s="132">
        <f t="shared" si="24"/>
        <v>1218.6200000000099</v>
      </c>
      <c r="S49" s="133">
        <f t="shared" si="20"/>
        <v>25.329036181267664</v>
      </c>
      <c r="U49" s="114"/>
    </row>
    <row r="50" spans="1:21" s="29" customFormat="1">
      <c r="A50" s="177"/>
      <c r="B50" s="42"/>
      <c r="C50" s="139"/>
      <c r="D50" s="140"/>
      <c r="E50" s="140"/>
      <c r="F50" s="169"/>
      <c r="G50" s="165"/>
      <c r="H50" s="43"/>
      <c r="I50" s="131"/>
      <c r="J50" s="132"/>
      <c r="K50" s="132"/>
      <c r="L50" s="132"/>
      <c r="M50" s="138"/>
      <c r="N50" s="132"/>
      <c r="O50" s="138"/>
      <c r="P50" s="132"/>
      <c r="Q50" s="132"/>
      <c r="R50" s="132"/>
      <c r="S50" s="133"/>
    </row>
    <row r="51" spans="1:21" s="29" customFormat="1">
      <c r="A51" s="90"/>
      <c r="B51" s="75"/>
      <c r="C51" s="92" t="s">
        <v>31</v>
      </c>
      <c r="D51" s="93">
        <f>SUM(D43:D50)</f>
        <v>745</v>
      </c>
      <c r="E51" s="93"/>
      <c r="F51" s="93">
        <f>SUM(F43:F50)</f>
        <v>25378</v>
      </c>
      <c r="G51" s="93"/>
      <c r="H51" s="93">
        <f>SUM(H43:H50)</f>
        <v>7051622</v>
      </c>
      <c r="I51" s="97">
        <f>SUM(I43:I50)</f>
        <v>5450996.4190865811</v>
      </c>
      <c r="J51" s="98"/>
      <c r="K51" s="98"/>
      <c r="L51" s="98"/>
      <c r="M51" s="98"/>
      <c r="N51" s="98"/>
      <c r="O51" s="98"/>
      <c r="P51" s="98">
        <f>SUM(P43:P50)</f>
        <v>543713.03999999992</v>
      </c>
      <c r="Q51" s="98">
        <f>SUM(Q43:Q50)</f>
        <v>553058.29999999993</v>
      </c>
      <c r="R51" s="98">
        <f>SUM(R43:R50)</f>
        <v>9345.2599999999948</v>
      </c>
      <c r="S51" s="98"/>
    </row>
    <row r="52" spans="1:21">
      <c r="C52" s="45" t="s">
        <v>163</v>
      </c>
      <c r="D52" s="46">
        <f>D42+D51</f>
        <v>9618</v>
      </c>
      <c r="E52" s="46"/>
      <c r="F52" s="46">
        <f>F42+F51</f>
        <v>355112</v>
      </c>
      <c r="G52" s="46"/>
      <c r="H52" s="46">
        <f>H42+H51</f>
        <v>20165246</v>
      </c>
      <c r="I52" s="46">
        <f>I42+I51</f>
        <v>15588000.000000002</v>
      </c>
      <c r="J52" s="132"/>
      <c r="K52" s="47"/>
      <c r="L52" s="47"/>
      <c r="M52" s="47"/>
      <c r="N52" s="47"/>
      <c r="O52" s="47"/>
      <c r="P52" s="47">
        <f>P42+P51</f>
        <v>2035634.6399999992</v>
      </c>
      <c r="Q52" s="47">
        <f>Q42+Q51</f>
        <v>2062590.8553435961</v>
      </c>
      <c r="R52" s="47">
        <f>R42+R51</f>
        <v>26956.215343596094</v>
      </c>
      <c r="S52" s="47"/>
    </row>
    <row r="53" spans="1:21">
      <c r="J53" s="141"/>
    </row>
    <row r="54" spans="1:21">
      <c r="J54" s="141"/>
    </row>
    <row r="55" spans="1:21">
      <c r="A55" s="99"/>
      <c r="B55" s="100"/>
      <c r="C55" s="101" t="s">
        <v>164</v>
      </c>
      <c r="D55" s="102"/>
      <c r="E55" s="99"/>
      <c r="F55" s="99"/>
      <c r="G55" s="99"/>
      <c r="H55" s="99"/>
      <c r="I55" s="142"/>
      <c r="J55" s="143"/>
      <c r="K55" s="99"/>
      <c r="L55" s="99"/>
      <c r="M55" s="99"/>
      <c r="N55" s="99"/>
      <c r="O55" s="99"/>
      <c r="Q55" s="40" t="s">
        <v>141</v>
      </c>
      <c r="R55" s="52">
        <f>R42</f>
        <v>17610.955343596099</v>
      </c>
      <c r="S55" s="122">
        <f>R42/P42</f>
        <v>1.1804209647206734E-2</v>
      </c>
    </row>
    <row r="56" spans="1:21" ht="15" customHeight="1">
      <c r="A56" s="177" t="s">
        <v>141</v>
      </c>
      <c r="C56" s="71" t="s">
        <v>130</v>
      </c>
      <c r="D56" s="49"/>
      <c r="E56" s="41">
        <f>References!$B$12</f>
        <v>1</v>
      </c>
      <c r="F56" s="130">
        <f>E56*12</f>
        <v>12</v>
      </c>
      <c r="G56" s="130">
        <f>References!B28</f>
        <v>34</v>
      </c>
      <c r="H56" s="128">
        <f t="shared" ref="H56:H64" si="25">F56*G56</f>
        <v>408</v>
      </c>
      <c r="I56" s="128">
        <f t="shared" ref="I56:I64" si="26">$C$93*H56</f>
        <v>315.38935850323873</v>
      </c>
      <c r="J56" s="132">
        <f>References!$C$53*'DF Calc (Mason Co.)'!I56</f>
        <v>0.52985412228544138</v>
      </c>
      <c r="K56" s="132">
        <f>J56/References!$G$56</f>
        <v>0.54026778381854379</v>
      </c>
      <c r="L56" s="132">
        <f>K56/F56</f>
        <v>4.5022315318211985E-2</v>
      </c>
      <c r="M56" s="132">
        <f>'Prop. Rates'!B7</f>
        <v>4.46</v>
      </c>
      <c r="N56" s="132">
        <f t="shared" ref="N56:N64" si="27">L56+M56</f>
        <v>4.5050223153182118</v>
      </c>
      <c r="O56" s="132">
        <f>'Prop. Rates'!D7</f>
        <v>4.51</v>
      </c>
      <c r="P56" s="104"/>
      <c r="Q56" s="40" t="s">
        <v>142</v>
      </c>
      <c r="R56" s="52">
        <f>R51</f>
        <v>9345.2599999999948</v>
      </c>
      <c r="S56" s="122">
        <f>R51/P51</f>
        <v>1.7187853357351877E-2</v>
      </c>
    </row>
    <row r="57" spans="1:21">
      <c r="A57" s="177"/>
      <c r="C57" s="71" t="s">
        <v>112</v>
      </c>
      <c r="D57" s="67"/>
      <c r="E57" s="41">
        <f>References!$B$12</f>
        <v>1</v>
      </c>
      <c r="F57" s="130">
        <f t="shared" ref="F57:F84" si="28">E57*12</f>
        <v>12</v>
      </c>
      <c r="G57" s="130">
        <f>References!$B$25</f>
        <v>51</v>
      </c>
      <c r="H57" s="128">
        <f t="shared" si="25"/>
        <v>612</v>
      </c>
      <c r="I57" s="128">
        <f t="shared" si="26"/>
        <v>473.08403775485806</v>
      </c>
      <c r="J57" s="132">
        <f>References!$C$53*'DF Calc (Mason Co.)'!I57</f>
        <v>0.79478118342816195</v>
      </c>
      <c r="K57" s="132">
        <f>J57/References!$G$56</f>
        <v>0.81040167572781563</v>
      </c>
      <c r="L57" s="132">
        <f>K57/F57</f>
        <v>6.7533472977317974E-2</v>
      </c>
      <c r="M57" s="132">
        <f>'Prop. Rates'!B46</f>
        <v>14.59</v>
      </c>
      <c r="N57" s="132">
        <f t="shared" si="27"/>
        <v>14.657533472977319</v>
      </c>
      <c r="O57" s="132">
        <f>'Prop. Rates'!D46</f>
        <v>14.66</v>
      </c>
      <c r="P57" s="104"/>
      <c r="R57" s="52">
        <f>SUM(R55:R56)</f>
        <v>26956.215343596094</v>
      </c>
    </row>
    <row r="58" spans="1:21">
      <c r="A58" s="177"/>
      <c r="C58" s="71" t="s">
        <v>131</v>
      </c>
      <c r="D58" s="67"/>
      <c r="E58" s="41">
        <f>References!$B$12</f>
        <v>1</v>
      </c>
      <c r="F58" s="130">
        <f t="shared" si="28"/>
        <v>12</v>
      </c>
      <c r="G58" s="130">
        <f>References!$B$25</f>
        <v>51</v>
      </c>
      <c r="H58" s="128">
        <f t="shared" si="25"/>
        <v>612</v>
      </c>
      <c r="I58" s="128">
        <f t="shared" si="26"/>
        <v>473.08403775485806</v>
      </c>
      <c r="J58" s="132">
        <f>References!$C$53*'DF Calc (Mason Co.)'!I58</f>
        <v>0.79478118342816195</v>
      </c>
      <c r="K58" s="132">
        <f>J58/References!$G$56</f>
        <v>0.81040167572781563</v>
      </c>
      <c r="L58" s="132">
        <f>K58/F58</f>
        <v>6.7533472977317974E-2</v>
      </c>
      <c r="M58" s="132">
        <f>'Prop. Rates'!B47</f>
        <v>19.75</v>
      </c>
      <c r="N58" s="132">
        <f t="shared" si="27"/>
        <v>19.817533472977317</v>
      </c>
      <c r="O58" s="132">
        <f>'Prop. Rates'!D47</f>
        <v>19.82</v>
      </c>
      <c r="P58" s="104"/>
    </row>
    <row r="59" spans="1:21">
      <c r="A59" s="177"/>
      <c r="C59" s="170" t="s">
        <v>115</v>
      </c>
      <c r="D59" s="67"/>
      <c r="E59" s="41">
        <f>References!$B$12</f>
        <v>1</v>
      </c>
      <c r="F59" s="130">
        <f t="shared" si="28"/>
        <v>12</v>
      </c>
      <c r="G59" s="130">
        <f>References!$B$25</f>
        <v>51</v>
      </c>
      <c r="H59" s="128">
        <f t="shared" si="25"/>
        <v>612</v>
      </c>
      <c r="I59" s="128">
        <f t="shared" si="26"/>
        <v>473.08403775485806</v>
      </c>
      <c r="J59" s="132">
        <f>References!$C$53*'DF Calc (Mason Co.)'!I59</f>
        <v>0.79478118342816195</v>
      </c>
      <c r="K59" s="132">
        <f>J59/References!$G$56</f>
        <v>0.81040167572781563</v>
      </c>
      <c r="L59" s="132">
        <f>K59/F59</f>
        <v>6.7533472977317974E-2</v>
      </c>
      <c r="M59" s="132">
        <f>'Prop. Rates'!B50</f>
        <v>4.88</v>
      </c>
      <c r="N59" s="132">
        <f t="shared" si="27"/>
        <v>4.9475334729773177</v>
      </c>
      <c r="O59" s="132">
        <f>'Prop. Rates'!D50</f>
        <v>4.95</v>
      </c>
      <c r="P59" s="104"/>
      <c r="Q59" s="40" t="s">
        <v>199</v>
      </c>
      <c r="R59" s="105">
        <v>4663</v>
      </c>
    </row>
    <row r="60" spans="1:21">
      <c r="A60" s="177"/>
      <c r="C60" s="71" t="s">
        <v>188</v>
      </c>
      <c r="D60" s="67"/>
      <c r="E60" s="83">
        <f>References!B10</f>
        <v>4.333333333333333</v>
      </c>
      <c r="F60" s="130">
        <f t="shared" si="28"/>
        <v>52</v>
      </c>
      <c r="G60" s="130">
        <f>References!$B$25</f>
        <v>51</v>
      </c>
      <c r="H60" s="128">
        <f t="shared" si="25"/>
        <v>2652</v>
      </c>
      <c r="I60" s="128">
        <f t="shared" si="26"/>
        <v>2050.0308302710514</v>
      </c>
      <c r="J60" s="132">
        <f>References!$C$53*'DF Calc (Mason Co.)'!I60</f>
        <v>3.4440517948553682</v>
      </c>
      <c r="K60" s="132">
        <f>J60/References!$G$56</f>
        <v>3.5117405948205342</v>
      </c>
      <c r="L60" s="132">
        <f>K60/F60*E60</f>
        <v>0.29264504956837778</v>
      </c>
      <c r="M60" s="132">
        <f>'Prop. Rates'!B51</f>
        <v>20.85</v>
      </c>
      <c r="N60" s="132">
        <f t="shared" si="27"/>
        <v>21.14264504956838</v>
      </c>
      <c r="O60" s="132">
        <f>'Prop. Rates'!D51</f>
        <v>21.14</v>
      </c>
      <c r="P60" s="104"/>
      <c r="Q60" s="82"/>
    </row>
    <row r="61" spans="1:21">
      <c r="A61" s="177"/>
      <c r="C61" s="40" t="s">
        <v>117</v>
      </c>
      <c r="E61" s="41">
        <f>References!$B$12</f>
        <v>1</v>
      </c>
      <c r="F61" s="130">
        <f t="shared" si="28"/>
        <v>12</v>
      </c>
      <c r="G61" s="40">
        <f>References!$B$46</f>
        <v>125</v>
      </c>
      <c r="H61" s="128">
        <f t="shared" si="25"/>
        <v>1500</v>
      </c>
      <c r="I61" s="128">
        <f t="shared" si="26"/>
        <v>1159.519700379554</v>
      </c>
      <c r="J61" s="132">
        <f>References!$C$53*'DF Calc (Mason Co.)'!I61</f>
        <v>1.9479930966376517</v>
      </c>
      <c r="K61" s="132">
        <f>J61/References!$G$56</f>
        <v>1.9862786169799402</v>
      </c>
      <c r="L61" s="132">
        <f>K61/F61</f>
        <v>0.16552321808166168</v>
      </c>
      <c r="M61" s="132">
        <f>'Prop. Rates'!B54</f>
        <v>27.61</v>
      </c>
      <c r="N61" s="132">
        <f t="shared" si="27"/>
        <v>27.775523218081663</v>
      </c>
      <c r="O61" s="132">
        <f>'Prop. Rates'!D54</f>
        <v>27.78</v>
      </c>
      <c r="P61" s="104"/>
      <c r="Q61" s="40" t="s">
        <v>200</v>
      </c>
      <c r="R61" s="123">
        <f>R59*References!B53</f>
        <v>15667.679999999997</v>
      </c>
      <c r="S61" s="122">
        <f>+References!B54</f>
        <v>3.4941763727121461E-2</v>
      </c>
    </row>
    <row r="62" spans="1:21">
      <c r="A62" s="177"/>
      <c r="C62" s="40" t="s">
        <v>118</v>
      </c>
      <c r="E62" s="41">
        <f>References!$B$12</f>
        <v>1</v>
      </c>
      <c r="F62" s="130">
        <f t="shared" si="28"/>
        <v>12</v>
      </c>
      <c r="G62" s="40">
        <f>References!$B$46</f>
        <v>125</v>
      </c>
      <c r="H62" s="128">
        <f t="shared" si="25"/>
        <v>1500</v>
      </c>
      <c r="I62" s="128">
        <f t="shared" si="26"/>
        <v>1159.519700379554</v>
      </c>
      <c r="J62" s="132">
        <f>References!$C$53*'DF Calc (Mason Co.)'!I62</f>
        <v>1.9479930966376517</v>
      </c>
      <c r="K62" s="132">
        <f>J62/References!$G$56</f>
        <v>1.9862786169799402</v>
      </c>
      <c r="L62" s="132">
        <f>K62/F62</f>
        <v>0.16552321808166168</v>
      </c>
      <c r="M62" s="132">
        <f>'Prop. Rates'!B55</f>
        <v>27.61</v>
      </c>
      <c r="N62" s="132">
        <f t="shared" si="27"/>
        <v>27.775523218081663</v>
      </c>
      <c r="O62" s="132">
        <f>'Prop. Rates'!D55</f>
        <v>27.78</v>
      </c>
      <c r="P62" s="104"/>
    </row>
    <row r="63" spans="1:21">
      <c r="A63" s="177"/>
      <c r="C63" s="40" t="s">
        <v>119</v>
      </c>
      <c r="E63" s="41">
        <f>References!$B$12</f>
        <v>1</v>
      </c>
      <c r="F63" s="130">
        <f t="shared" si="28"/>
        <v>12</v>
      </c>
      <c r="G63" s="40">
        <f>References!$B$46</f>
        <v>125</v>
      </c>
      <c r="H63" s="128">
        <f t="shared" si="25"/>
        <v>1500</v>
      </c>
      <c r="I63" s="128">
        <f t="shared" si="26"/>
        <v>1159.519700379554</v>
      </c>
      <c r="J63" s="132">
        <f>References!$C$53*'DF Calc (Mason Co.)'!I63</f>
        <v>1.9479930966376517</v>
      </c>
      <c r="K63" s="132">
        <f>J63/References!$G$56</f>
        <v>1.9862786169799402</v>
      </c>
      <c r="L63" s="132">
        <f>K63/F63</f>
        <v>0.16552321808166168</v>
      </c>
      <c r="M63" s="132">
        <f>'Prop. Rates'!B56</f>
        <v>27.61</v>
      </c>
      <c r="N63" s="132">
        <f t="shared" si="27"/>
        <v>27.775523218081663</v>
      </c>
      <c r="O63" s="132">
        <f>'Prop. Rates'!D56</f>
        <v>27.78</v>
      </c>
      <c r="P63" s="104"/>
    </row>
    <row r="64" spans="1:21">
      <c r="A64" s="177"/>
      <c r="C64" s="40" t="s">
        <v>120</v>
      </c>
      <c r="E64" s="41">
        <f>References!$B$12</f>
        <v>1</v>
      </c>
      <c r="F64" s="130">
        <f t="shared" si="28"/>
        <v>12</v>
      </c>
      <c r="G64" s="40">
        <f>References!$B$46</f>
        <v>125</v>
      </c>
      <c r="H64" s="128">
        <f t="shared" si="25"/>
        <v>1500</v>
      </c>
      <c r="I64" s="128">
        <f t="shared" si="26"/>
        <v>1159.519700379554</v>
      </c>
      <c r="J64" s="132">
        <f>References!$C$53*'DF Calc (Mason Co.)'!I64</f>
        <v>1.9479930966376517</v>
      </c>
      <c r="K64" s="132">
        <f>J64/References!$G$56</f>
        <v>1.9862786169799402</v>
      </c>
      <c r="L64" s="132">
        <f>K64/F64</f>
        <v>0.16552321808166168</v>
      </c>
      <c r="M64" s="132">
        <f>'Prop. Rates'!B57</f>
        <v>31.35</v>
      </c>
      <c r="N64" s="132">
        <f t="shared" si="27"/>
        <v>31.515523218081665</v>
      </c>
      <c r="O64" s="132">
        <f>'Prop. Rates'!D57</f>
        <v>31.52</v>
      </c>
      <c r="P64" s="104"/>
    </row>
    <row r="65" spans="1:16">
      <c r="A65" s="179"/>
      <c r="B65" s="2"/>
      <c r="C65" s="50"/>
      <c r="D65" s="144"/>
      <c r="E65" s="145"/>
      <c r="F65" s="146"/>
      <c r="G65" s="146"/>
      <c r="H65" s="147"/>
      <c r="I65" s="147"/>
      <c r="J65" s="148"/>
      <c r="K65" s="148"/>
      <c r="L65" s="148"/>
      <c r="M65" s="149"/>
      <c r="N65" s="148"/>
      <c r="O65" s="149"/>
      <c r="P65" s="104"/>
    </row>
    <row r="66" spans="1:16">
      <c r="A66" s="177" t="s">
        <v>142</v>
      </c>
      <c r="C66" s="150" t="s">
        <v>107</v>
      </c>
      <c r="D66" s="49"/>
      <c r="E66" s="41">
        <f>References!$B$12</f>
        <v>1</v>
      </c>
      <c r="F66" s="130">
        <f t="shared" si="28"/>
        <v>12</v>
      </c>
      <c r="G66" s="130">
        <f>References!B30</f>
        <v>29</v>
      </c>
      <c r="H66" s="128">
        <f>F66*G66</f>
        <v>348</v>
      </c>
      <c r="I66" s="128">
        <f t="shared" ref="I66:I75" si="29">$C$93*H66</f>
        <v>269.00857048805653</v>
      </c>
      <c r="J66" s="132">
        <f>References!$C$53*'DF Calc (Mason Co.)'!I66</f>
        <v>0.45193439841993521</v>
      </c>
      <c r="K66" s="132">
        <f>J66/References!$G$56</f>
        <v>0.46081663913934612</v>
      </c>
      <c r="L66" s="132">
        <f>K66/F66</f>
        <v>3.8401386594945512E-2</v>
      </c>
      <c r="M66" s="151">
        <f>'Prop. Rates'!B81</f>
        <v>4.32</v>
      </c>
      <c r="N66" s="132">
        <f>L66+M66</f>
        <v>4.358401386594946</v>
      </c>
      <c r="O66" s="151">
        <f>'Prop. Rates'!D81</f>
        <v>4.3600000000000003</v>
      </c>
      <c r="P66" s="116"/>
    </row>
    <row r="67" spans="1:16">
      <c r="A67" s="177"/>
      <c r="C67" s="150" t="s">
        <v>126</v>
      </c>
      <c r="D67" s="49"/>
      <c r="E67" s="41">
        <f>References!$B$12</f>
        <v>1</v>
      </c>
      <c r="F67" s="130">
        <f t="shared" si="28"/>
        <v>12</v>
      </c>
      <c r="G67" s="130">
        <f>References!B23</f>
        <v>37</v>
      </c>
      <c r="H67" s="128">
        <f t="shared" ref="H67:H76" si="30">F67*G67</f>
        <v>444</v>
      </c>
      <c r="I67" s="128">
        <f t="shared" si="29"/>
        <v>343.21783131234798</v>
      </c>
      <c r="J67" s="132">
        <f>References!$C$53*'DF Calc (Mason Co.)'!I67</f>
        <v>0.5766059566047449</v>
      </c>
      <c r="K67" s="132">
        <f>J67/References!$G$56</f>
        <v>0.5879384706260623</v>
      </c>
      <c r="L67" s="132">
        <f t="shared" ref="L67:L75" si="31">K67/F67</f>
        <v>4.8994872552171859E-2</v>
      </c>
      <c r="M67" s="151">
        <f>'Prop. Rates'!B82</f>
        <v>4.68</v>
      </c>
      <c r="N67" s="132">
        <f t="shared" ref="N67:N84" si="32">L67+M67</f>
        <v>4.728994872552172</v>
      </c>
      <c r="O67" s="151">
        <f>'Prop. Rates'!D82</f>
        <v>4.7300000000000004</v>
      </c>
      <c r="P67" s="116"/>
    </row>
    <row r="68" spans="1:16">
      <c r="A68" s="177"/>
      <c r="C68" s="150" t="s">
        <v>127</v>
      </c>
      <c r="D68" s="49"/>
      <c r="E68" s="41">
        <f>References!$B$12</f>
        <v>1</v>
      </c>
      <c r="F68" s="130">
        <f t="shared" si="28"/>
        <v>12</v>
      </c>
      <c r="G68" s="130">
        <f>References!B24</f>
        <v>48</v>
      </c>
      <c r="H68" s="128">
        <f t="shared" si="30"/>
        <v>576</v>
      </c>
      <c r="I68" s="128">
        <f t="shared" si="29"/>
        <v>445.25556494574874</v>
      </c>
      <c r="J68" s="132">
        <f>References!$C$53*'DF Calc (Mason Co.)'!I68</f>
        <v>0.74802934910885832</v>
      </c>
      <c r="K68" s="132">
        <f>J68/References!$G$56</f>
        <v>0.76273098892029711</v>
      </c>
      <c r="L68" s="132">
        <f t="shared" si="31"/>
        <v>6.3560915743358093E-2</v>
      </c>
      <c r="M68" s="151">
        <f>'Prop. Rates'!B83</f>
        <v>5.52</v>
      </c>
      <c r="N68" s="132">
        <f t="shared" si="32"/>
        <v>5.5835609157433579</v>
      </c>
      <c r="O68" s="151">
        <f>'Prop. Rates'!D83</f>
        <v>5.58</v>
      </c>
      <c r="P68" s="116"/>
    </row>
    <row r="69" spans="1:16">
      <c r="A69" s="177"/>
      <c r="C69" s="150" t="s">
        <v>128</v>
      </c>
      <c r="D69" s="49"/>
      <c r="E69" s="41">
        <f>References!$B$12</f>
        <v>1</v>
      </c>
      <c r="F69" s="130">
        <f t="shared" si="28"/>
        <v>12</v>
      </c>
      <c r="G69" s="130">
        <f>References!B25</f>
        <v>51</v>
      </c>
      <c r="H69" s="128">
        <f t="shared" si="30"/>
        <v>612</v>
      </c>
      <c r="I69" s="128">
        <f t="shared" si="29"/>
        <v>473.08403775485806</v>
      </c>
      <c r="J69" s="132">
        <f>References!$C$53*'DF Calc (Mason Co.)'!I69</f>
        <v>0.79478118342816195</v>
      </c>
      <c r="K69" s="132">
        <f>J69/References!$G$56</f>
        <v>0.81040167572781563</v>
      </c>
      <c r="L69" s="132">
        <f t="shared" si="31"/>
        <v>6.7533472977317974E-2</v>
      </c>
      <c r="M69" s="151">
        <f>'Prop. Rates'!B84</f>
        <v>6.53</v>
      </c>
      <c r="N69" s="132">
        <f t="shared" si="32"/>
        <v>6.5975334729773181</v>
      </c>
      <c r="O69" s="151">
        <f>'Prop. Rates'!D84</f>
        <v>6.6</v>
      </c>
      <c r="P69" s="116"/>
    </row>
    <row r="70" spans="1:16">
      <c r="A70" s="177"/>
      <c r="C70" s="150" t="s">
        <v>129</v>
      </c>
      <c r="D70" s="49"/>
      <c r="E70" s="41">
        <f>References!$B$12</f>
        <v>1</v>
      </c>
      <c r="F70" s="130">
        <f t="shared" si="28"/>
        <v>12</v>
      </c>
      <c r="G70" s="130">
        <f>References!B26</f>
        <v>77</v>
      </c>
      <c r="H70" s="128">
        <f t="shared" si="30"/>
        <v>924</v>
      </c>
      <c r="I70" s="128">
        <f t="shared" si="29"/>
        <v>714.26413543380534</v>
      </c>
      <c r="J70" s="132">
        <f>References!$C$53*'DF Calc (Mason Co.)'!I70</f>
        <v>1.1999637475287936</v>
      </c>
      <c r="K70" s="132">
        <f>J70/References!$G$56</f>
        <v>1.2235476280596433</v>
      </c>
      <c r="L70" s="132">
        <f t="shared" si="31"/>
        <v>0.10196230233830361</v>
      </c>
      <c r="M70" s="151">
        <f>'Prop. Rates'!B85</f>
        <v>8.17</v>
      </c>
      <c r="N70" s="132">
        <f t="shared" si="32"/>
        <v>8.271962302338304</v>
      </c>
      <c r="O70" s="151">
        <f>'Prop. Rates'!D85</f>
        <v>8.27</v>
      </c>
      <c r="P70" s="116"/>
    </row>
    <row r="71" spans="1:16">
      <c r="A71" s="177"/>
      <c r="C71" s="152" t="s">
        <v>182</v>
      </c>
      <c r="D71" s="49"/>
      <c r="E71" s="41">
        <f>References!$B$12</f>
        <v>1</v>
      </c>
      <c r="F71" s="130">
        <f t="shared" si="28"/>
        <v>12</v>
      </c>
      <c r="G71" s="130">
        <v>29</v>
      </c>
      <c r="H71" s="128">
        <f t="shared" si="30"/>
        <v>348</v>
      </c>
      <c r="I71" s="128">
        <f t="shared" si="29"/>
        <v>269.00857048805653</v>
      </c>
      <c r="J71" s="132">
        <f>References!$C$53*'DF Calc (Mason Co.)'!I71</f>
        <v>0.45193439841993521</v>
      </c>
      <c r="K71" s="132">
        <f>J71/References!$G$56</f>
        <v>0.46081663913934612</v>
      </c>
      <c r="L71" s="132">
        <f t="shared" si="31"/>
        <v>3.8401386594945512E-2</v>
      </c>
      <c r="M71" s="151">
        <f>'Prop. Rates'!B88</f>
        <v>13.25</v>
      </c>
      <c r="N71" s="132">
        <f t="shared" si="32"/>
        <v>13.288401386594945</v>
      </c>
      <c r="O71" s="151">
        <f>'Prop. Rates'!D88</f>
        <v>13.29</v>
      </c>
      <c r="P71" s="116"/>
    </row>
    <row r="72" spans="1:16">
      <c r="A72" s="177"/>
      <c r="C72" s="152" t="s">
        <v>183</v>
      </c>
      <c r="D72" s="49"/>
      <c r="E72" s="41">
        <f>References!$B$12</f>
        <v>1</v>
      </c>
      <c r="F72" s="130">
        <f t="shared" si="28"/>
        <v>12</v>
      </c>
      <c r="G72" s="130">
        <f>References!B23</f>
        <v>37</v>
      </c>
      <c r="H72" s="128">
        <f t="shared" si="30"/>
        <v>444</v>
      </c>
      <c r="I72" s="128">
        <f t="shared" si="29"/>
        <v>343.21783131234798</v>
      </c>
      <c r="J72" s="132">
        <f>References!$C$53*'DF Calc (Mason Co.)'!I72</f>
        <v>0.5766059566047449</v>
      </c>
      <c r="K72" s="132">
        <f>J72/References!$G$56</f>
        <v>0.5879384706260623</v>
      </c>
      <c r="L72" s="132">
        <f t="shared" si="31"/>
        <v>4.8994872552171859E-2</v>
      </c>
      <c r="M72" s="151">
        <f>'Prop. Rates'!B89</f>
        <v>14.79</v>
      </c>
      <c r="N72" s="132">
        <f t="shared" si="32"/>
        <v>14.838994872552171</v>
      </c>
      <c r="O72" s="151">
        <f>'Prop. Rates'!D89</f>
        <v>14.84</v>
      </c>
      <c r="P72" s="116"/>
    </row>
    <row r="73" spans="1:16">
      <c r="A73" s="177"/>
      <c r="C73" s="152" t="s">
        <v>184</v>
      </c>
      <c r="D73" s="49"/>
      <c r="E73" s="41">
        <f>References!$B$12</f>
        <v>1</v>
      </c>
      <c r="F73" s="130">
        <f t="shared" si="28"/>
        <v>12</v>
      </c>
      <c r="G73" s="130">
        <f>References!B24</f>
        <v>48</v>
      </c>
      <c r="H73" s="128">
        <f t="shared" si="30"/>
        <v>576</v>
      </c>
      <c r="I73" s="128">
        <f t="shared" si="29"/>
        <v>445.25556494574874</v>
      </c>
      <c r="J73" s="132">
        <f>References!$C$53*'DF Calc (Mason Co.)'!I73</f>
        <v>0.74802934910885832</v>
      </c>
      <c r="K73" s="132">
        <f>J73/References!$G$56</f>
        <v>0.76273098892029711</v>
      </c>
      <c r="L73" s="132">
        <f t="shared" si="31"/>
        <v>6.3560915743358093E-2</v>
      </c>
      <c r="M73" s="151">
        <f>'Prop. Rates'!B90</f>
        <v>15.63</v>
      </c>
      <c r="N73" s="132">
        <f t="shared" si="32"/>
        <v>15.693560915743358</v>
      </c>
      <c r="O73" s="151">
        <f>'Prop. Rates'!D90</f>
        <v>15.69</v>
      </c>
      <c r="P73" s="116"/>
    </row>
    <row r="74" spans="1:16">
      <c r="A74" s="177"/>
      <c r="C74" s="152" t="s">
        <v>185</v>
      </c>
      <c r="D74" s="49"/>
      <c r="E74" s="41">
        <f>References!$B$12</f>
        <v>1</v>
      </c>
      <c r="F74" s="130">
        <f t="shared" si="28"/>
        <v>12</v>
      </c>
      <c r="G74" s="130">
        <f>References!B25</f>
        <v>51</v>
      </c>
      <c r="H74" s="128">
        <f t="shared" si="30"/>
        <v>612</v>
      </c>
      <c r="I74" s="128">
        <f t="shared" si="29"/>
        <v>473.08403775485806</v>
      </c>
      <c r="J74" s="132">
        <f>References!$C$53*'DF Calc (Mason Co.)'!I74</f>
        <v>0.79478118342816195</v>
      </c>
      <c r="K74" s="132">
        <f>J74/References!$G$56</f>
        <v>0.81040167572781563</v>
      </c>
      <c r="L74" s="132">
        <f t="shared" si="31"/>
        <v>6.7533472977317974E-2</v>
      </c>
      <c r="M74" s="151">
        <f>'Prop. Rates'!B91</f>
        <v>16.64</v>
      </c>
      <c r="N74" s="132">
        <f t="shared" si="32"/>
        <v>16.707533472977318</v>
      </c>
      <c r="O74" s="151">
        <f>'Prop. Rates'!D91</f>
        <v>16.71</v>
      </c>
      <c r="P74" s="116"/>
    </row>
    <row r="75" spans="1:16">
      <c r="A75" s="177"/>
      <c r="C75" s="152" t="s">
        <v>186</v>
      </c>
      <c r="D75" s="49"/>
      <c r="E75" s="41">
        <f>References!$B$12</f>
        <v>1</v>
      </c>
      <c r="F75" s="130">
        <f t="shared" si="28"/>
        <v>12</v>
      </c>
      <c r="G75" s="130">
        <f>References!B26</f>
        <v>77</v>
      </c>
      <c r="H75" s="128">
        <f t="shared" si="30"/>
        <v>924</v>
      </c>
      <c r="I75" s="128">
        <f t="shared" si="29"/>
        <v>714.26413543380534</v>
      </c>
      <c r="J75" s="132">
        <f>References!$C$53*'DF Calc (Mason Co.)'!I75</f>
        <v>1.1999637475287936</v>
      </c>
      <c r="K75" s="132">
        <f>J75/References!$G$56</f>
        <v>1.2235476280596433</v>
      </c>
      <c r="L75" s="132">
        <f t="shared" si="31"/>
        <v>0.10196230233830361</v>
      </c>
      <c r="M75" s="151">
        <f>'Prop. Rates'!B92</f>
        <v>18.28</v>
      </c>
      <c r="N75" s="132">
        <f t="shared" si="32"/>
        <v>18.381962302338305</v>
      </c>
      <c r="O75" s="151">
        <f>'Prop. Rates'!D92</f>
        <v>18.38</v>
      </c>
      <c r="P75" s="116"/>
    </row>
    <row r="76" spans="1:16">
      <c r="A76" s="177"/>
      <c r="C76" s="71" t="s">
        <v>39</v>
      </c>
      <c r="D76" s="67"/>
      <c r="E76" s="41">
        <f>References!$B$12</f>
        <v>1</v>
      </c>
      <c r="F76" s="130">
        <f t="shared" si="28"/>
        <v>12</v>
      </c>
      <c r="G76" s="130">
        <f>References!B46</f>
        <v>125</v>
      </c>
      <c r="H76" s="128">
        <f t="shared" si="30"/>
        <v>1500</v>
      </c>
      <c r="I76" s="128">
        <f t="shared" ref="I76:I84" si="33">$C$93*H76</f>
        <v>1159.519700379554</v>
      </c>
      <c r="J76" s="132">
        <f>References!$C$53*'DF Calc (Mason Co.)'!I76</f>
        <v>1.9479930966376517</v>
      </c>
      <c r="K76" s="132">
        <f>J76/References!$G$56</f>
        <v>1.9862786169799402</v>
      </c>
      <c r="L76" s="132">
        <f>K76/F76</f>
        <v>0.16552321808166168</v>
      </c>
      <c r="M76" s="151">
        <f>'Prop. Rates'!B78</f>
        <v>15.81</v>
      </c>
      <c r="N76" s="132">
        <f t="shared" si="32"/>
        <v>15.975523218081662</v>
      </c>
      <c r="O76" s="151">
        <f>'Prop. Rates'!D78</f>
        <v>15.98</v>
      </c>
      <c r="P76" s="116"/>
    </row>
    <row r="77" spans="1:16">
      <c r="A77" s="177"/>
      <c r="C77" s="150" t="s">
        <v>133</v>
      </c>
      <c r="D77" s="49"/>
      <c r="E77" s="41">
        <f>References!$B$12</f>
        <v>1</v>
      </c>
      <c r="F77" s="130">
        <f t="shared" si="28"/>
        <v>12</v>
      </c>
      <c r="G77" s="130">
        <f>References!$B$30</f>
        <v>29</v>
      </c>
      <c r="H77" s="128">
        <f>F77*G77</f>
        <v>348</v>
      </c>
      <c r="I77" s="128">
        <f t="shared" si="33"/>
        <v>269.00857048805653</v>
      </c>
      <c r="J77" s="132">
        <f>References!$C$53*'DF Calc (Mason Co.)'!I77</f>
        <v>0.45193439841993521</v>
      </c>
      <c r="K77" s="132">
        <f>J77/References!$G$56</f>
        <v>0.46081663913934612</v>
      </c>
      <c r="L77" s="132">
        <f>K77/F77</f>
        <v>3.8401386594945512E-2</v>
      </c>
      <c r="M77" s="151">
        <f>'Prop. Rates'!B94</f>
        <v>4.68</v>
      </c>
      <c r="N77" s="132">
        <f t="shared" si="32"/>
        <v>4.7184013865949455</v>
      </c>
      <c r="O77" s="151">
        <f>'Prop. Rates'!D94</f>
        <v>4.72</v>
      </c>
      <c r="P77" s="116"/>
    </row>
    <row r="78" spans="1:16">
      <c r="A78" s="177"/>
      <c r="C78" s="150" t="s">
        <v>140</v>
      </c>
      <c r="D78" s="49"/>
      <c r="E78" s="49">
        <f>References!B10</f>
        <v>4.333333333333333</v>
      </c>
      <c r="F78" s="79">
        <f>E78*12</f>
        <v>52</v>
      </c>
      <c r="G78" s="130">
        <f>References!$B$30</f>
        <v>29</v>
      </c>
      <c r="H78" s="128">
        <f t="shared" ref="H78:H84" si="34">F78*G78</f>
        <v>1508</v>
      </c>
      <c r="I78" s="128">
        <f t="shared" si="33"/>
        <v>1165.703805448245</v>
      </c>
      <c r="J78" s="132">
        <f>References!$C$53*'DF Calc (Mason Co.)'!I78</f>
        <v>1.9583823931530526</v>
      </c>
      <c r="K78" s="132">
        <f>J78/References!$G$56</f>
        <v>1.9968721029371665</v>
      </c>
      <c r="L78" s="132">
        <f>K78/F78*E78</f>
        <v>0.1664060085780972</v>
      </c>
      <c r="M78" s="151">
        <f>'Prop. Rates'!B95</f>
        <v>18.73</v>
      </c>
      <c r="N78" s="132">
        <f t="shared" si="32"/>
        <v>18.896406008578097</v>
      </c>
      <c r="O78" s="151">
        <f>'Prop. Rates'!D95</f>
        <v>18.899999999999999</v>
      </c>
      <c r="P78" s="116"/>
    </row>
    <row r="79" spans="1:16">
      <c r="A79" s="177"/>
      <c r="C79" s="150" t="s">
        <v>134</v>
      </c>
      <c r="D79" s="49"/>
      <c r="E79" s="41">
        <f>References!$B$12</f>
        <v>1</v>
      </c>
      <c r="F79" s="130">
        <f t="shared" si="28"/>
        <v>12</v>
      </c>
      <c r="G79" s="130">
        <f>References!$B$30</f>
        <v>29</v>
      </c>
      <c r="H79" s="128">
        <f t="shared" si="34"/>
        <v>348</v>
      </c>
      <c r="I79" s="128">
        <f t="shared" si="33"/>
        <v>269.00857048805653</v>
      </c>
      <c r="J79" s="132">
        <f>References!$C$53*'DF Calc (Mason Co.)'!I79</f>
        <v>0.45193439841993521</v>
      </c>
      <c r="K79" s="132">
        <f>J79/References!$G$56</f>
        <v>0.46081663913934612</v>
      </c>
      <c r="L79" s="132">
        <f t="shared" ref="L79:L80" si="35">K79/F79</f>
        <v>3.8401386594945512E-2</v>
      </c>
      <c r="M79" s="151">
        <f>'Prop. Rates'!B96</f>
        <v>3.99</v>
      </c>
      <c r="N79" s="132">
        <f t="shared" si="32"/>
        <v>4.028401386594946</v>
      </c>
      <c r="O79" s="108">
        <f>'Prop. Rates'!D96</f>
        <v>4.03</v>
      </c>
      <c r="P79" s="116"/>
    </row>
    <row r="80" spans="1:16">
      <c r="A80" s="177"/>
      <c r="C80" s="150" t="s">
        <v>135</v>
      </c>
      <c r="D80" s="49"/>
      <c r="E80" s="41">
        <f>References!$B$12</f>
        <v>1</v>
      </c>
      <c r="F80" s="130">
        <f t="shared" si="28"/>
        <v>12</v>
      </c>
      <c r="G80" s="130">
        <f>References!$B$30</f>
        <v>29</v>
      </c>
      <c r="H80" s="128">
        <f t="shared" si="34"/>
        <v>348</v>
      </c>
      <c r="I80" s="128">
        <f t="shared" si="33"/>
        <v>269.00857048805653</v>
      </c>
      <c r="J80" s="132">
        <f>References!$C$53*'DF Calc (Mason Co.)'!I80</f>
        <v>0.45193439841993521</v>
      </c>
      <c r="K80" s="132">
        <f>J80/References!$G$56</f>
        <v>0.46081663913934612</v>
      </c>
      <c r="L80" s="132">
        <f t="shared" si="35"/>
        <v>3.8401386594945512E-2</v>
      </c>
      <c r="M80" s="151">
        <f>'Prop. Rates'!B97</f>
        <v>4.32</v>
      </c>
      <c r="N80" s="132">
        <f t="shared" si="32"/>
        <v>4.358401386594946</v>
      </c>
      <c r="O80" s="108">
        <f>'Prop. Rates'!D97</f>
        <v>4.3600000000000003</v>
      </c>
      <c r="P80" s="116"/>
    </row>
    <row r="81" spans="1:18">
      <c r="A81" s="177"/>
      <c r="C81" s="150" t="s">
        <v>136</v>
      </c>
      <c r="D81" s="49"/>
      <c r="E81" s="49">
        <f>References!$B$10</f>
        <v>4.333333333333333</v>
      </c>
      <c r="F81" s="79">
        <f t="shared" si="28"/>
        <v>52</v>
      </c>
      <c r="G81" s="130">
        <f>References!B23</f>
        <v>37</v>
      </c>
      <c r="H81" s="128">
        <f>F81*G81</f>
        <v>1924</v>
      </c>
      <c r="I81" s="128">
        <f t="shared" si="33"/>
        <v>1487.2772690201746</v>
      </c>
      <c r="J81" s="132">
        <f>References!$C$53*'DF Calc (Mason Co.)'!I81</f>
        <v>2.4986258119538949</v>
      </c>
      <c r="K81" s="132">
        <f>J81/References!$G$56</f>
        <v>2.547733372712937</v>
      </c>
      <c r="L81" s="132">
        <f>K81/F81*E81</f>
        <v>0.21231111439274475</v>
      </c>
      <c r="M81" s="151">
        <f>'Prop. Rates'!B99</f>
        <v>20.079999999999998</v>
      </c>
      <c r="N81" s="132">
        <f t="shared" si="32"/>
        <v>20.292311114392742</v>
      </c>
      <c r="O81" s="108">
        <f>'Prop. Rates'!D99</f>
        <v>20.29</v>
      </c>
      <c r="P81" s="116"/>
    </row>
    <row r="82" spans="1:18">
      <c r="A82" s="177"/>
      <c r="C82" s="150" t="s">
        <v>137</v>
      </c>
      <c r="D82" s="49"/>
      <c r="E82" s="49">
        <f>References!$B$10</f>
        <v>4.333333333333333</v>
      </c>
      <c r="F82" s="79">
        <f t="shared" si="28"/>
        <v>52</v>
      </c>
      <c r="G82" s="130">
        <f>References!B24</f>
        <v>48</v>
      </c>
      <c r="H82" s="128">
        <f t="shared" si="34"/>
        <v>2496</v>
      </c>
      <c r="I82" s="128">
        <f t="shared" si="33"/>
        <v>1929.440781431578</v>
      </c>
      <c r="J82" s="132">
        <f>References!$C$53*'DF Calc (Mason Co.)'!I82</f>
        <v>3.2414605128050527</v>
      </c>
      <c r="K82" s="132">
        <f>J82/References!$G$56</f>
        <v>3.3051676186546204</v>
      </c>
      <c r="L82" s="132">
        <f t="shared" ref="L82:L84" si="36">K82/F82*E82</f>
        <v>0.275430634887885</v>
      </c>
      <c r="M82" s="151">
        <f>'Prop. Rates'!B100</f>
        <v>23.66</v>
      </c>
      <c r="N82" s="132">
        <f t="shared" si="32"/>
        <v>23.935430634887886</v>
      </c>
      <c r="O82" s="115">
        <f>'Prop. Rates'!D100</f>
        <v>23.94</v>
      </c>
      <c r="P82" s="116"/>
    </row>
    <row r="83" spans="1:18">
      <c r="A83" s="177"/>
      <c r="C83" s="150" t="s">
        <v>138</v>
      </c>
      <c r="D83" s="49"/>
      <c r="E83" s="49">
        <f>References!$B$10</f>
        <v>4.333333333333333</v>
      </c>
      <c r="F83" s="79">
        <f t="shared" si="28"/>
        <v>52</v>
      </c>
      <c r="G83" s="130">
        <f>References!B25</f>
        <v>51</v>
      </c>
      <c r="H83" s="128">
        <f t="shared" si="34"/>
        <v>2652</v>
      </c>
      <c r="I83" s="128">
        <f t="shared" si="33"/>
        <v>2050.0308302710514</v>
      </c>
      <c r="J83" s="132">
        <f>References!$C$53*'DF Calc (Mason Co.)'!I83</f>
        <v>3.4440517948553682</v>
      </c>
      <c r="K83" s="132">
        <f>J83/References!$G$56</f>
        <v>3.5117405948205342</v>
      </c>
      <c r="L83" s="132">
        <f t="shared" si="36"/>
        <v>0.29264504956837778</v>
      </c>
      <c r="M83" s="151">
        <f>'Prop. Rates'!B101</f>
        <v>27.99</v>
      </c>
      <c r="N83" s="132">
        <f t="shared" si="32"/>
        <v>28.282645049568377</v>
      </c>
      <c r="O83" s="115">
        <f>'Prop. Rates'!D101</f>
        <v>28.28</v>
      </c>
      <c r="P83" s="116"/>
    </row>
    <row r="84" spans="1:18">
      <c r="A84" s="177"/>
      <c r="C84" s="150" t="s">
        <v>139</v>
      </c>
      <c r="D84" s="49"/>
      <c r="E84" s="49">
        <f>References!$B$10</f>
        <v>4.333333333333333</v>
      </c>
      <c r="F84" s="79">
        <f t="shared" si="28"/>
        <v>52</v>
      </c>
      <c r="G84" s="130">
        <f>References!B26</f>
        <v>77</v>
      </c>
      <c r="H84" s="128">
        <f t="shared" si="34"/>
        <v>4004</v>
      </c>
      <c r="I84" s="128">
        <f t="shared" si="33"/>
        <v>3095.1445868798228</v>
      </c>
      <c r="J84" s="132">
        <f>References!$C$53*'DF Calc (Mason Co.)'!I84</f>
        <v>5.1998429059581053</v>
      </c>
      <c r="K84" s="132">
        <f>J84/References!$G$56</f>
        <v>5.3020397215917869</v>
      </c>
      <c r="L84" s="132">
        <f t="shared" si="36"/>
        <v>0.44183664346598223</v>
      </c>
      <c r="M84" s="151">
        <f>'Prop. Rates'!B102</f>
        <v>34.979999999999997</v>
      </c>
      <c r="N84" s="132">
        <f t="shared" si="32"/>
        <v>35.42183664346598</v>
      </c>
      <c r="O84" s="115">
        <f>'Prop. Rates'!D102</f>
        <v>35.42</v>
      </c>
      <c r="P84" s="116"/>
    </row>
    <row r="85" spans="1:18">
      <c r="A85" s="177"/>
      <c r="B85" s="1"/>
      <c r="C85" s="51"/>
      <c r="D85" s="144"/>
      <c r="E85" s="153"/>
      <c r="F85" s="147"/>
      <c r="G85" s="146"/>
      <c r="H85" s="147"/>
      <c r="I85" s="147"/>
      <c r="J85" s="148"/>
      <c r="K85" s="148"/>
      <c r="L85" s="148"/>
      <c r="M85" s="154"/>
      <c r="N85" s="148"/>
      <c r="O85" s="149"/>
      <c r="R85" s="52"/>
    </row>
    <row r="86" spans="1:18">
      <c r="A86" s="29"/>
      <c r="B86" s="127"/>
      <c r="C86" s="29"/>
      <c r="D86" s="53"/>
      <c r="E86" s="140"/>
      <c r="F86" s="130"/>
      <c r="G86" s="130"/>
      <c r="H86" s="130"/>
      <c r="I86" s="131"/>
      <c r="J86" s="132"/>
      <c r="K86" s="132"/>
      <c r="L86" s="132"/>
      <c r="M86" s="138"/>
      <c r="N86" s="132"/>
      <c r="O86" s="138"/>
    </row>
    <row r="87" spans="1:18" ht="15.75" thickBot="1">
      <c r="A87" s="54"/>
      <c r="C87" s="55"/>
    </row>
    <row r="88" spans="1:18">
      <c r="A88" s="54"/>
      <c r="B88" s="180" t="s">
        <v>165</v>
      </c>
      <c r="C88" s="180"/>
      <c r="D88" s="40"/>
      <c r="E88" s="29"/>
      <c r="F88" s="29"/>
      <c r="H88" s="57" t="s">
        <v>166</v>
      </c>
    </row>
    <row r="89" spans="1:18">
      <c r="A89" s="54"/>
      <c r="B89" s="40"/>
      <c r="C89" s="58" t="s">
        <v>31</v>
      </c>
      <c r="D89" s="40"/>
      <c r="E89" s="59"/>
      <c r="F89" s="59"/>
      <c r="H89" s="60" t="s">
        <v>167</v>
      </c>
      <c r="J89" s="61"/>
      <c r="P89" s="48"/>
      <c r="Q89" s="61"/>
    </row>
    <row r="90" spans="1:18" ht="15.75" thickBot="1">
      <c r="A90" s="54"/>
      <c r="B90" s="40" t="s">
        <v>168</v>
      </c>
      <c r="C90" s="155">
        <f>References!B59</f>
        <v>7794</v>
      </c>
      <c r="D90" s="40"/>
      <c r="E90" s="128"/>
      <c r="F90" s="128"/>
      <c r="G90" s="62"/>
      <c r="H90" s="156" t="s">
        <v>169</v>
      </c>
      <c r="I90" s="130"/>
      <c r="J90" s="61"/>
      <c r="P90" s="48"/>
      <c r="Q90" s="151"/>
    </row>
    <row r="91" spans="1:18">
      <c r="A91" s="54"/>
      <c r="B91" s="40" t="s">
        <v>170</v>
      </c>
      <c r="C91" s="157">
        <f>C90*2000</f>
        <v>15588000</v>
      </c>
      <c r="D91" s="40"/>
      <c r="E91" s="157"/>
      <c r="F91" s="157"/>
      <c r="G91" s="157"/>
      <c r="H91" s="63"/>
      <c r="J91" s="61"/>
      <c r="Q91" s="151"/>
    </row>
    <row r="92" spans="1:18">
      <c r="A92" s="54"/>
      <c r="B92" s="40" t="s">
        <v>171</v>
      </c>
      <c r="C92" s="157">
        <f>F52</f>
        <v>355112</v>
      </c>
      <c r="D92" s="40"/>
      <c r="E92" s="128"/>
      <c r="F92" s="128"/>
      <c r="G92" s="128"/>
      <c r="I92" s="130"/>
      <c r="J92" s="61"/>
      <c r="P92" s="48"/>
      <c r="Q92" s="151"/>
    </row>
    <row r="93" spans="1:18">
      <c r="B93" s="9" t="s">
        <v>172</v>
      </c>
      <c r="C93" s="158">
        <f>C91/$H$52</f>
        <v>0.77301313358636936</v>
      </c>
      <c r="D93" s="40"/>
      <c r="E93" s="158"/>
      <c r="F93" s="158"/>
      <c r="G93" s="158"/>
      <c r="H93" s="104"/>
      <c r="J93" s="61"/>
      <c r="M93" s="64"/>
      <c r="N93" s="64"/>
      <c r="O93" s="64"/>
      <c r="P93" s="65"/>
      <c r="Q93" s="65"/>
    </row>
    <row r="94" spans="1:18">
      <c r="E94" s="61"/>
      <c r="G94" s="66"/>
      <c r="H94" s="159"/>
      <c r="J94" s="61"/>
      <c r="M94" s="52"/>
      <c r="N94" s="160"/>
      <c r="O94" s="160"/>
      <c r="P94" s="56"/>
      <c r="Q94" s="104"/>
    </row>
    <row r="95" spans="1:18">
      <c r="D95" s="161"/>
      <c r="E95" s="162"/>
      <c r="G95" s="66"/>
      <c r="H95" s="159"/>
      <c r="J95" s="61"/>
      <c r="M95" s="52"/>
      <c r="N95" s="160"/>
      <c r="O95" s="160"/>
      <c r="P95" s="56"/>
      <c r="Q95" s="104"/>
    </row>
    <row r="96" spans="1:18">
      <c r="B96" s="176"/>
      <c r="C96" s="176"/>
      <c r="D96" s="176"/>
      <c r="E96" s="162"/>
      <c r="G96" s="66"/>
      <c r="H96" s="159"/>
      <c r="J96" s="61"/>
      <c r="M96" s="52"/>
      <c r="N96" s="160"/>
      <c r="O96" s="160"/>
      <c r="P96" s="56"/>
      <c r="Q96" s="104"/>
    </row>
    <row r="97" spans="2:9">
      <c r="B97" s="29"/>
      <c r="C97" s="69"/>
      <c r="D97" s="29"/>
      <c r="I97" s="40"/>
    </row>
    <row r="98" spans="2:9">
      <c r="B98" s="29"/>
      <c r="C98" s="67"/>
      <c r="D98" s="68"/>
      <c r="E98" s="61"/>
      <c r="I98" s="40"/>
    </row>
    <row r="99" spans="2:9">
      <c r="B99" s="70"/>
      <c r="C99" s="67"/>
      <c r="D99" s="68"/>
      <c r="I99" s="40"/>
    </row>
    <row r="100" spans="2:9">
      <c r="B100" s="70"/>
      <c r="C100" s="67"/>
      <c r="D100" s="68"/>
      <c r="I100" s="40"/>
    </row>
    <row r="101" spans="2:9">
      <c r="D101" s="40"/>
    </row>
  </sheetData>
  <mergeCells count="6">
    <mergeCell ref="B96:D96"/>
    <mergeCell ref="A6:A41"/>
    <mergeCell ref="A43:A50"/>
    <mergeCell ref="A56:A65"/>
    <mergeCell ref="A66:A85"/>
    <mergeCell ref="B88:C88"/>
  </mergeCells>
  <pageMargins left="0.7" right="0.7" top="0.75" bottom="0.75" header="0.3" footer="0.3"/>
  <pageSetup scale="45" fitToHeight="0" orientation="landscape" r:id="rId1"/>
  <headerFooter>
    <oddFooter xml:space="preserve">&amp;L&amp;F - &amp;A
&amp;R&amp;P of &amp;N    </oddFooter>
  </headerFooter>
  <rowBreaks count="1" manualBreakCount="1">
    <brk id="5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103"/>
  <sheetViews>
    <sheetView zoomScale="85" zoomScaleNormal="85" workbookViewId="0"/>
  </sheetViews>
  <sheetFormatPr defaultRowHeight="15" customHeight="1"/>
  <cols>
    <col min="1" max="1" width="38.7109375" style="3" bestFit="1" customWidth="1"/>
    <col min="2" max="2" width="11.140625" customWidth="1"/>
    <col min="3" max="3" width="10.7109375" customWidth="1"/>
    <col min="4" max="4" width="10.28515625" bestFit="1" customWidth="1"/>
  </cols>
  <sheetData>
    <row r="1" spans="1:7" ht="15" customHeight="1">
      <c r="A1" s="189" t="str">
        <f>References!A1</f>
        <v>Mason County Garbage Co., Inc. G-88</v>
      </c>
      <c r="B1" s="120"/>
      <c r="C1" s="121"/>
      <c r="D1" s="121"/>
    </row>
    <row r="2" spans="1:7" ht="15" customHeight="1">
      <c r="A2" s="188" t="s">
        <v>217</v>
      </c>
      <c r="B2" s="120"/>
      <c r="C2" s="121"/>
    </row>
    <row r="4" spans="1:7" ht="15" customHeight="1">
      <c r="A4" s="187"/>
      <c r="B4" s="192" t="s">
        <v>218</v>
      </c>
      <c r="C4" s="191" t="s">
        <v>198</v>
      </c>
      <c r="D4" s="190" t="s">
        <v>219</v>
      </c>
    </row>
    <row r="5" spans="1:7" ht="15" customHeight="1">
      <c r="A5" s="186"/>
      <c r="B5" s="192" t="s">
        <v>220</v>
      </c>
      <c r="C5" s="191" t="s">
        <v>197</v>
      </c>
      <c r="D5" s="191" t="s">
        <v>220</v>
      </c>
    </row>
    <row r="6" spans="1:7" ht="15" customHeight="1">
      <c r="A6" s="185" t="s">
        <v>132</v>
      </c>
      <c r="B6" s="84"/>
      <c r="C6" s="84"/>
      <c r="D6" s="84"/>
    </row>
    <row r="7" spans="1:7" ht="15" customHeight="1">
      <c r="A7" s="3" t="s">
        <v>105</v>
      </c>
      <c r="B7" s="73">
        <v>4.46</v>
      </c>
      <c r="C7" s="3">
        <f>+ROUND('DF Calc (Mason Co.)'!L56,2)</f>
        <v>0.05</v>
      </c>
      <c r="D7" s="73">
        <f>+ROUND(B7+C7,2)</f>
        <v>4.51</v>
      </c>
      <c r="E7" s="73"/>
      <c r="F7" s="73"/>
      <c r="G7" s="72"/>
    </row>
    <row r="8" spans="1:7" ht="15" customHeight="1">
      <c r="B8" s="73"/>
      <c r="C8" s="3"/>
      <c r="D8" s="73"/>
      <c r="E8" s="73"/>
      <c r="F8" s="73"/>
      <c r="G8" s="72"/>
    </row>
    <row r="9" spans="1:7" ht="15" customHeight="1">
      <c r="A9" s="185" t="s">
        <v>106</v>
      </c>
      <c r="B9" s="85"/>
      <c r="C9" s="86"/>
      <c r="D9" s="85"/>
      <c r="E9" s="73"/>
      <c r="F9" s="73"/>
    </row>
    <row r="10" spans="1:7" ht="15" customHeight="1">
      <c r="A10" s="3" t="s">
        <v>60</v>
      </c>
      <c r="B10" s="73">
        <v>15.77</v>
      </c>
      <c r="C10" s="3">
        <f>+ROUND('DF Calc (Mason Co.)'!L7,2)</f>
        <v>0.2</v>
      </c>
      <c r="D10" s="73">
        <f t="shared" ref="D10:D20" si="0">+ROUND(B10+C10,2)</f>
        <v>15.97</v>
      </c>
      <c r="E10" s="73"/>
      <c r="F10" s="73"/>
    </row>
    <row r="11" spans="1:7" ht="15" customHeight="1">
      <c r="A11" s="3" t="s">
        <v>222</v>
      </c>
      <c r="B11" s="73">
        <v>23.57</v>
      </c>
      <c r="C11" s="3">
        <f>+ROUND('DF Calc (Mason Co.)'!L8,2)</f>
        <v>0.28999999999999998</v>
      </c>
      <c r="D11" s="73">
        <f t="shared" si="0"/>
        <v>23.86</v>
      </c>
      <c r="E11" s="73"/>
      <c r="F11" s="73"/>
    </row>
    <row r="12" spans="1:7" ht="15" customHeight="1">
      <c r="A12" s="3" t="s">
        <v>223</v>
      </c>
      <c r="B12" s="73">
        <v>31.83</v>
      </c>
      <c r="C12" s="3">
        <f>+ROUND('DF Calc (Mason Co.)'!L9,2)</f>
        <v>0.44</v>
      </c>
      <c r="D12" s="73">
        <f t="shared" si="0"/>
        <v>32.270000000000003</v>
      </c>
      <c r="E12" s="73"/>
      <c r="F12" s="73"/>
    </row>
    <row r="13" spans="1:7" ht="15" customHeight="1">
      <c r="A13" s="3" t="s">
        <v>224</v>
      </c>
      <c r="B13" s="78">
        <v>40.81</v>
      </c>
      <c r="C13" s="3">
        <f>+ROUND('DF Calc (Mason Co.)'!L10,2)</f>
        <v>0.56000000000000005</v>
      </c>
      <c r="D13" s="73">
        <f t="shared" si="0"/>
        <v>41.37</v>
      </c>
      <c r="E13" s="73"/>
      <c r="F13" s="73"/>
    </row>
    <row r="14" spans="1:7" ht="15" customHeight="1">
      <c r="A14" s="3" t="s">
        <v>225</v>
      </c>
      <c r="B14" s="78">
        <v>48.82</v>
      </c>
      <c r="C14" s="3">
        <f>+ROUND('DF Calc (Mason Co.)'!L11,2)</f>
        <v>0.67</v>
      </c>
      <c r="D14" s="73">
        <f t="shared" si="0"/>
        <v>49.49</v>
      </c>
      <c r="E14" s="73"/>
      <c r="F14" s="73"/>
    </row>
    <row r="15" spans="1:7" ht="15" customHeight="1">
      <c r="A15" s="3" t="s">
        <v>226</v>
      </c>
      <c r="B15" s="78">
        <v>56.8</v>
      </c>
      <c r="C15" s="3">
        <f>+ROUND('DF Calc (Mason Co.)'!L12,2)</f>
        <v>0.9</v>
      </c>
      <c r="D15" s="73">
        <f t="shared" si="0"/>
        <v>57.7</v>
      </c>
      <c r="E15" s="73"/>
      <c r="F15" s="73"/>
    </row>
    <row r="16" spans="1:7" ht="15" customHeight="1">
      <c r="A16" s="3" t="s">
        <v>227</v>
      </c>
      <c r="B16" s="73">
        <v>21.21</v>
      </c>
      <c r="C16" s="3">
        <f>+ROUND('DF Calc (Mason Co.)'!L13,2)</f>
        <v>0.28000000000000003</v>
      </c>
      <c r="D16" s="73">
        <f t="shared" si="0"/>
        <v>21.49</v>
      </c>
      <c r="E16" s="73"/>
      <c r="F16" s="73"/>
    </row>
    <row r="17" spans="1:6" ht="15" customHeight="1">
      <c r="A17" s="3" t="s">
        <v>228</v>
      </c>
      <c r="B17" s="73">
        <v>9.02</v>
      </c>
      <c r="C17" s="3">
        <f>+ROUND('DF Calc (Mason Co.)'!L21,2)</f>
        <v>0.1</v>
      </c>
      <c r="D17" s="73">
        <f t="shared" si="0"/>
        <v>9.1199999999999992</v>
      </c>
      <c r="E17" s="73"/>
      <c r="F17" s="73"/>
    </row>
    <row r="18" spans="1:6" ht="15" customHeight="1">
      <c r="A18" s="3" t="s">
        <v>229</v>
      </c>
      <c r="B18" s="73">
        <v>14.48</v>
      </c>
      <c r="C18" s="3">
        <f>+ROUND('DF Calc (Mason Co.)'!L22,2)</f>
        <v>0.15</v>
      </c>
      <c r="D18" s="73">
        <f t="shared" si="0"/>
        <v>14.63</v>
      </c>
      <c r="E18" s="73"/>
      <c r="F18" s="73"/>
    </row>
    <row r="19" spans="1:6" ht="15" customHeight="1">
      <c r="A19" s="3" t="s">
        <v>230</v>
      </c>
      <c r="B19" s="73">
        <v>4.9800000000000004</v>
      </c>
      <c r="C19" s="3">
        <f>+ROUND('DF Calc (Mason Co.)'!L28,2)</f>
        <v>0.05</v>
      </c>
      <c r="D19" s="73">
        <f t="shared" si="0"/>
        <v>5.03</v>
      </c>
      <c r="E19" s="73"/>
      <c r="F19" s="73"/>
    </row>
    <row r="20" spans="1:6" ht="15" customHeight="1">
      <c r="A20" s="3" t="s">
        <v>231</v>
      </c>
      <c r="B20" s="73">
        <v>13.25</v>
      </c>
      <c r="C20" s="3">
        <f>+ROUND('DF Calc (Mason Co.)'!L6,2)</f>
        <v>0.11</v>
      </c>
      <c r="D20" s="73">
        <f t="shared" si="0"/>
        <v>13.36</v>
      </c>
      <c r="E20" s="73"/>
      <c r="F20" s="73"/>
    </row>
    <row r="21" spans="1:6" ht="15" customHeight="1">
      <c r="A21" s="3" t="s">
        <v>0</v>
      </c>
      <c r="B21" s="73"/>
      <c r="C21" s="3"/>
      <c r="D21" s="73"/>
      <c r="E21" s="73"/>
      <c r="F21" s="73"/>
    </row>
    <row r="22" spans="1:6" ht="15" customHeight="1">
      <c r="A22" s="184" t="s">
        <v>108</v>
      </c>
      <c r="B22" s="73"/>
      <c r="C22" s="3"/>
      <c r="D22" s="73"/>
      <c r="E22" s="73"/>
      <c r="F22" s="73"/>
    </row>
    <row r="23" spans="1:6" ht="15" customHeight="1">
      <c r="A23" s="3" t="s">
        <v>232</v>
      </c>
      <c r="B23" s="73">
        <v>18.09</v>
      </c>
      <c r="C23" s="126">
        <f>+ROUND('DF Calc (Mason Co.)'!L16,2)</f>
        <v>0.21</v>
      </c>
      <c r="D23" s="73">
        <f t="shared" ref="D23:D34" si="1">+ROUND(B23+C23,2)</f>
        <v>18.3</v>
      </c>
      <c r="E23" s="73"/>
      <c r="F23" s="73"/>
    </row>
    <row r="24" spans="1:6" ht="15" customHeight="1">
      <c r="A24" s="3" t="s">
        <v>233</v>
      </c>
      <c r="B24" s="73">
        <v>22.97</v>
      </c>
      <c r="C24" s="3">
        <f>+ROUND('DF Calc (Mason Co.)'!L17,2)</f>
        <v>0.28000000000000003</v>
      </c>
      <c r="D24" s="73">
        <f t="shared" si="1"/>
        <v>23.25</v>
      </c>
      <c r="E24" s="73"/>
      <c r="F24" s="73"/>
    </row>
    <row r="25" spans="1:6" ht="15" customHeight="1">
      <c r="A25" s="3" t="s">
        <v>234</v>
      </c>
      <c r="B25" s="73">
        <v>28.09</v>
      </c>
      <c r="C25" s="3">
        <f>+ROUND('DF Calc (Mason Co.)'!L18,2)</f>
        <v>0.28999999999999998</v>
      </c>
      <c r="D25" s="73">
        <f t="shared" si="1"/>
        <v>28.38</v>
      </c>
      <c r="E25" s="73"/>
      <c r="F25" s="73"/>
    </row>
    <row r="26" spans="1:6" ht="15" customHeight="1">
      <c r="A26" s="3" t="s">
        <v>235</v>
      </c>
      <c r="B26" s="73">
        <v>34.979999999999997</v>
      </c>
      <c r="C26" s="3">
        <f>+ROUND('DF Calc (Mason Co.)'!L19,2)</f>
        <v>0.44</v>
      </c>
      <c r="D26" s="73">
        <f t="shared" si="1"/>
        <v>35.42</v>
      </c>
      <c r="E26" s="73"/>
      <c r="F26" s="73"/>
    </row>
    <row r="27" spans="1:6" ht="15" customHeight="1">
      <c r="A27" s="3" t="s">
        <v>236</v>
      </c>
      <c r="B27" s="73">
        <v>10.76</v>
      </c>
      <c r="C27" s="3">
        <f>+ROUND('DF Calc (Mason Co.)'!L23,2)</f>
        <v>0.11</v>
      </c>
      <c r="D27" s="73">
        <f t="shared" si="1"/>
        <v>10.87</v>
      </c>
      <c r="E27" s="73"/>
      <c r="F27" s="73"/>
    </row>
    <row r="28" spans="1:6" ht="15" customHeight="1">
      <c r="A28" s="3" t="s">
        <v>237</v>
      </c>
      <c r="B28" s="73">
        <v>14.23</v>
      </c>
      <c r="C28" s="3">
        <f>+ROUND('DF Calc (Mason Co.)'!L24,2)</f>
        <v>0.14000000000000001</v>
      </c>
      <c r="D28" s="73">
        <f t="shared" si="1"/>
        <v>14.37</v>
      </c>
      <c r="E28" s="73"/>
      <c r="F28" s="73"/>
    </row>
    <row r="29" spans="1:6" ht="15" customHeight="1">
      <c r="A29" s="3" t="s">
        <v>238</v>
      </c>
      <c r="B29" s="73">
        <v>16.989999999999998</v>
      </c>
      <c r="C29" s="3">
        <f>+ROUND('DF Calc (Mason Co.)'!L25,2)</f>
        <v>0.15</v>
      </c>
      <c r="D29" s="73">
        <f t="shared" si="1"/>
        <v>17.14</v>
      </c>
      <c r="E29" s="73"/>
      <c r="F29" s="73"/>
    </row>
    <row r="30" spans="1:6" ht="15" customHeight="1">
      <c r="A30" s="3" t="s">
        <v>239</v>
      </c>
      <c r="B30" s="73">
        <v>21.26</v>
      </c>
      <c r="C30" s="3">
        <f>+ROUND('DF Calc (Mason Co.)'!L26,2)</f>
        <v>0.22</v>
      </c>
      <c r="D30" s="73">
        <f t="shared" si="1"/>
        <v>21.48</v>
      </c>
      <c r="E30" s="73"/>
      <c r="F30" s="73"/>
    </row>
    <row r="31" spans="1:6" ht="15" customHeight="1">
      <c r="A31" s="3" t="s">
        <v>240</v>
      </c>
      <c r="B31" s="73">
        <v>6.4</v>
      </c>
      <c r="C31" s="3">
        <f>+ROUND('DF Calc (Mason Co.)'!L35,2)</f>
        <v>0.05</v>
      </c>
      <c r="D31" s="73">
        <f t="shared" si="1"/>
        <v>6.45</v>
      </c>
      <c r="E31" s="73"/>
      <c r="F31" s="73"/>
    </row>
    <row r="32" spans="1:6" ht="15" customHeight="1">
      <c r="A32" s="3" t="s">
        <v>241</v>
      </c>
      <c r="B32" s="73">
        <v>8.02</v>
      </c>
      <c r="C32" s="3">
        <f>+ROUND('DF Calc (Mason Co.)'!L36,2)</f>
        <v>0.06</v>
      </c>
      <c r="D32" s="73">
        <f t="shared" si="1"/>
        <v>8.08</v>
      </c>
      <c r="E32" s="73"/>
      <c r="F32" s="73"/>
    </row>
    <row r="33" spans="1:6" ht="15" customHeight="1">
      <c r="A33" s="3" t="s">
        <v>242</v>
      </c>
      <c r="B33" s="73">
        <v>9.4700000000000006</v>
      </c>
      <c r="C33" s="3">
        <f>+ROUND('DF Calc (Mason Co.)'!L37,2)</f>
        <v>7.0000000000000007E-2</v>
      </c>
      <c r="D33" s="73">
        <f t="shared" si="1"/>
        <v>9.5399999999999991</v>
      </c>
      <c r="E33" s="73"/>
      <c r="F33" s="73"/>
    </row>
    <row r="34" spans="1:6" ht="15" customHeight="1">
      <c r="A34" s="3" t="s">
        <v>243</v>
      </c>
      <c r="B34" s="73">
        <v>11.67</v>
      </c>
      <c r="C34" s="3">
        <f>+ROUND('DF Calc (Mason Co.)'!L38,2)</f>
        <v>0.1</v>
      </c>
      <c r="D34" s="73">
        <f t="shared" si="1"/>
        <v>11.77</v>
      </c>
      <c r="E34" s="73"/>
      <c r="F34" s="73"/>
    </row>
    <row r="35" spans="1:6" ht="15" customHeight="1">
      <c r="B35" s="73"/>
      <c r="C35" s="3"/>
      <c r="D35" s="73"/>
      <c r="E35" s="73"/>
      <c r="F35" s="73"/>
    </row>
    <row r="36" spans="1:6" ht="15" customHeight="1">
      <c r="A36" s="185" t="s">
        <v>109</v>
      </c>
      <c r="B36" s="85"/>
      <c r="C36" s="86"/>
      <c r="D36" s="85"/>
      <c r="E36" s="73"/>
      <c r="F36" s="73"/>
    </row>
    <row r="37" spans="1:6" ht="15" customHeight="1">
      <c r="A37" s="3" t="s">
        <v>221</v>
      </c>
      <c r="B37" s="73">
        <v>4.46</v>
      </c>
      <c r="C37" s="3">
        <f>+ROUND('DF Calc (Mason Co.)'!L39,2)</f>
        <v>0.05</v>
      </c>
      <c r="D37" s="73">
        <f>+ROUND(B37+C37,2)</f>
        <v>4.51</v>
      </c>
      <c r="E37" s="73"/>
      <c r="F37" s="73"/>
    </row>
    <row r="38" spans="1:6" ht="15" customHeight="1">
      <c r="A38" s="3" t="s">
        <v>110</v>
      </c>
      <c r="B38" s="73">
        <v>4.9800000000000004</v>
      </c>
      <c r="C38" s="3">
        <f>+ROUND('DF Calc (Mason Co.)'!L28,2)</f>
        <v>0.05</v>
      </c>
      <c r="D38" s="73">
        <f>+ROUND(B38+C38,2)</f>
        <v>5.03</v>
      </c>
      <c r="E38" s="73"/>
      <c r="F38" s="73"/>
    </row>
    <row r="39" spans="1:6" ht="15" customHeight="1">
      <c r="B39" s="73"/>
      <c r="C39" s="3"/>
      <c r="D39" s="73"/>
      <c r="E39" s="73"/>
      <c r="F39" s="73"/>
    </row>
    <row r="40" spans="1:6" ht="15" customHeight="1">
      <c r="A40" s="3" t="s">
        <v>244</v>
      </c>
      <c r="B40" s="78">
        <v>6.4</v>
      </c>
      <c r="C40" s="3">
        <f>+ROUND('DF Calc (Mason Co.)'!L35,2)</f>
        <v>0.05</v>
      </c>
      <c r="D40" s="73">
        <f>+ROUND(B40+C40,2)</f>
        <v>6.45</v>
      </c>
      <c r="E40" s="73"/>
      <c r="F40" s="73"/>
    </row>
    <row r="41" spans="1:6" ht="15" customHeight="1">
      <c r="A41" s="3" t="s">
        <v>245</v>
      </c>
      <c r="B41" s="73">
        <v>8.02</v>
      </c>
      <c r="C41" s="3">
        <f>+ROUND('DF Calc (Mason Co.)'!L36,2)</f>
        <v>0.06</v>
      </c>
      <c r="D41" s="73">
        <f>+ROUND(B41+C41,2)</f>
        <v>8.08</v>
      </c>
      <c r="E41" s="73"/>
      <c r="F41" s="73"/>
    </row>
    <row r="42" spans="1:6" ht="15" customHeight="1">
      <c r="A42" s="3" t="s">
        <v>246</v>
      </c>
      <c r="B42" s="73">
        <v>9.4700000000000006</v>
      </c>
      <c r="C42" s="3">
        <f>+ROUND('DF Calc (Mason Co.)'!L37,2)</f>
        <v>7.0000000000000007E-2</v>
      </c>
      <c r="D42" s="73">
        <f>+ROUND(B42+C42,2)</f>
        <v>9.5399999999999991</v>
      </c>
      <c r="E42" s="73"/>
      <c r="F42" s="73"/>
    </row>
    <row r="43" spans="1:6" ht="15" customHeight="1">
      <c r="A43" s="3" t="s">
        <v>247</v>
      </c>
      <c r="B43" s="73">
        <v>11.67</v>
      </c>
      <c r="C43" s="3">
        <f>+ROUND('DF Calc (Mason Co.)'!L38,2)</f>
        <v>0.1</v>
      </c>
      <c r="D43" s="73">
        <f>+ROUND(B43+C43,2)</f>
        <v>11.77</v>
      </c>
      <c r="E43" s="73"/>
      <c r="F43" s="73"/>
    </row>
    <row r="44" spans="1:6" ht="15" customHeight="1">
      <c r="B44" s="73"/>
      <c r="C44" s="3"/>
      <c r="D44" s="73"/>
      <c r="E44" s="73"/>
      <c r="F44" s="73"/>
    </row>
    <row r="45" spans="1:6" ht="15" customHeight="1">
      <c r="A45" s="185" t="s">
        <v>111</v>
      </c>
      <c r="B45" s="85"/>
      <c r="C45" s="86"/>
      <c r="D45" s="85"/>
      <c r="E45" s="73"/>
      <c r="F45" s="73"/>
    </row>
    <row r="46" spans="1:6" ht="15" customHeight="1">
      <c r="A46" s="3" t="s">
        <v>112</v>
      </c>
      <c r="B46" s="73">
        <v>14.59</v>
      </c>
      <c r="C46" s="3">
        <f>+ROUND('DF Calc (Mason Co.)'!L57,2)</f>
        <v>7.0000000000000007E-2</v>
      </c>
      <c r="D46" s="73">
        <f>+ROUND(B46+C46,2)</f>
        <v>14.66</v>
      </c>
      <c r="E46" s="73"/>
      <c r="F46" s="73"/>
    </row>
    <row r="47" spans="1:6" ht="15" customHeight="1">
      <c r="A47" s="3" t="s">
        <v>113</v>
      </c>
      <c r="B47" s="73">
        <v>19.75</v>
      </c>
      <c r="C47" s="3">
        <f>+ROUND(C46,2)</f>
        <v>7.0000000000000007E-2</v>
      </c>
      <c r="D47" s="73">
        <f>+ROUND(B47+C47,2)</f>
        <v>19.82</v>
      </c>
      <c r="E47" s="73"/>
      <c r="F47" s="73"/>
    </row>
    <row r="48" spans="1:6" ht="15" customHeight="1">
      <c r="B48" s="73"/>
      <c r="C48" s="3"/>
      <c r="D48" s="73"/>
      <c r="E48" s="73"/>
      <c r="F48" s="73"/>
    </row>
    <row r="49" spans="1:6" ht="15" customHeight="1">
      <c r="A49" s="185" t="s">
        <v>114</v>
      </c>
      <c r="B49" s="85"/>
      <c r="C49" s="86"/>
      <c r="D49" s="85"/>
      <c r="E49" s="73"/>
      <c r="F49" s="73"/>
    </row>
    <row r="50" spans="1:6" ht="15" customHeight="1">
      <c r="A50" s="3" t="s">
        <v>115</v>
      </c>
      <c r="B50" s="73">
        <v>4.88</v>
      </c>
      <c r="C50" s="3">
        <f>+ROUND('DF Calc (Mason Co.)'!L59,2)</f>
        <v>7.0000000000000007E-2</v>
      </c>
      <c r="D50" s="73">
        <f>+ROUND(B50+C50,2)</f>
        <v>4.95</v>
      </c>
      <c r="E50" s="73"/>
      <c r="F50" s="73"/>
    </row>
    <row r="51" spans="1:6" ht="15" customHeight="1">
      <c r="A51" s="3" t="s">
        <v>175</v>
      </c>
      <c r="B51" s="73">
        <v>20.85</v>
      </c>
      <c r="C51" s="3">
        <f>+ROUND('DF Calc (Mason Co.)'!L60,2)</f>
        <v>0.28999999999999998</v>
      </c>
      <c r="D51" s="73">
        <f>+ROUND(B51+C51,2)</f>
        <v>21.14</v>
      </c>
      <c r="E51" s="73"/>
      <c r="F51" s="73"/>
    </row>
    <row r="52" spans="1:6" ht="15" customHeight="1">
      <c r="B52" s="73"/>
      <c r="C52" s="3"/>
      <c r="D52" s="73"/>
      <c r="E52" s="73"/>
      <c r="F52" s="73"/>
    </row>
    <row r="53" spans="1:6" ht="15" customHeight="1">
      <c r="A53" s="185" t="s">
        <v>116</v>
      </c>
      <c r="B53" s="85"/>
      <c r="C53" s="86"/>
      <c r="D53" s="85"/>
      <c r="E53" s="73"/>
      <c r="F53" s="73"/>
    </row>
    <row r="54" spans="1:6" ht="15" customHeight="1">
      <c r="A54" s="81" t="s">
        <v>117</v>
      </c>
      <c r="B54" s="78">
        <v>27.61</v>
      </c>
      <c r="C54" s="81">
        <f>+ROUND('DF Calc (Mason Co.)'!L61,2)</f>
        <v>0.17</v>
      </c>
      <c r="D54" s="73">
        <f>+ROUND(B54+C54,2)</f>
        <v>27.78</v>
      </c>
      <c r="E54" s="73"/>
      <c r="F54" s="73"/>
    </row>
    <row r="55" spans="1:6" ht="15" customHeight="1">
      <c r="A55" s="81" t="s">
        <v>118</v>
      </c>
      <c r="B55" s="78">
        <v>27.61</v>
      </c>
      <c r="C55" s="81">
        <f>+ROUND('DF Calc (Mason Co.)'!L62,2)</f>
        <v>0.17</v>
      </c>
      <c r="D55" s="73">
        <f>+ROUND(B55+C55,2)</f>
        <v>27.78</v>
      </c>
      <c r="E55" s="73"/>
      <c r="F55" s="73"/>
    </row>
    <row r="56" spans="1:6" ht="15" customHeight="1">
      <c r="A56" s="81" t="s">
        <v>202</v>
      </c>
      <c r="B56" s="78">
        <v>27.61</v>
      </c>
      <c r="C56" s="81">
        <f>+ROUND('DF Calc (Mason Co.)'!L63,2)</f>
        <v>0.17</v>
      </c>
      <c r="D56" s="73">
        <f>+ROUND(B56+C56,2)</f>
        <v>27.78</v>
      </c>
      <c r="E56" s="73"/>
      <c r="F56" s="73"/>
    </row>
    <row r="57" spans="1:6" ht="15" customHeight="1">
      <c r="A57" s="81" t="s">
        <v>203</v>
      </c>
      <c r="B57" s="78">
        <v>31.35</v>
      </c>
      <c r="C57" s="81">
        <f>+ROUND('DF Calc (Mason Co.)'!L64,2)</f>
        <v>0.17</v>
      </c>
      <c r="D57" s="73">
        <f>+ROUND(B57+C57,2)</f>
        <v>31.52</v>
      </c>
      <c r="E57" s="73"/>
      <c r="F57" s="73"/>
    </row>
    <row r="58" spans="1:6" ht="15" customHeight="1">
      <c r="B58" s="73"/>
      <c r="C58" s="3"/>
      <c r="D58" s="73"/>
      <c r="E58" s="73"/>
      <c r="F58" s="73"/>
    </row>
    <row r="59" spans="1:6" ht="15" customHeight="1">
      <c r="A59" s="185" t="s">
        <v>121</v>
      </c>
      <c r="B59" s="85"/>
      <c r="C59" s="86"/>
      <c r="D59" s="85"/>
      <c r="E59" s="73"/>
      <c r="F59" s="73"/>
    </row>
    <row r="60" spans="1:6" ht="15" customHeight="1">
      <c r="A60" s="3" t="s">
        <v>122</v>
      </c>
      <c r="B60" s="73">
        <v>15.81</v>
      </c>
      <c r="C60" s="3">
        <f>+ROUND('DF Calc (Mason Co.)'!L76,2)</f>
        <v>0.17</v>
      </c>
      <c r="D60" s="73">
        <f>+ROUND(B60+C60,2)</f>
        <v>15.98</v>
      </c>
      <c r="E60" s="73"/>
      <c r="F60" s="73"/>
    </row>
    <row r="61" spans="1:6" ht="15" customHeight="1">
      <c r="A61" s="3" t="s">
        <v>123</v>
      </c>
      <c r="B61" s="73">
        <v>15.81</v>
      </c>
      <c r="C61" s="3">
        <f>+ROUND(C60,2)</f>
        <v>0.17</v>
      </c>
      <c r="D61" s="73">
        <f>+ROUND(B61+C61,2)</f>
        <v>15.98</v>
      </c>
      <c r="E61" s="73"/>
      <c r="F61" s="73"/>
    </row>
    <row r="62" spans="1:6" ht="15" customHeight="1">
      <c r="B62" s="73"/>
      <c r="C62" s="3"/>
      <c r="D62" s="73"/>
      <c r="E62" s="73"/>
      <c r="F62" s="73"/>
    </row>
    <row r="63" spans="1:6" ht="15" customHeight="1">
      <c r="A63" s="185" t="s">
        <v>214</v>
      </c>
      <c r="B63" s="85"/>
      <c r="C63" s="86"/>
      <c r="D63" s="85"/>
      <c r="E63" s="73"/>
      <c r="F63" s="73"/>
    </row>
    <row r="64" spans="1:6" ht="15" customHeight="1">
      <c r="A64" s="3" t="s">
        <v>207</v>
      </c>
      <c r="B64" s="73">
        <v>96.16</v>
      </c>
      <c r="C64" s="3">
        <f>References!$B$53</f>
        <v>3.3599999999999994</v>
      </c>
      <c r="D64" s="172">
        <f>+B64+C64</f>
        <v>99.52</v>
      </c>
      <c r="E64" s="73"/>
      <c r="F64" s="73"/>
    </row>
    <row r="65" spans="1:6" ht="15" customHeight="1">
      <c r="A65" s="3" t="s">
        <v>208</v>
      </c>
      <c r="B65" s="73">
        <v>15.6</v>
      </c>
      <c r="C65" s="3">
        <f>+B65*References!$B$54</f>
        <v>0.54509151414309476</v>
      </c>
      <c r="D65" s="172">
        <f t="shared" ref="D65:D71" si="2">+B65+C65</f>
        <v>16.145091514143093</v>
      </c>
      <c r="E65" s="73"/>
      <c r="F65" s="73"/>
    </row>
    <row r="66" spans="1:6" ht="15" customHeight="1">
      <c r="A66" s="3" t="s">
        <v>209</v>
      </c>
      <c r="B66" s="73">
        <v>96.16</v>
      </c>
      <c r="C66" s="3">
        <f>References!$B$53</f>
        <v>3.3599999999999994</v>
      </c>
      <c r="D66" s="172">
        <f t="shared" si="2"/>
        <v>99.52</v>
      </c>
      <c r="E66" s="73"/>
      <c r="F66" s="73"/>
    </row>
    <row r="67" spans="1:6" ht="15" customHeight="1">
      <c r="A67" s="182" t="s">
        <v>252</v>
      </c>
      <c r="B67" s="78">
        <v>5.22</v>
      </c>
      <c r="C67" s="81">
        <f>+B67*References!$B$54</f>
        <v>0.18239600665557401</v>
      </c>
      <c r="D67" s="181">
        <f t="shared" si="2"/>
        <v>5.4023960066555734</v>
      </c>
      <c r="E67" s="73"/>
      <c r="F67" s="73"/>
    </row>
    <row r="68" spans="1:6" ht="15" customHeight="1">
      <c r="A68" s="81" t="s">
        <v>210</v>
      </c>
      <c r="B68" s="78">
        <v>10.38</v>
      </c>
      <c r="C68" s="81">
        <f>+B68*References!$B$54</f>
        <v>0.36269550748752077</v>
      </c>
      <c r="D68" s="181">
        <f t="shared" si="2"/>
        <v>10.742695507487522</v>
      </c>
      <c r="E68" s="73"/>
      <c r="F68" s="73"/>
    </row>
    <row r="69" spans="1:6" ht="15" customHeight="1">
      <c r="A69" s="81" t="s">
        <v>211</v>
      </c>
      <c r="B69" s="78">
        <v>3.11</v>
      </c>
      <c r="C69" s="81">
        <f>+B69*References!$B$54</f>
        <v>0.10866888519134774</v>
      </c>
      <c r="D69" s="181">
        <f t="shared" si="2"/>
        <v>3.2186688851913474</v>
      </c>
      <c r="E69" s="73"/>
      <c r="F69" s="73"/>
    </row>
    <row r="70" spans="1:6" ht="15" customHeight="1">
      <c r="A70" s="81" t="s">
        <v>212</v>
      </c>
      <c r="B70" s="78">
        <v>5.22</v>
      </c>
      <c r="C70" s="81">
        <f>+B70*References!$B$54</f>
        <v>0.18239600665557401</v>
      </c>
      <c r="D70" s="181">
        <f t="shared" si="2"/>
        <v>5.4023960066555734</v>
      </c>
      <c r="E70" s="73"/>
      <c r="F70" s="73"/>
    </row>
    <row r="71" spans="1:6" ht="15" customHeight="1">
      <c r="A71" s="81" t="s">
        <v>213</v>
      </c>
      <c r="B71" s="78">
        <v>1.58</v>
      </c>
      <c r="C71" s="81">
        <f>+B71*References!$B$54</f>
        <v>5.5207986688851914E-2</v>
      </c>
      <c r="D71" s="181">
        <f t="shared" si="2"/>
        <v>1.635207986688852</v>
      </c>
      <c r="E71" s="73"/>
      <c r="F71" s="73"/>
    </row>
    <row r="72" spans="1:6" s="193" customFormat="1" ht="15" customHeight="1">
      <c r="A72" s="81" t="s">
        <v>253</v>
      </c>
      <c r="B72" s="78">
        <v>5.25</v>
      </c>
      <c r="C72" s="81">
        <f>+B72*References!$B$54</f>
        <v>0.18344425956738766</v>
      </c>
      <c r="D72" s="181">
        <f t="shared" ref="D72" si="3">+B72+C72</f>
        <v>5.4334442595673877</v>
      </c>
      <c r="E72" s="73"/>
      <c r="F72" s="73"/>
    </row>
    <row r="73" spans="1:6" ht="15" customHeight="1">
      <c r="B73" s="73"/>
      <c r="C73" s="3"/>
      <c r="D73" s="73"/>
      <c r="E73" s="73"/>
      <c r="F73" s="73"/>
    </row>
    <row r="74" spans="1:6" ht="15" customHeight="1">
      <c r="A74" s="185" t="s">
        <v>124</v>
      </c>
      <c r="B74" s="84"/>
      <c r="C74" s="86"/>
      <c r="D74" s="84"/>
      <c r="F74" s="73"/>
    </row>
    <row r="75" spans="1:6" ht="15" customHeight="1">
      <c r="A75" s="3" t="s">
        <v>204</v>
      </c>
      <c r="B75" s="73">
        <v>17.059999999999999</v>
      </c>
      <c r="C75" s="3">
        <f>+ROUND('DF Calc (Mason Co.)'!L44,2)</f>
        <v>0.23</v>
      </c>
      <c r="D75" s="73">
        <f>+ROUND(B75+C75,2)</f>
        <v>17.29</v>
      </c>
      <c r="E75" s="73"/>
      <c r="F75" s="73"/>
    </row>
    <row r="76" spans="1:6" ht="15" customHeight="1">
      <c r="A76" s="3" t="s">
        <v>205</v>
      </c>
      <c r="B76" s="73">
        <v>18.84</v>
      </c>
      <c r="C76" s="3">
        <f>+ROUND('DF Calc (Mason Co.)'!L45,2)</f>
        <v>0.33</v>
      </c>
      <c r="D76" s="73">
        <f>+ROUND(B76+C76,2)</f>
        <v>19.170000000000002</v>
      </c>
      <c r="E76" s="73"/>
      <c r="F76" s="73"/>
    </row>
    <row r="77" spans="1:6" ht="15" customHeight="1">
      <c r="A77" s="3" t="s">
        <v>206</v>
      </c>
      <c r="B77" s="73">
        <v>24.9</v>
      </c>
      <c r="C77" s="3">
        <f>+ROUND('DF Calc (Mason Co.)'!L46,2)</f>
        <v>0.43</v>
      </c>
      <c r="D77" s="73">
        <f>+ROUND(B77+C77,2)</f>
        <v>25.33</v>
      </c>
      <c r="E77" s="73"/>
      <c r="F77" s="73"/>
    </row>
    <row r="78" spans="1:6" ht="15" customHeight="1">
      <c r="A78" s="3" t="s">
        <v>176</v>
      </c>
      <c r="B78" s="73">
        <v>15.81</v>
      </c>
      <c r="C78" s="3">
        <f>+ROUND('DF Calc (Mason Co.)'!L76,2)</f>
        <v>0.17</v>
      </c>
      <c r="D78" s="73">
        <f>+ROUND(B78+C78,2)</f>
        <v>15.98</v>
      </c>
      <c r="E78" s="73"/>
      <c r="F78" s="73"/>
    </row>
    <row r="79" spans="1:6" ht="15" customHeight="1">
      <c r="B79" s="73"/>
      <c r="C79" s="3"/>
      <c r="D79" s="73"/>
      <c r="E79" s="73"/>
      <c r="F79" s="73"/>
    </row>
    <row r="80" spans="1:6" ht="15" customHeight="1">
      <c r="A80" s="185" t="s">
        <v>125</v>
      </c>
      <c r="B80" s="85"/>
      <c r="C80" s="86"/>
      <c r="D80" s="85"/>
      <c r="E80" s="73"/>
      <c r="F80" s="73"/>
    </row>
    <row r="81" spans="1:6" ht="15" customHeight="1">
      <c r="A81" s="81" t="s">
        <v>60</v>
      </c>
      <c r="B81" s="73">
        <v>4.32</v>
      </c>
      <c r="C81" s="3">
        <f>+ROUND('DF Calc (Mason Co.)'!L66,2)</f>
        <v>0.04</v>
      </c>
      <c r="D81" s="73">
        <f>+ROUND(B81+C81,2)</f>
        <v>4.3600000000000003</v>
      </c>
      <c r="E81" s="73"/>
      <c r="F81" s="73"/>
    </row>
    <row r="82" spans="1:6" ht="15" customHeight="1">
      <c r="A82" s="3" t="s">
        <v>248</v>
      </c>
      <c r="B82" s="73">
        <v>4.68</v>
      </c>
      <c r="C82" s="3">
        <f>+ROUND('DF Calc (Mason Co.)'!L67,2)</f>
        <v>0.05</v>
      </c>
      <c r="D82" s="73">
        <f>+ROUND(B82+C82,2)</f>
        <v>4.7300000000000004</v>
      </c>
      <c r="E82" s="73"/>
      <c r="F82" s="73"/>
    </row>
    <row r="83" spans="1:6" ht="15" customHeight="1">
      <c r="A83" s="3" t="s">
        <v>249</v>
      </c>
      <c r="B83" s="73">
        <v>5.52</v>
      </c>
      <c r="C83" s="3">
        <f>+ROUND('DF Calc (Mason Co.)'!L68,2)</f>
        <v>0.06</v>
      </c>
      <c r="D83" s="73">
        <f>+ROUND(B83+C83,2)</f>
        <v>5.58</v>
      </c>
      <c r="E83" s="73"/>
      <c r="F83" s="73"/>
    </row>
    <row r="84" spans="1:6" ht="15" customHeight="1">
      <c r="A84" s="3" t="s">
        <v>250</v>
      </c>
      <c r="B84" s="73">
        <v>6.53</v>
      </c>
      <c r="C84" s="3">
        <f>+ROUND('DF Calc (Mason Co.)'!L69,2)</f>
        <v>7.0000000000000007E-2</v>
      </c>
      <c r="D84" s="73">
        <f>+ROUND(B84+C84,2)</f>
        <v>6.6</v>
      </c>
      <c r="E84" s="73"/>
      <c r="F84" s="73"/>
    </row>
    <row r="85" spans="1:6" ht="15" customHeight="1">
      <c r="A85" s="3" t="s">
        <v>251</v>
      </c>
      <c r="B85" s="73">
        <v>8.17</v>
      </c>
      <c r="C85" s="3">
        <f>+ROUND('DF Calc (Mason Co.)'!L70,2)</f>
        <v>0.1</v>
      </c>
      <c r="D85" s="73">
        <f>+ROUND(B85+C85,2)</f>
        <v>8.27</v>
      </c>
      <c r="E85" s="73"/>
      <c r="F85" s="73"/>
    </row>
    <row r="86" spans="1:6" ht="15" customHeight="1">
      <c r="B86" s="73"/>
      <c r="C86" s="3"/>
      <c r="D86" s="73"/>
      <c r="E86" s="73"/>
      <c r="F86" s="73"/>
    </row>
    <row r="87" spans="1:6" ht="15" customHeight="1">
      <c r="A87" s="184" t="s">
        <v>113</v>
      </c>
      <c r="B87" s="73"/>
      <c r="C87" s="3"/>
      <c r="D87" s="73"/>
      <c r="E87" s="73"/>
      <c r="F87" s="73"/>
    </row>
    <row r="88" spans="1:6" ht="15" customHeight="1">
      <c r="A88" s="3" t="s">
        <v>60</v>
      </c>
      <c r="B88" s="73">
        <v>13.25</v>
      </c>
      <c r="C88" s="3">
        <f>+ROUND('DF Calc (Mason Co.)'!L71,2)</f>
        <v>0.04</v>
      </c>
      <c r="D88" s="73">
        <f>+ROUND(B88+C88,2)</f>
        <v>13.29</v>
      </c>
      <c r="E88" s="73"/>
      <c r="F88" s="73"/>
    </row>
    <row r="89" spans="1:6" ht="15" customHeight="1">
      <c r="A89" s="3" t="s">
        <v>248</v>
      </c>
      <c r="B89" s="73">
        <v>14.79</v>
      </c>
      <c r="C89" s="3">
        <f>+ROUND('DF Calc (Mason Co.)'!L72,2)</f>
        <v>0.05</v>
      </c>
      <c r="D89" s="73">
        <f>+ROUND(B89+C89,2)</f>
        <v>14.84</v>
      </c>
      <c r="E89" s="73"/>
      <c r="F89" s="73"/>
    </row>
    <row r="90" spans="1:6" ht="15" customHeight="1">
      <c r="A90" s="3" t="s">
        <v>249</v>
      </c>
      <c r="B90" s="73">
        <v>15.63</v>
      </c>
      <c r="C90" s="3">
        <f>+ROUND('DF Calc (Mason Co.)'!L73,2)</f>
        <v>0.06</v>
      </c>
      <c r="D90" s="73">
        <f>+ROUND(B90+C90,2)</f>
        <v>15.69</v>
      </c>
      <c r="E90" s="73"/>
      <c r="F90" s="73"/>
    </row>
    <row r="91" spans="1:6" ht="15" customHeight="1">
      <c r="A91" s="3" t="s">
        <v>250</v>
      </c>
      <c r="B91" s="73">
        <v>16.64</v>
      </c>
      <c r="C91" s="3">
        <f>+ROUND('DF Calc (Mason Co.)'!L74,2)</f>
        <v>7.0000000000000007E-2</v>
      </c>
      <c r="D91" s="73">
        <f>+ROUND(B91+C91,2)</f>
        <v>16.71</v>
      </c>
      <c r="E91" s="73"/>
      <c r="F91" s="73"/>
    </row>
    <row r="92" spans="1:6" ht="15" customHeight="1">
      <c r="A92" s="3" t="s">
        <v>251</v>
      </c>
      <c r="B92" s="73">
        <v>18.28</v>
      </c>
      <c r="C92" s="3">
        <f>+ROUND('DF Calc (Mason Co.)'!L75,2)</f>
        <v>0.1</v>
      </c>
      <c r="D92" s="73">
        <f>+ROUND(B92+C92,2)</f>
        <v>18.38</v>
      </c>
      <c r="E92" s="73"/>
      <c r="F92" s="73"/>
    </row>
    <row r="93" spans="1:6" ht="15" customHeight="1">
      <c r="B93" s="73"/>
      <c r="C93" s="3"/>
      <c r="D93" s="73"/>
      <c r="E93" s="73"/>
      <c r="F93" s="73"/>
    </row>
    <row r="94" spans="1:6" ht="15" customHeight="1">
      <c r="A94" s="3" t="s">
        <v>177</v>
      </c>
      <c r="B94" s="73">
        <v>4.68</v>
      </c>
      <c r="C94" s="3">
        <f>+ROUND('DF Calc (Mason Co.)'!L77,2)</f>
        <v>0.04</v>
      </c>
      <c r="D94" s="73">
        <f>+ROUND(B94+C94,2)</f>
        <v>4.72</v>
      </c>
      <c r="E94" s="73"/>
      <c r="F94" s="73"/>
    </row>
    <row r="95" spans="1:6" ht="15" customHeight="1">
      <c r="A95" s="3" t="s">
        <v>178</v>
      </c>
      <c r="B95" s="73">
        <v>18.73</v>
      </c>
      <c r="C95" s="3">
        <f>+ROUND('DF Calc (Mason Co.)'!L78,2)</f>
        <v>0.17</v>
      </c>
      <c r="D95" s="73">
        <f>+ROUND(B95+C95,2)</f>
        <v>18.899999999999999</v>
      </c>
      <c r="E95" s="73"/>
      <c r="F95" s="73"/>
    </row>
    <row r="96" spans="1:6" ht="15" customHeight="1">
      <c r="A96" s="3" t="s">
        <v>179</v>
      </c>
      <c r="B96" s="73">
        <v>3.99</v>
      </c>
      <c r="C96" s="119">
        <f>+ROUND('DF Calc (Mason Co.)'!L79,2)</f>
        <v>0.04</v>
      </c>
      <c r="D96" s="73">
        <f>+ROUND(B96+C96,2)</f>
        <v>4.03</v>
      </c>
      <c r="E96" s="73"/>
      <c r="F96" s="73"/>
    </row>
    <row r="97" spans="1:6" ht="15" customHeight="1">
      <c r="A97" s="3" t="s">
        <v>180</v>
      </c>
      <c r="B97" s="73">
        <v>4.32</v>
      </c>
      <c r="C97" s="3">
        <f>+ROUND('DF Calc (Mason Co.)'!L80,2)</f>
        <v>0.04</v>
      </c>
      <c r="D97" s="73">
        <f>+ROUND(B97+C97,2)</f>
        <v>4.3600000000000003</v>
      </c>
      <c r="E97" s="73"/>
      <c r="F97" s="73"/>
    </row>
    <row r="98" spans="1:6" ht="15" customHeight="1">
      <c r="A98" s="3" t="s">
        <v>181</v>
      </c>
      <c r="B98" s="73"/>
      <c r="C98" s="3"/>
      <c r="D98" s="78"/>
      <c r="E98" s="73"/>
      <c r="F98" s="73"/>
    </row>
    <row r="99" spans="1:6" ht="15" customHeight="1">
      <c r="A99" s="183" t="s">
        <v>248</v>
      </c>
      <c r="B99" s="73">
        <v>20.079999999999998</v>
      </c>
      <c r="C99" s="3">
        <f>+ROUND('DF Calc (Mason Co.)'!L81,2)</f>
        <v>0.21</v>
      </c>
      <c r="D99" s="78">
        <f>+ROUND(B99+C99,2)</f>
        <v>20.29</v>
      </c>
      <c r="E99" s="73"/>
      <c r="F99" s="73"/>
    </row>
    <row r="100" spans="1:6" ht="15" customHeight="1">
      <c r="A100" s="183" t="s">
        <v>249</v>
      </c>
      <c r="B100" s="73">
        <v>23.66</v>
      </c>
      <c r="C100" s="3">
        <f>+ROUND('DF Calc (Mason Co.)'!L82,2)</f>
        <v>0.28000000000000003</v>
      </c>
      <c r="D100" s="78">
        <f>+ROUND(B100+C100,2)</f>
        <v>23.94</v>
      </c>
      <c r="E100" s="73"/>
      <c r="F100" s="73"/>
    </row>
    <row r="101" spans="1:6" ht="15" customHeight="1">
      <c r="A101" s="183" t="s">
        <v>250</v>
      </c>
      <c r="B101" s="73">
        <v>27.99</v>
      </c>
      <c r="C101" s="3">
        <f>+ROUND('DF Calc (Mason Co.)'!L83,2)</f>
        <v>0.28999999999999998</v>
      </c>
      <c r="D101" s="78">
        <f>+ROUND(B101+C101,2)</f>
        <v>28.28</v>
      </c>
      <c r="E101" s="73"/>
      <c r="F101" s="73"/>
    </row>
    <row r="102" spans="1:6" ht="15" customHeight="1">
      <c r="A102" s="183" t="s">
        <v>251</v>
      </c>
      <c r="B102" s="73">
        <v>34.979999999999997</v>
      </c>
      <c r="C102" s="3">
        <f>+ROUND('DF Calc (Mason Co.)'!L84,2)</f>
        <v>0.44</v>
      </c>
      <c r="D102" s="78">
        <f>+ROUND(B102+C102,2)</f>
        <v>35.42</v>
      </c>
      <c r="E102" s="73"/>
      <c r="F102" s="73"/>
    </row>
    <row r="103" spans="1:6" ht="15" customHeight="1">
      <c r="B103" s="73"/>
      <c r="C103" s="3"/>
      <c r="D103" s="73"/>
      <c r="E103" s="73"/>
      <c r="F103" s="73"/>
    </row>
  </sheetData>
  <pageMargins left="0.7" right="0.7" top="0.75" bottom="0.75" header="0.3" footer="0.3"/>
  <pageSetup scale="88" fitToHeight="2" orientation="portrait" r:id="rId1"/>
  <headerFooter>
    <oddFooter xml:space="preserve">&amp;L&amp;F - &amp;A
&amp;R&amp;P of &amp;N    </oddFooter>
  </headerFooter>
  <rowBreaks count="1" manualBreakCount="1">
    <brk id="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067CD280F1F7499B15BD118B1C0F87" ma:contentTypeVersion="76" ma:contentTypeDescription="" ma:contentTypeScope="" ma:versionID="76cdc8a46739ef78518077c4c0d6589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180972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E932966-AEE5-471D-83A0-CA1328691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36F3ED-C393-40F2-80AB-2A7759299C52}"/>
</file>

<file path=customXml/itemProps3.xml><?xml version="1.0" encoding="utf-8"?>
<ds:datastoreItem xmlns:ds="http://schemas.openxmlformats.org/officeDocument/2006/customXml" ds:itemID="{CCC421D1-438D-4690-B6CE-026FAC219A51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7429f450-94b4-4416-870d-2c1407281566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AA3AE97F-3F8B-4652-A907-663C5A14B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DF Calc (Mason Co.)</vt:lpstr>
      <vt:lpstr>Prop. Rates</vt:lpstr>
      <vt:lpstr>'DF Calc (Mason Co.)'!Print_Area</vt:lpstr>
      <vt:lpstr>References!Print_Area</vt:lpstr>
      <vt:lpstr>'DF Calc (Mason Co.)'!Print_Titles</vt:lpstr>
      <vt:lpstr>'Prop. Rates'!Print_Titles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Ben Thompson</cp:lastModifiedBy>
  <cp:lastPrinted>2018-11-19T22:37:23Z</cp:lastPrinted>
  <dcterms:created xsi:type="dcterms:W3CDTF">2014-10-29T22:31:20Z</dcterms:created>
  <dcterms:modified xsi:type="dcterms:W3CDTF">2018-11-19T22:38:10Z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0x0101006E56B4D1795A2E4DB2F0B01679ED314A0040067CD280F1F7499B15BD118B1C0F87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