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firstSheet="2" activeTab="10"/>
  </bookViews>
  <sheets>
    <sheet name="Rate Sheet Summary" sheetId="1" r:id="rId1"/>
    <sheet name="New Method" sheetId="2" r:id="rId2"/>
    <sheet name="2018-2019 Recy. Tons &amp; Revenue" sheetId="3" r:id="rId3"/>
    <sheet name="Composition" sheetId="4" r:id="rId4"/>
    <sheet name="Prices &amp; Revenue" sheetId="5" r:id="rId5"/>
    <sheet name="Customer Counts" sheetId="6" r:id="rId6"/>
    <sheet name="NS(SC) - Old Method" sheetId="7" state="hidden" r:id="rId7"/>
    <sheet name="NS(KC) - Old Method" sheetId="8" state="hidden" r:id="rId8"/>
    <sheet name="Sea_SS - Old Method" sheetId="9" state="hidden" r:id="rId9"/>
    <sheet name="KC 2018-2019 Budget" sheetId="10" r:id="rId10"/>
    <sheet name="SC 2018-2019 Budget" sheetId="11" r:id="rId11"/>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Print_Area" localSheetId="5">'Customer Counts'!$A$1:$X$32</definedName>
    <definedName name="_xlnm.Print_Area" localSheetId="9">'KC 2018-2019 Budget'!$A$1:$G$52</definedName>
    <definedName name="_xlnm.Print_Area" localSheetId="1">'New Method'!$A$1:$G$109</definedName>
    <definedName name="_xlnm.Print_Area" localSheetId="4">'Prices &amp; Revenue'!$B$1:$M$176</definedName>
    <definedName name="_xlnm.Print_Area" localSheetId="0">'Rate Sheet Summary'!$A$1:$L$65</definedName>
    <definedName name="_xlnm.Print_Area" localSheetId="10">'SC 2018-2019 Budget'!$A$1:$D$55</definedName>
    <definedName name="_xlnm.Print_Titles" localSheetId="4">'Prices &amp; Revenue'!$1:$3</definedName>
  </definedNames>
  <calcPr fullCalcOnLoad="1" iterate="1" iterateCount="100" iterateDelta="0.001"/>
</workbook>
</file>

<file path=xl/comments2.xml><?xml version="1.0" encoding="utf-8"?>
<comments xmlns="http://schemas.openxmlformats.org/spreadsheetml/2006/main">
  <authors>
    <author>Weinstein, Mike</author>
  </authors>
  <commentList>
    <comment ref="E9" authorId="0">
      <text>
        <r>
          <rPr>
            <b/>
            <sz val="9"/>
            <rFont val="Tahoma"/>
            <family val="0"/>
          </rPr>
          <t>Weinstein, Mike:</t>
        </r>
        <r>
          <rPr>
            <sz val="9"/>
            <rFont val="Tahoma"/>
            <family val="0"/>
          </rPr>
          <t xml:space="preserve">
Projected commodity values Oct - Dec. 2017. Per prior workpapers in TG-161132</t>
        </r>
      </text>
    </comment>
    <comment ref="E10" authorId="0">
      <text>
        <r>
          <rPr>
            <b/>
            <sz val="9"/>
            <rFont val="Tahoma"/>
            <family val="0"/>
          </rPr>
          <t>Weinstein, Mike:</t>
        </r>
        <r>
          <rPr>
            <sz val="9"/>
            <rFont val="Tahoma"/>
            <family val="0"/>
          </rPr>
          <t xml:space="preserve">
Projected commodity values Jan - Sep. 2018. Per prior workpapers in TG-171132</t>
        </r>
      </text>
    </comment>
    <comment ref="E48" authorId="0">
      <text>
        <r>
          <rPr>
            <b/>
            <sz val="9"/>
            <rFont val="Tahoma"/>
            <family val="0"/>
          </rPr>
          <t>Weinstein, Mike:</t>
        </r>
        <r>
          <rPr>
            <sz val="9"/>
            <rFont val="Tahoma"/>
            <family val="0"/>
          </rPr>
          <t xml:space="preserve">
Projected commodity values Oct - Dec. 2017. Per prior workpapers in TG-161132</t>
        </r>
      </text>
    </comment>
    <comment ref="E49" authorId="0">
      <text>
        <r>
          <rPr>
            <b/>
            <sz val="9"/>
            <rFont val="Tahoma"/>
            <family val="0"/>
          </rPr>
          <t>Weinstein, Mike:</t>
        </r>
        <r>
          <rPr>
            <sz val="9"/>
            <rFont val="Tahoma"/>
            <family val="0"/>
          </rPr>
          <t xml:space="preserve">
Projected commodity values Jan - Sep. 2018. Per prior workpapers in TG-171132</t>
        </r>
      </text>
    </comment>
    <comment ref="E84" authorId="0">
      <text>
        <r>
          <rPr>
            <b/>
            <sz val="9"/>
            <rFont val="Tahoma"/>
            <family val="0"/>
          </rPr>
          <t>Weinstein, Mike:</t>
        </r>
        <r>
          <rPr>
            <sz val="9"/>
            <rFont val="Tahoma"/>
            <family val="0"/>
          </rPr>
          <t xml:space="preserve">
Projected commodity values Oct - Dec. 2017. Per prior workpapers in TG-161134</t>
        </r>
      </text>
    </comment>
    <comment ref="E85" authorId="0">
      <text>
        <r>
          <rPr>
            <b/>
            <sz val="9"/>
            <rFont val="Tahoma"/>
            <family val="0"/>
          </rPr>
          <t>Weinstein, Mike:</t>
        </r>
        <r>
          <rPr>
            <sz val="9"/>
            <rFont val="Tahoma"/>
            <family val="0"/>
          </rPr>
          <t xml:space="preserve">
Projected commodity values Jan - Sep. 2018. Per prior workpapers in TG-171131</t>
        </r>
      </text>
    </comment>
    <comment ref="M9" authorId="0">
      <text>
        <r>
          <rPr>
            <b/>
            <sz val="9"/>
            <rFont val="Tahoma"/>
            <family val="0"/>
          </rPr>
          <t>Weinstein, Mike:</t>
        </r>
        <r>
          <rPr>
            <sz val="9"/>
            <rFont val="Tahoma"/>
            <family val="0"/>
          </rPr>
          <t xml:space="preserve">
Projected commodity values Oct - Dec. 2017. Per prior workpapers in TG-161132</t>
        </r>
      </text>
    </comment>
    <comment ref="M10" authorId="0">
      <text>
        <r>
          <rPr>
            <b/>
            <sz val="9"/>
            <rFont val="Tahoma"/>
            <family val="0"/>
          </rPr>
          <t>Weinstein, Mike:</t>
        </r>
        <r>
          <rPr>
            <sz val="9"/>
            <rFont val="Tahoma"/>
            <family val="0"/>
          </rPr>
          <t xml:space="preserve">
Projected commodity values Jan - Sep. 2018. Per prior workpapers in TG-171132</t>
        </r>
      </text>
    </comment>
    <comment ref="M48" authorId="0">
      <text>
        <r>
          <rPr>
            <b/>
            <sz val="9"/>
            <rFont val="Tahoma"/>
            <family val="0"/>
          </rPr>
          <t>Weinstein, Mike:</t>
        </r>
        <r>
          <rPr>
            <sz val="9"/>
            <rFont val="Tahoma"/>
            <family val="0"/>
          </rPr>
          <t xml:space="preserve">
Projected commodity values Oct - Dec. 2017. Per prior workpapers in TG-161132</t>
        </r>
      </text>
    </comment>
    <comment ref="M49" authorId="0">
      <text>
        <r>
          <rPr>
            <b/>
            <sz val="9"/>
            <rFont val="Tahoma"/>
            <family val="0"/>
          </rPr>
          <t>Weinstein, Mike:</t>
        </r>
        <r>
          <rPr>
            <sz val="9"/>
            <rFont val="Tahoma"/>
            <family val="0"/>
          </rPr>
          <t xml:space="preserve">
Projected commodity values Jan - Sep. 2018. Per prior workpapers in TG-171132</t>
        </r>
      </text>
    </comment>
    <comment ref="M84" authorId="0">
      <text>
        <r>
          <rPr>
            <b/>
            <sz val="9"/>
            <rFont val="Tahoma"/>
            <family val="0"/>
          </rPr>
          <t>Weinstein, Mike:</t>
        </r>
        <r>
          <rPr>
            <sz val="9"/>
            <rFont val="Tahoma"/>
            <family val="0"/>
          </rPr>
          <t xml:space="preserve">
Projected commodity values Oct - Dec. 2017. Per prior workpapers in TG-161134</t>
        </r>
      </text>
    </comment>
    <comment ref="M85" authorId="0">
      <text>
        <r>
          <rPr>
            <b/>
            <sz val="9"/>
            <rFont val="Tahoma"/>
            <family val="0"/>
          </rPr>
          <t>Weinstein, Mike:</t>
        </r>
        <r>
          <rPr>
            <sz val="9"/>
            <rFont val="Tahoma"/>
            <family val="0"/>
          </rPr>
          <t xml:space="preserve">
Projected commodity values Jan - Sep. 2018. Per prior workpapers in TG-171131</t>
        </r>
      </text>
    </comment>
  </commentList>
</comments>
</file>

<file path=xl/comments7.xml><?xml version="1.0" encoding="utf-8"?>
<comments xmlns="http://schemas.openxmlformats.org/spreadsheetml/2006/main">
  <authors>
    <author>Weinstein, Mike</author>
  </authors>
  <commentList>
    <comment ref="A60" authorId="0">
      <text>
        <r>
          <rPr>
            <b/>
            <sz val="9"/>
            <rFont val="Tahoma"/>
            <family val="2"/>
          </rPr>
          <t>Weinstein, Mike:</t>
        </r>
        <r>
          <rPr>
            <sz val="9"/>
            <rFont val="Tahoma"/>
            <family val="2"/>
          </rPr>
          <t xml:space="preserve">
Due to the impacts of China's National Sword policy, a 6 month average time period  will be used for projecting future commodity values.</t>
        </r>
      </text>
    </comment>
  </commentList>
</comments>
</file>

<file path=xl/comments8.xml><?xml version="1.0" encoding="utf-8"?>
<comments xmlns="http://schemas.openxmlformats.org/spreadsheetml/2006/main">
  <authors>
    <author>Weinstein, Mike</author>
  </authors>
  <commentList>
    <comment ref="A56" authorId="0">
      <text>
        <r>
          <rPr>
            <b/>
            <sz val="9"/>
            <rFont val="Tahoma"/>
            <family val="2"/>
          </rPr>
          <t>Weinstein, Mike:</t>
        </r>
        <r>
          <rPr>
            <sz val="9"/>
            <rFont val="Tahoma"/>
            <family val="2"/>
          </rPr>
          <t xml:space="preserve">
Due to the impacts of China's National Sword policy, a 6 month average time period  will be used for projecting future commodity values.</t>
        </r>
      </text>
    </comment>
  </commentList>
</comments>
</file>

<file path=xl/comments9.xml><?xml version="1.0" encoding="utf-8"?>
<comments xmlns="http://schemas.openxmlformats.org/spreadsheetml/2006/main">
  <authors>
    <author>Weinstein, Mike</author>
  </authors>
  <commentList>
    <comment ref="A56" authorId="0">
      <text>
        <r>
          <rPr>
            <b/>
            <sz val="9"/>
            <rFont val="Tahoma"/>
            <family val="2"/>
          </rPr>
          <t>Weinstein, Mike:</t>
        </r>
        <r>
          <rPr>
            <sz val="9"/>
            <rFont val="Tahoma"/>
            <family val="2"/>
          </rPr>
          <t xml:space="preserve">
Due to the impacts of China's National Sword policy, a 6 month average time period  will be used for projecting future commodity values.</t>
        </r>
      </text>
    </comment>
  </commentList>
</comments>
</file>

<file path=xl/sharedStrings.xml><?xml version="1.0" encoding="utf-8"?>
<sst xmlns="http://schemas.openxmlformats.org/spreadsheetml/2006/main" count="968" uniqueCount="316">
  <si>
    <t>Aluminum</t>
  </si>
  <si>
    <t>OCC</t>
  </si>
  <si>
    <t>Glass</t>
  </si>
  <si>
    <t>Newspaper</t>
  </si>
  <si>
    <t>Tin Cans</t>
  </si>
  <si>
    <t>Residue</t>
  </si>
  <si>
    <t>Mix Paper</t>
  </si>
  <si>
    <t>Tons</t>
  </si>
  <si>
    <t>PET</t>
  </si>
  <si>
    <t>#3 - 7</t>
  </si>
  <si>
    <t>HDPE Natl</t>
  </si>
  <si>
    <t>HDPE Col</t>
  </si>
  <si>
    <t>King County Revenue Sharing Plan Budget</t>
  </si>
  <si>
    <t xml:space="preserve">King </t>
  </si>
  <si>
    <t>Seattle/</t>
  </si>
  <si>
    <t>County</t>
  </si>
  <si>
    <t>North Sound</t>
  </si>
  <si>
    <t>South Sound</t>
  </si>
  <si>
    <t>Customer Counts:</t>
  </si>
  <si>
    <t>Residential</t>
  </si>
  <si>
    <t>Tonnage:</t>
  </si>
  <si>
    <t>Residential and Multi-Family WUTC tonnage</t>
  </si>
  <si>
    <t>Revenues:</t>
  </si>
  <si>
    <t>Total Projected Commodity Revenue (based most recent 12 months average commodity values)</t>
  </si>
  <si>
    <t>Expenditures Budget:</t>
  </si>
  <si>
    <t xml:space="preserve">Estimated Revenue Sharing retained by Company </t>
  </si>
  <si>
    <t>Detailed Expenditures:</t>
  </si>
  <si>
    <t>Labor Cost Total (see detail below)</t>
  </si>
  <si>
    <t>Tasks As Outlined In RSA</t>
  </si>
  <si>
    <t>Total RSA Task Fees (excluding capital)</t>
  </si>
  <si>
    <t>Total Budgeted Expenses</t>
  </si>
  <si>
    <t>Performance Incentive (5% of expenditures)</t>
  </si>
  <si>
    <t>Total Expenditures plus incentive</t>
  </si>
  <si>
    <t>Avg. lbs./customer/mo.</t>
  </si>
  <si>
    <t>Avg. revenue/ton</t>
  </si>
  <si>
    <t>Labor Cost Allocation</t>
  </si>
  <si>
    <t>Total Hours</t>
  </si>
  <si>
    <t>Hourly Rate</t>
  </si>
  <si>
    <t>Total 2 yrs</t>
  </si>
  <si>
    <t>Monthly Reporting (CC Team )</t>
  </si>
  <si>
    <t>Executive Management/Oversight (Mindy &amp; Mary)</t>
  </si>
  <si>
    <t>Other Managerial (Robin, Michelle, Accounting)</t>
  </si>
  <si>
    <t>Public Education Team &amp; Website Updates</t>
  </si>
  <si>
    <t xml:space="preserve">Labor Cost Totals </t>
  </si>
  <si>
    <t>Snohomish County Revenue Sharing Plan Budget</t>
  </si>
  <si>
    <t>Snohomish</t>
  </si>
  <si>
    <t>Passback Price/ton schedule</t>
  </si>
  <si>
    <t>Natural</t>
  </si>
  <si>
    <t>Colored</t>
  </si>
  <si>
    <t>Mixed</t>
  </si>
  <si>
    <t>Month</t>
  </si>
  <si>
    <t>ONP 6</t>
  </si>
  <si>
    <t>Mixed Paper</t>
  </si>
  <si>
    <t>Alum.</t>
  </si>
  <si>
    <t>Tin</t>
  </si>
  <si>
    <t>HDPE</t>
  </si>
  <si>
    <t>Plastics 3-7</t>
  </si>
  <si>
    <t>Average</t>
  </si>
  <si>
    <t>Overall Plastic Average</t>
  </si>
  <si>
    <t>King County:</t>
  </si>
  <si>
    <t>Oct</t>
  </si>
  <si>
    <t>Nov</t>
  </si>
  <si>
    <t>Dec.</t>
  </si>
  <si>
    <t>Feb.</t>
  </si>
  <si>
    <t>Mar.</t>
  </si>
  <si>
    <t>Apr.</t>
  </si>
  <si>
    <t>May</t>
  </si>
  <si>
    <t>Jun.</t>
  </si>
  <si>
    <t>Jul.</t>
  </si>
  <si>
    <t>Aug.</t>
  </si>
  <si>
    <t>Sep.</t>
  </si>
  <si>
    <t>Oct.</t>
  </si>
  <si>
    <t>Nov.</t>
  </si>
  <si>
    <t>Jun</t>
  </si>
  <si>
    <t>Jul</t>
  </si>
  <si>
    <t>Aug</t>
  </si>
  <si>
    <t>Sep</t>
  </si>
  <si>
    <t>Snohomish County:</t>
  </si>
  <si>
    <t>Dec</t>
  </si>
  <si>
    <t>WUTC</t>
  </si>
  <si>
    <t>Non-WUTC</t>
  </si>
  <si>
    <t>WM - Seattle/South Sound</t>
  </si>
  <si>
    <t>Grand</t>
  </si>
  <si>
    <t>SS</t>
  </si>
  <si>
    <t>Seattle</t>
  </si>
  <si>
    <t>Total</t>
  </si>
  <si>
    <t>Marysville</t>
  </si>
  <si>
    <t>Non-Reg</t>
  </si>
  <si>
    <t>Everett</t>
  </si>
  <si>
    <t>Feb</t>
  </si>
  <si>
    <t>Mar</t>
  </si>
  <si>
    <t>Apr</t>
  </si>
  <si>
    <t>Summary of Recycling Tonnages and Revenue</t>
  </si>
  <si>
    <t>Total Counties:</t>
  </si>
  <si>
    <t>King</t>
  </si>
  <si>
    <t>Single Stream Tonnage</t>
  </si>
  <si>
    <t>Single Stream Revenue</t>
  </si>
  <si>
    <t>Revenue</t>
  </si>
  <si>
    <t>per Ton</t>
  </si>
  <si>
    <t>Customers</t>
  </si>
  <si>
    <t>lbs./cust/mo.</t>
  </si>
  <si>
    <t>Regulated WUTC:</t>
  </si>
  <si>
    <t>Difference - over (under)</t>
  </si>
  <si>
    <t>Regulated WUTC (Single Family):</t>
  </si>
  <si>
    <t>% of Total</t>
  </si>
  <si>
    <t>Regulated WUTC (Multi-Family):</t>
  </si>
  <si>
    <t>Task 1 - Single Family Residential Audience Outreach &amp; Education</t>
  </si>
  <si>
    <t>Task 2 - Multifamily Residential Audience Outreach &amp; Education</t>
  </si>
  <si>
    <t>Estimated Revenue Share</t>
  </si>
  <si>
    <t>Plan to Date Estimated Revenue Sharing Shortfall</t>
  </si>
  <si>
    <t>Projected Estimated Revenue Sharing Shortfall</t>
  </si>
  <si>
    <t>Pro Rata Revenue Sharing retained by Co. per budget</t>
  </si>
  <si>
    <t>Estimated Plan expenditures per budget</t>
  </si>
  <si>
    <t>Less: Performance Incentive Earned (5% of Expenditures)</t>
  </si>
  <si>
    <t>Proposed Reduction in Expenses due to revenue shortfall</t>
  </si>
  <si>
    <t>Revised expenditure budget</t>
  </si>
  <si>
    <t>Revised incentive</t>
  </si>
  <si>
    <t>Revised  Total Expenditures plus incentive</t>
  </si>
  <si>
    <t>Revenue Sharing retained by Co. per budget</t>
  </si>
  <si>
    <t>Revised Estimated Retained Revenue Sharing</t>
  </si>
  <si>
    <t>WM - North Sound/Marysville</t>
  </si>
  <si>
    <t>King County</t>
  </si>
  <si>
    <t>King Cty</t>
  </si>
  <si>
    <t>Sno.Cty</t>
  </si>
  <si>
    <t>North Sound/</t>
  </si>
  <si>
    <t>Snohomish County</t>
  </si>
  <si>
    <t>Oct., 2017</t>
  </si>
  <si>
    <t>Jan., 2018</t>
  </si>
  <si>
    <t>Jan. 2019</t>
  </si>
  <si>
    <t xml:space="preserve">2018 - 2019 plan years </t>
  </si>
  <si>
    <t>Residential (average)</t>
  </si>
  <si>
    <t>Add: Funds underspent from prior RSA</t>
  </si>
  <si>
    <t>Task 3 - CRC Upgrades</t>
  </si>
  <si>
    <t>RSA Project Manager</t>
  </si>
  <si>
    <t>Intern recruitment &amp; Management</t>
  </si>
  <si>
    <t>Budget</t>
  </si>
  <si>
    <t>Task 1 - Strategic Communications</t>
  </si>
  <si>
    <t>Task 2 - Latino Behavior Study and Pilot</t>
  </si>
  <si>
    <t>Task 3 - Multifamily Recycling</t>
  </si>
  <si>
    <t>Task 4 - Organics</t>
  </si>
  <si>
    <t>Task 5 - Promotion of Recycling at Events</t>
  </si>
  <si>
    <t>Task 6 - Increase Recycling and Decrease Contamination</t>
  </si>
  <si>
    <t xml:space="preserve">Task 7 - Schools Outreach </t>
  </si>
  <si>
    <t>Task 8 - CRC Upgrades</t>
  </si>
  <si>
    <t>Oct.; 2017</t>
  </si>
  <si>
    <t>Jan.; 2018</t>
  </si>
  <si>
    <t>Jan., 2019</t>
  </si>
  <si>
    <t>Oct; '17</t>
  </si>
  <si>
    <t>Jan. '18</t>
  </si>
  <si>
    <t>Jan. '19</t>
  </si>
  <si>
    <t>2018 - 2019 Pro Rata per Budget</t>
  </si>
  <si>
    <t>2018 - 2019 Total per Budget</t>
  </si>
  <si>
    <t>Normandy Park contract</t>
  </si>
  <si>
    <t>WM-North Sound (SC)</t>
  </si>
  <si>
    <t>WM-North Sound (KC)</t>
  </si>
  <si>
    <t>Service</t>
  </si>
  <si>
    <t xml:space="preserve">Revised </t>
  </si>
  <si>
    <t>Current</t>
  </si>
  <si>
    <t>% Change</t>
  </si>
  <si>
    <t>Multi-Family Containers (a):</t>
  </si>
  <si>
    <t>Mini-can</t>
  </si>
  <si>
    <t>Cans</t>
  </si>
  <si>
    <t>35 gal cart</t>
  </si>
  <si>
    <t>64 gal cart</t>
  </si>
  <si>
    <t>96 gal cart</t>
  </si>
  <si>
    <t>1 yard</t>
  </si>
  <si>
    <t>1.50 yard</t>
  </si>
  <si>
    <t>2 yard</t>
  </si>
  <si>
    <t>3 yard</t>
  </si>
  <si>
    <t>4 yard</t>
  </si>
  <si>
    <t>6 yard</t>
  </si>
  <si>
    <t>8 yard</t>
  </si>
  <si>
    <t>4 yard compactor</t>
  </si>
  <si>
    <t>MF Containers(Everett) (a):</t>
  </si>
  <si>
    <t>MF Using Drop Box (a):</t>
  </si>
  <si>
    <t>Per Station</t>
  </si>
  <si>
    <t>Per Cart</t>
  </si>
  <si>
    <t>MF Using Drop Box(Everett) (a):</t>
  </si>
  <si>
    <t>(a)</t>
  </si>
  <si>
    <t xml:space="preserve">Due to the relative immateriality of MF tonnages as compared to residential tonnages, the increase or decrease in the change of the commodity rebate each year will be based on the % change in the residential recycling rebate </t>
  </si>
  <si>
    <t>WASTE MANAGEMENT - NORTH SOUND</t>
  </si>
  <si>
    <t>WUTC Deferred Accounting Methodology (Snohomish County)</t>
  </si>
  <si>
    <t>RECYCLING CREDITS(CHARGES)-RESIDENTIAL</t>
  </si>
  <si>
    <t>Sno. Cty</t>
  </si>
  <si>
    <t>TOTAL</t>
  </si>
  <si>
    <t>TONS</t>
  </si>
  <si>
    <t>%</t>
  </si>
  <si>
    <t>NEWSPAPER</t>
  </si>
  <si>
    <t>MIXED I</t>
  </si>
  <si>
    <t>ALUMINUM</t>
  </si>
  <si>
    <t>TIN</t>
  </si>
  <si>
    <t>GLASS</t>
  </si>
  <si>
    <t>PET PLASTIC</t>
  </si>
  <si>
    <t>HDPE -Natural</t>
  </si>
  <si>
    <t>HDPE-Colored</t>
  </si>
  <si>
    <t>Mixed Plastics</t>
  </si>
  <si>
    <t>Ave. Customers:</t>
  </si>
  <si>
    <t>Company Average</t>
  </si>
  <si>
    <t>NET REVENUE</t>
  </si>
  <si>
    <t>Sno. County</t>
  </si>
  <si>
    <t>Sharing</t>
  </si>
  <si>
    <t>Net</t>
  </si>
  <si>
    <t>Cumulative</t>
  </si>
  <si>
    <t>Credit/</t>
  </si>
  <si>
    <t>Per Cust.</t>
  </si>
  <si>
    <t>Customer</t>
  </si>
  <si>
    <t>Credits</t>
  </si>
  <si>
    <t>Initial</t>
  </si>
  <si>
    <t>4/1/96-</t>
  </si>
  <si>
    <t>2/1/97-</t>
  </si>
  <si>
    <t>2/1/98-</t>
  </si>
  <si>
    <t>2/1/99-</t>
  </si>
  <si>
    <t>2/1/00-</t>
  </si>
  <si>
    <t>2/1/01-</t>
  </si>
  <si>
    <t>3/1/02-</t>
  </si>
  <si>
    <t>5/1/03-</t>
  </si>
  <si>
    <t>5/1/04-</t>
  </si>
  <si>
    <t>5/1/05-</t>
  </si>
  <si>
    <t>5/1/06-</t>
  </si>
  <si>
    <t>5/1/07-</t>
  </si>
  <si>
    <t>5/1/08-</t>
  </si>
  <si>
    <t>5/1/09-</t>
  </si>
  <si>
    <t>5/1/10-</t>
  </si>
  <si>
    <t>9/1/11-</t>
  </si>
  <si>
    <t>10/1/12-</t>
  </si>
  <si>
    <t>10/1/13-</t>
  </si>
  <si>
    <t>10/1/14-</t>
  </si>
  <si>
    <t>10/1/15-</t>
  </si>
  <si>
    <t>10/1/16-</t>
  </si>
  <si>
    <t>Rate</t>
  </si>
  <si>
    <t>1/31/97</t>
  </si>
  <si>
    <t>1/31/98</t>
  </si>
  <si>
    <t>1/31/99</t>
  </si>
  <si>
    <t>1/31/00</t>
  </si>
  <si>
    <t>1/31/01</t>
  </si>
  <si>
    <t>2/28/02</t>
  </si>
  <si>
    <t>4/30/03</t>
  </si>
  <si>
    <t>4/30/04</t>
  </si>
  <si>
    <t>4/30/05</t>
  </si>
  <si>
    <t>4/30/06</t>
  </si>
  <si>
    <t>4/30/07</t>
  </si>
  <si>
    <t>4/30/08</t>
  </si>
  <si>
    <t>4/30/09</t>
  </si>
  <si>
    <t>4/30/10</t>
  </si>
  <si>
    <t>8/31/11</t>
  </si>
  <si>
    <t>9/30/12</t>
  </si>
  <si>
    <t>9/30/13</t>
  </si>
  <si>
    <t>9/30/14</t>
  </si>
  <si>
    <t>9/30/15</t>
  </si>
  <si>
    <t>9/30/16</t>
  </si>
  <si>
    <t>9/30/17</t>
  </si>
  <si>
    <t>Net Company Commodity Revenue</t>
  </si>
  <si>
    <t>Less:  Revenue Sharing per RCW 81.77.185 (percentages vary by year)</t>
  </si>
  <si>
    <t>Less: Total Customer Credits</t>
  </si>
  <si>
    <t>Total Surplus/(Deficit) Revenue</t>
  </si>
  <si>
    <t>Less: Shoreline</t>
  </si>
  <si>
    <t xml:space="preserve">City Contract from 2001 </t>
  </si>
  <si>
    <t>Net Surplus/(Deficit) Revenue</t>
  </si>
  <si>
    <t># of Months Credit in Effect</t>
  </si>
  <si>
    <t>Monthly Surplus/(Deficit) Revenue</t>
  </si>
  <si>
    <t>Average # of Customers(net of Shoreline)</t>
  </si>
  <si>
    <t>Monthly +/(-) Revenue per Customer</t>
  </si>
  <si>
    <t>Recycle Adjustment Calculation:</t>
  </si>
  <si>
    <t>CREDIT/(CHARGE)-as restated</t>
  </si>
  <si>
    <t>Add: Amount under (over) spent out of prior years retainage (net of incentive)</t>
  </si>
  <si>
    <t>Less:  Revenue Sharing per RCW 81.77.185 (2018-2019 plan)</t>
  </si>
  <si>
    <t>CREDIT/(CHARGE)-actual billed</t>
  </si>
  <si>
    <t>CREDIT/(CHARGE)-actual billed(Everett)</t>
  </si>
  <si>
    <t>Total Annualized Tons(net of Shoreline)</t>
  </si>
  <si>
    <t>Total Average # of Customers(net of Shoreline)</t>
  </si>
  <si>
    <t>lbs. Per month per customer</t>
  </si>
  <si>
    <t>Revenue per Ton</t>
  </si>
  <si>
    <t>(a)     Revenue Sharing for 2016-2017 plan</t>
  </si>
  <si>
    <t>WASTE MANAGEMENT - Seattle/South Sound</t>
  </si>
  <si>
    <t>WUTC Deferred Accounting Methodology (King County)</t>
  </si>
  <si>
    <t>Total Annualized Tons</t>
  </si>
  <si>
    <t>Total Average # of Customers</t>
  </si>
  <si>
    <t xml:space="preserve">         Revenue Sharing for 2018-2019 plan</t>
  </si>
  <si>
    <t>10/1/17-</t>
  </si>
  <si>
    <t>9/30/18</t>
  </si>
  <si>
    <t>1996-2018</t>
  </si>
  <si>
    <t>Ave. 6 mo. Credit</t>
  </si>
  <si>
    <t>(b)     Revenue Sharing for 2018-2019 plan</t>
  </si>
  <si>
    <t>(a)(b)</t>
  </si>
  <si>
    <t>2018 - 2019 Rebate Calculation</t>
  </si>
  <si>
    <t>Commodity</t>
  </si>
  <si>
    <t>Credit</t>
  </si>
  <si>
    <t>Owe Customer (company)</t>
  </si>
  <si>
    <t>Total Customers</t>
  </si>
  <si>
    <t>Commodity Adjustment</t>
  </si>
  <si>
    <t>Projected Value to Rebate to Customers</t>
  </si>
  <si>
    <t>Residential Commodity Adjustment</t>
  </si>
  <si>
    <t>Net Residential Commodity Adjustment</t>
  </si>
  <si>
    <t>Less: Revenue Sharing Agreement (amount retained including incentive)</t>
  </si>
  <si>
    <t>Projected Revenue Oct. 2017 - Sep. 2018</t>
  </si>
  <si>
    <t>Oct. - Dec projected value without adjustment factor</t>
  </si>
  <si>
    <t>Jan. - Sep. projected value without adjustment factor</t>
  </si>
  <si>
    <t>Projected Revenue Oct. 2018 - Sep. 2019 (based on most recent 6 months due to "China Sword")</t>
  </si>
  <si>
    <t>WM North Sound (Snohomish County)</t>
  </si>
  <si>
    <t>WM North Sound (King County)</t>
  </si>
  <si>
    <t>WM Seattle / South Sound (King County)</t>
  </si>
  <si>
    <t>Stream Composition</t>
  </si>
  <si>
    <t>Previous 6 month average credit(charge) per customer</t>
  </si>
  <si>
    <t>(1996-1998 used 3 mo. avg; 1999-2017 used 12 mo. Avg.)</t>
  </si>
  <si>
    <t>Estimated Cost of Customer notices - per customer</t>
  </si>
  <si>
    <t xml:space="preserve">Actual Commodity Revenue </t>
  </si>
  <si>
    <t>Net Residential Commodity Adjustment - Snohomish County</t>
  </si>
  <si>
    <t>Net Residential Commodity Adjustment - City of Everett</t>
  </si>
  <si>
    <t>Residential Recycle Credit (Charge)</t>
  </si>
  <si>
    <t>NS</t>
  </si>
  <si>
    <t>WM-Seattle/South Sound</t>
  </si>
  <si>
    <t>Rate Sheet Summary</t>
  </si>
  <si>
    <t>Projected Revenue Oct. 2016 - Sep. 2017</t>
  </si>
  <si>
    <t xml:space="preserve">Projected Revenue Oct. 2017 - Sep. 2018 </t>
  </si>
  <si>
    <t>Actual Old Method</t>
  </si>
  <si>
    <t>2017 - 2018 Rebate Calculation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</si>
</sst>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_(&quot;$&quot;* #,##0.0_);_(&quot;$&quot;* \(#,##0.0\);_(&quot;$&quot;* &quot;-&quot;??_);_(@_)"/>
    <numFmt numFmtId="168" formatCode="_(&quot;$&quot;* #,##0.000_);_(&quot;$&quot;* \(#,##0.000\);_(&quot;$&quot;* &quot;-&quot;???_);_(@_)"/>
    <numFmt numFmtId="169" formatCode="_(&quot;$&quot;* #,##0.0_);_(&quot;$&quot;* \(#,##0.0\);_(&quot;$&quot;* &quot;-&quot;?_);_(@_)"/>
    <numFmt numFmtId="170" formatCode="[$-409]mmmm\-yy;@"/>
    <numFmt numFmtId="171" formatCode="_(* #,##0.0_);_(* \(#,##0.0\);_(* &quot;-&quot;??_);_(@_)"/>
    <numFmt numFmtId="172" formatCode="[$$-409]#,##0.00"/>
    <numFmt numFmtId="173" formatCode="[$$-409]#,##0"/>
    <numFmt numFmtId="174" formatCode="_(&quot;$&quot;* #,##0.00_);_(&quot;$&quot;* \(#,##0.00\);_(&quot;$&quot;* &quot;-&quot;_);_(@_)"/>
    <numFmt numFmtId="175" formatCode="_(* #,##0.0_);_(* \(#,##0.0\);_(* &quot;-&quot;?_);_(@_)"/>
  </numFmts>
  <fonts count="147">
    <font>
      <sz val="10"/>
      <name val="Arial"/>
      <family val="0"/>
    </font>
    <font>
      <b/>
      <sz val="10"/>
      <name val="Arial"/>
      <family val="2"/>
    </font>
    <font>
      <b/>
      <i/>
      <u val="single"/>
      <sz val="10"/>
      <name val="Arial"/>
      <family val="2"/>
    </font>
    <font>
      <u val="singleAccounting"/>
      <sz val="10"/>
      <name val="Arial"/>
      <family val="2"/>
    </font>
    <font>
      <u val="single"/>
      <sz val="10"/>
      <name val="Arial"/>
      <family val="2"/>
    </font>
    <font>
      <b/>
      <u val="double"/>
      <sz val="10"/>
      <name val="Arial"/>
      <family val="2"/>
    </font>
    <font>
      <sz val="10"/>
      <color indexed="10"/>
      <name val="Arial"/>
      <family val="2"/>
    </font>
    <font>
      <b/>
      <u val="single"/>
      <sz val="10"/>
      <name val="Arial"/>
      <family val="2"/>
    </font>
    <font>
      <b/>
      <u val="singleAccounting"/>
      <sz val="10"/>
      <name val="Arial"/>
      <family val="2"/>
    </font>
    <font>
      <b/>
      <sz val="9"/>
      <name val="Tahoma"/>
      <family val="2"/>
    </font>
    <font>
      <sz val="9"/>
      <name val="Tahoma"/>
      <family val="2"/>
    </font>
    <font>
      <sz val="9"/>
      <name val="Arial"/>
      <family val="2"/>
    </font>
    <font>
      <b/>
      <sz val="16"/>
      <name val="Arial"/>
      <family val="2"/>
    </font>
    <font>
      <u val="singleAccounting"/>
      <sz val="9"/>
      <name val="Arial"/>
      <family val="2"/>
    </font>
    <font>
      <b/>
      <u val="doubleAccounting"/>
      <sz val="10"/>
      <name val="Arial"/>
      <family val="2"/>
    </font>
    <font>
      <b/>
      <sz val="11"/>
      <name val="Calibri"/>
      <family val="2"/>
    </font>
    <font>
      <b/>
      <u val="singleAccounting"/>
      <sz val="11"/>
      <name val="Calibri"/>
      <family val="2"/>
    </font>
    <font>
      <sz val="11"/>
      <name val="Calibri"/>
      <family val="2"/>
    </font>
    <font>
      <u val="singleAccounting"/>
      <sz val="11"/>
      <name val="Calibri"/>
      <family val="2"/>
    </font>
    <font>
      <b/>
      <u val="doubleAccounting"/>
      <sz val="11"/>
      <name val="Calibri"/>
      <family val="2"/>
    </font>
    <font>
      <b/>
      <u val="double"/>
      <sz val="11"/>
      <name val="Calibri"/>
      <family val="2"/>
    </font>
    <font>
      <sz val="10"/>
      <color indexed="8"/>
      <name val="Arial"/>
      <family val="2"/>
    </font>
    <font>
      <b/>
      <i/>
      <sz val="18"/>
      <name val="Arial MT"/>
      <family val="0"/>
    </font>
    <font>
      <b/>
      <sz val="12"/>
      <name val="Arial MT"/>
      <family val="0"/>
    </font>
    <font>
      <b/>
      <u val="single"/>
      <sz val="12"/>
      <name val="Arial MT"/>
      <family val="0"/>
    </font>
    <font>
      <sz val="12"/>
      <name val="Arial"/>
      <family val="2"/>
    </font>
    <font>
      <u val="single"/>
      <sz val="12"/>
      <name val="Arial"/>
      <family val="2"/>
    </font>
    <font>
      <sz val="12"/>
      <name val="Arial MT"/>
      <family val="0"/>
    </font>
    <font>
      <b/>
      <u val="double"/>
      <sz val="12"/>
      <name val="Arial"/>
      <family val="2"/>
    </font>
    <font>
      <sz val="12"/>
      <color indexed="12"/>
      <name val="Arial MT"/>
      <family val="0"/>
    </font>
    <font>
      <b/>
      <sz val="12"/>
      <name val="Arial"/>
      <family val="2"/>
    </font>
    <font>
      <b/>
      <u val="single"/>
      <sz val="10"/>
      <color indexed="10"/>
      <name val="Arial"/>
      <family val="2"/>
    </font>
    <font>
      <b/>
      <i/>
      <u val="doubleAccounting"/>
      <sz val="9"/>
      <name val="Arial"/>
      <family val="2"/>
    </font>
    <font>
      <b/>
      <sz val="10"/>
      <name val="Arial MT"/>
      <family val="0"/>
    </font>
    <font>
      <b/>
      <i/>
      <sz val="10"/>
      <name val="Arial"/>
      <family val="2"/>
    </font>
    <font>
      <b/>
      <i/>
      <u val="double"/>
      <sz val="10"/>
      <name val="Arial"/>
      <family val="2"/>
    </font>
    <font>
      <i/>
      <sz val="10"/>
      <name val="Arial"/>
      <family val="2"/>
    </font>
    <font>
      <u val="double"/>
      <sz val="10"/>
      <name val="Arial"/>
      <family val="2"/>
    </font>
    <font>
      <b/>
      <sz val="18"/>
      <name val="Arial"/>
      <family val="2"/>
    </font>
    <font>
      <b/>
      <sz val="12"/>
      <color indexed="10"/>
      <name val="Arial"/>
      <family val="2"/>
    </font>
    <font>
      <i/>
      <u val="single"/>
      <sz val="12"/>
      <name val="Arial"/>
      <family val="2"/>
    </font>
    <font>
      <b/>
      <u val="single"/>
      <sz val="12"/>
      <name val="Arial"/>
      <family val="2"/>
    </font>
    <font>
      <b/>
      <sz val="12"/>
      <color indexed="12"/>
      <name val="Arial"/>
      <family val="2"/>
    </font>
    <font>
      <u val="singleAccounting"/>
      <sz val="12"/>
      <name val="Arial"/>
      <family val="2"/>
    </font>
    <font>
      <b/>
      <u val="singleAccounting"/>
      <sz val="12"/>
      <name val="Arial"/>
      <family val="2"/>
    </font>
    <font>
      <b/>
      <u val="doubleAccounting"/>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8"/>
      <color indexed="8"/>
      <name val="Calibri"/>
      <family val="2"/>
    </font>
    <font>
      <b/>
      <sz val="12"/>
      <name val="Calibri"/>
      <family val="2"/>
    </font>
    <font>
      <b/>
      <sz val="11"/>
      <color indexed="10"/>
      <name val="Calibri"/>
      <family val="2"/>
    </font>
    <font>
      <b/>
      <u val="single"/>
      <sz val="16"/>
      <color indexed="8"/>
      <name val="Calibri"/>
      <family val="2"/>
    </font>
    <font>
      <b/>
      <u val="single"/>
      <sz val="14"/>
      <color indexed="8"/>
      <name val="Calibri"/>
      <family val="2"/>
    </font>
    <font>
      <u val="singleAccounting"/>
      <sz val="11"/>
      <color indexed="8"/>
      <name val="Calibri"/>
      <family val="2"/>
    </font>
    <font>
      <b/>
      <u val="doubleAccounting"/>
      <sz val="11"/>
      <color indexed="8"/>
      <name val="Calibri"/>
      <family val="2"/>
    </font>
    <font>
      <b/>
      <u val="singleAccounting"/>
      <sz val="10"/>
      <color indexed="8"/>
      <name val="Arial"/>
      <family val="2"/>
    </font>
    <font>
      <b/>
      <sz val="12"/>
      <color indexed="8"/>
      <name val="Arial"/>
      <family val="2"/>
    </font>
    <font>
      <i/>
      <sz val="8"/>
      <color indexed="8"/>
      <name val="Calibri"/>
      <family val="2"/>
    </font>
    <font>
      <b/>
      <i/>
      <sz val="11"/>
      <color indexed="8"/>
      <name val="Calibri"/>
      <family val="2"/>
    </font>
    <font>
      <b/>
      <u val="doubleAccounting"/>
      <sz val="10"/>
      <color indexed="8"/>
      <name val="Arial"/>
      <family val="2"/>
    </font>
    <font>
      <b/>
      <sz val="10"/>
      <color indexed="8"/>
      <name val="Arial"/>
      <family val="2"/>
    </font>
    <font>
      <b/>
      <u val="single"/>
      <sz val="10"/>
      <color indexed="8"/>
      <name val="Arial"/>
      <family val="2"/>
    </font>
    <font>
      <b/>
      <u val="double"/>
      <sz val="11"/>
      <color indexed="8"/>
      <name val="Calibri"/>
      <family val="2"/>
    </font>
    <font>
      <b/>
      <i/>
      <u val="double"/>
      <sz val="11"/>
      <color indexed="8"/>
      <name val="Calibri"/>
      <family val="2"/>
    </font>
    <font>
      <b/>
      <u val="singleAccounting"/>
      <sz val="11"/>
      <color indexed="8"/>
      <name val="Calibri"/>
      <family val="2"/>
    </font>
    <font>
      <u val="doubleAccounting"/>
      <sz val="11"/>
      <color indexed="17"/>
      <name val="Calibri"/>
      <family val="2"/>
    </font>
    <font>
      <b/>
      <u val="doubleAccounting"/>
      <sz val="11"/>
      <color indexed="17"/>
      <name val="Calibri"/>
      <family val="2"/>
    </font>
    <font>
      <sz val="9"/>
      <color indexed="8"/>
      <name val="Arial"/>
      <family val="2"/>
    </font>
    <font>
      <b/>
      <i/>
      <u val="double"/>
      <sz val="10"/>
      <color indexed="8"/>
      <name val="Arial"/>
      <family val="2"/>
    </font>
    <font>
      <u val="singleAccounting"/>
      <sz val="10"/>
      <color indexed="8"/>
      <name val="Arial"/>
      <family val="2"/>
    </font>
    <font>
      <b/>
      <u val="doubleAccounting"/>
      <sz val="10"/>
      <color indexed="10"/>
      <name val="Arial"/>
      <family val="2"/>
    </font>
    <font>
      <b/>
      <u val="singleAccounting"/>
      <sz val="10"/>
      <color indexed="10"/>
      <name val="Arial"/>
      <family val="2"/>
    </font>
    <font>
      <b/>
      <sz val="10"/>
      <color indexed="10"/>
      <name val="Arial"/>
      <family val="2"/>
    </font>
    <font>
      <b/>
      <u val="double"/>
      <sz val="10"/>
      <color indexed="8"/>
      <name val="Arial"/>
      <family val="2"/>
    </font>
    <font>
      <u val="singleAccounting"/>
      <sz val="10"/>
      <color indexed="10"/>
      <name val="Arial"/>
      <family val="2"/>
    </font>
    <font>
      <sz val="12"/>
      <color indexed="8"/>
      <name val="Arial"/>
      <family val="2"/>
    </font>
    <font>
      <u val="singleAccounting"/>
      <sz val="12"/>
      <color indexed="8"/>
      <name val="Arial"/>
      <family val="2"/>
    </font>
    <font>
      <sz val="12"/>
      <color indexed="10"/>
      <name val="Arial"/>
      <family val="2"/>
    </font>
    <font>
      <b/>
      <i/>
      <u val="single"/>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8"/>
      <color theme="1"/>
      <name val="Calibri"/>
      <family val="2"/>
    </font>
    <font>
      <b/>
      <sz val="11"/>
      <color rgb="FFFF0000"/>
      <name val="Calibri"/>
      <family val="2"/>
    </font>
    <font>
      <b/>
      <u val="single"/>
      <sz val="16"/>
      <color theme="1"/>
      <name val="Calibri"/>
      <family val="2"/>
    </font>
    <font>
      <b/>
      <u val="single"/>
      <sz val="14"/>
      <color theme="1"/>
      <name val="Calibri"/>
      <family val="2"/>
    </font>
    <font>
      <u val="singleAccounting"/>
      <sz val="11"/>
      <color theme="1"/>
      <name val="Calibri"/>
      <family val="2"/>
    </font>
    <font>
      <b/>
      <u val="doubleAccounting"/>
      <sz val="11"/>
      <color theme="1"/>
      <name val="Calibri"/>
      <family val="2"/>
    </font>
    <font>
      <sz val="10"/>
      <color theme="1"/>
      <name val="Arial"/>
      <family val="2"/>
    </font>
    <font>
      <b/>
      <u val="singleAccounting"/>
      <sz val="10"/>
      <color theme="1"/>
      <name val="Arial"/>
      <family val="2"/>
    </font>
    <font>
      <sz val="10"/>
      <color rgb="FFFF0000"/>
      <name val="Arial"/>
      <family val="2"/>
    </font>
    <font>
      <b/>
      <sz val="12"/>
      <color theme="1"/>
      <name val="Arial"/>
      <family val="2"/>
    </font>
    <font>
      <i/>
      <sz val="8"/>
      <color theme="1"/>
      <name val="Calibri"/>
      <family val="2"/>
    </font>
    <font>
      <b/>
      <i/>
      <sz val="11"/>
      <color theme="1"/>
      <name val="Calibri"/>
      <family val="2"/>
    </font>
    <font>
      <b/>
      <u val="doubleAccounting"/>
      <sz val="10"/>
      <color theme="1"/>
      <name val="Arial"/>
      <family val="2"/>
    </font>
    <font>
      <b/>
      <sz val="10"/>
      <color theme="1"/>
      <name val="Arial"/>
      <family val="2"/>
    </font>
    <font>
      <b/>
      <u val="single"/>
      <sz val="10"/>
      <color theme="1"/>
      <name val="Arial"/>
      <family val="2"/>
    </font>
    <font>
      <b/>
      <u val="double"/>
      <sz val="11"/>
      <color theme="1"/>
      <name val="Calibri"/>
      <family val="2"/>
    </font>
    <font>
      <b/>
      <i/>
      <u val="double"/>
      <sz val="11"/>
      <color theme="1"/>
      <name val="Calibri"/>
      <family val="2"/>
    </font>
    <font>
      <sz val="11"/>
      <color rgb="FF00B050"/>
      <name val="Calibri"/>
      <family val="2"/>
    </font>
    <font>
      <b/>
      <u val="singleAccounting"/>
      <sz val="11"/>
      <color theme="1"/>
      <name val="Calibri"/>
      <family val="2"/>
    </font>
    <font>
      <u val="doubleAccounting"/>
      <sz val="11"/>
      <color rgb="FF00B050"/>
      <name val="Calibri"/>
      <family val="2"/>
    </font>
    <font>
      <b/>
      <u val="doubleAccounting"/>
      <sz val="11"/>
      <color rgb="FF00B050"/>
      <name val="Calibri"/>
      <family val="2"/>
    </font>
    <font>
      <sz val="9"/>
      <color theme="1"/>
      <name val="Arial"/>
      <family val="2"/>
    </font>
    <font>
      <b/>
      <i/>
      <u val="double"/>
      <sz val="10"/>
      <color theme="1"/>
      <name val="Arial"/>
      <family val="2"/>
    </font>
    <font>
      <u val="singleAccounting"/>
      <sz val="10"/>
      <color theme="1"/>
      <name val="Arial"/>
      <family val="2"/>
    </font>
    <font>
      <b/>
      <u val="doubleAccounting"/>
      <sz val="10"/>
      <color rgb="FFFF0000"/>
      <name val="Arial"/>
      <family val="2"/>
    </font>
    <font>
      <b/>
      <u val="singleAccounting"/>
      <sz val="10"/>
      <color rgb="FFFF0000"/>
      <name val="Arial"/>
      <family val="2"/>
    </font>
    <font>
      <b/>
      <sz val="10"/>
      <color rgb="FFFF0000"/>
      <name val="Arial"/>
      <family val="2"/>
    </font>
    <font>
      <b/>
      <u val="double"/>
      <sz val="10"/>
      <color theme="1"/>
      <name val="Arial"/>
      <family val="2"/>
    </font>
    <font>
      <u val="singleAccounting"/>
      <sz val="10"/>
      <color rgb="FFFF0000"/>
      <name val="Arial"/>
      <family val="2"/>
    </font>
    <font>
      <sz val="12"/>
      <color theme="1"/>
      <name val="Arial"/>
      <family val="2"/>
    </font>
    <font>
      <u val="singleAccounting"/>
      <sz val="12"/>
      <color theme="1"/>
      <name val="Arial"/>
      <family val="2"/>
    </font>
    <font>
      <sz val="12"/>
      <color rgb="FFFF0000"/>
      <name val="Arial"/>
      <family val="2"/>
    </font>
    <font>
      <b/>
      <i/>
      <u val="single"/>
      <sz val="11"/>
      <color theme="1"/>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rgb="FFFFFF00"/>
        <bgColor indexed="64"/>
      </patternFill>
    </fill>
    <fill>
      <patternFill patternType="gray125">
        <fgColor indexed="8"/>
      </patternFill>
    </fill>
    <fill>
      <patternFill patternType="solid">
        <fgColor indexed="23"/>
        <bgColor indexed="64"/>
      </patternFill>
    </fill>
    <fill>
      <patternFill patternType="solid">
        <fgColor indexed="9"/>
        <bgColor indexed="64"/>
      </patternFill>
    </fill>
    <fill>
      <patternFill patternType="gray125">
        <fgColor indexed="8"/>
        <bgColor indexed="9"/>
      </patternFill>
    </fill>
    <fill>
      <patternFill patternType="solid">
        <fgColor indexed="43"/>
        <bgColor indexed="64"/>
      </patternFill>
    </fill>
    <fill>
      <patternFill patternType="solid">
        <fgColor indexed="8"/>
        <bgColor indexed="64"/>
      </patternFill>
    </fill>
    <fill>
      <patternFill patternType="solid">
        <fgColor theme="0" tint="-0.1499900072813034"/>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top style="thin"/>
      <bottom style="thin"/>
    </border>
    <border>
      <left style="medium"/>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bottom style="double">
        <color indexed="8"/>
      </bottom>
    </border>
    <border>
      <left/>
      <right/>
      <top style="double"/>
      <bottom/>
    </border>
    <border>
      <left style="double">
        <color indexed="8"/>
      </left>
      <right style="double">
        <color indexed="8"/>
      </right>
      <top style="double">
        <color indexed="8"/>
      </top>
      <bottom style="double">
        <color indexed="8"/>
      </bottom>
    </border>
    <border>
      <left style="medium"/>
      <right style="medium"/>
      <top/>
      <bottom style="thin">
        <color indexed="8"/>
      </bottom>
    </border>
    <border>
      <left/>
      <right/>
      <top/>
      <bottom style="thin"/>
    </border>
    <border>
      <left style="medium"/>
      <right style="medium"/>
      <top/>
      <bottom style="thin"/>
    </border>
    <border>
      <left style="medium"/>
      <right style="medium"/>
      <top/>
      <bottom style="double">
        <color indexed="8"/>
      </bottom>
    </border>
    <border>
      <left style="medium"/>
      <right style="medium"/>
      <top/>
      <bottom style="double"/>
    </border>
    <border>
      <left/>
      <right/>
      <top/>
      <bottom style="double"/>
    </border>
    <border>
      <left style="medium"/>
      <right style="medium"/>
      <top style="double"/>
      <bottom style="medium"/>
    </border>
    <border>
      <left/>
      <right style="medium"/>
      <top/>
      <bottom style="thin"/>
    </border>
    <border>
      <left/>
      <right style="medium"/>
      <top/>
      <bottom style="double"/>
    </border>
    <border>
      <left style="medium"/>
      <right/>
      <top/>
      <bottom style="thin"/>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0" applyNumberFormat="0" applyBorder="0" applyAlignment="0" applyProtection="0"/>
    <xf numFmtId="0" fontId="98" fillId="27" borderId="1" applyNumberFormat="0" applyAlignment="0" applyProtection="0"/>
    <xf numFmtId="0" fontId="9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00"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558">
    <xf numFmtId="0" fontId="0" fillId="0" borderId="0" xfId="0" applyAlignment="1">
      <alignment/>
    </xf>
    <xf numFmtId="0" fontId="1" fillId="0" borderId="0" xfId="0" applyFont="1" applyAlignment="1">
      <alignment/>
    </xf>
    <xf numFmtId="0" fontId="2" fillId="0" borderId="10" xfId="0" applyFont="1" applyBorder="1" applyAlignment="1">
      <alignment horizontal="right"/>
    </xf>
    <xf numFmtId="0" fontId="2" fillId="0" borderId="11" xfId="0" applyFont="1" applyBorder="1" applyAlignment="1">
      <alignment horizontal="right"/>
    </xf>
    <xf numFmtId="0" fontId="2" fillId="0" borderId="12" xfId="0" applyFont="1" applyBorder="1" applyAlignment="1">
      <alignment horizontal="right"/>
    </xf>
    <xf numFmtId="164" fontId="0" fillId="0" borderId="12" xfId="63" applyNumberFormat="1" applyFont="1" applyBorder="1" applyAlignment="1">
      <alignment/>
    </xf>
    <xf numFmtId="0" fontId="0" fillId="0" borderId="1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17" fontId="2" fillId="0" borderId="15" xfId="0" applyNumberFormat="1" applyFont="1" applyBorder="1" applyAlignment="1">
      <alignment horizontal="right"/>
    </xf>
    <xf numFmtId="0" fontId="0" fillId="0" borderId="0" xfId="0" applyFont="1" applyAlignment="1">
      <alignment/>
    </xf>
    <xf numFmtId="0" fontId="0" fillId="0" borderId="0" xfId="0" applyBorder="1" applyAlignment="1">
      <alignment/>
    </xf>
    <xf numFmtId="0" fontId="110" fillId="0" borderId="0" xfId="0" applyFont="1" applyAlignment="1">
      <alignment horizontal="center"/>
    </xf>
    <xf numFmtId="0" fontId="112" fillId="0" borderId="0" xfId="0" applyFont="1" applyAlignment="1">
      <alignment horizontal="center"/>
    </xf>
    <xf numFmtId="43" fontId="0" fillId="0" borderId="11" xfId="42" applyFont="1" applyBorder="1" applyAlignment="1">
      <alignment horizontal="right"/>
    </xf>
    <xf numFmtId="164" fontId="0" fillId="0" borderId="12" xfId="64" applyNumberFormat="1" applyFont="1" applyBorder="1" applyAlignment="1">
      <alignment horizontal="right"/>
    </xf>
    <xf numFmtId="43" fontId="0" fillId="0" borderId="11" xfId="44" applyFont="1" applyBorder="1" applyAlignment="1">
      <alignment horizontal="right"/>
    </xf>
    <xf numFmtId="43" fontId="3" fillId="0" borderId="11" xfId="44" applyFont="1" applyBorder="1" applyAlignment="1">
      <alignment horizontal="right"/>
    </xf>
    <xf numFmtId="0" fontId="1" fillId="0" borderId="16" xfId="0" applyFont="1" applyBorder="1" applyAlignment="1">
      <alignment/>
    </xf>
    <xf numFmtId="43" fontId="1" fillId="0" borderId="17" xfId="44" applyFont="1" applyBorder="1" applyAlignment="1">
      <alignment/>
    </xf>
    <xf numFmtId="9" fontId="1" fillId="0" borderId="18" xfId="0" applyNumberFormat="1" applyFont="1" applyBorder="1" applyAlignment="1">
      <alignment/>
    </xf>
    <xf numFmtId="0" fontId="113" fillId="0" borderId="0" xfId="0" applyFont="1" applyBorder="1" applyAlignment="1">
      <alignment/>
    </xf>
    <xf numFmtId="0" fontId="0" fillId="0" borderId="0" xfId="0" applyFill="1" applyAlignment="1">
      <alignment/>
    </xf>
    <xf numFmtId="0" fontId="65" fillId="0" borderId="0" xfId="0" applyFont="1" applyAlignment="1" quotePrefix="1">
      <alignment wrapText="1"/>
    </xf>
    <xf numFmtId="0" fontId="114" fillId="0" borderId="0" xfId="0" applyFont="1" applyAlignment="1">
      <alignment horizontal="right" wrapText="1"/>
    </xf>
    <xf numFmtId="0" fontId="114" fillId="0" borderId="0" xfId="0" applyFont="1" applyAlignment="1">
      <alignment horizontal="center" wrapText="1"/>
    </xf>
    <xf numFmtId="0" fontId="110" fillId="0" borderId="0" xfId="0" applyFont="1" applyBorder="1" applyAlignment="1">
      <alignment/>
    </xf>
    <xf numFmtId="0" fontId="114" fillId="0" borderId="0" xfId="0" applyFont="1" applyAlignment="1">
      <alignment wrapText="1"/>
    </xf>
    <xf numFmtId="0" fontId="112" fillId="0" borderId="0" xfId="0" applyFont="1" applyBorder="1" applyAlignment="1">
      <alignment/>
    </xf>
    <xf numFmtId="0" fontId="110" fillId="0" borderId="0" xfId="0" applyFont="1" applyFill="1" applyBorder="1" applyAlignment="1">
      <alignment/>
    </xf>
    <xf numFmtId="0" fontId="0" fillId="0" borderId="0" xfId="0" applyFill="1" applyBorder="1" applyAlignment="1">
      <alignment/>
    </xf>
    <xf numFmtId="0" fontId="115" fillId="0" borderId="0" xfId="0" applyFont="1" applyBorder="1" applyAlignment="1">
      <alignment/>
    </xf>
    <xf numFmtId="0" fontId="110" fillId="0" borderId="0" xfId="0" applyFont="1" applyAlignment="1">
      <alignment wrapText="1"/>
    </xf>
    <xf numFmtId="0" fontId="17" fillId="0" borderId="0" xfId="0" applyFont="1" applyAlignment="1">
      <alignment horizontal="right" wrapText="1"/>
    </xf>
    <xf numFmtId="166" fontId="0" fillId="0" borderId="0" xfId="0" applyNumberFormat="1" applyAlignment="1">
      <alignment/>
    </xf>
    <xf numFmtId="0" fontId="110" fillId="0" borderId="0" xfId="0" applyFont="1" applyBorder="1" applyAlignment="1">
      <alignment wrapText="1"/>
    </xf>
    <xf numFmtId="0" fontId="116" fillId="0" borderId="0" xfId="0" applyFont="1" applyBorder="1" applyAlignment="1">
      <alignment/>
    </xf>
    <xf numFmtId="0" fontId="15" fillId="0" borderId="0" xfId="0" applyFont="1" applyAlignment="1">
      <alignment wrapText="1"/>
    </xf>
    <xf numFmtId="0" fontId="15" fillId="0" borderId="0" xfId="0" applyFont="1" applyAlignment="1">
      <alignment horizontal="right" wrapText="1"/>
    </xf>
    <xf numFmtId="0" fontId="112" fillId="0" borderId="0" xfId="0" applyFont="1" applyBorder="1" applyAlignment="1">
      <alignment/>
    </xf>
    <xf numFmtId="0" fontId="0" fillId="0" borderId="0" xfId="0" applyBorder="1" applyAlignment="1">
      <alignment/>
    </xf>
    <xf numFmtId="0" fontId="0" fillId="0" borderId="0" xfId="0" applyAlignment="1">
      <alignment wrapText="1"/>
    </xf>
    <xf numFmtId="0" fontId="0" fillId="0" borderId="0" xfId="0" applyAlignment="1">
      <alignment horizontal="right" wrapText="1"/>
    </xf>
    <xf numFmtId="0" fontId="111" fillId="0" borderId="0" xfId="0" applyFont="1" applyAlignment="1">
      <alignment horizontal="right" wrapText="1"/>
    </xf>
    <xf numFmtId="0" fontId="17" fillId="0" borderId="0" xfId="0" applyFont="1" applyAlignment="1">
      <alignment wrapText="1"/>
    </xf>
    <xf numFmtId="0" fontId="15" fillId="0" borderId="0" xfId="0" applyFont="1" applyBorder="1" applyAlignment="1">
      <alignment horizontal="right" wrapText="1"/>
    </xf>
    <xf numFmtId="0" fontId="114" fillId="0" borderId="0" xfId="0" applyFont="1" applyBorder="1" applyAlignment="1">
      <alignment horizontal="right" wrapText="1"/>
    </xf>
    <xf numFmtId="6" fontId="15" fillId="0" borderId="0" xfId="45" applyNumberFormat="1" applyFont="1" applyAlignment="1">
      <alignment horizontal="right" wrapText="1"/>
    </xf>
    <xf numFmtId="6" fontId="114" fillId="0" borderId="0" xfId="45" applyNumberFormat="1" applyFont="1" applyAlignment="1">
      <alignment horizontal="right" wrapText="1"/>
    </xf>
    <xf numFmtId="6" fontId="15" fillId="0" borderId="0" xfId="45" applyNumberFormat="1" applyFont="1" applyAlignment="1">
      <alignment horizontal="center" wrapText="1"/>
    </xf>
    <xf numFmtId="164" fontId="20" fillId="0" borderId="0" xfId="63" applyNumberFormat="1" applyFont="1" applyAlignment="1">
      <alignment horizontal="center" wrapText="1"/>
    </xf>
    <xf numFmtId="0" fontId="0" fillId="13" borderId="19" xfId="0" applyFill="1" applyBorder="1" applyAlignment="1">
      <alignment wrapText="1"/>
    </xf>
    <xf numFmtId="0" fontId="0" fillId="13" borderId="20" xfId="0" applyFill="1" applyBorder="1" applyAlignment="1">
      <alignment wrapText="1"/>
    </xf>
    <xf numFmtId="0" fontId="0" fillId="13" borderId="20" xfId="0" applyFill="1" applyBorder="1" applyAlignment="1">
      <alignment horizontal="right" wrapText="1"/>
    </xf>
    <xf numFmtId="0" fontId="0" fillId="13" borderId="21" xfId="0" applyFill="1" applyBorder="1" applyAlignment="1">
      <alignment horizontal="right" wrapText="1"/>
    </xf>
    <xf numFmtId="0" fontId="112" fillId="13" borderId="22" xfId="0" applyFont="1" applyFill="1" applyBorder="1" applyAlignment="1">
      <alignment wrapText="1"/>
    </xf>
    <xf numFmtId="0" fontId="112" fillId="13" borderId="0" xfId="0" applyFont="1" applyFill="1" applyBorder="1" applyAlignment="1">
      <alignment horizontal="center" wrapText="1"/>
    </xf>
    <xf numFmtId="0" fontId="112" fillId="13" borderId="0" xfId="0" applyFont="1" applyFill="1" applyBorder="1" applyAlignment="1">
      <alignment/>
    </xf>
    <xf numFmtId="0" fontId="112" fillId="13" borderId="23" xfId="0" applyFont="1" applyFill="1" applyBorder="1" applyAlignment="1">
      <alignment horizontal="center"/>
    </xf>
    <xf numFmtId="0" fontId="0" fillId="13" borderId="22" xfId="0" applyFill="1" applyBorder="1" applyAlignment="1">
      <alignment wrapText="1"/>
    </xf>
    <xf numFmtId="165" fontId="95" fillId="13" borderId="0" xfId="42" applyNumberFormat="1" applyFont="1" applyFill="1" applyBorder="1" applyAlignment="1">
      <alignment horizontal="center" wrapText="1"/>
    </xf>
    <xf numFmtId="166" fontId="95" fillId="13" borderId="0" xfId="45" applyNumberFormat="1" applyFont="1" applyFill="1" applyBorder="1" applyAlignment="1">
      <alignment/>
    </xf>
    <xf numFmtId="166" fontId="95" fillId="13" borderId="23" xfId="45" applyNumberFormat="1" applyFont="1" applyFill="1" applyBorder="1" applyAlignment="1">
      <alignment/>
    </xf>
    <xf numFmtId="165" fontId="117" fillId="13" borderId="0" xfId="42" applyNumberFormat="1" applyFont="1" applyFill="1" applyBorder="1" applyAlignment="1">
      <alignment horizontal="center" wrapText="1"/>
    </xf>
    <xf numFmtId="166" fontId="117" fillId="13" borderId="23" xfId="45" applyNumberFormat="1" applyFont="1" applyFill="1" applyBorder="1" applyAlignment="1">
      <alignment/>
    </xf>
    <xf numFmtId="0" fontId="15" fillId="13" borderId="22" xfId="0" applyFont="1" applyFill="1" applyBorder="1" applyAlignment="1">
      <alignment wrapText="1"/>
    </xf>
    <xf numFmtId="165" fontId="19" fillId="13" borderId="0" xfId="42" applyNumberFormat="1" applyFont="1" applyFill="1" applyBorder="1" applyAlignment="1">
      <alignment horizontal="center" wrapText="1"/>
    </xf>
    <xf numFmtId="166" fontId="118" fillId="13" borderId="23" xfId="45" applyNumberFormat="1" applyFont="1" applyFill="1" applyBorder="1" applyAlignment="1">
      <alignment/>
    </xf>
    <xf numFmtId="0" fontId="0" fillId="13" borderId="24" xfId="0" applyFill="1" applyBorder="1" applyAlignment="1">
      <alignment wrapText="1"/>
    </xf>
    <xf numFmtId="0" fontId="0" fillId="13" borderId="25" xfId="0" applyFill="1" applyBorder="1" applyAlignment="1">
      <alignment wrapText="1"/>
    </xf>
    <xf numFmtId="0" fontId="0" fillId="13" borderId="25" xfId="0" applyFill="1" applyBorder="1" applyAlignment="1">
      <alignment horizontal="right" wrapText="1"/>
    </xf>
    <xf numFmtId="0" fontId="0" fillId="13" borderId="26" xfId="0" applyFill="1" applyBorder="1" applyAlignment="1">
      <alignment horizontal="right" wrapText="1"/>
    </xf>
    <xf numFmtId="164" fontId="114" fillId="0" borderId="0" xfId="63" applyNumberFormat="1" applyFont="1" applyAlignment="1">
      <alignment horizontal="center" wrapText="1"/>
    </xf>
    <xf numFmtId="164" fontId="1" fillId="0" borderId="18" xfId="0" applyNumberFormat="1" applyFont="1" applyBorder="1" applyAlignment="1">
      <alignment/>
    </xf>
    <xf numFmtId="43" fontId="0" fillId="0" borderId="17" xfId="42" applyFont="1" applyBorder="1" applyAlignment="1">
      <alignment horizontal="right"/>
    </xf>
    <xf numFmtId="43" fontId="1" fillId="0" borderId="17" xfId="42" applyFont="1" applyBorder="1" applyAlignment="1">
      <alignment/>
    </xf>
    <xf numFmtId="43" fontId="0" fillId="0" borderId="0" xfId="42" applyFont="1" applyAlignment="1">
      <alignment/>
    </xf>
    <xf numFmtId="0" fontId="1" fillId="0" borderId="27" xfId="0" applyFont="1" applyBorder="1" applyAlignment="1">
      <alignment/>
    </xf>
    <xf numFmtId="0" fontId="1" fillId="33" borderId="27" xfId="0" applyFont="1" applyFill="1" applyBorder="1" applyAlignment="1">
      <alignment/>
    </xf>
    <xf numFmtId="0" fontId="1" fillId="33" borderId="27" xfId="0" applyFont="1" applyFill="1" applyBorder="1" applyAlignment="1">
      <alignment horizontal="center"/>
    </xf>
    <xf numFmtId="0" fontId="1" fillId="33" borderId="27" xfId="0" applyFont="1" applyFill="1" applyBorder="1" applyAlignment="1" applyProtection="1">
      <alignment horizontal="center"/>
      <protection/>
    </xf>
    <xf numFmtId="0" fontId="6" fillId="0" borderId="27" xfId="0" applyFont="1" applyFill="1" applyBorder="1" applyAlignment="1">
      <alignment/>
    </xf>
    <xf numFmtId="17" fontId="1" fillId="0" borderId="27" xfId="60" applyNumberFormat="1" applyFont="1" applyFill="1" applyBorder="1" applyAlignment="1">
      <alignment horizontal="right"/>
      <protection/>
    </xf>
    <xf numFmtId="44" fontId="0" fillId="0" borderId="27" xfId="45" applyFont="1" applyFill="1" applyBorder="1" applyAlignment="1">
      <alignment/>
    </xf>
    <xf numFmtId="44" fontId="0" fillId="0" borderId="27" xfId="48" applyFont="1" applyFill="1" applyBorder="1" applyAlignment="1">
      <alignment/>
    </xf>
    <xf numFmtId="0" fontId="111" fillId="0" borderId="0" xfId="0" applyFont="1" applyAlignment="1">
      <alignment/>
    </xf>
    <xf numFmtId="0" fontId="110" fillId="0" borderId="0" xfId="0" applyFont="1" applyAlignment="1">
      <alignment/>
    </xf>
    <xf numFmtId="0" fontId="112" fillId="0" borderId="0" xfId="0" applyFont="1" applyAlignment="1">
      <alignment/>
    </xf>
    <xf numFmtId="165" fontId="119" fillId="0" borderId="0" xfId="42" applyNumberFormat="1" applyFont="1" applyAlignment="1">
      <alignment/>
    </xf>
    <xf numFmtId="0" fontId="7" fillId="0" borderId="0" xfId="0" applyFont="1" applyAlignment="1">
      <alignment horizontal="center"/>
    </xf>
    <xf numFmtId="165" fontId="8" fillId="0" borderId="0" xfId="44" applyNumberFormat="1" applyFont="1" applyAlignment="1">
      <alignment horizontal="center"/>
    </xf>
    <xf numFmtId="0" fontId="8" fillId="0" borderId="0" xfId="0" applyFont="1" applyAlignment="1">
      <alignment horizontal="center"/>
    </xf>
    <xf numFmtId="165" fontId="120" fillId="0" borderId="0" xfId="42" applyNumberFormat="1" applyFont="1" applyAlignment="1">
      <alignment horizontal="center"/>
    </xf>
    <xf numFmtId="165" fontId="0" fillId="0" borderId="0" xfId="0" applyNumberFormat="1" applyAlignment="1">
      <alignment/>
    </xf>
    <xf numFmtId="165" fontId="0" fillId="0" borderId="0" xfId="42" applyNumberFormat="1" applyFont="1" applyAlignment="1" applyProtection="1">
      <alignment/>
      <protection/>
    </xf>
    <xf numFmtId="165" fontId="121" fillId="0" borderId="0" xfId="42" applyNumberFormat="1" applyFont="1" applyAlignment="1">
      <alignment/>
    </xf>
    <xf numFmtId="0" fontId="5" fillId="0" borderId="0" xfId="0" applyFont="1" applyAlignment="1">
      <alignment/>
    </xf>
    <xf numFmtId="165" fontId="5" fillId="0" borderId="0" xfId="44" applyNumberFormat="1" applyFont="1" applyAlignment="1">
      <alignment/>
    </xf>
    <xf numFmtId="43" fontId="11" fillId="0" borderId="0" xfId="42" applyFont="1" applyBorder="1" applyAlignment="1" applyProtection="1">
      <alignment horizontal="right"/>
      <protection locked="0"/>
    </xf>
    <xf numFmtId="0" fontId="12" fillId="0" borderId="0" xfId="59" applyFont="1">
      <alignment/>
      <protection/>
    </xf>
    <xf numFmtId="0" fontId="122" fillId="0" borderId="0" xfId="0" applyFont="1" applyAlignment="1">
      <alignment/>
    </xf>
    <xf numFmtId="0" fontId="114" fillId="0" borderId="0" xfId="0" applyFont="1" applyAlignment="1">
      <alignment/>
    </xf>
    <xf numFmtId="0" fontId="123" fillId="0" borderId="0" xfId="0" applyFont="1" applyAlignment="1">
      <alignment/>
    </xf>
    <xf numFmtId="0" fontId="124" fillId="0" borderId="0" xfId="0" applyFont="1" applyAlignment="1">
      <alignment horizontal="left"/>
    </xf>
    <xf numFmtId="164" fontId="3" fillId="0" borderId="12" xfId="63" applyNumberFormat="1" applyFont="1" applyBorder="1" applyAlignment="1">
      <alignment/>
    </xf>
    <xf numFmtId="43" fontId="13" fillId="0" borderId="0" xfId="42" applyFont="1" applyBorder="1" applyAlignment="1" applyProtection="1">
      <alignment horizontal="right"/>
      <protection locked="0"/>
    </xf>
    <xf numFmtId="43" fontId="3" fillId="0" borderId="0" xfId="0" applyNumberFormat="1" applyFont="1" applyAlignment="1">
      <alignment/>
    </xf>
    <xf numFmtId="164" fontId="4" fillId="0" borderId="12" xfId="63" applyNumberFormat="1" applyFont="1" applyBorder="1" applyAlignment="1">
      <alignment/>
    </xf>
    <xf numFmtId="0" fontId="17" fillId="0" borderId="0" xfId="0" applyFont="1" applyAlignment="1">
      <alignment/>
    </xf>
    <xf numFmtId="165" fontId="14" fillId="0" borderId="0" xfId="0" applyNumberFormat="1" applyFont="1" applyAlignment="1">
      <alignment/>
    </xf>
    <xf numFmtId="0" fontId="15" fillId="0" borderId="0" xfId="0" applyFont="1" applyAlignment="1">
      <alignment/>
    </xf>
    <xf numFmtId="44" fontId="0" fillId="0" borderId="27" xfId="45" applyFont="1" applyFill="1" applyBorder="1" applyAlignment="1" applyProtection="1">
      <alignment/>
      <protection locked="0"/>
    </xf>
    <xf numFmtId="44" fontId="0" fillId="0" borderId="0" xfId="45" applyFont="1" applyFill="1" applyBorder="1" applyAlignment="1" applyProtection="1">
      <alignment/>
      <protection locked="0"/>
    </xf>
    <xf numFmtId="44" fontId="125" fillId="0" borderId="0" xfId="0" applyNumberFormat="1" applyFont="1" applyAlignment="1">
      <alignment/>
    </xf>
    <xf numFmtId="0" fontId="126" fillId="0" borderId="0" xfId="0" applyFont="1" applyAlignment="1">
      <alignment/>
    </xf>
    <xf numFmtId="0" fontId="0" fillId="0" borderId="27" xfId="0" applyFont="1" applyBorder="1" applyAlignment="1">
      <alignment/>
    </xf>
    <xf numFmtId="44" fontId="0" fillId="0" borderId="0" xfId="0" applyNumberFormat="1" applyFont="1" applyFill="1" applyBorder="1" applyAlignment="1">
      <alignment/>
    </xf>
    <xf numFmtId="0" fontId="0" fillId="33" borderId="27" xfId="0" applyFont="1" applyFill="1" applyBorder="1" applyAlignment="1">
      <alignment/>
    </xf>
    <xf numFmtId="0" fontId="0" fillId="0" borderId="27" xfId="0" applyFont="1" applyFill="1" applyBorder="1" applyAlignment="1">
      <alignment/>
    </xf>
    <xf numFmtId="0" fontId="0" fillId="0" borderId="0" xfId="0" applyFont="1" applyFill="1" applyBorder="1" applyAlignment="1">
      <alignment/>
    </xf>
    <xf numFmtId="164" fontId="0" fillId="0" borderId="0" xfId="0" applyNumberFormat="1" applyFont="1" applyAlignment="1">
      <alignment/>
    </xf>
    <xf numFmtId="43" fontId="0" fillId="0" borderId="0" xfId="0" applyNumberFormat="1" applyFont="1" applyAlignment="1">
      <alignment/>
    </xf>
    <xf numFmtId="0" fontId="121" fillId="0" borderId="0" xfId="0" applyFont="1" applyFill="1" applyBorder="1" applyAlignment="1">
      <alignment/>
    </xf>
    <xf numFmtId="0" fontId="121" fillId="0" borderId="0" xfId="0" applyFont="1" applyAlignment="1">
      <alignment/>
    </xf>
    <xf numFmtId="0" fontId="127" fillId="0" borderId="0" xfId="0" applyFont="1" applyAlignment="1">
      <alignment/>
    </xf>
    <xf numFmtId="164" fontId="119" fillId="0" borderId="0" xfId="63" applyNumberFormat="1" applyFont="1" applyAlignment="1">
      <alignment/>
    </xf>
    <xf numFmtId="43" fontId="119" fillId="0" borderId="0" xfId="42" applyFont="1" applyAlignment="1">
      <alignment/>
    </xf>
    <xf numFmtId="44" fontId="11" fillId="0" borderId="0" xfId="45" applyFont="1" applyFill="1" applyBorder="1" applyAlignment="1" applyProtection="1">
      <alignment/>
      <protection locked="0"/>
    </xf>
    <xf numFmtId="165" fontId="0" fillId="0" borderId="0" xfId="44" applyNumberFormat="1" applyFont="1" applyAlignment="1">
      <alignment/>
    </xf>
    <xf numFmtId="43" fontId="0" fillId="0" borderId="0" xfId="42" applyFont="1" applyBorder="1" applyAlignment="1" applyProtection="1">
      <alignment horizontal="right"/>
      <protection locked="0"/>
    </xf>
    <xf numFmtId="43" fontId="0" fillId="0" borderId="0" xfId="42" applyFont="1" applyBorder="1" applyAlignment="1" applyProtection="1">
      <alignment/>
      <protection locked="0"/>
    </xf>
    <xf numFmtId="43" fontId="3" fillId="0" borderId="0" xfId="42" applyFont="1" applyBorder="1" applyAlignment="1" applyProtection="1">
      <alignment/>
      <protection locked="0"/>
    </xf>
    <xf numFmtId="43" fontId="3" fillId="0" borderId="0" xfId="42" applyFont="1" applyBorder="1" applyAlignment="1" applyProtection="1">
      <alignment horizontal="right"/>
      <protection locked="0"/>
    </xf>
    <xf numFmtId="44" fontId="0" fillId="0" borderId="28" xfId="45" applyFont="1" applyFill="1" applyBorder="1" applyAlignment="1" applyProtection="1">
      <alignment/>
      <protection locked="0"/>
    </xf>
    <xf numFmtId="44" fontId="0" fillId="0" borderId="28" xfId="48" applyFont="1" applyFill="1" applyBorder="1" applyAlignment="1">
      <alignment/>
    </xf>
    <xf numFmtId="0" fontId="0" fillId="0" borderId="0" xfId="0" applyAlignment="1" quotePrefix="1">
      <alignment/>
    </xf>
    <xf numFmtId="0" fontId="0" fillId="0" borderId="0" xfId="0" applyAlignment="1" quotePrefix="1">
      <alignment horizontal="left"/>
    </xf>
    <xf numFmtId="164" fontId="0" fillId="0" borderId="12" xfId="63" applyNumberFormat="1" applyFont="1" applyBorder="1" applyAlignment="1">
      <alignment/>
    </xf>
    <xf numFmtId="164" fontId="4" fillId="0" borderId="12" xfId="64" applyNumberFormat="1" applyFont="1" applyBorder="1" applyAlignment="1">
      <alignment horizontal="right"/>
    </xf>
    <xf numFmtId="43" fontId="0" fillId="0" borderId="0" xfId="42" applyNumberFormat="1" applyFont="1" applyAlignment="1">
      <alignment/>
    </xf>
    <xf numFmtId="0" fontId="1" fillId="0" borderId="0" xfId="0" applyFont="1" applyAlignment="1">
      <alignment horizontal="center"/>
    </xf>
    <xf numFmtId="43" fontId="11" fillId="0" borderId="0" xfId="42" applyFont="1" applyBorder="1" applyAlignment="1" applyProtection="1">
      <alignment/>
      <protection locked="0"/>
    </xf>
    <xf numFmtId="43" fontId="13" fillId="0" borderId="0" xfId="42" applyFont="1" applyBorder="1" applyAlignment="1" applyProtection="1">
      <alignment/>
      <protection locked="0"/>
    </xf>
    <xf numFmtId="44" fontId="0" fillId="0" borderId="0" xfId="45" applyFont="1" applyAlignment="1">
      <alignment/>
    </xf>
    <xf numFmtId="165" fontId="3" fillId="0" borderId="0" xfId="0" applyNumberFormat="1" applyFont="1" applyAlignment="1">
      <alignment/>
    </xf>
    <xf numFmtId="164" fontId="0" fillId="0" borderId="0" xfId="63" applyNumberFormat="1" applyFont="1" applyAlignment="1">
      <alignment/>
    </xf>
    <xf numFmtId="0" fontId="114" fillId="0" borderId="0" xfId="0" applyFont="1" applyAlignment="1">
      <alignment horizontal="center" wrapText="1"/>
    </xf>
    <xf numFmtId="0" fontId="17" fillId="0" borderId="0" xfId="0" applyFont="1" applyFill="1" applyAlignment="1">
      <alignment/>
    </xf>
    <xf numFmtId="0" fontId="17" fillId="0" borderId="0" xfId="0" applyFont="1" applyAlignment="1">
      <alignment/>
    </xf>
    <xf numFmtId="44" fontId="15" fillId="0" borderId="0" xfId="45" applyFont="1" applyAlignment="1">
      <alignment horizontal="center"/>
    </xf>
    <xf numFmtId="0" fontId="110" fillId="0" borderId="0" xfId="0" applyFont="1" applyAlignment="1">
      <alignment horizontal="center"/>
    </xf>
    <xf numFmtId="44" fontId="16" fillId="0" borderId="0" xfId="45" applyFont="1" applyAlignment="1">
      <alignment horizontal="center"/>
    </xf>
    <xf numFmtId="0" fontId="112" fillId="0" borderId="0" xfId="0" applyFont="1" applyAlignment="1">
      <alignment horizontal="center"/>
    </xf>
    <xf numFmtId="0" fontId="112" fillId="0" borderId="0" xfId="0" applyFont="1" applyBorder="1" applyAlignment="1">
      <alignment horizontal="center"/>
    </xf>
    <xf numFmtId="0" fontId="0" fillId="0" borderId="0" xfId="0" applyFont="1" applyBorder="1" applyAlignment="1">
      <alignment/>
    </xf>
    <xf numFmtId="165" fontId="118" fillId="0" borderId="0" xfId="0" applyNumberFormat="1" applyFont="1" applyBorder="1" applyAlignment="1">
      <alignment horizontal="center"/>
    </xf>
    <xf numFmtId="37" fontId="128" fillId="0" borderId="0" xfId="0" applyNumberFormat="1" applyFont="1" applyAlignment="1">
      <alignment/>
    </xf>
    <xf numFmtId="164" fontId="129" fillId="0" borderId="0" xfId="63" applyNumberFormat="1" applyFont="1" applyAlignment="1">
      <alignment/>
    </xf>
    <xf numFmtId="9" fontId="129" fillId="0" borderId="0" xfId="63" applyFont="1" applyAlignment="1">
      <alignment/>
    </xf>
    <xf numFmtId="165" fontId="118" fillId="0" borderId="0" xfId="0" applyNumberFormat="1" applyFont="1" applyBorder="1" applyAlignment="1">
      <alignment/>
    </xf>
    <xf numFmtId="165" fontId="118" fillId="0" borderId="0" xfId="0" applyNumberFormat="1" applyFont="1" applyAlignment="1">
      <alignment/>
    </xf>
    <xf numFmtId="166" fontId="118" fillId="0" borderId="0" xfId="0" applyNumberFormat="1" applyFont="1" applyAlignment="1">
      <alignment horizontal="right"/>
    </xf>
    <xf numFmtId="166" fontId="118" fillId="0" borderId="0" xfId="0" applyNumberFormat="1" applyFont="1" applyAlignment="1">
      <alignment/>
    </xf>
    <xf numFmtId="0" fontId="17" fillId="0" borderId="0" xfId="0" applyFont="1" applyAlignment="1">
      <alignment horizontal="right"/>
    </xf>
    <xf numFmtId="166" fontId="110" fillId="0" borderId="0" xfId="45" applyNumberFormat="1" applyFont="1" applyAlignment="1">
      <alignment horizontal="right"/>
    </xf>
    <xf numFmtId="166" fontId="130" fillId="0" borderId="0" xfId="0" applyNumberFormat="1" applyFont="1" applyAlignment="1">
      <alignment/>
    </xf>
    <xf numFmtId="166" fontId="95" fillId="0" borderId="0" xfId="0" applyNumberFormat="1" applyFont="1" applyAlignment="1">
      <alignment/>
    </xf>
    <xf numFmtId="166" fontId="95" fillId="0" borderId="0" xfId="45" applyNumberFormat="1" applyFont="1" applyAlignment="1">
      <alignment/>
    </xf>
    <xf numFmtId="166" fontId="131" fillId="0" borderId="0" xfId="45" applyNumberFormat="1" applyFont="1" applyAlignment="1">
      <alignment horizontal="right"/>
    </xf>
    <xf numFmtId="166" fontId="132" fillId="0" borderId="0" xfId="0" applyNumberFormat="1" applyFont="1" applyAlignment="1">
      <alignment/>
    </xf>
    <xf numFmtId="166" fontId="117" fillId="0" borderId="0" xfId="0" applyNumberFormat="1" applyFont="1" applyAlignment="1">
      <alignment/>
    </xf>
    <xf numFmtId="166" fontId="117" fillId="0" borderId="0" xfId="45" applyNumberFormat="1" applyFont="1" applyAlignment="1">
      <alignment/>
    </xf>
    <xf numFmtId="166" fontId="118" fillId="0" borderId="0" xfId="45" applyNumberFormat="1" applyFont="1" applyAlignment="1">
      <alignment horizontal="right"/>
    </xf>
    <xf numFmtId="166" fontId="118" fillId="0" borderId="0" xfId="45" applyNumberFormat="1" applyFont="1" applyBorder="1" applyAlignment="1">
      <alignment horizontal="center"/>
    </xf>
    <xf numFmtId="166" fontId="17" fillId="0" borderId="0" xfId="0" applyNumberFormat="1" applyFont="1" applyAlignment="1">
      <alignment/>
    </xf>
    <xf numFmtId="166" fontId="16" fillId="0" borderId="0" xfId="45" applyNumberFormat="1" applyFont="1" applyFill="1" applyAlignment="1">
      <alignment horizontal="center"/>
    </xf>
    <xf numFmtId="166" fontId="131" fillId="0" borderId="0" xfId="0" applyNumberFormat="1" applyFont="1" applyAlignment="1">
      <alignment/>
    </xf>
    <xf numFmtId="166" fontId="131" fillId="0" borderId="0" xfId="45" applyNumberFormat="1" applyFont="1" applyAlignment="1">
      <alignment/>
    </xf>
    <xf numFmtId="166" fontId="112" fillId="0" borderId="0" xfId="45" applyNumberFormat="1" applyFont="1" applyBorder="1" applyAlignment="1">
      <alignment horizontal="center"/>
    </xf>
    <xf numFmtId="166" fontId="17" fillId="0" borderId="0" xfId="45" applyNumberFormat="1" applyFont="1" applyAlignment="1">
      <alignment horizontal="right"/>
    </xf>
    <xf numFmtId="166" fontId="17" fillId="0" borderId="0" xfId="0" applyNumberFormat="1" applyFont="1" applyFill="1" applyAlignment="1">
      <alignment/>
    </xf>
    <xf numFmtId="166" fontId="18" fillId="0" borderId="0" xfId="45" applyNumberFormat="1" applyFont="1" applyAlignment="1">
      <alignment horizontal="right"/>
    </xf>
    <xf numFmtId="0" fontId="18" fillId="0" borderId="0" xfId="0" applyFont="1" applyFill="1" applyAlignment="1">
      <alignment/>
    </xf>
    <xf numFmtId="166" fontId="18" fillId="0" borderId="0" xfId="0" applyNumberFormat="1" applyFont="1" applyAlignment="1">
      <alignment/>
    </xf>
    <xf numFmtId="166" fontId="19" fillId="0" borderId="0" xfId="45" applyNumberFormat="1" applyFont="1" applyAlignment="1">
      <alignment horizontal="right"/>
    </xf>
    <xf numFmtId="166" fontId="16" fillId="0" borderId="0" xfId="45" applyNumberFormat="1" applyFont="1" applyAlignment="1">
      <alignment horizontal="right"/>
    </xf>
    <xf numFmtId="166" fontId="20" fillId="0" borderId="0" xfId="45" applyNumberFormat="1" applyFont="1" applyAlignment="1">
      <alignment horizontal="right"/>
    </xf>
    <xf numFmtId="166" fontId="20" fillId="0" borderId="0" xfId="45" applyNumberFormat="1" applyFont="1" applyAlignment="1">
      <alignment horizontal="center"/>
    </xf>
    <xf numFmtId="43" fontId="20" fillId="0" borderId="0" xfId="42" applyFont="1" applyAlignment="1">
      <alignment horizontal="center"/>
    </xf>
    <xf numFmtId="44" fontId="20" fillId="0" borderId="0" xfId="45" applyFont="1" applyAlignment="1">
      <alignment horizontal="center"/>
    </xf>
    <xf numFmtId="0" fontId="0" fillId="13" borderId="22" xfId="0" applyFont="1" applyFill="1" applyBorder="1" applyAlignment="1">
      <alignment wrapText="1"/>
    </xf>
    <xf numFmtId="9" fontId="112" fillId="0" borderId="0" xfId="63" applyFont="1" applyBorder="1" applyAlignment="1">
      <alignment horizontal="center"/>
    </xf>
    <xf numFmtId="166" fontId="133" fillId="0" borderId="0" xfId="45" applyNumberFormat="1" applyFont="1" applyAlignment="1">
      <alignment horizontal="right"/>
    </xf>
    <xf numFmtId="6" fontId="15" fillId="0" borderId="0" xfId="45" applyNumberFormat="1" applyFont="1" applyAlignment="1">
      <alignment horizontal="right"/>
    </xf>
    <xf numFmtId="164" fontId="20" fillId="0" borderId="0" xfId="63" applyNumberFormat="1" applyFont="1" applyAlignment="1">
      <alignment horizontal="center"/>
    </xf>
    <xf numFmtId="44" fontId="0" fillId="0" borderId="13" xfId="45" applyFont="1" applyFill="1" applyBorder="1" applyAlignment="1" applyProtection="1">
      <alignment/>
      <protection locked="0"/>
    </xf>
    <xf numFmtId="0" fontId="134" fillId="0" borderId="0" xfId="0" applyFont="1" applyBorder="1" applyAlignment="1">
      <alignment/>
    </xf>
    <xf numFmtId="43" fontId="11" fillId="0" borderId="0" xfId="42" applyFont="1" applyFill="1" applyBorder="1" applyAlignment="1" applyProtection="1">
      <alignment horizontal="right"/>
      <protection locked="0"/>
    </xf>
    <xf numFmtId="165" fontId="1" fillId="0" borderId="0" xfId="44" applyNumberFormat="1" applyFont="1" applyAlignment="1">
      <alignment horizontal="center"/>
    </xf>
    <xf numFmtId="43" fontId="0" fillId="0" borderId="0" xfId="42" applyFont="1" applyAlignment="1">
      <alignment/>
    </xf>
    <xf numFmtId="43" fontId="3" fillId="0" borderId="0" xfId="42" applyFont="1" applyAlignment="1">
      <alignment/>
    </xf>
    <xf numFmtId="165" fontId="0" fillId="0" borderId="0" xfId="0" applyNumberFormat="1" applyFont="1" applyAlignment="1">
      <alignment/>
    </xf>
    <xf numFmtId="43" fontId="0" fillId="0" borderId="0" xfId="0" applyNumberFormat="1" applyFont="1" applyFill="1" applyAlignment="1">
      <alignment/>
    </xf>
    <xf numFmtId="0" fontId="0" fillId="0" borderId="0" xfId="0" applyFont="1" applyFill="1" applyAlignment="1">
      <alignment/>
    </xf>
    <xf numFmtId="164" fontId="135" fillId="0" borderId="0" xfId="63" applyNumberFormat="1" applyFont="1" applyAlignment="1">
      <alignment/>
    </xf>
    <xf numFmtId="166" fontId="0" fillId="0" borderId="0" xfId="0" applyNumberFormat="1" applyFont="1" applyAlignment="1">
      <alignment/>
    </xf>
    <xf numFmtId="165" fontId="0" fillId="0" borderId="0" xfId="0" applyNumberFormat="1" applyFont="1" applyFill="1" applyAlignment="1">
      <alignment/>
    </xf>
    <xf numFmtId="166" fontId="119" fillId="0" borderId="0" xfId="45" applyNumberFormat="1" applyFont="1" applyAlignment="1">
      <alignment/>
    </xf>
    <xf numFmtId="44" fontId="119" fillId="0" borderId="0" xfId="45" applyFont="1" applyAlignment="1">
      <alignment/>
    </xf>
    <xf numFmtId="0" fontId="136" fillId="0" borderId="0" xfId="0" applyFont="1" applyAlignment="1">
      <alignment/>
    </xf>
    <xf numFmtId="166" fontId="136" fillId="0" borderId="0" xfId="45" applyNumberFormat="1" applyFont="1" applyAlignment="1">
      <alignment/>
    </xf>
    <xf numFmtId="43" fontId="136" fillId="0" borderId="0" xfId="0" applyNumberFormat="1" applyFont="1" applyAlignment="1">
      <alignment/>
    </xf>
    <xf numFmtId="43" fontId="121" fillId="0" borderId="0" xfId="0" applyNumberFormat="1" applyFont="1" applyAlignment="1">
      <alignment/>
    </xf>
    <xf numFmtId="44" fontId="136" fillId="0" borderId="0" xfId="45" applyFont="1" applyAlignment="1">
      <alignment/>
    </xf>
    <xf numFmtId="165" fontId="136" fillId="0" borderId="0" xfId="42" applyNumberFormat="1" applyFont="1" applyAlignment="1">
      <alignment/>
    </xf>
    <xf numFmtId="43" fontId="125" fillId="0" borderId="0" xfId="0" applyNumberFormat="1" applyFont="1" applyAlignment="1">
      <alignment/>
    </xf>
    <xf numFmtId="166" fontId="125" fillId="0" borderId="0" xfId="45" applyNumberFormat="1" applyFont="1" applyAlignment="1">
      <alignment/>
    </xf>
    <xf numFmtId="44" fontId="125" fillId="0" borderId="0" xfId="45" applyFont="1" applyAlignment="1">
      <alignment/>
    </xf>
    <xf numFmtId="165" fontId="125" fillId="0" borderId="0" xfId="0" applyNumberFormat="1" applyFont="1" applyAlignment="1">
      <alignment/>
    </xf>
    <xf numFmtId="166" fontId="119" fillId="0" borderId="0" xfId="45" applyNumberFormat="1" applyFont="1" applyFill="1" applyAlignment="1">
      <alignment/>
    </xf>
    <xf numFmtId="0" fontId="136" fillId="0" borderId="0" xfId="0" applyFont="1" applyFill="1" applyAlignment="1">
      <alignment/>
    </xf>
    <xf numFmtId="43" fontId="136" fillId="0" borderId="0" xfId="0" applyNumberFormat="1" applyFont="1" applyFill="1" applyAlignment="1">
      <alignment/>
    </xf>
    <xf numFmtId="166" fontId="136" fillId="0" borderId="0" xfId="45" applyNumberFormat="1" applyFont="1" applyFill="1" applyAlignment="1">
      <alignment/>
    </xf>
    <xf numFmtId="43" fontId="137" fillId="0" borderId="0" xfId="42" applyFont="1" applyAlignment="1">
      <alignment/>
    </xf>
    <xf numFmtId="43" fontId="137" fillId="0" borderId="0" xfId="0" applyNumberFormat="1" applyFont="1" applyAlignment="1">
      <alignment/>
    </xf>
    <xf numFmtId="166" fontId="137" fillId="0" borderId="0" xfId="45" applyNumberFormat="1" applyFont="1" applyAlignment="1">
      <alignment/>
    </xf>
    <xf numFmtId="166" fontId="137" fillId="0" borderId="0" xfId="0" applyNumberFormat="1" applyFont="1" applyAlignment="1">
      <alignment/>
    </xf>
    <xf numFmtId="44" fontId="137" fillId="0" borderId="0" xfId="45" applyFont="1" applyAlignment="1">
      <alignment/>
    </xf>
    <xf numFmtId="165" fontId="137" fillId="0" borderId="0" xfId="42" applyNumberFormat="1" applyFont="1" applyAlignment="1">
      <alignment/>
    </xf>
    <xf numFmtId="166" fontId="14" fillId="0" borderId="0" xfId="45" applyNumberFormat="1" applyFont="1" applyAlignment="1">
      <alignment/>
    </xf>
    <xf numFmtId="166" fontId="14" fillId="0" borderId="0" xfId="0" applyNumberFormat="1" applyFont="1" applyAlignment="1">
      <alignment/>
    </xf>
    <xf numFmtId="164" fontId="7" fillId="0" borderId="0" xfId="63" applyNumberFormat="1" applyFont="1" applyAlignment="1">
      <alignment/>
    </xf>
    <xf numFmtId="166" fontId="1" fillId="0" borderId="0" xfId="45" applyNumberFormat="1" applyFont="1" applyAlignment="1">
      <alignment/>
    </xf>
    <xf numFmtId="166" fontId="7" fillId="0" borderId="0" xfId="45" applyNumberFormat="1" applyFont="1" applyAlignment="1">
      <alignment/>
    </xf>
    <xf numFmtId="166" fontId="8" fillId="0" borderId="0" xfId="45" applyNumberFormat="1" applyFont="1" applyAlignment="1">
      <alignment/>
    </xf>
    <xf numFmtId="166" fontId="138" fillId="0" borderId="0" xfId="45" applyNumberFormat="1" applyFont="1" applyAlignment="1">
      <alignment/>
    </xf>
    <xf numFmtId="166" fontId="8" fillId="0" borderId="0" xfId="0" applyNumberFormat="1" applyFont="1" applyAlignment="1">
      <alignment/>
    </xf>
    <xf numFmtId="166" fontId="139" fillId="0" borderId="0" xfId="45" applyNumberFormat="1" applyFont="1" applyAlignment="1">
      <alignment/>
    </xf>
    <xf numFmtId="166" fontId="1" fillId="0" borderId="0" xfId="0" applyNumberFormat="1" applyFont="1" applyAlignment="1">
      <alignment/>
    </xf>
    <xf numFmtId="0" fontId="126" fillId="0" borderId="0" xfId="0" applyFont="1" applyAlignment="1">
      <alignment horizontal="center"/>
    </xf>
    <xf numFmtId="0" fontId="127" fillId="0" borderId="0" xfId="0" applyFont="1" applyAlignment="1">
      <alignment horizontal="center"/>
    </xf>
    <xf numFmtId="43" fontId="3" fillId="0" borderId="0" xfId="0" applyNumberFormat="1" applyFont="1" applyFill="1" applyAlignment="1">
      <alignment/>
    </xf>
    <xf numFmtId="43" fontId="121" fillId="0" borderId="0" xfId="0" applyNumberFormat="1" applyFont="1" applyFill="1" applyAlignment="1">
      <alignment/>
    </xf>
    <xf numFmtId="166" fontId="121" fillId="0" borderId="0" xfId="45" applyNumberFormat="1" applyFont="1" applyFill="1" applyAlignment="1">
      <alignment/>
    </xf>
    <xf numFmtId="164" fontId="140" fillId="0" borderId="0" xfId="63" applyNumberFormat="1" applyFont="1" applyAlignment="1">
      <alignment/>
    </xf>
    <xf numFmtId="164" fontId="125" fillId="0" borderId="0" xfId="63" applyNumberFormat="1" applyFont="1" applyAlignment="1">
      <alignment/>
    </xf>
    <xf numFmtId="0" fontId="127" fillId="0" borderId="0" xfId="0" applyFont="1" applyAlignment="1">
      <alignment horizontal="center"/>
    </xf>
    <xf numFmtId="165" fontId="0" fillId="0" borderId="0" xfId="44" applyNumberFormat="1" applyFont="1" applyFill="1" applyAlignment="1">
      <alignment/>
    </xf>
    <xf numFmtId="165" fontId="0" fillId="0" borderId="0" xfId="44" applyNumberFormat="1" applyFont="1" applyAlignment="1">
      <alignment/>
    </xf>
    <xf numFmtId="0" fontId="0" fillId="0" borderId="0" xfId="0" applyFont="1" applyAlignment="1" quotePrefix="1">
      <alignment/>
    </xf>
    <xf numFmtId="165" fontId="119" fillId="0" borderId="0" xfId="44" applyNumberFormat="1" applyFont="1" applyAlignment="1">
      <alignment/>
    </xf>
    <xf numFmtId="165" fontId="136" fillId="0" borderId="0" xfId="44" applyNumberFormat="1" applyFont="1" applyAlignment="1">
      <alignment/>
    </xf>
    <xf numFmtId="165" fontId="3" fillId="0" borderId="0" xfId="44" applyNumberFormat="1" applyFont="1" applyAlignment="1">
      <alignment/>
    </xf>
    <xf numFmtId="165" fontId="141" fillId="0" borderId="0" xfId="44" applyNumberFormat="1" applyFont="1" applyAlignment="1">
      <alignment/>
    </xf>
    <xf numFmtId="0" fontId="141" fillId="0" borderId="0" xfId="0" applyFont="1" applyAlignment="1">
      <alignment/>
    </xf>
    <xf numFmtId="165" fontId="136" fillId="0" borderId="0" xfId="0" applyNumberFormat="1" applyFont="1" applyAlignment="1">
      <alignment/>
    </xf>
    <xf numFmtId="164" fontId="140" fillId="0" borderId="0" xfId="0" applyNumberFormat="1" applyFont="1" applyAlignment="1">
      <alignment/>
    </xf>
    <xf numFmtId="165" fontId="126" fillId="0" borderId="0" xfId="0" applyNumberFormat="1" applyFont="1" applyAlignment="1">
      <alignment/>
    </xf>
    <xf numFmtId="165" fontId="120" fillId="0" borderId="0" xfId="0" applyNumberFormat="1" applyFont="1" applyAlignment="1">
      <alignment/>
    </xf>
    <xf numFmtId="165" fontId="126" fillId="0" borderId="0" xfId="42" applyNumberFormat="1" applyFont="1" applyAlignment="1">
      <alignment/>
    </xf>
    <xf numFmtId="165" fontId="120" fillId="0" borderId="0" xfId="42" applyNumberFormat="1" applyFont="1" applyAlignment="1">
      <alignment/>
    </xf>
    <xf numFmtId="172" fontId="0" fillId="0" borderId="0" xfId="0" applyNumberFormat="1" applyAlignment="1">
      <alignment/>
    </xf>
    <xf numFmtId="165" fontId="95" fillId="0" borderId="0" xfId="42" applyNumberFormat="1" applyFont="1" applyAlignment="1">
      <alignment/>
    </xf>
    <xf numFmtId="44" fontId="95" fillId="0" borderId="0" xfId="45" applyFont="1" applyAlignment="1">
      <alignment/>
    </xf>
    <xf numFmtId="172" fontId="23" fillId="34" borderId="19" xfId="0" applyNumberFormat="1" applyFont="1" applyFill="1" applyBorder="1" applyAlignment="1">
      <alignment/>
    </xf>
    <xf numFmtId="172" fontId="23" fillId="34" borderId="20" xfId="0" applyNumberFormat="1" applyFont="1" applyFill="1" applyBorder="1" applyAlignment="1">
      <alignment/>
    </xf>
    <xf numFmtId="172" fontId="23" fillId="34" borderId="21" xfId="0" applyNumberFormat="1" applyFont="1" applyFill="1" applyBorder="1" applyAlignment="1">
      <alignment/>
    </xf>
    <xf numFmtId="172" fontId="23" fillId="0" borderId="0" xfId="0" applyNumberFormat="1" applyFont="1" applyAlignment="1">
      <alignment/>
    </xf>
    <xf numFmtId="165" fontId="23" fillId="0" borderId="0" xfId="42" applyNumberFormat="1" applyFont="1" applyAlignment="1">
      <alignment/>
    </xf>
    <xf numFmtId="172" fontId="23" fillId="34" borderId="26" xfId="0" applyNumberFormat="1" applyFont="1" applyFill="1" applyBorder="1" applyAlignment="1">
      <alignment horizontal="center"/>
    </xf>
    <xf numFmtId="172" fontId="23" fillId="34" borderId="29" xfId="0" applyNumberFormat="1" applyFont="1" applyFill="1" applyBorder="1" applyAlignment="1">
      <alignment horizontal="center"/>
    </xf>
    <xf numFmtId="44" fontId="23" fillId="34" borderId="29" xfId="45" applyFont="1" applyFill="1" applyBorder="1" applyAlignment="1">
      <alignment horizontal="center"/>
    </xf>
    <xf numFmtId="172" fontId="24" fillId="0" borderId="0" xfId="0" applyNumberFormat="1" applyFont="1" applyAlignment="1">
      <alignment horizontal="center"/>
    </xf>
    <xf numFmtId="172" fontId="25" fillId="0" borderId="19" xfId="0" applyNumberFormat="1" applyFont="1" applyBorder="1" applyAlignment="1">
      <alignment/>
    </xf>
    <xf numFmtId="172" fontId="25" fillId="0" borderId="20" xfId="0" applyNumberFormat="1" applyFont="1" applyBorder="1" applyAlignment="1">
      <alignment/>
    </xf>
    <xf numFmtId="172" fontId="25" fillId="0" borderId="21" xfId="0" applyNumberFormat="1" applyFont="1" applyBorder="1" applyAlignment="1">
      <alignment/>
    </xf>
    <xf numFmtId="172" fontId="25" fillId="0" borderId="30" xfId="0" applyNumberFormat="1" applyFont="1" applyBorder="1" applyAlignment="1">
      <alignment/>
    </xf>
    <xf numFmtId="44" fontId="25" fillId="0" borderId="30" xfId="45" applyFont="1" applyBorder="1" applyAlignment="1">
      <alignment/>
    </xf>
    <xf numFmtId="10" fontId="25" fillId="0" borderId="30" xfId="63" applyNumberFormat="1" applyFont="1" applyBorder="1" applyAlignment="1">
      <alignment/>
    </xf>
    <xf numFmtId="172" fontId="25" fillId="0" borderId="0" xfId="0" applyNumberFormat="1" applyFont="1" applyAlignment="1">
      <alignment/>
    </xf>
    <xf numFmtId="165" fontId="25" fillId="0" borderId="0" xfId="42" applyNumberFormat="1" applyFont="1" applyAlignment="1">
      <alignment/>
    </xf>
    <xf numFmtId="172" fontId="23" fillId="0" borderId="22" xfId="0" applyNumberFormat="1" applyFont="1" applyBorder="1" applyAlignment="1">
      <alignment/>
    </xf>
    <xf numFmtId="172" fontId="25" fillId="0" borderId="0" xfId="0" applyNumberFormat="1" applyFont="1" applyBorder="1" applyAlignment="1">
      <alignment/>
    </xf>
    <xf numFmtId="172" fontId="25" fillId="0" borderId="23" xfId="0" applyNumberFormat="1" applyFont="1" applyBorder="1" applyAlignment="1">
      <alignment/>
    </xf>
    <xf numFmtId="44" fontId="25" fillId="0" borderId="31" xfId="45" applyFont="1" applyBorder="1" applyAlignment="1">
      <alignment/>
    </xf>
    <xf numFmtId="10" fontId="25" fillId="0" borderId="31" xfId="63" applyNumberFormat="1" applyFont="1" applyBorder="1" applyAlignment="1">
      <alignment/>
    </xf>
    <xf numFmtId="44" fontId="25" fillId="35" borderId="31" xfId="45" applyFont="1" applyFill="1" applyBorder="1" applyAlignment="1">
      <alignment/>
    </xf>
    <xf numFmtId="7" fontId="25" fillId="0" borderId="31" xfId="45" applyNumberFormat="1" applyFont="1" applyBorder="1" applyAlignment="1">
      <alignment/>
    </xf>
    <xf numFmtId="164" fontId="25" fillId="0" borderId="0" xfId="63" applyNumberFormat="1" applyFont="1" applyAlignment="1">
      <alignment/>
    </xf>
    <xf numFmtId="173" fontId="25" fillId="0" borderId="0" xfId="0" applyNumberFormat="1" applyFont="1" applyAlignment="1">
      <alignment/>
    </xf>
    <xf numFmtId="164" fontId="26" fillId="0" borderId="0" xfId="63" applyNumberFormat="1" applyFont="1" applyAlignment="1">
      <alignment/>
    </xf>
    <xf numFmtId="172" fontId="24" fillId="0" borderId="22" xfId="0" applyNumberFormat="1" applyFont="1" applyBorder="1" applyAlignment="1">
      <alignment/>
    </xf>
    <xf numFmtId="172" fontId="25" fillId="0" borderId="31" xfId="0" applyNumberFormat="1" applyFont="1" applyBorder="1" applyAlignment="1">
      <alignment/>
    </xf>
    <xf numFmtId="44" fontId="27" fillId="0" borderId="31" xfId="45" applyFont="1" applyBorder="1" applyAlignment="1">
      <alignment/>
    </xf>
    <xf numFmtId="164" fontId="28" fillId="0" borderId="0" xfId="63" applyNumberFormat="1" applyFont="1" applyAlignment="1">
      <alignment/>
    </xf>
    <xf numFmtId="10" fontId="25" fillId="0" borderId="0" xfId="63" applyNumberFormat="1" applyFont="1" applyAlignment="1">
      <alignment/>
    </xf>
    <xf numFmtId="172" fontId="25" fillId="0" borderId="22" xfId="0" applyNumberFormat="1" applyFont="1" applyBorder="1" applyAlignment="1">
      <alignment/>
    </xf>
    <xf numFmtId="172" fontId="25" fillId="0" borderId="23" xfId="0" applyNumberFormat="1" applyFont="1" applyBorder="1" applyAlignment="1">
      <alignment horizontal="right"/>
    </xf>
    <xf numFmtId="44" fontId="25" fillId="0" borderId="31" xfId="45" applyFont="1" applyFill="1" applyBorder="1" applyAlignment="1">
      <alignment/>
    </xf>
    <xf numFmtId="44" fontId="25" fillId="35" borderId="31" xfId="45" applyNumberFormat="1" applyFont="1" applyFill="1" applyBorder="1" applyAlignment="1">
      <alignment/>
    </xf>
    <xf numFmtId="44" fontId="25" fillId="0" borderId="0" xfId="45" applyFont="1" applyBorder="1" applyAlignment="1">
      <alignment/>
    </xf>
    <xf numFmtId="172" fontId="25" fillId="0" borderId="24" xfId="0" applyNumberFormat="1" applyFont="1" applyBorder="1" applyAlignment="1">
      <alignment/>
    </xf>
    <xf numFmtId="172" fontId="25" fillId="0" borderId="25" xfId="0" applyNumberFormat="1" applyFont="1" applyBorder="1" applyAlignment="1">
      <alignment/>
    </xf>
    <xf numFmtId="172" fontId="25" fillId="0" borderId="26" xfId="0" applyNumberFormat="1" applyFont="1" applyBorder="1" applyAlignment="1">
      <alignment/>
    </xf>
    <xf numFmtId="172" fontId="25" fillId="0" borderId="32" xfId="0" applyNumberFormat="1" applyFont="1" applyBorder="1" applyAlignment="1">
      <alignment/>
    </xf>
    <xf numFmtId="44" fontId="29" fillId="0" borderId="32" xfId="45" applyFont="1" applyBorder="1" applyAlignment="1">
      <alignment/>
    </xf>
    <xf numFmtId="44" fontId="25" fillId="0" borderId="32" xfId="45" applyFont="1" applyBorder="1" applyAlignment="1">
      <alignment/>
    </xf>
    <xf numFmtId="10" fontId="25" fillId="0" borderId="32" xfId="63" applyNumberFormat="1" applyFont="1" applyBorder="1" applyAlignment="1">
      <alignment/>
    </xf>
    <xf numFmtId="44" fontId="25" fillId="0" borderId="0" xfId="45" applyFont="1" applyAlignment="1">
      <alignment/>
    </xf>
    <xf numFmtId="172" fontId="30" fillId="0" borderId="0" xfId="0" applyNumberFormat="1" applyFont="1" applyAlignment="1">
      <alignment/>
    </xf>
    <xf numFmtId="166" fontId="25" fillId="0" borderId="0" xfId="45" applyNumberFormat="1" applyFont="1" applyAlignment="1">
      <alignment/>
    </xf>
    <xf numFmtId="0" fontId="1" fillId="0" borderId="33" xfId="0" applyFont="1" applyBorder="1" applyAlignment="1" applyProtection="1">
      <alignment/>
      <protection/>
    </xf>
    <xf numFmtId="0" fontId="1" fillId="0" borderId="34" xfId="0" applyFont="1" applyBorder="1" applyAlignment="1" applyProtection="1">
      <alignment/>
      <protection/>
    </xf>
    <xf numFmtId="0" fontId="0" fillId="0" borderId="35" xfId="0" applyFont="1" applyBorder="1" applyAlignment="1" applyProtection="1">
      <alignment/>
      <protection/>
    </xf>
    <xf numFmtId="0" fontId="0" fillId="0" borderId="0" xfId="0" applyFont="1" applyAlignment="1" applyProtection="1">
      <alignment/>
      <protection/>
    </xf>
    <xf numFmtId="0" fontId="0" fillId="36" borderId="0" xfId="0" applyFont="1" applyFill="1" applyAlignment="1" applyProtection="1">
      <alignment/>
      <protection/>
    </xf>
    <xf numFmtId="0" fontId="1" fillId="0" borderId="36" xfId="0" applyFont="1" applyBorder="1" applyAlignment="1" applyProtection="1">
      <alignment/>
      <protection/>
    </xf>
    <xf numFmtId="0" fontId="1" fillId="0" borderId="0" xfId="0" applyFont="1" applyAlignment="1" applyProtection="1">
      <alignment/>
      <protection/>
    </xf>
    <xf numFmtId="0" fontId="0" fillId="0" borderId="37" xfId="0" applyFont="1" applyBorder="1" applyAlignment="1" applyProtection="1">
      <alignment/>
      <protection/>
    </xf>
    <xf numFmtId="0" fontId="1" fillId="0" borderId="38" xfId="0" applyFont="1" applyBorder="1" applyAlignment="1" applyProtection="1">
      <alignment/>
      <protection/>
    </xf>
    <xf numFmtId="0" fontId="0" fillId="0" borderId="39" xfId="0" applyFont="1" applyBorder="1" applyAlignment="1" applyProtection="1">
      <alignment/>
      <protection/>
    </xf>
    <xf numFmtId="0" fontId="0" fillId="0" borderId="40" xfId="0" applyFont="1" applyBorder="1" applyAlignment="1" applyProtection="1">
      <alignment/>
      <protection/>
    </xf>
    <xf numFmtId="0" fontId="7" fillId="0" borderId="0" xfId="0" applyFont="1" applyAlignment="1" applyProtection="1">
      <alignment/>
      <protection/>
    </xf>
    <xf numFmtId="0" fontId="7" fillId="0" borderId="0" xfId="0" applyFont="1" applyAlignment="1" applyProtection="1">
      <alignment horizontal="center"/>
      <protection/>
    </xf>
    <xf numFmtId="0" fontId="1" fillId="0" borderId="19" xfId="0" applyFont="1" applyBorder="1" applyAlignment="1" applyProtection="1">
      <alignment/>
      <protection/>
    </xf>
    <xf numFmtId="0" fontId="1" fillId="0" borderId="20" xfId="0" applyFont="1" applyBorder="1" applyAlignment="1" applyProtection="1">
      <alignment/>
      <protection/>
    </xf>
    <xf numFmtId="0" fontId="1" fillId="0" borderId="20" xfId="0" applyFont="1" applyBorder="1" applyAlignment="1" applyProtection="1">
      <alignment horizontal="center"/>
      <protection/>
    </xf>
    <xf numFmtId="0" fontId="0" fillId="0" borderId="21" xfId="0" applyFont="1" applyBorder="1" applyAlignment="1" applyProtection="1">
      <alignment/>
      <protection/>
    </xf>
    <xf numFmtId="0" fontId="0" fillId="0" borderId="0" xfId="0" applyFont="1" applyBorder="1" applyAlignment="1" applyProtection="1">
      <alignment/>
      <protection/>
    </xf>
    <xf numFmtId="44" fontId="0" fillId="0" borderId="0" xfId="0" applyNumberFormat="1" applyFont="1" applyAlignment="1" applyProtection="1">
      <alignment/>
      <protection/>
    </xf>
    <xf numFmtId="44" fontId="0" fillId="0" borderId="0" xfId="47" applyFont="1" applyAlignment="1" applyProtection="1">
      <alignment/>
      <protection/>
    </xf>
    <xf numFmtId="0" fontId="1" fillId="0" borderId="22" xfId="0" applyFont="1" applyBorder="1" applyAlignment="1" applyProtection="1">
      <alignment/>
      <protection/>
    </xf>
    <xf numFmtId="0" fontId="1" fillId="0" borderId="0" xfId="0" applyFont="1" applyBorder="1" applyAlignment="1" applyProtection="1">
      <alignment/>
      <protection/>
    </xf>
    <xf numFmtId="0" fontId="1" fillId="0" borderId="39" xfId="0" applyFont="1" applyBorder="1" applyAlignment="1" applyProtection="1">
      <alignment horizontal="center"/>
      <protection/>
    </xf>
    <xf numFmtId="39" fontId="7" fillId="0" borderId="23" xfId="0" applyNumberFormat="1" applyFont="1" applyBorder="1" applyAlignment="1" applyProtection="1">
      <alignment horizontal="center"/>
      <protection/>
    </xf>
    <xf numFmtId="39" fontId="7" fillId="0" borderId="0" xfId="0" applyNumberFormat="1" applyFont="1" applyBorder="1" applyAlignment="1" applyProtection="1">
      <alignment horizontal="center"/>
      <protection/>
    </xf>
    <xf numFmtId="0" fontId="1" fillId="0" borderId="22" xfId="0" applyFont="1" applyBorder="1" applyAlignment="1" applyProtection="1">
      <alignment horizontal="right"/>
      <protection/>
    </xf>
    <xf numFmtId="0" fontId="1" fillId="0" borderId="0" xfId="0" applyFont="1" applyBorder="1" applyAlignment="1" applyProtection="1">
      <alignment horizontal="left"/>
      <protection/>
    </xf>
    <xf numFmtId="43" fontId="1" fillId="0" borderId="0" xfId="44" applyFont="1" applyBorder="1" applyAlignment="1" applyProtection="1">
      <alignment/>
      <protection/>
    </xf>
    <xf numFmtId="164" fontId="1" fillId="0" borderId="23" xfId="64" applyNumberFormat="1" applyFont="1" applyBorder="1" applyAlignment="1" applyProtection="1">
      <alignment horizontal="center"/>
      <protection/>
    </xf>
    <xf numFmtId="164" fontId="1" fillId="0" borderId="0" xfId="64" applyNumberFormat="1" applyFont="1" applyBorder="1" applyAlignment="1" applyProtection="1">
      <alignment horizontal="center"/>
      <protection/>
    </xf>
    <xf numFmtId="44" fontId="0" fillId="0" borderId="0" xfId="47" applyFont="1" applyBorder="1" applyAlignment="1" applyProtection="1">
      <alignment/>
      <protection/>
    </xf>
    <xf numFmtId="44" fontId="1" fillId="0" borderId="41" xfId="47" applyFont="1" applyBorder="1" applyAlignment="1" applyProtection="1">
      <alignment/>
      <protection/>
    </xf>
    <xf numFmtId="7" fontId="0" fillId="0" borderId="0" xfId="0" applyNumberFormat="1" applyFont="1" applyAlignment="1" applyProtection="1">
      <alignment/>
      <protection/>
    </xf>
    <xf numFmtId="43" fontId="0" fillId="0" borderId="0" xfId="44" applyFont="1" applyAlignment="1" applyProtection="1">
      <alignment/>
      <protection/>
    </xf>
    <xf numFmtId="44" fontId="0" fillId="0" borderId="39" xfId="47" applyFont="1" applyBorder="1" applyAlignment="1" applyProtection="1">
      <alignment/>
      <protection/>
    </xf>
    <xf numFmtId="9" fontId="0" fillId="0" borderId="0" xfId="63" applyFont="1" applyAlignment="1" applyProtection="1">
      <alignment/>
      <protection/>
    </xf>
    <xf numFmtId="43" fontId="1" fillId="0" borderId="0" xfId="44" applyFont="1" applyAlignment="1" applyProtection="1">
      <alignment/>
      <protection/>
    </xf>
    <xf numFmtId="0" fontId="1" fillId="36" borderId="0" xfId="0" applyFont="1" applyFill="1" applyAlignment="1" applyProtection="1">
      <alignment/>
      <protection/>
    </xf>
    <xf numFmtId="43" fontId="8" fillId="0" borderId="0" xfId="44" applyFont="1" applyBorder="1" applyAlignment="1" applyProtection="1">
      <alignment/>
      <protection/>
    </xf>
    <xf numFmtId="164" fontId="7" fillId="0" borderId="23" xfId="64" applyNumberFormat="1" applyFont="1" applyBorder="1" applyAlignment="1" applyProtection="1">
      <alignment horizontal="center"/>
      <protection/>
    </xf>
    <xf numFmtId="164" fontId="7" fillId="0" borderId="0" xfId="64" applyNumberFormat="1" applyFont="1" applyBorder="1" applyAlignment="1" applyProtection="1">
      <alignment horizontal="center"/>
      <protection/>
    </xf>
    <xf numFmtId="10" fontId="0" fillId="0" borderId="0" xfId="64" applyNumberFormat="1" applyFont="1" applyAlignment="1" applyProtection="1">
      <alignment/>
      <protection/>
    </xf>
    <xf numFmtId="0" fontId="1" fillId="0" borderId="24" xfId="0" applyFont="1" applyBorder="1" applyAlignment="1" applyProtection="1">
      <alignment horizontal="right"/>
      <protection/>
    </xf>
    <xf numFmtId="0" fontId="0" fillId="0" borderId="25" xfId="0" applyFont="1" applyBorder="1" applyAlignment="1" applyProtection="1">
      <alignment/>
      <protection/>
    </xf>
    <xf numFmtId="43" fontId="14" fillId="0" borderId="25" xfId="44" applyFont="1" applyBorder="1" applyAlignment="1" applyProtection="1">
      <alignment/>
      <protection/>
    </xf>
    <xf numFmtId="164" fontId="5" fillId="0" borderId="26" xfId="64" applyNumberFormat="1" applyFont="1" applyBorder="1" applyAlignment="1" applyProtection="1">
      <alignment horizontal="center"/>
      <protection/>
    </xf>
    <xf numFmtId="164" fontId="5" fillId="0" borderId="0" xfId="64" applyNumberFormat="1" applyFont="1" applyBorder="1" applyAlignment="1" applyProtection="1">
      <alignment horizontal="center"/>
      <protection/>
    </xf>
    <xf numFmtId="0" fontId="0" fillId="37" borderId="0" xfId="0" applyFont="1" applyFill="1" applyAlignment="1" applyProtection="1">
      <alignment/>
      <protection/>
    </xf>
    <xf numFmtId="0" fontId="0" fillId="37" borderId="0" xfId="0" applyFont="1" applyFill="1" applyBorder="1" applyAlignment="1" applyProtection="1">
      <alignment/>
      <protection/>
    </xf>
    <xf numFmtId="0" fontId="0" fillId="37" borderId="42" xfId="0" applyFont="1" applyFill="1" applyBorder="1" applyAlignment="1" applyProtection="1">
      <alignment/>
      <protection/>
    </xf>
    <xf numFmtId="39" fontId="0" fillId="37" borderId="42" xfId="0" applyNumberFormat="1" applyFont="1" applyFill="1" applyBorder="1" applyAlignment="1" applyProtection="1">
      <alignment/>
      <protection/>
    </xf>
    <xf numFmtId="37" fontId="1" fillId="0" borderId="43" xfId="0" applyNumberFormat="1" applyFont="1" applyBorder="1" applyAlignment="1" applyProtection="1">
      <alignment/>
      <protection/>
    </xf>
    <xf numFmtId="174" fontId="1" fillId="0" borderId="43" xfId="47" applyNumberFormat="1" applyFont="1" applyBorder="1" applyAlignment="1" applyProtection="1">
      <alignment/>
      <protection/>
    </xf>
    <xf numFmtId="0" fontId="1" fillId="0" borderId="0" xfId="0" applyFont="1" applyAlignment="1" applyProtection="1">
      <alignment horizontal="center"/>
      <protection/>
    </xf>
    <xf numFmtId="0" fontId="1" fillId="0" borderId="0" xfId="0" applyFont="1" applyBorder="1" applyAlignment="1" applyProtection="1">
      <alignment horizontal="center"/>
      <protection/>
    </xf>
    <xf numFmtId="9" fontId="31" fillId="0" borderId="0" xfId="64" applyFont="1" applyBorder="1" applyAlignment="1" applyProtection="1">
      <alignment horizontal="center"/>
      <protection/>
    </xf>
    <xf numFmtId="165" fontId="0" fillId="0" borderId="0" xfId="0" applyNumberFormat="1" applyFont="1" applyAlignment="1" applyProtection="1">
      <alignment/>
      <protection/>
    </xf>
    <xf numFmtId="165" fontId="0" fillId="0" borderId="0" xfId="44" applyNumberFormat="1" applyFont="1" applyAlignment="1" applyProtection="1">
      <alignment/>
      <protection/>
    </xf>
    <xf numFmtId="165" fontId="0" fillId="0" borderId="0" xfId="44" applyNumberFormat="1" applyFont="1" applyFill="1" applyAlignment="1" applyProtection="1">
      <alignment/>
      <protection/>
    </xf>
    <xf numFmtId="166" fontId="0" fillId="0" borderId="0" xfId="0" applyNumberFormat="1" applyFont="1" applyAlignment="1" applyProtection="1">
      <alignment/>
      <protection/>
    </xf>
    <xf numFmtId="166" fontId="0" fillId="0" borderId="0" xfId="47" applyNumberFormat="1" applyFont="1" applyAlignment="1" applyProtection="1">
      <alignment/>
      <protection/>
    </xf>
    <xf numFmtId="44" fontId="21" fillId="0" borderId="0" xfId="47" applyFont="1" applyAlignment="1" applyProtection="1">
      <alignment horizontal="right"/>
      <protection/>
    </xf>
    <xf numFmtId="165" fontId="3" fillId="0" borderId="0" xfId="0" applyNumberFormat="1" applyFont="1" applyAlignment="1" applyProtection="1">
      <alignment/>
      <protection/>
    </xf>
    <xf numFmtId="165" fontId="3" fillId="0" borderId="0" xfId="44" applyNumberFormat="1" applyFont="1" applyFill="1" applyAlignment="1" applyProtection="1">
      <alignment/>
      <protection/>
    </xf>
    <xf numFmtId="166" fontId="3" fillId="0" borderId="0" xfId="0" applyNumberFormat="1" applyFont="1" applyAlignment="1" applyProtection="1">
      <alignment/>
      <protection/>
    </xf>
    <xf numFmtId="166" fontId="3" fillId="0" borderId="0" xfId="47" applyNumberFormat="1" applyFont="1" applyAlignment="1" applyProtection="1">
      <alignment/>
      <protection/>
    </xf>
    <xf numFmtId="5" fontId="0" fillId="0" borderId="0" xfId="0" applyNumberFormat="1" applyFont="1" applyAlignment="1" applyProtection="1">
      <alignment/>
      <protection/>
    </xf>
    <xf numFmtId="165" fontId="14" fillId="0" borderId="0" xfId="0" applyNumberFormat="1" applyFont="1" applyBorder="1" applyAlignment="1" applyProtection="1">
      <alignment/>
      <protection/>
    </xf>
    <xf numFmtId="166" fontId="14" fillId="0" borderId="0" xfId="45" applyNumberFormat="1" applyFont="1" applyBorder="1" applyAlignment="1" applyProtection="1">
      <alignment/>
      <protection/>
    </xf>
    <xf numFmtId="166" fontId="14" fillId="0" borderId="0" xfId="47" applyNumberFormat="1" applyFont="1" applyBorder="1" applyAlignment="1" applyProtection="1">
      <alignment/>
      <protection/>
    </xf>
    <xf numFmtId="44" fontId="14" fillId="0" borderId="0" xfId="0" applyNumberFormat="1" applyFont="1" applyAlignment="1" applyProtection="1">
      <alignment/>
      <protection/>
    </xf>
    <xf numFmtId="164" fontId="32" fillId="0" borderId="0" xfId="63" applyNumberFormat="1" applyFont="1" applyBorder="1" applyAlignment="1" applyProtection="1">
      <alignment/>
      <protection/>
    </xf>
    <xf numFmtId="5" fontId="14" fillId="0" borderId="0" xfId="0" applyNumberFormat="1" applyFont="1" applyBorder="1" applyAlignment="1" applyProtection="1">
      <alignment/>
      <protection/>
    </xf>
    <xf numFmtId="44" fontId="14" fillId="0" borderId="0" xfId="45" applyFont="1" applyBorder="1" applyAlignment="1" applyProtection="1">
      <alignment/>
      <protection/>
    </xf>
    <xf numFmtId="5" fontId="1" fillId="37" borderId="0" xfId="0" applyNumberFormat="1" applyFont="1" applyFill="1" applyBorder="1" applyAlignment="1" applyProtection="1">
      <alignment/>
      <protection/>
    </xf>
    <xf numFmtId="0" fontId="1" fillId="37" borderId="0" xfId="0" applyFont="1" applyFill="1" applyAlignment="1" applyProtection="1">
      <alignment/>
      <protection/>
    </xf>
    <xf numFmtId="7" fontId="1" fillId="37" borderId="0" xfId="0" applyNumberFormat="1" applyFont="1" applyFill="1" applyAlignment="1" applyProtection="1">
      <alignment/>
      <protection/>
    </xf>
    <xf numFmtId="0" fontId="1" fillId="37" borderId="30" xfId="0" applyFont="1" applyFill="1" applyBorder="1" applyAlignment="1" applyProtection="1">
      <alignment/>
      <protection/>
    </xf>
    <xf numFmtId="0" fontId="0" fillId="38" borderId="0" xfId="0" applyFont="1" applyFill="1" applyAlignment="1" applyProtection="1">
      <alignment/>
      <protection/>
    </xf>
    <xf numFmtId="0" fontId="1" fillId="38" borderId="0" xfId="0" applyFont="1" applyFill="1" applyAlignment="1" applyProtection="1">
      <alignment horizontal="center"/>
      <protection/>
    </xf>
    <xf numFmtId="0" fontId="1" fillId="38" borderId="0" xfId="0" applyFont="1" applyFill="1" applyAlignment="1" applyProtection="1" quotePrefix="1">
      <alignment horizontal="center"/>
      <protection/>
    </xf>
    <xf numFmtId="0" fontId="33" fillId="0" borderId="31" xfId="0" applyFont="1" applyBorder="1" applyAlignment="1" applyProtection="1">
      <alignment horizontal="center"/>
      <protection/>
    </xf>
    <xf numFmtId="0" fontId="0" fillId="39" borderId="0" xfId="0" applyFont="1" applyFill="1" applyAlignment="1" applyProtection="1">
      <alignment/>
      <protection/>
    </xf>
    <xf numFmtId="37" fontId="0" fillId="0" borderId="0" xfId="0" applyNumberFormat="1" applyFont="1" applyBorder="1" applyAlignment="1" applyProtection="1">
      <alignment/>
      <protection/>
    </xf>
    <xf numFmtId="37" fontId="1" fillId="0" borderId="39" xfId="0" applyNumberFormat="1" applyFont="1" applyBorder="1" applyAlignment="1" applyProtection="1">
      <alignment horizontal="center"/>
      <protection/>
    </xf>
    <xf numFmtId="37" fontId="1" fillId="0" borderId="39" xfId="0" applyNumberFormat="1" applyFont="1" applyBorder="1" applyAlignment="1" applyProtection="1" quotePrefix="1">
      <alignment horizontal="center"/>
      <protection/>
    </xf>
    <xf numFmtId="37" fontId="1" fillId="0" borderId="44" xfId="0" applyNumberFormat="1" applyFont="1" applyBorder="1" applyAlignment="1" applyProtection="1">
      <alignment horizontal="center"/>
      <protection/>
    </xf>
    <xf numFmtId="37" fontId="0" fillId="0" borderId="0" xfId="0" applyNumberFormat="1" applyFont="1" applyAlignment="1" applyProtection="1">
      <alignment/>
      <protection/>
    </xf>
    <xf numFmtId="166" fontId="0" fillId="40" borderId="0" xfId="47" applyNumberFormat="1" applyFont="1" applyFill="1" applyAlignment="1" applyProtection="1">
      <alignment/>
      <protection/>
    </xf>
    <xf numFmtId="166" fontId="0" fillId="0" borderId="31" xfId="47" applyNumberFormat="1" applyFont="1" applyBorder="1" applyAlignment="1" applyProtection="1">
      <alignment/>
      <protection/>
    </xf>
    <xf numFmtId="166" fontId="0" fillId="0" borderId="0" xfId="47" applyNumberFormat="1" applyFont="1" applyBorder="1" applyAlignment="1" applyProtection="1">
      <alignment/>
      <protection/>
    </xf>
    <xf numFmtId="0" fontId="0" fillId="0" borderId="0" xfId="0" applyFont="1" applyAlignment="1" applyProtection="1">
      <alignment/>
      <protection/>
    </xf>
    <xf numFmtId="9" fontId="1" fillId="0" borderId="0" xfId="64" applyFont="1" applyAlignment="1" applyProtection="1">
      <alignment horizontal="center"/>
      <protection/>
    </xf>
    <xf numFmtId="165" fontId="0" fillId="40" borderId="0" xfId="44" applyNumberFormat="1" applyFont="1" applyFill="1" applyAlignment="1" applyProtection="1">
      <alignment/>
      <protection/>
    </xf>
    <xf numFmtId="166" fontId="0" fillId="40" borderId="0" xfId="45" applyNumberFormat="1" applyFont="1" applyFill="1" applyAlignment="1" applyProtection="1">
      <alignment/>
      <protection/>
    </xf>
    <xf numFmtId="166" fontId="0" fillId="0" borderId="31" xfId="45" applyNumberFormat="1" applyFont="1" applyBorder="1" applyAlignment="1" applyProtection="1">
      <alignment/>
      <protection/>
    </xf>
    <xf numFmtId="166" fontId="0" fillId="0" borderId="39" xfId="47" applyNumberFormat="1" applyFont="1" applyBorder="1" applyAlignment="1" applyProtection="1">
      <alignment/>
      <protection/>
    </xf>
    <xf numFmtId="166" fontId="0" fillId="0" borderId="45" xfId="47" applyNumberFormat="1" applyFont="1" applyBorder="1" applyAlignment="1" applyProtection="1">
      <alignment/>
      <protection/>
    </xf>
    <xf numFmtId="166" fontId="0" fillId="0" borderId="44" xfId="47" applyNumberFormat="1" applyFont="1" applyBorder="1" applyAlignment="1" applyProtection="1">
      <alignment/>
      <protection/>
    </xf>
    <xf numFmtId="166" fontId="1" fillId="0" borderId="0" xfId="47" applyNumberFormat="1" applyFont="1" applyAlignment="1" applyProtection="1">
      <alignment/>
      <protection/>
    </xf>
    <xf numFmtId="166" fontId="1" fillId="0" borderId="31" xfId="47" applyNumberFormat="1" applyFont="1" applyBorder="1" applyAlignment="1" applyProtection="1">
      <alignment/>
      <protection/>
    </xf>
    <xf numFmtId="5" fontId="1" fillId="0" borderId="0" xfId="0" applyNumberFormat="1" applyFont="1" applyAlignment="1" applyProtection="1">
      <alignment/>
      <protection/>
    </xf>
    <xf numFmtId="164" fontId="34" fillId="0" borderId="0" xfId="64" applyNumberFormat="1" applyFont="1" applyBorder="1" applyAlignment="1" applyProtection="1">
      <alignment/>
      <protection/>
    </xf>
    <xf numFmtId="166" fontId="0" fillId="0" borderId="46" xfId="47" applyNumberFormat="1" applyFont="1" applyBorder="1" applyAlignment="1" applyProtection="1">
      <alignment/>
      <protection/>
    </xf>
    <xf numFmtId="165" fontId="0" fillId="0" borderId="39" xfId="44" applyNumberFormat="1" applyFont="1" applyBorder="1" applyAlignment="1" applyProtection="1">
      <alignment/>
      <protection/>
    </xf>
    <xf numFmtId="165" fontId="0" fillId="0" borderId="39" xfId="44" applyNumberFormat="1" applyFont="1" applyFill="1" applyBorder="1" applyAlignment="1" applyProtection="1">
      <alignment/>
      <protection/>
    </xf>
    <xf numFmtId="165" fontId="0" fillId="0" borderId="45" xfId="44" applyNumberFormat="1" applyFont="1" applyFill="1" applyBorder="1" applyAlignment="1" applyProtection="1">
      <alignment/>
      <protection/>
    </xf>
    <xf numFmtId="165" fontId="121" fillId="0" borderId="46" xfId="44" applyNumberFormat="1" applyFont="1" applyBorder="1" applyAlignment="1" applyProtection="1">
      <alignment/>
      <protection/>
    </xf>
    <xf numFmtId="165" fontId="0" fillId="0" borderId="0" xfId="44" applyNumberFormat="1" applyFont="1" applyBorder="1" applyAlignment="1" applyProtection="1">
      <alignment/>
      <protection/>
    </xf>
    <xf numFmtId="165" fontId="0" fillId="0" borderId="32" xfId="44" applyNumberFormat="1" applyFont="1" applyBorder="1" applyAlignment="1" applyProtection="1">
      <alignment/>
      <protection/>
    </xf>
    <xf numFmtId="165" fontId="0" fillId="41" borderId="0" xfId="44" applyNumberFormat="1" applyFont="1" applyFill="1" applyAlignment="1" applyProtection="1">
      <alignment/>
      <protection/>
    </xf>
    <xf numFmtId="165" fontId="0" fillId="41" borderId="31" xfId="44" applyNumberFormat="1" applyFont="1" applyFill="1" applyBorder="1" applyAlignment="1" applyProtection="1">
      <alignment/>
      <protection/>
    </xf>
    <xf numFmtId="44" fontId="1" fillId="0" borderId="47" xfId="47" applyFont="1" applyBorder="1" applyAlignment="1" applyProtection="1">
      <alignment/>
      <protection/>
    </xf>
    <xf numFmtId="0" fontId="1" fillId="0" borderId="39" xfId="0" applyFont="1" applyBorder="1" applyAlignment="1" applyProtection="1">
      <alignment/>
      <protection/>
    </xf>
    <xf numFmtId="44" fontId="0" fillId="0" borderId="31" xfId="47" applyNumberFormat="1" applyFont="1" applyBorder="1" applyAlignment="1" applyProtection="1">
      <alignment/>
      <protection/>
    </xf>
    <xf numFmtId="0" fontId="34" fillId="0" borderId="0" xfId="0" applyFont="1" applyAlignment="1" applyProtection="1" quotePrefix="1">
      <alignment/>
      <protection/>
    </xf>
    <xf numFmtId="44" fontId="0" fillId="0" borderId="46" xfId="47" applyNumberFormat="1" applyFont="1" applyBorder="1" applyAlignment="1" applyProtection="1">
      <alignment/>
      <protection/>
    </xf>
    <xf numFmtId="44" fontId="1" fillId="0" borderId="48" xfId="47" applyFont="1" applyBorder="1" applyAlignment="1" applyProtection="1">
      <alignment/>
      <protection/>
    </xf>
    <xf numFmtId="44" fontId="1" fillId="0" borderId="0" xfId="47" applyFont="1" applyBorder="1" applyAlignment="1" applyProtection="1">
      <alignment/>
      <protection/>
    </xf>
    <xf numFmtId="44" fontId="1" fillId="0" borderId="31" xfId="47" applyFont="1" applyBorder="1" applyAlignment="1" applyProtection="1">
      <alignment/>
      <protection/>
    </xf>
    <xf numFmtId="0" fontId="0" fillId="0" borderId="0" xfId="0" applyFont="1" applyAlignment="1" applyProtection="1">
      <alignment wrapText="1"/>
      <protection/>
    </xf>
    <xf numFmtId="164" fontId="1" fillId="0" borderId="0" xfId="64" applyNumberFormat="1" applyFont="1" applyAlignment="1" applyProtection="1">
      <alignment horizontal="center"/>
      <protection/>
    </xf>
    <xf numFmtId="44" fontId="1" fillId="0" borderId="41" xfId="47" applyFont="1" applyBorder="1" applyAlignment="1" applyProtection="1">
      <alignment horizontal="right"/>
      <protection/>
    </xf>
    <xf numFmtId="44" fontId="1" fillId="0" borderId="49" xfId="47" applyFont="1" applyBorder="1" applyAlignment="1" applyProtection="1">
      <alignment/>
      <protection/>
    </xf>
    <xf numFmtId="44" fontId="1" fillId="0" borderId="48" xfId="47" applyNumberFormat="1" applyFont="1" applyBorder="1" applyAlignment="1" applyProtection="1">
      <alignment/>
      <protection/>
    </xf>
    <xf numFmtId="44" fontId="0" fillId="0" borderId="0" xfId="45" applyFont="1" applyAlignment="1" applyProtection="1">
      <alignment/>
      <protection/>
    </xf>
    <xf numFmtId="44" fontId="1" fillId="0" borderId="0" xfId="47" applyFont="1" applyBorder="1" applyAlignment="1" applyProtection="1">
      <alignment horizontal="right"/>
      <protection/>
    </xf>
    <xf numFmtId="44" fontId="1" fillId="0" borderId="50" xfId="47" applyFont="1" applyBorder="1" applyAlignment="1" applyProtection="1">
      <alignment/>
      <protection/>
    </xf>
    <xf numFmtId="44" fontId="1" fillId="0" borderId="49" xfId="0" applyNumberFormat="1" applyFont="1" applyBorder="1" applyAlignment="1" applyProtection="1">
      <alignment/>
      <protection/>
    </xf>
    <xf numFmtId="164" fontId="0" fillId="0" borderId="0" xfId="63" applyNumberFormat="1" applyFont="1" applyAlignment="1" applyProtection="1">
      <alignment/>
      <protection/>
    </xf>
    <xf numFmtId="44" fontId="1" fillId="0" borderId="0" xfId="0" applyNumberFormat="1" applyFont="1" applyBorder="1" applyAlignment="1" applyProtection="1">
      <alignment/>
      <protection/>
    </xf>
    <xf numFmtId="7" fontId="1" fillId="0" borderId="0" xfId="0" applyNumberFormat="1" applyFont="1" applyBorder="1" applyAlignment="1" applyProtection="1">
      <alignment/>
      <protection/>
    </xf>
    <xf numFmtId="7" fontId="1" fillId="0" borderId="0" xfId="0" applyNumberFormat="1" applyFont="1" applyBorder="1" applyAlignment="1" applyProtection="1">
      <alignment horizontal="right"/>
      <protection/>
    </xf>
    <xf numFmtId="43" fontId="1" fillId="0" borderId="41" xfId="44" applyFont="1" applyBorder="1" applyAlignment="1" applyProtection="1">
      <alignment/>
      <protection/>
    </xf>
    <xf numFmtId="43" fontId="1" fillId="0" borderId="49" xfId="44" applyFont="1" applyBorder="1" applyAlignment="1" applyProtection="1">
      <alignment/>
      <protection/>
    </xf>
    <xf numFmtId="43" fontId="1" fillId="0" borderId="49" xfId="0" applyNumberFormat="1" applyFont="1" applyBorder="1" applyAlignment="1" applyProtection="1">
      <alignment horizontal="right"/>
      <protection/>
    </xf>
    <xf numFmtId="43" fontId="1" fillId="0" borderId="0" xfId="0" applyNumberFormat="1" applyFont="1" applyBorder="1" applyAlignment="1" applyProtection="1">
      <alignment/>
      <protection/>
    </xf>
    <xf numFmtId="164" fontId="35" fillId="0" borderId="0" xfId="0" applyNumberFormat="1" applyFont="1" applyBorder="1" applyAlignment="1" applyProtection="1">
      <alignment/>
      <protection/>
    </xf>
    <xf numFmtId="165" fontId="1" fillId="0" borderId="41" xfId="44" applyNumberFormat="1" applyFont="1" applyBorder="1" applyAlignment="1" applyProtection="1">
      <alignment/>
      <protection/>
    </xf>
    <xf numFmtId="165" fontId="1" fillId="0" borderId="49" xfId="44" applyNumberFormat="1" applyFont="1" applyBorder="1" applyAlignment="1" applyProtection="1">
      <alignment/>
      <protection/>
    </xf>
    <xf numFmtId="165" fontId="1" fillId="0" borderId="49" xfId="0" applyNumberFormat="1" applyFont="1" applyBorder="1" applyAlignment="1" applyProtection="1">
      <alignment horizontal="right"/>
      <protection/>
    </xf>
    <xf numFmtId="0" fontId="36" fillId="0" borderId="0" xfId="0" applyFont="1" applyAlignment="1" applyProtection="1">
      <alignment/>
      <protection/>
    </xf>
    <xf numFmtId="0" fontId="37" fillId="0" borderId="0" xfId="0" applyFont="1" applyAlignment="1" applyProtection="1">
      <alignment/>
      <protection/>
    </xf>
    <xf numFmtId="7" fontId="5" fillId="0" borderId="0" xfId="0" applyNumberFormat="1" applyFont="1" applyBorder="1" applyAlignment="1" applyProtection="1">
      <alignment/>
      <protection/>
    </xf>
    <xf numFmtId="43" fontId="5" fillId="0" borderId="0" xfId="44" applyFont="1" applyBorder="1" applyAlignment="1" applyProtection="1">
      <alignment/>
      <protection/>
    </xf>
    <xf numFmtId="43" fontId="5" fillId="0" borderId="0" xfId="44" applyNumberFormat="1" applyFont="1" applyFill="1" applyBorder="1" applyAlignment="1" applyProtection="1">
      <alignment/>
      <protection/>
    </xf>
    <xf numFmtId="43" fontId="0" fillId="0" borderId="0" xfId="63" applyNumberFormat="1" applyFont="1" applyAlignment="1" applyProtection="1">
      <alignment/>
      <protection/>
    </xf>
    <xf numFmtId="43" fontId="5" fillId="0" borderId="0" xfId="0" applyNumberFormat="1" applyFont="1" applyBorder="1" applyAlignment="1" applyProtection="1">
      <alignment/>
      <protection/>
    </xf>
    <xf numFmtId="44" fontId="5" fillId="0" borderId="0" xfId="47" applyFont="1" applyBorder="1" applyAlignment="1" applyProtection="1">
      <alignment/>
      <protection/>
    </xf>
    <xf numFmtId="44" fontId="14" fillId="0" borderId="0" xfId="47" applyFont="1" applyBorder="1" applyAlignment="1" applyProtection="1">
      <alignment/>
      <protection/>
    </xf>
    <xf numFmtId="164" fontId="1" fillId="0" borderId="0" xfId="63" applyNumberFormat="1" applyFont="1" applyAlignment="1" applyProtection="1">
      <alignment/>
      <protection/>
    </xf>
    <xf numFmtId="164" fontId="1" fillId="0" borderId="0" xfId="0" applyNumberFormat="1" applyFont="1" applyAlignment="1" applyProtection="1">
      <alignment/>
      <protection/>
    </xf>
    <xf numFmtId="0" fontId="1" fillId="0" borderId="21" xfId="0" applyFont="1" applyBorder="1" applyAlignment="1" applyProtection="1">
      <alignment horizontal="center"/>
      <protection/>
    </xf>
    <xf numFmtId="0" fontId="1" fillId="0" borderId="0" xfId="0" applyFont="1" applyBorder="1" applyAlignment="1" applyProtection="1">
      <alignment horizontal="right"/>
      <protection/>
    </xf>
    <xf numFmtId="0" fontId="1" fillId="0" borderId="22" xfId="0" applyFont="1" applyBorder="1" applyAlignment="1" applyProtection="1">
      <alignment horizontal="left"/>
      <protection/>
    </xf>
    <xf numFmtId="0" fontId="0" fillId="0" borderId="24" xfId="0" applyFont="1" applyBorder="1" applyAlignment="1" applyProtection="1">
      <alignment/>
      <protection/>
    </xf>
    <xf numFmtId="0" fontId="3" fillId="0" borderId="0" xfId="0" applyFont="1" applyAlignment="1" applyProtection="1">
      <alignment/>
      <protection/>
    </xf>
    <xf numFmtId="44" fontId="1" fillId="0" borderId="0" xfId="0" applyNumberFormat="1" applyFont="1" applyAlignment="1" applyProtection="1">
      <alignment/>
      <protection/>
    </xf>
    <xf numFmtId="166" fontId="0" fillId="0" borderId="51" xfId="47" applyNumberFormat="1" applyFont="1" applyBorder="1" applyAlignment="1" applyProtection="1">
      <alignment/>
      <protection/>
    </xf>
    <xf numFmtId="166" fontId="1" fillId="0" borderId="0" xfId="47" applyNumberFormat="1" applyFont="1" applyBorder="1" applyAlignment="1" applyProtection="1">
      <alignment/>
      <protection/>
    </xf>
    <xf numFmtId="165" fontId="0" fillId="0" borderId="51" xfId="44" applyNumberFormat="1" applyFont="1" applyFill="1" applyBorder="1" applyAlignment="1" applyProtection="1">
      <alignment/>
      <protection/>
    </xf>
    <xf numFmtId="44" fontId="0" fillId="0" borderId="46" xfId="47" applyFont="1" applyBorder="1" applyAlignment="1" applyProtection="1">
      <alignment/>
      <protection/>
    </xf>
    <xf numFmtId="9" fontId="0" fillId="0" borderId="0" xfId="64" applyFont="1" applyAlignment="1" applyProtection="1">
      <alignment/>
      <protection/>
    </xf>
    <xf numFmtId="166" fontId="0" fillId="0" borderId="0" xfId="45" applyNumberFormat="1" applyFont="1" applyBorder="1" applyAlignment="1" applyProtection="1">
      <alignment/>
      <protection/>
    </xf>
    <xf numFmtId="44" fontId="0" fillId="0" borderId="31" xfId="47" applyFont="1" applyBorder="1" applyAlignment="1" applyProtection="1">
      <alignment/>
      <protection/>
    </xf>
    <xf numFmtId="44" fontId="1" fillId="0" borderId="52" xfId="47" applyFont="1" applyBorder="1" applyAlignment="1" applyProtection="1">
      <alignment/>
      <protection/>
    </xf>
    <xf numFmtId="10" fontId="35" fillId="0" borderId="0" xfId="0" applyNumberFormat="1" applyFont="1" applyBorder="1" applyAlignment="1" applyProtection="1">
      <alignment/>
      <protection/>
    </xf>
    <xf numFmtId="165" fontId="0" fillId="0" borderId="31" xfId="44" applyNumberFormat="1" applyFont="1" applyBorder="1" applyAlignment="1" applyProtection="1">
      <alignment/>
      <protection/>
    </xf>
    <xf numFmtId="0" fontId="0" fillId="0" borderId="19" xfId="0" applyFont="1" applyBorder="1" applyAlignment="1" applyProtection="1">
      <alignment/>
      <protection/>
    </xf>
    <xf numFmtId="0" fontId="0" fillId="0" borderId="20" xfId="0" applyFont="1" applyBorder="1" applyAlignment="1" applyProtection="1">
      <alignment/>
      <protection/>
    </xf>
    <xf numFmtId="165" fontId="3" fillId="0" borderId="0" xfId="44" applyNumberFormat="1" applyFont="1" applyAlignment="1" applyProtection="1">
      <alignment/>
      <protection/>
    </xf>
    <xf numFmtId="0" fontId="7" fillId="0" borderId="0" xfId="0" applyFont="1" applyBorder="1" applyAlignment="1" applyProtection="1">
      <alignment horizontal="center"/>
      <protection/>
    </xf>
    <xf numFmtId="164" fontId="1" fillId="0" borderId="0" xfId="63" applyNumberFormat="1" applyFont="1" applyAlignment="1" applyProtection="1">
      <alignment horizontal="center"/>
      <protection/>
    </xf>
    <xf numFmtId="0" fontId="38" fillId="42" borderId="19" xfId="0" applyFont="1" applyFill="1" applyBorder="1" applyAlignment="1">
      <alignment/>
    </xf>
    <xf numFmtId="0" fontId="25" fillId="42" borderId="20" xfId="0" applyFont="1" applyFill="1" applyBorder="1" applyAlignment="1">
      <alignment/>
    </xf>
    <xf numFmtId="0" fontId="142" fillId="42" borderId="20" xfId="0" applyFont="1" applyFill="1" applyBorder="1" applyAlignment="1">
      <alignment/>
    </xf>
    <xf numFmtId="0" fontId="142" fillId="42" borderId="21" xfId="0" applyFont="1" applyFill="1" applyBorder="1" applyAlignment="1">
      <alignment/>
    </xf>
    <xf numFmtId="0" fontId="30" fillId="42" borderId="22" xfId="0" applyFont="1" applyFill="1" applyBorder="1" applyAlignment="1">
      <alignment/>
    </xf>
    <xf numFmtId="0" fontId="30" fillId="42" borderId="0" xfId="0" applyFont="1" applyFill="1" applyBorder="1" applyAlignment="1">
      <alignment/>
    </xf>
    <xf numFmtId="0" fontId="39" fillId="42" borderId="0" xfId="0" applyFont="1" applyFill="1" applyBorder="1" applyAlignment="1">
      <alignment/>
    </xf>
    <xf numFmtId="0" fontId="142" fillId="42" borderId="0" xfId="0" applyFont="1" applyFill="1" applyBorder="1" applyAlignment="1">
      <alignment/>
    </xf>
    <xf numFmtId="0" fontId="142" fillId="42" borderId="23" xfId="0" applyFont="1" applyFill="1" applyBorder="1" applyAlignment="1">
      <alignment/>
    </xf>
    <xf numFmtId="15" fontId="30" fillId="42" borderId="22" xfId="0" applyNumberFormat="1" applyFont="1" applyFill="1" applyBorder="1" applyAlignment="1">
      <alignment/>
    </xf>
    <xf numFmtId="15" fontId="30" fillId="42" borderId="0" xfId="0" applyNumberFormat="1" applyFont="1" applyFill="1" applyBorder="1" applyAlignment="1">
      <alignment/>
    </xf>
    <xf numFmtId="0" fontId="142" fillId="42" borderId="22" xfId="0" applyFont="1" applyFill="1" applyBorder="1" applyAlignment="1">
      <alignment/>
    </xf>
    <xf numFmtId="0" fontId="30" fillId="42" borderId="0" xfId="0" applyFont="1" applyFill="1" applyBorder="1" applyAlignment="1">
      <alignment horizontal="center"/>
    </xf>
    <xf numFmtId="0" fontId="41" fillId="42" borderId="0" xfId="0" applyFont="1" applyFill="1" applyBorder="1" applyAlignment="1">
      <alignment horizontal="center"/>
    </xf>
    <xf numFmtId="0" fontId="30" fillId="42" borderId="53" xfId="0" applyFont="1" applyFill="1" applyBorder="1" applyAlignment="1">
      <alignment/>
    </xf>
    <xf numFmtId="0" fontId="142" fillId="42" borderId="0" xfId="0" applyFont="1" applyFill="1" applyBorder="1" applyAlignment="1">
      <alignment horizontal="center"/>
    </xf>
    <xf numFmtId="41" fontId="142" fillId="42" borderId="0" xfId="0" applyNumberFormat="1" applyFont="1" applyFill="1" applyBorder="1" applyAlignment="1">
      <alignment/>
    </xf>
    <xf numFmtId="44" fontId="42" fillId="42" borderId="0" xfId="47" applyFont="1" applyFill="1" applyBorder="1" applyAlignment="1">
      <alignment/>
    </xf>
    <xf numFmtId="166" fontId="142" fillId="42" borderId="0" xfId="47" applyNumberFormat="1" applyFont="1" applyFill="1" applyBorder="1" applyAlignment="1">
      <alignment/>
    </xf>
    <xf numFmtId="0" fontId="25" fillId="42" borderId="22" xfId="0" applyFont="1" applyFill="1" applyBorder="1" applyAlignment="1">
      <alignment/>
    </xf>
    <xf numFmtId="0" fontId="25" fillId="42" borderId="0" xfId="0" applyFont="1" applyFill="1" applyBorder="1" applyAlignment="1">
      <alignment/>
    </xf>
    <xf numFmtId="41" fontId="43" fillId="42" borderId="0" xfId="0" applyNumberFormat="1" applyFont="1" applyFill="1" applyBorder="1" applyAlignment="1">
      <alignment/>
    </xf>
    <xf numFmtId="166" fontId="43" fillId="42" borderId="0" xfId="47" applyNumberFormat="1" applyFont="1" applyFill="1" applyBorder="1" applyAlignment="1">
      <alignment/>
    </xf>
    <xf numFmtId="44" fontId="142" fillId="42" borderId="0" xfId="47" applyFont="1" applyFill="1" applyBorder="1" applyAlignment="1">
      <alignment/>
    </xf>
    <xf numFmtId="166" fontId="143" fillId="42" borderId="0" xfId="47" applyNumberFormat="1" applyFont="1" applyFill="1" applyBorder="1" applyAlignment="1">
      <alignment/>
    </xf>
    <xf numFmtId="44" fontId="25" fillId="42" borderId="0" xfId="47" applyFont="1" applyFill="1" applyBorder="1" applyAlignment="1">
      <alignment/>
    </xf>
    <xf numFmtId="44" fontId="25" fillId="42" borderId="23" xfId="47" applyFont="1" applyFill="1" applyBorder="1" applyAlignment="1">
      <alignment/>
    </xf>
    <xf numFmtId="0" fontId="41" fillId="42" borderId="22" xfId="0" applyFont="1" applyFill="1" applyBorder="1" applyAlignment="1">
      <alignment/>
    </xf>
    <xf numFmtId="44" fontId="43" fillId="42" borderId="23" xfId="47" applyNumberFormat="1" applyFont="1" applyFill="1" applyBorder="1" applyAlignment="1">
      <alignment/>
    </xf>
    <xf numFmtId="9" fontId="0" fillId="0" borderId="0" xfId="64" applyFont="1" applyAlignment="1">
      <alignment/>
    </xf>
    <xf numFmtId="44" fontId="30" fillId="42" borderId="23" xfId="47" applyNumberFormat="1" applyFont="1" applyFill="1" applyBorder="1" applyAlignment="1">
      <alignment/>
    </xf>
    <xf numFmtId="9" fontId="144" fillId="42" borderId="0" xfId="64" applyFont="1" applyFill="1" applyBorder="1" applyAlignment="1">
      <alignment/>
    </xf>
    <xf numFmtId="44" fontId="44" fillId="42" borderId="23" xfId="47" applyNumberFormat="1" applyFont="1" applyFill="1" applyBorder="1" applyAlignment="1">
      <alignment/>
    </xf>
    <xf numFmtId="41" fontId="0" fillId="0" borderId="0" xfId="0" applyNumberFormat="1" applyAlignment="1">
      <alignment/>
    </xf>
    <xf numFmtId="44" fontId="45" fillId="42" borderId="23" xfId="47" applyNumberFormat="1" applyFont="1" applyFill="1" applyBorder="1" applyAlignment="1">
      <alignment/>
    </xf>
    <xf numFmtId="0" fontId="0" fillId="42" borderId="24" xfId="0" applyFill="1" applyBorder="1" applyAlignment="1">
      <alignment/>
    </xf>
    <xf numFmtId="0" fontId="0" fillId="42" borderId="25" xfId="0" applyFill="1" applyBorder="1" applyAlignment="1">
      <alignment/>
    </xf>
    <xf numFmtId="0" fontId="0" fillId="42" borderId="26" xfId="0" applyFill="1" applyBorder="1" applyAlignment="1">
      <alignment/>
    </xf>
    <xf numFmtId="166" fontId="25" fillId="42" borderId="0" xfId="47" applyNumberFormat="1" applyFont="1" applyFill="1" applyBorder="1" applyAlignment="1">
      <alignment/>
    </xf>
    <xf numFmtId="41" fontId="143" fillId="42" borderId="0" xfId="0" applyNumberFormat="1" applyFont="1" applyFill="1" applyBorder="1" applyAlignment="1">
      <alignment/>
    </xf>
    <xf numFmtId="164" fontId="144" fillId="42" borderId="0" xfId="64" applyNumberFormat="1" applyFont="1" applyFill="1" applyBorder="1" applyAlignment="1">
      <alignment/>
    </xf>
    <xf numFmtId="0" fontId="7" fillId="0" borderId="0" xfId="0" applyFont="1" applyBorder="1" applyAlignment="1" applyProtection="1">
      <alignment/>
      <protection/>
    </xf>
    <xf numFmtId="44" fontId="0" fillId="0" borderId="0" xfId="0" applyNumberFormat="1" applyFont="1" applyBorder="1" applyAlignment="1" applyProtection="1">
      <alignment/>
      <protection/>
    </xf>
    <xf numFmtId="7" fontId="0" fillId="0" borderId="0" xfId="0" applyNumberFormat="1" applyFont="1" applyBorder="1" applyAlignment="1" applyProtection="1">
      <alignment/>
      <protection/>
    </xf>
    <xf numFmtId="0" fontId="127" fillId="0" borderId="0" xfId="0" applyFont="1" applyAlignment="1">
      <alignment horizontal="center"/>
    </xf>
    <xf numFmtId="44" fontId="30" fillId="42" borderId="23" xfId="45" applyFont="1" applyFill="1" applyBorder="1" applyAlignment="1">
      <alignment/>
    </xf>
    <xf numFmtId="166" fontId="122" fillId="42" borderId="0" xfId="45" applyNumberFormat="1" applyFont="1" applyFill="1" applyBorder="1" applyAlignment="1">
      <alignment/>
    </xf>
    <xf numFmtId="44" fontId="0" fillId="0" borderId="0" xfId="45" applyFont="1" applyAlignment="1">
      <alignment/>
    </xf>
    <xf numFmtId="0" fontId="7" fillId="0" borderId="0" xfId="0" applyFont="1" applyAlignment="1">
      <alignment/>
    </xf>
    <xf numFmtId="44" fontId="45" fillId="0" borderId="0" xfId="45" applyFont="1" applyAlignment="1">
      <alignment/>
    </xf>
    <xf numFmtId="44" fontId="45" fillId="0" borderId="0" xfId="0" applyNumberFormat="1" applyFont="1" applyAlignment="1">
      <alignment/>
    </xf>
    <xf numFmtId="172" fontId="22" fillId="0" borderId="0" xfId="0" applyNumberFormat="1" applyFont="1" applyAlignment="1">
      <alignment horizontal="center"/>
    </xf>
    <xf numFmtId="172" fontId="23" fillId="34" borderId="54" xfId="0" applyNumberFormat="1" applyFont="1" applyFill="1" applyBorder="1" applyAlignment="1">
      <alignment horizontal="center"/>
    </xf>
    <xf numFmtId="172" fontId="23" fillId="34" borderId="55" xfId="0" applyNumberFormat="1" applyFont="1" applyFill="1" applyBorder="1" applyAlignment="1">
      <alignment horizontal="center"/>
    </xf>
    <xf numFmtId="172" fontId="23" fillId="34" borderId="56" xfId="0" applyNumberFormat="1" applyFont="1" applyFill="1" applyBorder="1" applyAlignment="1">
      <alignment horizontal="center"/>
    </xf>
    <xf numFmtId="172" fontId="23" fillId="34" borderId="24" xfId="0" applyNumberFormat="1" applyFont="1" applyFill="1" applyBorder="1" applyAlignment="1">
      <alignment horizontal="center"/>
    </xf>
    <xf numFmtId="172" fontId="23" fillId="34" borderId="25" xfId="0" applyNumberFormat="1" applyFont="1" applyFill="1" applyBorder="1" applyAlignment="1">
      <alignment horizontal="center"/>
    </xf>
    <xf numFmtId="172" fontId="23" fillId="34" borderId="26" xfId="0" applyNumberFormat="1" applyFont="1" applyFill="1" applyBorder="1" applyAlignment="1">
      <alignment horizontal="center"/>
    </xf>
    <xf numFmtId="172" fontId="30" fillId="0" borderId="0" xfId="0" applyNumberFormat="1" applyFont="1" applyAlignment="1">
      <alignment vertical="top" wrapText="1"/>
    </xf>
    <xf numFmtId="0" fontId="110" fillId="0" borderId="0" xfId="0" applyFont="1" applyAlignment="1">
      <alignment vertical="top" wrapText="1"/>
    </xf>
    <xf numFmtId="0" fontId="40" fillId="42" borderId="22" xfId="0" applyFont="1" applyFill="1" applyBorder="1" applyAlignment="1">
      <alignment horizontal="center"/>
    </xf>
    <xf numFmtId="0" fontId="40" fillId="42" borderId="0" xfId="0" applyFont="1" applyFill="1" applyBorder="1" applyAlignment="1">
      <alignment horizontal="center"/>
    </xf>
    <xf numFmtId="0" fontId="40" fillId="42" borderId="23" xfId="0" applyFont="1" applyFill="1" applyBorder="1" applyAlignment="1">
      <alignment horizontal="center"/>
    </xf>
    <xf numFmtId="0" fontId="145" fillId="0" borderId="0" xfId="0" applyFont="1" applyAlignment="1">
      <alignment horizontal="center"/>
    </xf>
    <xf numFmtId="0" fontId="7" fillId="0" borderId="0" xfId="0" applyFont="1" applyAlignment="1">
      <alignment horizontal="center"/>
    </xf>
    <xf numFmtId="0" fontId="127" fillId="0" borderId="0" xfId="0" applyFont="1" applyAlignment="1">
      <alignment horizontal="center"/>
    </xf>
    <xf numFmtId="0" fontId="1" fillId="33" borderId="28" xfId="0" applyFont="1" applyFill="1" applyBorder="1" applyAlignment="1">
      <alignment horizontal="center"/>
    </xf>
    <xf numFmtId="0" fontId="1" fillId="33" borderId="57" xfId="0" applyFont="1" applyFill="1" applyBorder="1" applyAlignment="1">
      <alignment horizontal="center"/>
    </xf>
    <xf numFmtId="0" fontId="1" fillId="33" borderId="58" xfId="0" applyFont="1" applyFill="1" applyBorder="1" applyAlignment="1">
      <alignment horizontal="center"/>
    </xf>
    <xf numFmtId="0" fontId="2" fillId="0" borderId="0" xfId="0" applyFont="1" applyFill="1" applyAlignment="1">
      <alignment horizontal="center"/>
    </xf>
    <xf numFmtId="0" fontId="2" fillId="0" borderId="0" xfId="0" applyFont="1" applyBorder="1" applyAlignment="1" applyProtection="1">
      <alignment horizontal="center"/>
      <protection/>
    </xf>
    <xf numFmtId="0" fontId="7" fillId="0" borderId="0" xfId="0" applyFont="1" applyBorder="1" applyAlignment="1" applyProtection="1">
      <alignment horizontal="center"/>
      <protection/>
    </xf>
    <xf numFmtId="0" fontId="1" fillId="0" borderId="45" xfId="0" applyFont="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5 2" xfId="48"/>
    <cellStyle name="Currency 6"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externalLink" Target="externalLinks/externalLink10.xml" /><Relationship Id="rId24" Type="http://schemas.openxmlformats.org/officeDocument/2006/relationships/externalLink" Target="externalLinks/externalLink11.xml" /><Relationship Id="rId25" Type="http://schemas.openxmlformats.org/officeDocument/2006/relationships/externalLink" Target="externalLinks/externalLink12.xml" /><Relationship Id="rId26" Type="http://schemas.openxmlformats.org/officeDocument/2006/relationships/externalLink" Target="externalLinks/externalLink13.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weinst\OneDrive%20-%20Waste%20Management\Documents\WUTC%20Rate%20Cases\WUTC%20Commodity%20Rebates%20-%20Puget%20Sound\2017%20Commodity%20Rebates\Commodity%20Credit%20Workpapers-Final_eff.%20010118.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wmgmt-my.sharepoint.com/personal/mweinst_wm_com/Documents/Documents/WUTC%20Rate%20Cases/WUTC%20Commodity%20Rebates%20-%20Puget%20Sound/2018%20Commodity%20Rebates/Snohomish%202018%20City%20Tonnage%20Report%20-%20June.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mweinst\OneDrive%20-%20Waste%20Management\Documents\WUTC%20Rate%20Cases\WUTC%20Commodity%20Rebates%20-%20Puget%20Sound\2018%20Commodity%20Rebates\Snohomish%202018%20City%20Tonnage%20Report%20-%20July.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Users\mweinst\OneDrive%20-%20Waste%20Management\Documents\WUTC%20Rate%20Cases\WUTC%20Commodity%20Rebates%20-%20Puget%20Sound\2018%20Commodity%20Rebates\Snohomish%202018%20City%20Tonnage%20Report%20-%20August.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Users\mweinst\OneDrive%20-%20Waste%20Management\Documents\WUTC%20Rate%20Cases\WUTC%20Commodity%20Rebates%20-%20Puget%20Sound\2018%20Commodity%20Rebates\SC%20and%20KC%202018%20Tonnage%20Report%20-%20Sep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weinst\OneDrive%20-%20Waste%20Management\Documents\WUTC%20Rate%20Cases\WUTC%20Commodity%20Rebates%20-%20Puget%20Sound\2018%20Commodity%20Rebates\Snohomish%202017%20City%20Tonnage%20Report%20-%20Octob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weinst\OneDrive%20-%20Waste%20Management\Documents\WUTC%20Rate%20Cases\WUTC%20Commodity%20Rebates%20-%20Puget%20Sound\2018%20Commodity%20Rebates\Snohomish%202017%20City%20Tonnage%20Report%20-%20November.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mweinst\OneDrive%20-%20Waste%20Management\Documents\WUTC%20Rate%20Cases\WUTC%20Commodity%20Rebates%20-%20Puget%20Sound\2018%20Commodity%20Rebates\Snohomish%202017%20City%20Tonnage%20Report%20-%20December.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mweinst\OneDrive%20-%20Waste%20Management\Documents\WUTC%20Rate%20Cases\WUTC%20Commodity%20Rebates%20-%20Puget%20Sound\2018%20Commodity%20Rebates\Snohomish%202018%20City%20Tonnage%20Report%20-%20January.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mweinst\OneDrive%20-%20Waste%20Management\Documents\WUTC%20Rate%20Cases\WUTC%20Commodity%20Rebates%20-%20Puget%20Sound\2018%20Commodity%20Rebates\Snohomish%202018%20City%20Tonnage%20Report%20-%20February.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mweinst\OneDrive%20-%20Waste%20Management\Documents\WUTC%20Rate%20Cases\WUTC%20Commodity%20Rebates%20-%20Puget%20Sound\2018%20Commodity%20Rebates\Snohomish%202018%20City%20Tonnage%20Report%20-%20March.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mweinst\OneDrive%20-%20Waste%20Management\Documents\WUTC%20Rate%20Cases\WUTC%20Commodity%20Rebates%20-%20Puget%20Sound\2018%20Commodity%20Rebates\Snohomish%202018%20City%20Tonnage%20Report%20-%20April.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mweinst\OneDrive%20-%20Waste%20Management\Documents\WUTC%20Rate%20Cases\WUTC%20Commodity%20Rebates%20-%20Puget%20Sound\2018%20Commodity%20Rebates\Snohomish%202018%20City%20Tonnage%20Report%20-%20Ma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e Sheet Summary"/>
      <sheetName val="NS(SC) Deferred Acct."/>
      <sheetName val="NS(KC) Deferred Acct."/>
      <sheetName val="Sea_SS Deferred Acct."/>
      <sheetName val="Customer Counts"/>
      <sheetName val="2016-2017 Recy. Tons &amp; Revenue"/>
      <sheetName val="Composition"/>
      <sheetName val="CRC Prices &amp; Revenue"/>
      <sheetName val="Budget vs. Actual"/>
      <sheetName val="KC 2016-2017 Budget"/>
      <sheetName val="SC 2016-2017 Budget"/>
      <sheetName val="KC 2018-2019 Budget"/>
      <sheetName val="SC 2018-2019 Budget"/>
      <sheetName val="CRC Upgrades"/>
      <sheetName val="KC Recycling Incentive Analysis"/>
      <sheetName val="SC Recycling Incentive Analysis"/>
    </sheetNames>
    <sheetDataSet>
      <sheetData sheetId="2">
        <row r="36">
          <cell r="P36">
            <v>671010.9438888064</v>
          </cell>
        </row>
        <row r="65">
          <cell r="Z65">
            <v>1.62</v>
          </cell>
        </row>
      </sheetData>
      <sheetData sheetId="3">
        <row r="36">
          <cell r="P36">
            <v>477597.24893143907</v>
          </cell>
        </row>
        <row r="65">
          <cell r="Z65">
            <v>1.42</v>
          </cell>
        </row>
      </sheetData>
      <sheetData sheetId="4">
        <row r="32">
          <cell r="F32">
            <v>20642.666666666668</v>
          </cell>
        </row>
      </sheetData>
      <sheetData sheetId="5">
        <row r="60">
          <cell r="D60">
            <v>69303.51000000001</v>
          </cell>
          <cell r="O60">
            <v>2254291</v>
          </cell>
        </row>
      </sheetData>
      <sheetData sheetId="8">
        <row r="9">
          <cell r="G9">
            <v>37531.916666666664</v>
          </cell>
        </row>
        <row r="13">
          <cell r="G13">
            <v>28835.890000000003</v>
          </cell>
        </row>
        <row r="17">
          <cell r="G17">
            <v>2122179.807110357</v>
          </cell>
          <cell r="H17">
            <v>5106063.886518807</v>
          </cell>
        </row>
        <row r="41">
          <cell r="G41">
            <v>47000</v>
          </cell>
          <cell r="H41">
            <v>97000</v>
          </cell>
        </row>
        <row r="45">
          <cell r="G45">
            <v>-24836.40837741969</v>
          </cell>
        </row>
      </sheetData>
      <sheetData sheetId="11">
        <row r="19">
          <cell r="C19">
            <v>0.5</v>
          </cell>
        </row>
      </sheetData>
      <sheetData sheetId="12">
        <row r="18">
          <cell r="C18">
            <v>0.425</v>
          </cell>
        </row>
      </sheetData>
      <sheetData sheetId="13">
        <row r="15">
          <cell r="C15">
            <v>70000</v>
          </cell>
          <cell r="D15">
            <v>168000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YTD 2018"/>
      <sheetName val="January"/>
      <sheetName val="February"/>
      <sheetName val="March"/>
      <sheetName val="April"/>
      <sheetName val="May"/>
      <sheetName val="June"/>
      <sheetName val="July"/>
      <sheetName val="August"/>
      <sheetName val="September"/>
      <sheetName val="October"/>
      <sheetName val="November"/>
      <sheetName val="December"/>
    </sheetNames>
    <sheetDataSet>
      <sheetData sheetId="6">
        <row r="7">
          <cell r="V7">
            <v>2234.41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YTD 2018"/>
      <sheetName val="January"/>
      <sheetName val="February"/>
      <sheetName val="March"/>
      <sheetName val="April"/>
      <sheetName val="May"/>
      <sheetName val="June"/>
      <sheetName val="July"/>
      <sheetName val="August"/>
      <sheetName val="September"/>
      <sheetName val="October"/>
      <sheetName val="November"/>
      <sheetName val="December"/>
    </sheetNames>
    <sheetDataSet>
      <sheetData sheetId="7">
        <row r="7">
          <cell r="V7">
            <v>2188.8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YTD 2018"/>
      <sheetName val="January"/>
      <sheetName val="February"/>
      <sheetName val="March"/>
      <sheetName val="April"/>
      <sheetName val="May"/>
      <sheetName val="June"/>
      <sheetName val="July"/>
      <sheetName val="August"/>
      <sheetName val="September"/>
      <sheetName val="October"/>
      <sheetName val="November"/>
      <sheetName val="December"/>
    </sheetNames>
    <sheetDataSet>
      <sheetData sheetId="8">
        <row r="7">
          <cell r="V7">
            <v>2323.09</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mparison"/>
      <sheetName val="Snohomish County - Sept"/>
      <sheetName val="King County - Sept"/>
    </sheetNames>
    <sheetDataSet>
      <sheetData sheetId="1">
        <row r="4">
          <cell r="T4">
            <v>2020.6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TD 2017"/>
      <sheetName val="January"/>
      <sheetName val="February"/>
      <sheetName val="March"/>
      <sheetName val="April"/>
      <sheetName val="May"/>
      <sheetName val="June"/>
      <sheetName val="July"/>
      <sheetName val="August"/>
      <sheetName val="September"/>
      <sheetName val="October"/>
      <sheetName val="November"/>
      <sheetName val="December"/>
    </sheetNames>
    <sheetDataSet>
      <sheetData sheetId="10">
        <row r="7">
          <cell r="V7">
            <v>2515.7171247620136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YTD 2017"/>
      <sheetName val="January"/>
      <sheetName val="February"/>
      <sheetName val="March"/>
      <sheetName val="April"/>
      <sheetName val="May"/>
      <sheetName val="June"/>
      <sheetName val="July"/>
      <sheetName val="August"/>
      <sheetName val="September"/>
      <sheetName val="October"/>
      <sheetName val="November"/>
      <sheetName val="December"/>
    </sheetNames>
    <sheetDataSet>
      <sheetData sheetId="11">
        <row r="7">
          <cell r="V7">
            <v>2704.885891552549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YTD 2017"/>
      <sheetName val="January"/>
      <sheetName val="February"/>
      <sheetName val="March"/>
      <sheetName val="April"/>
      <sheetName val="May"/>
      <sheetName val="June"/>
      <sheetName val="July"/>
      <sheetName val="August"/>
      <sheetName val="September"/>
      <sheetName val="October"/>
      <sheetName val="November"/>
      <sheetName val="December"/>
    </sheetNames>
    <sheetDataSet>
      <sheetData sheetId="12">
        <row r="7">
          <cell r="V7">
            <v>2894.70483292453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YTD 2018"/>
      <sheetName val="January"/>
      <sheetName val="February"/>
      <sheetName val="March"/>
      <sheetName val="April"/>
      <sheetName val="May"/>
      <sheetName val="June"/>
      <sheetName val="July"/>
      <sheetName val="August"/>
      <sheetName val="September"/>
      <sheetName val="October"/>
      <sheetName val="November"/>
      <sheetName val="December"/>
    </sheetNames>
    <sheetDataSet>
      <sheetData sheetId="1">
        <row r="7">
          <cell r="V7">
            <v>2811.7099999999996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YTD 2018"/>
      <sheetName val="January"/>
      <sheetName val="February"/>
      <sheetName val="March"/>
      <sheetName val="April"/>
      <sheetName val="May"/>
      <sheetName val="June"/>
      <sheetName val="July"/>
      <sheetName val="August"/>
      <sheetName val="September"/>
      <sheetName val="October"/>
      <sheetName val="November"/>
      <sheetName val="December"/>
    </sheetNames>
    <sheetDataSet>
      <sheetData sheetId="2">
        <row r="7">
          <cell r="V7">
            <v>2065.86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YTD 2018"/>
      <sheetName val="January"/>
      <sheetName val="February"/>
      <sheetName val="March"/>
      <sheetName val="April"/>
      <sheetName val="May"/>
      <sheetName val="June"/>
      <sheetName val="July"/>
      <sheetName val="August"/>
      <sheetName val="September"/>
      <sheetName val="October"/>
      <sheetName val="November"/>
      <sheetName val="December"/>
    </sheetNames>
    <sheetDataSet>
      <sheetData sheetId="3">
        <row r="7">
          <cell r="V7">
            <v>2219.26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YTD 2018"/>
      <sheetName val="January"/>
      <sheetName val="February"/>
      <sheetName val="March"/>
      <sheetName val="April"/>
      <sheetName val="May"/>
      <sheetName val="June"/>
      <sheetName val="July"/>
      <sheetName val="August"/>
      <sheetName val="September"/>
      <sheetName val="October"/>
      <sheetName val="November"/>
      <sheetName val="December"/>
    </sheetNames>
    <sheetDataSet>
      <sheetData sheetId="4">
        <row r="7">
          <cell r="V7">
            <v>2238.21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YTD 2018"/>
      <sheetName val="January"/>
      <sheetName val="February"/>
      <sheetName val="March"/>
      <sheetName val="April"/>
      <sheetName val="May"/>
      <sheetName val="June"/>
      <sheetName val="July"/>
      <sheetName val="August"/>
      <sheetName val="September"/>
      <sheetName val="October"/>
      <sheetName val="November"/>
      <sheetName val="December"/>
    </sheetNames>
    <sheetDataSet>
      <sheetData sheetId="5">
        <row r="7">
          <cell r="V7">
            <v>1961.45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pageSetUpPr fitToPage="1"/>
  </sheetPr>
  <dimension ref="A1:IV83"/>
  <sheetViews>
    <sheetView zoomScalePageLayoutView="0" workbookViewId="0" topLeftCell="A1">
      <selection activeCell="K6" sqref="K6"/>
    </sheetView>
  </sheetViews>
  <sheetFormatPr defaultColWidth="9.140625" defaultRowHeight="12.75"/>
  <cols>
    <col min="1" max="1" width="4.57421875" style="262" customWidth="1"/>
    <col min="2" max="2" width="27.28125" style="262" customWidth="1"/>
    <col min="3" max="3" width="8.28125" style="262" bestFit="1" customWidth="1"/>
    <col min="4" max="4" width="10.8515625" style="262" bestFit="1" customWidth="1"/>
    <col min="5" max="5" width="11.140625" style="264" bestFit="1" customWidth="1"/>
    <col min="6" max="6" width="12.7109375" style="262" bestFit="1" customWidth="1"/>
    <col min="7" max="7" width="11.00390625" style="262" bestFit="1" customWidth="1"/>
    <col min="8" max="8" width="10.00390625" style="262" bestFit="1" customWidth="1"/>
    <col min="9" max="9" width="12.7109375" style="262" bestFit="1" customWidth="1"/>
    <col min="10" max="10" width="10.7109375" style="262" bestFit="1" customWidth="1"/>
    <col min="11" max="11" width="9.57421875" style="262" bestFit="1" customWidth="1"/>
    <col min="12" max="12" width="12.7109375" style="262" bestFit="1" customWidth="1"/>
    <col min="13" max="13" width="7.7109375" style="262" customWidth="1"/>
    <col min="14" max="14" width="8.00390625" style="262" customWidth="1"/>
    <col min="15" max="15" width="10.28125" style="262" customWidth="1"/>
    <col min="16" max="16" width="9.8515625" style="262" customWidth="1"/>
    <col min="17" max="17" width="9.7109375" style="262" customWidth="1"/>
    <col min="18" max="18" width="8.8515625" style="262" customWidth="1"/>
    <col min="19" max="19" width="11.00390625" style="263" bestFit="1" customWidth="1"/>
    <col min="20" max="20" width="9.140625" style="262" customWidth="1"/>
    <col min="21" max="21" width="14.140625" style="262" bestFit="1" customWidth="1"/>
    <col min="22" max="22" width="9.140625" style="262" customWidth="1"/>
    <col min="23" max="23" width="12.7109375" style="262" bestFit="1" customWidth="1"/>
    <col min="24" max="24" width="9.7109375" style="262" bestFit="1" customWidth="1"/>
    <col min="25" max="16384" width="9.140625" style="262" customWidth="1"/>
  </cols>
  <sheetData>
    <row r="1" spans="1:12" ht="23.25">
      <c r="A1" s="536" t="s">
        <v>311</v>
      </c>
      <c r="B1" s="536"/>
      <c r="C1" s="536"/>
      <c r="D1" s="536"/>
      <c r="E1" s="536"/>
      <c r="F1" s="536"/>
      <c r="G1" s="536"/>
      <c r="H1" s="536"/>
      <c r="I1" s="536"/>
      <c r="J1" s="536"/>
      <c r="K1" s="536"/>
      <c r="L1" s="536"/>
    </row>
    <row r="2" ht="15.75" thickBot="1"/>
    <row r="3" spans="1:256" ht="16.5" thickBot="1">
      <c r="A3" s="265"/>
      <c r="B3" s="266"/>
      <c r="C3" s="267"/>
      <c r="D3" s="537" t="s">
        <v>153</v>
      </c>
      <c r="E3" s="538"/>
      <c r="F3" s="539"/>
      <c r="G3" s="537" t="s">
        <v>154</v>
      </c>
      <c r="H3" s="538"/>
      <c r="I3" s="539"/>
      <c r="J3" s="537" t="s">
        <v>310</v>
      </c>
      <c r="K3" s="538"/>
      <c r="L3" s="539"/>
      <c r="M3" s="268"/>
      <c r="N3" s="268"/>
      <c r="O3" s="268"/>
      <c r="P3" s="268"/>
      <c r="Q3" s="268"/>
      <c r="R3" s="268"/>
      <c r="S3" s="269"/>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G3" s="268"/>
      <c r="DH3" s="268"/>
      <c r="DI3" s="268"/>
      <c r="DJ3" s="268"/>
      <c r="DK3" s="268"/>
      <c r="DL3" s="268"/>
      <c r="DM3" s="268"/>
      <c r="DN3" s="268"/>
      <c r="DO3" s="268"/>
      <c r="DP3" s="268"/>
      <c r="DQ3" s="268"/>
      <c r="DR3" s="268"/>
      <c r="DS3" s="268"/>
      <c r="DT3" s="268"/>
      <c r="DU3" s="268"/>
      <c r="DV3" s="268"/>
      <c r="DW3" s="268"/>
      <c r="DX3" s="268"/>
      <c r="DY3" s="268"/>
      <c r="DZ3" s="268"/>
      <c r="EA3" s="268"/>
      <c r="EB3" s="268"/>
      <c r="EC3" s="268"/>
      <c r="ED3" s="268"/>
      <c r="EE3" s="268"/>
      <c r="EF3" s="268"/>
      <c r="EG3" s="268"/>
      <c r="EH3" s="268"/>
      <c r="EI3" s="268"/>
      <c r="EJ3" s="268"/>
      <c r="EK3" s="268"/>
      <c r="EL3" s="268"/>
      <c r="EM3" s="268"/>
      <c r="EN3" s="268"/>
      <c r="EO3" s="268"/>
      <c r="EP3" s="268"/>
      <c r="EQ3" s="268"/>
      <c r="ER3" s="268"/>
      <c r="ES3" s="268"/>
      <c r="ET3" s="268"/>
      <c r="EU3" s="268"/>
      <c r="EV3" s="268"/>
      <c r="EW3" s="268"/>
      <c r="EX3" s="268"/>
      <c r="EY3" s="268"/>
      <c r="EZ3" s="268"/>
      <c r="FA3" s="268"/>
      <c r="FB3" s="268"/>
      <c r="FC3" s="268"/>
      <c r="FD3" s="268"/>
      <c r="FE3" s="268"/>
      <c r="FF3" s="268"/>
      <c r="FG3" s="268"/>
      <c r="FH3" s="268"/>
      <c r="FI3" s="268"/>
      <c r="FJ3" s="268"/>
      <c r="FK3" s="268"/>
      <c r="FL3" s="268"/>
      <c r="FM3" s="268"/>
      <c r="FN3" s="268"/>
      <c r="FO3" s="268"/>
      <c r="FP3" s="268"/>
      <c r="FQ3" s="268"/>
      <c r="FR3" s="268"/>
      <c r="FS3" s="268"/>
      <c r="FT3" s="268"/>
      <c r="FU3" s="268"/>
      <c r="FV3" s="268"/>
      <c r="FW3" s="268"/>
      <c r="FX3" s="268"/>
      <c r="FY3" s="268"/>
      <c r="FZ3" s="268"/>
      <c r="GA3" s="268"/>
      <c r="GB3" s="268"/>
      <c r="GC3" s="268"/>
      <c r="GD3" s="268"/>
      <c r="GE3" s="268"/>
      <c r="GF3" s="268"/>
      <c r="GG3" s="268"/>
      <c r="GH3" s="268"/>
      <c r="GI3" s="268"/>
      <c r="GJ3" s="268"/>
      <c r="GK3" s="268"/>
      <c r="GL3" s="268"/>
      <c r="GM3" s="268"/>
      <c r="GN3" s="268"/>
      <c r="GO3" s="268"/>
      <c r="GP3" s="268"/>
      <c r="GQ3" s="268"/>
      <c r="GR3" s="268"/>
      <c r="GS3" s="268"/>
      <c r="GT3" s="268"/>
      <c r="GU3" s="268"/>
      <c r="GV3" s="268"/>
      <c r="GW3" s="268"/>
      <c r="GX3" s="268"/>
      <c r="GY3" s="268"/>
      <c r="GZ3" s="268"/>
      <c r="HA3" s="268"/>
      <c r="HB3" s="268"/>
      <c r="HC3" s="268"/>
      <c r="HD3" s="268"/>
      <c r="HE3" s="268"/>
      <c r="HF3" s="268"/>
      <c r="HG3" s="268"/>
      <c r="HH3" s="268"/>
      <c r="HI3" s="268"/>
      <c r="HJ3" s="268"/>
      <c r="HK3" s="268"/>
      <c r="HL3" s="268"/>
      <c r="HM3" s="268"/>
      <c r="HN3" s="268"/>
      <c r="HO3" s="268"/>
      <c r="HP3" s="268"/>
      <c r="HQ3" s="268"/>
      <c r="HR3" s="268"/>
      <c r="HS3" s="268"/>
      <c r="HT3" s="268"/>
      <c r="HU3" s="268"/>
      <c r="HV3" s="268"/>
      <c r="HW3" s="268"/>
      <c r="HX3" s="268"/>
      <c r="HY3" s="268"/>
      <c r="HZ3" s="268"/>
      <c r="IA3" s="268"/>
      <c r="IB3" s="268"/>
      <c r="IC3" s="268"/>
      <c r="ID3" s="268"/>
      <c r="IE3" s="268"/>
      <c r="IF3" s="268"/>
      <c r="IG3" s="268"/>
      <c r="IH3" s="268"/>
      <c r="II3" s="268"/>
      <c r="IJ3" s="268"/>
      <c r="IK3" s="268"/>
      <c r="IL3" s="268"/>
      <c r="IM3" s="268"/>
      <c r="IN3" s="268"/>
      <c r="IO3" s="268"/>
      <c r="IP3" s="268"/>
      <c r="IQ3" s="268"/>
      <c r="IR3" s="268"/>
      <c r="IS3" s="268"/>
      <c r="IT3" s="268"/>
      <c r="IU3" s="268"/>
      <c r="IV3" s="268"/>
    </row>
    <row r="4" spans="1:256" ht="16.5" thickBot="1">
      <c r="A4" s="540" t="s">
        <v>155</v>
      </c>
      <c r="B4" s="541"/>
      <c r="C4" s="542"/>
      <c r="D4" s="271" t="s">
        <v>156</v>
      </c>
      <c r="E4" s="272" t="s">
        <v>157</v>
      </c>
      <c r="F4" s="271" t="s">
        <v>158</v>
      </c>
      <c r="G4" s="271" t="s">
        <v>156</v>
      </c>
      <c r="H4" s="271" t="s">
        <v>157</v>
      </c>
      <c r="I4" s="271" t="s">
        <v>158</v>
      </c>
      <c r="J4" s="271" t="s">
        <v>156</v>
      </c>
      <c r="K4" s="271" t="s">
        <v>157</v>
      </c>
      <c r="L4" s="270" t="s">
        <v>158</v>
      </c>
      <c r="M4" s="268"/>
      <c r="N4" s="268"/>
      <c r="O4" s="273" t="s">
        <v>309</v>
      </c>
      <c r="P4" s="273" t="s">
        <v>83</v>
      </c>
      <c r="Q4" s="273" t="s">
        <v>85</v>
      </c>
      <c r="R4" s="268"/>
      <c r="S4" s="269"/>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68"/>
      <c r="CN4" s="268"/>
      <c r="CO4" s="268"/>
      <c r="CP4" s="268"/>
      <c r="CQ4" s="268"/>
      <c r="CR4" s="268"/>
      <c r="CS4" s="268"/>
      <c r="CT4" s="268"/>
      <c r="CU4" s="268"/>
      <c r="CV4" s="268"/>
      <c r="CW4" s="268"/>
      <c r="CX4" s="268"/>
      <c r="CY4" s="268"/>
      <c r="CZ4" s="268"/>
      <c r="DA4" s="268"/>
      <c r="DB4" s="268"/>
      <c r="DC4" s="268"/>
      <c r="DD4" s="268"/>
      <c r="DE4" s="268"/>
      <c r="DF4" s="268"/>
      <c r="DG4" s="268"/>
      <c r="DH4" s="268"/>
      <c r="DI4" s="268"/>
      <c r="DJ4" s="268"/>
      <c r="DK4" s="268"/>
      <c r="DL4" s="268"/>
      <c r="DM4" s="268"/>
      <c r="DN4" s="268"/>
      <c r="DO4" s="268"/>
      <c r="DP4" s="268"/>
      <c r="DQ4" s="268"/>
      <c r="DR4" s="268"/>
      <c r="DS4" s="268"/>
      <c r="DT4" s="268"/>
      <c r="DU4" s="268"/>
      <c r="DV4" s="268"/>
      <c r="DW4" s="268"/>
      <c r="DX4" s="268"/>
      <c r="DY4" s="268"/>
      <c r="DZ4" s="268"/>
      <c r="EA4" s="268"/>
      <c r="EB4" s="268"/>
      <c r="EC4" s="268"/>
      <c r="ED4" s="268"/>
      <c r="EE4" s="268"/>
      <c r="EF4" s="268"/>
      <c r="EG4" s="268"/>
      <c r="EH4" s="268"/>
      <c r="EI4" s="268"/>
      <c r="EJ4" s="268"/>
      <c r="EK4" s="268"/>
      <c r="EL4" s="268"/>
      <c r="EM4" s="268"/>
      <c r="EN4" s="268"/>
      <c r="EO4" s="268"/>
      <c r="EP4" s="268"/>
      <c r="EQ4" s="268"/>
      <c r="ER4" s="268"/>
      <c r="ES4" s="268"/>
      <c r="ET4" s="268"/>
      <c r="EU4" s="268"/>
      <c r="EV4" s="268"/>
      <c r="EW4" s="268"/>
      <c r="EX4" s="268"/>
      <c r="EY4" s="268"/>
      <c r="EZ4" s="268"/>
      <c r="FA4" s="268"/>
      <c r="FB4" s="268"/>
      <c r="FC4" s="268"/>
      <c r="FD4" s="268"/>
      <c r="FE4" s="268"/>
      <c r="FF4" s="268"/>
      <c r="FG4" s="268"/>
      <c r="FH4" s="268"/>
      <c r="FI4" s="268"/>
      <c r="FJ4" s="268"/>
      <c r="FK4" s="268"/>
      <c r="FL4" s="268"/>
      <c r="FM4" s="268"/>
      <c r="FN4" s="268"/>
      <c r="FO4" s="268"/>
      <c r="FP4" s="268"/>
      <c r="FQ4" s="268"/>
      <c r="FR4" s="268"/>
      <c r="FS4" s="268"/>
      <c r="FT4" s="268"/>
      <c r="FU4" s="268"/>
      <c r="FV4" s="268"/>
      <c r="FW4" s="268"/>
      <c r="FX4" s="268"/>
      <c r="FY4" s="268"/>
      <c r="FZ4" s="268"/>
      <c r="GA4" s="268"/>
      <c r="GB4" s="268"/>
      <c r="GC4" s="268"/>
      <c r="GD4" s="268"/>
      <c r="GE4" s="268"/>
      <c r="GF4" s="268"/>
      <c r="GG4" s="268"/>
      <c r="GH4" s="268"/>
      <c r="GI4" s="268"/>
      <c r="GJ4" s="268"/>
      <c r="GK4" s="268"/>
      <c r="GL4" s="268"/>
      <c r="GM4" s="268"/>
      <c r="GN4" s="268"/>
      <c r="GO4" s="268"/>
      <c r="GP4" s="268"/>
      <c r="GQ4" s="268"/>
      <c r="GR4" s="268"/>
      <c r="GS4" s="268"/>
      <c r="GT4" s="268"/>
      <c r="GU4" s="268"/>
      <c r="GV4" s="268"/>
      <c r="GW4" s="268"/>
      <c r="GX4" s="268"/>
      <c r="GY4" s="268"/>
      <c r="GZ4" s="268"/>
      <c r="HA4" s="268"/>
      <c r="HB4" s="268"/>
      <c r="HC4" s="268"/>
      <c r="HD4" s="268"/>
      <c r="HE4" s="268"/>
      <c r="HF4" s="268"/>
      <c r="HG4" s="268"/>
      <c r="HH4" s="268"/>
      <c r="HI4" s="268"/>
      <c r="HJ4" s="268"/>
      <c r="HK4" s="268"/>
      <c r="HL4" s="268"/>
      <c r="HM4" s="268"/>
      <c r="HN4" s="268"/>
      <c r="HO4" s="268"/>
      <c r="HP4" s="268"/>
      <c r="HQ4" s="268"/>
      <c r="HR4" s="268"/>
      <c r="HS4" s="268"/>
      <c r="HT4" s="268"/>
      <c r="HU4" s="268"/>
      <c r="HV4" s="268"/>
      <c r="HW4" s="268"/>
      <c r="HX4" s="268"/>
      <c r="HY4" s="268"/>
      <c r="HZ4" s="268"/>
      <c r="IA4" s="268"/>
      <c r="IB4" s="268"/>
      <c r="IC4" s="268"/>
      <c r="ID4" s="268"/>
      <c r="IE4" s="268"/>
      <c r="IF4" s="268"/>
      <c r="IG4" s="268"/>
      <c r="IH4" s="268"/>
      <c r="II4" s="268"/>
      <c r="IJ4" s="268"/>
      <c r="IK4" s="268"/>
      <c r="IL4" s="268"/>
      <c r="IM4" s="268"/>
      <c r="IN4" s="268"/>
      <c r="IO4" s="268"/>
      <c r="IP4" s="268"/>
      <c r="IQ4" s="268"/>
      <c r="IR4" s="268"/>
      <c r="IS4" s="268"/>
      <c r="IT4" s="268"/>
      <c r="IU4" s="268"/>
      <c r="IV4" s="268"/>
    </row>
    <row r="5" spans="1:256" ht="15">
      <c r="A5" s="274"/>
      <c r="B5" s="275"/>
      <c r="C5" s="276"/>
      <c r="D5" s="277"/>
      <c r="E5" s="278"/>
      <c r="F5" s="277"/>
      <c r="G5" s="277"/>
      <c r="H5" s="277"/>
      <c r="I5" s="277"/>
      <c r="J5" s="277"/>
      <c r="K5" s="277"/>
      <c r="L5" s="279"/>
      <c r="M5" s="280"/>
      <c r="N5" s="280"/>
      <c r="O5" s="280"/>
      <c r="P5" s="280"/>
      <c r="Q5" s="280"/>
      <c r="R5" s="280"/>
      <c r="S5" s="281"/>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c r="DM5" s="280"/>
      <c r="DN5" s="280"/>
      <c r="DO5" s="280"/>
      <c r="DP5" s="280"/>
      <c r="DQ5" s="280"/>
      <c r="DR5" s="280"/>
      <c r="DS5" s="280"/>
      <c r="DT5" s="280"/>
      <c r="DU5" s="280"/>
      <c r="DV5" s="280"/>
      <c r="DW5" s="280"/>
      <c r="DX5" s="280"/>
      <c r="DY5" s="280"/>
      <c r="DZ5" s="280"/>
      <c r="EA5" s="280"/>
      <c r="EB5" s="280"/>
      <c r="EC5" s="280"/>
      <c r="ED5" s="280"/>
      <c r="EE5" s="280"/>
      <c r="EF5" s="280"/>
      <c r="EG5" s="280"/>
      <c r="EH5" s="280"/>
      <c r="EI5" s="280"/>
      <c r="EJ5" s="280"/>
      <c r="EK5" s="280"/>
      <c r="EL5" s="280"/>
      <c r="EM5" s="280"/>
      <c r="EN5" s="280"/>
      <c r="EO5" s="280"/>
      <c r="EP5" s="280"/>
      <c r="EQ5" s="280"/>
      <c r="ER5" s="280"/>
      <c r="ES5" s="280"/>
      <c r="ET5" s="280"/>
      <c r="EU5" s="280"/>
      <c r="EV5" s="280"/>
      <c r="EW5" s="280"/>
      <c r="EX5" s="280"/>
      <c r="EY5" s="280"/>
      <c r="EZ5" s="280"/>
      <c r="FA5" s="280"/>
      <c r="FB5" s="280"/>
      <c r="FC5" s="280"/>
      <c r="FD5" s="280"/>
      <c r="FE5" s="280"/>
      <c r="FF5" s="280"/>
      <c r="FG5" s="280"/>
      <c r="FH5" s="280"/>
      <c r="FI5" s="280"/>
      <c r="FJ5" s="280"/>
      <c r="FK5" s="280"/>
      <c r="FL5" s="280"/>
      <c r="FM5" s="280"/>
      <c r="FN5" s="280"/>
      <c r="FO5" s="280"/>
      <c r="FP5" s="280"/>
      <c r="FQ5" s="280"/>
      <c r="FR5" s="280"/>
      <c r="FS5" s="280"/>
      <c r="FT5" s="280"/>
      <c r="FU5" s="280"/>
      <c r="FV5" s="280"/>
      <c r="FW5" s="280"/>
      <c r="FX5" s="280"/>
      <c r="FY5" s="280"/>
      <c r="FZ5" s="280"/>
      <c r="GA5" s="280"/>
      <c r="GB5" s="280"/>
      <c r="GC5" s="280"/>
      <c r="GD5" s="280"/>
      <c r="GE5" s="280"/>
      <c r="GF5" s="280"/>
      <c r="GG5" s="280"/>
      <c r="GH5" s="280"/>
      <c r="GI5" s="280"/>
      <c r="GJ5" s="280"/>
      <c r="GK5" s="280"/>
      <c r="GL5" s="280"/>
      <c r="GM5" s="280"/>
      <c r="GN5" s="280"/>
      <c r="GO5" s="280"/>
      <c r="GP5" s="280"/>
      <c r="GQ5" s="280"/>
      <c r="GR5" s="280"/>
      <c r="GS5" s="280"/>
      <c r="GT5" s="280"/>
      <c r="GU5" s="280"/>
      <c r="GV5" s="280"/>
      <c r="GW5" s="280"/>
      <c r="GX5" s="280"/>
      <c r="GY5" s="280"/>
      <c r="GZ5" s="280"/>
      <c r="HA5" s="280"/>
      <c r="HB5" s="280"/>
      <c r="HC5" s="280"/>
      <c r="HD5" s="280"/>
      <c r="HE5" s="280"/>
      <c r="HF5" s="280"/>
      <c r="HG5" s="280"/>
      <c r="HH5" s="280"/>
      <c r="HI5" s="280"/>
      <c r="HJ5" s="280"/>
      <c r="HK5" s="280"/>
      <c r="HL5" s="280"/>
      <c r="HM5" s="280"/>
      <c r="HN5" s="280"/>
      <c r="HO5" s="280"/>
      <c r="HP5" s="280"/>
      <c r="HQ5" s="280"/>
      <c r="HR5" s="280"/>
      <c r="HS5" s="280"/>
      <c r="HT5" s="280"/>
      <c r="HU5" s="280"/>
      <c r="HV5" s="280"/>
      <c r="HW5" s="280"/>
      <c r="HX5" s="280"/>
      <c r="HY5" s="280"/>
      <c r="HZ5" s="280"/>
      <c r="IA5" s="280"/>
      <c r="IB5" s="280"/>
      <c r="IC5" s="280"/>
      <c r="ID5" s="280"/>
      <c r="IE5" s="280"/>
      <c r="IF5" s="280"/>
      <c r="IG5" s="280"/>
      <c r="IH5" s="280"/>
      <c r="II5" s="280"/>
      <c r="IJ5" s="280"/>
      <c r="IK5" s="280"/>
      <c r="IL5" s="280"/>
      <c r="IM5" s="280"/>
      <c r="IN5" s="280"/>
      <c r="IO5" s="280"/>
      <c r="IP5" s="280"/>
      <c r="IQ5" s="280"/>
      <c r="IR5" s="280"/>
      <c r="IS5" s="280"/>
      <c r="IT5" s="280"/>
      <c r="IU5" s="280"/>
      <c r="IV5" s="280"/>
    </row>
    <row r="6" spans="1:256" ht="15.75">
      <c r="A6" s="282" t="s">
        <v>308</v>
      </c>
      <c r="B6" s="283"/>
      <c r="C6" s="284"/>
      <c r="D6" s="287">
        <f>+'New Method'!G33</f>
        <v>-0.9002499999999999</v>
      </c>
      <c r="E6" s="285">
        <v>1.9000000000000001</v>
      </c>
      <c r="F6" s="286">
        <f>-1+D6/E6</f>
        <v>-1.473815789473684</v>
      </c>
      <c r="G6" s="287">
        <f>+'New Method'!G72</f>
        <v>-1.1600000000000001</v>
      </c>
      <c r="H6" s="285">
        <v>1.62</v>
      </c>
      <c r="I6" s="286">
        <f>-1+G6/H6</f>
        <v>-1.7160493827160495</v>
      </c>
      <c r="J6" s="287">
        <f>+'New Method'!G108</f>
        <v>-0.775</v>
      </c>
      <c r="K6" s="288">
        <v>1.42</v>
      </c>
      <c r="L6" s="286">
        <f>-1+J6/K6</f>
        <v>-1.545774647887324</v>
      </c>
      <c r="M6" s="280"/>
      <c r="N6" s="280"/>
      <c r="O6" s="289">
        <f>+'2018-2019 Recy. Tons &amp; Revenue'!C142</f>
        <v>0.331181326691269</v>
      </c>
      <c r="P6" s="289">
        <f>+'2018-2019 Recy. Tons &amp; Revenue'!D142</f>
        <v>0.6688186733087312</v>
      </c>
      <c r="Q6" s="289">
        <f>+P6+O6</f>
        <v>1.0000000000000002</v>
      </c>
      <c r="R6" s="280"/>
      <c r="S6" s="281"/>
      <c r="T6" s="280"/>
      <c r="U6" s="290"/>
      <c r="V6" s="280"/>
      <c r="W6" s="29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c r="DM6" s="280"/>
      <c r="DN6" s="280"/>
      <c r="DO6" s="280"/>
      <c r="DP6" s="280"/>
      <c r="DQ6" s="280"/>
      <c r="DR6" s="280"/>
      <c r="DS6" s="280"/>
      <c r="DT6" s="280"/>
      <c r="DU6" s="280"/>
      <c r="DV6" s="280"/>
      <c r="DW6" s="280"/>
      <c r="DX6" s="280"/>
      <c r="DY6" s="280"/>
      <c r="DZ6" s="280"/>
      <c r="EA6" s="280"/>
      <c r="EB6" s="280"/>
      <c r="EC6" s="280"/>
      <c r="ED6" s="280"/>
      <c r="EE6" s="280"/>
      <c r="EF6" s="280"/>
      <c r="EG6" s="280"/>
      <c r="EH6" s="280"/>
      <c r="EI6" s="280"/>
      <c r="EJ6" s="280"/>
      <c r="EK6" s="280"/>
      <c r="EL6" s="280"/>
      <c r="EM6" s="280"/>
      <c r="EN6" s="280"/>
      <c r="EO6" s="280"/>
      <c r="EP6" s="280"/>
      <c r="EQ6" s="280"/>
      <c r="ER6" s="280"/>
      <c r="ES6" s="280"/>
      <c r="ET6" s="280"/>
      <c r="EU6" s="280"/>
      <c r="EV6" s="280"/>
      <c r="EW6" s="280"/>
      <c r="EX6" s="280"/>
      <c r="EY6" s="280"/>
      <c r="EZ6" s="280"/>
      <c r="FA6" s="280"/>
      <c r="FB6" s="280"/>
      <c r="FC6" s="280"/>
      <c r="FD6" s="280"/>
      <c r="FE6" s="280"/>
      <c r="FF6" s="280"/>
      <c r="FG6" s="280"/>
      <c r="FH6" s="280"/>
      <c r="FI6" s="280"/>
      <c r="FJ6" s="280"/>
      <c r="FK6" s="280"/>
      <c r="FL6" s="280"/>
      <c r="FM6" s="280"/>
      <c r="FN6" s="280"/>
      <c r="FO6" s="280"/>
      <c r="FP6" s="280"/>
      <c r="FQ6" s="280"/>
      <c r="FR6" s="280"/>
      <c r="FS6" s="280"/>
      <c r="FT6" s="280"/>
      <c r="FU6" s="280"/>
      <c r="FV6" s="280"/>
      <c r="FW6" s="280"/>
      <c r="FX6" s="280"/>
      <c r="FY6" s="280"/>
      <c r="FZ6" s="280"/>
      <c r="GA6" s="280"/>
      <c r="GB6" s="280"/>
      <c r="GC6" s="280"/>
      <c r="GD6" s="280"/>
      <c r="GE6" s="280"/>
      <c r="GF6" s="280"/>
      <c r="GG6" s="280"/>
      <c r="GH6" s="280"/>
      <c r="GI6" s="280"/>
      <c r="GJ6" s="280"/>
      <c r="GK6" s="280"/>
      <c r="GL6" s="280"/>
      <c r="GM6" s="280"/>
      <c r="GN6" s="280"/>
      <c r="GO6" s="280"/>
      <c r="GP6" s="280"/>
      <c r="GQ6" s="280"/>
      <c r="GR6" s="280"/>
      <c r="GS6" s="280"/>
      <c r="GT6" s="280"/>
      <c r="GU6" s="280"/>
      <c r="GV6" s="280"/>
      <c r="GW6" s="280"/>
      <c r="GX6" s="280"/>
      <c r="GY6" s="280"/>
      <c r="GZ6" s="280"/>
      <c r="HA6" s="280"/>
      <c r="HB6" s="280"/>
      <c r="HC6" s="280"/>
      <c r="HD6" s="280"/>
      <c r="HE6" s="280"/>
      <c r="HF6" s="280"/>
      <c r="HG6" s="280"/>
      <c r="HH6" s="280"/>
      <c r="HI6" s="280"/>
      <c r="HJ6" s="280"/>
      <c r="HK6" s="280"/>
      <c r="HL6" s="280"/>
      <c r="HM6" s="280"/>
      <c r="HN6" s="280"/>
      <c r="HO6" s="280"/>
      <c r="HP6" s="280"/>
      <c r="HQ6" s="280"/>
      <c r="HR6" s="280"/>
      <c r="HS6" s="280"/>
      <c r="HT6" s="280"/>
      <c r="HU6" s="280"/>
      <c r="HV6" s="280"/>
      <c r="HW6" s="280"/>
      <c r="HX6" s="280"/>
      <c r="HY6" s="280"/>
      <c r="HZ6" s="280"/>
      <c r="IA6" s="280"/>
      <c r="IB6" s="280"/>
      <c r="IC6" s="280"/>
      <c r="ID6" s="280"/>
      <c r="IE6" s="280"/>
      <c r="IF6" s="280"/>
      <c r="IG6" s="280"/>
      <c r="IH6" s="280"/>
      <c r="II6" s="280"/>
      <c r="IJ6" s="280"/>
      <c r="IK6" s="280"/>
      <c r="IL6" s="280"/>
      <c r="IM6" s="280"/>
      <c r="IN6" s="280"/>
      <c r="IO6" s="280"/>
      <c r="IP6" s="280"/>
      <c r="IQ6" s="280"/>
      <c r="IR6" s="280"/>
      <c r="IS6" s="280"/>
      <c r="IT6" s="280"/>
      <c r="IU6" s="280"/>
      <c r="IV6" s="280"/>
    </row>
    <row r="7" spans="1:256" ht="15.75">
      <c r="A7" s="282"/>
      <c r="B7" s="283"/>
      <c r="C7" s="284" t="s">
        <v>88</v>
      </c>
      <c r="D7" s="287">
        <f>+'New Method'!G35</f>
        <v>-0.59</v>
      </c>
      <c r="E7" s="285">
        <v>2.72</v>
      </c>
      <c r="F7" s="286">
        <f>-1+D7/E7</f>
        <v>-1.2169117647058822</v>
      </c>
      <c r="G7" s="285"/>
      <c r="H7" s="285"/>
      <c r="I7" s="286"/>
      <c r="J7" s="285"/>
      <c r="K7" s="285"/>
      <c r="L7" s="286"/>
      <c r="M7" s="280"/>
      <c r="N7" s="280"/>
      <c r="O7" s="291">
        <f>+I6</f>
        <v>-1.7160493827160495</v>
      </c>
      <c r="P7" s="291">
        <f>+L6</f>
        <v>-1.545774647887324</v>
      </c>
      <c r="Q7" s="289"/>
      <c r="R7" s="280"/>
      <c r="S7" s="281"/>
      <c r="T7" s="280"/>
      <c r="U7" s="290"/>
      <c r="V7" s="280"/>
      <c r="W7" s="29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c r="DM7" s="280"/>
      <c r="DN7" s="280"/>
      <c r="DO7" s="280"/>
      <c r="DP7" s="280"/>
      <c r="DQ7" s="280"/>
      <c r="DR7" s="280"/>
      <c r="DS7" s="280"/>
      <c r="DT7" s="280"/>
      <c r="DU7" s="280"/>
      <c r="DV7" s="280"/>
      <c r="DW7" s="280"/>
      <c r="DX7" s="280"/>
      <c r="DY7" s="280"/>
      <c r="DZ7" s="280"/>
      <c r="EA7" s="280"/>
      <c r="EB7" s="280"/>
      <c r="EC7" s="280"/>
      <c r="ED7" s="280"/>
      <c r="EE7" s="280"/>
      <c r="EF7" s="280"/>
      <c r="EG7" s="280"/>
      <c r="EH7" s="280"/>
      <c r="EI7" s="280"/>
      <c r="EJ7" s="280"/>
      <c r="EK7" s="280"/>
      <c r="EL7" s="280"/>
      <c r="EM7" s="280"/>
      <c r="EN7" s="280"/>
      <c r="EO7" s="280"/>
      <c r="EP7" s="280"/>
      <c r="EQ7" s="280"/>
      <c r="ER7" s="280"/>
      <c r="ES7" s="280"/>
      <c r="ET7" s="280"/>
      <c r="EU7" s="280"/>
      <c r="EV7" s="280"/>
      <c r="EW7" s="280"/>
      <c r="EX7" s="280"/>
      <c r="EY7" s="280"/>
      <c r="EZ7" s="280"/>
      <c r="FA7" s="280"/>
      <c r="FB7" s="280"/>
      <c r="FC7" s="280"/>
      <c r="FD7" s="280"/>
      <c r="FE7" s="280"/>
      <c r="FF7" s="280"/>
      <c r="FG7" s="280"/>
      <c r="FH7" s="280"/>
      <c r="FI7" s="280"/>
      <c r="FJ7" s="280"/>
      <c r="FK7" s="280"/>
      <c r="FL7" s="280"/>
      <c r="FM7" s="280"/>
      <c r="FN7" s="280"/>
      <c r="FO7" s="280"/>
      <c r="FP7" s="280"/>
      <c r="FQ7" s="280"/>
      <c r="FR7" s="280"/>
      <c r="FS7" s="280"/>
      <c r="FT7" s="280"/>
      <c r="FU7" s="280"/>
      <c r="FV7" s="280"/>
      <c r="FW7" s="280"/>
      <c r="FX7" s="280"/>
      <c r="FY7" s="280"/>
      <c r="FZ7" s="280"/>
      <c r="GA7" s="280"/>
      <c r="GB7" s="280"/>
      <c r="GC7" s="280"/>
      <c r="GD7" s="280"/>
      <c r="GE7" s="280"/>
      <c r="GF7" s="280"/>
      <c r="GG7" s="280"/>
      <c r="GH7" s="280"/>
      <c r="GI7" s="280"/>
      <c r="GJ7" s="280"/>
      <c r="GK7" s="280"/>
      <c r="GL7" s="280"/>
      <c r="GM7" s="280"/>
      <c r="GN7" s="280"/>
      <c r="GO7" s="280"/>
      <c r="GP7" s="280"/>
      <c r="GQ7" s="280"/>
      <c r="GR7" s="280"/>
      <c r="GS7" s="280"/>
      <c r="GT7" s="280"/>
      <c r="GU7" s="280"/>
      <c r="GV7" s="280"/>
      <c r="GW7" s="280"/>
      <c r="GX7" s="280"/>
      <c r="GY7" s="280"/>
      <c r="GZ7" s="280"/>
      <c r="HA7" s="280"/>
      <c r="HB7" s="280"/>
      <c r="HC7" s="280"/>
      <c r="HD7" s="280"/>
      <c r="HE7" s="280"/>
      <c r="HF7" s="280"/>
      <c r="HG7" s="280"/>
      <c r="HH7" s="280"/>
      <c r="HI7" s="280"/>
      <c r="HJ7" s="280"/>
      <c r="HK7" s="280"/>
      <c r="HL7" s="280"/>
      <c r="HM7" s="280"/>
      <c r="HN7" s="280"/>
      <c r="HO7" s="280"/>
      <c r="HP7" s="280"/>
      <c r="HQ7" s="280"/>
      <c r="HR7" s="280"/>
      <c r="HS7" s="280"/>
      <c r="HT7" s="280"/>
      <c r="HU7" s="280"/>
      <c r="HV7" s="280"/>
      <c r="HW7" s="280"/>
      <c r="HX7" s="280"/>
      <c r="HY7" s="280"/>
      <c r="HZ7" s="280"/>
      <c r="IA7" s="280"/>
      <c r="IB7" s="280"/>
      <c r="IC7" s="280"/>
      <c r="ID7" s="280"/>
      <c r="IE7" s="280"/>
      <c r="IF7" s="280"/>
      <c r="IG7" s="280"/>
      <c r="IH7" s="280"/>
      <c r="II7" s="280"/>
      <c r="IJ7" s="280"/>
      <c r="IK7" s="280"/>
      <c r="IL7" s="280"/>
      <c r="IM7" s="280"/>
      <c r="IN7" s="280"/>
      <c r="IO7" s="280"/>
      <c r="IP7" s="280"/>
      <c r="IQ7" s="280"/>
      <c r="IR7" s="280"/>
      <c r="IS7" s="280"/>
      <c r="IT7" s="280"/>
      <c r="IU7" s="280"/>
      <c r="IV7" s="280"/>
    </row>
    <row r="8" spans="1:256" ht="15.75">
      <c r="A8" s="292" t="s">
        <v>159</v>
      </c>
      <c r="B8" s="283"/>
      <c r="C8" s="284"/>
      <c r="D8" s="293"/>
      <c r="E8" s="294"/>
      <c r="F8" s="293"/>
      <c r="G8" s="285"/>
      <c r="H8" s="285"/>
      <c r="I8" s="286"/>
      <c r="J8" s="285"/>
      <c r="K8" s="285"/>
      <c r="L8" s="286"/>
      <c r="M8" s="280"/>
      <c r="N8" s="280"/>
      <c r="O8" s="295">
        <f>+O6*O7</f>
        <v>-0.5683235112356344</v>
      </c>
      <c r="P8" s="295">
        <f>+P6*P7</f>
        <v>-1.0338429492342711</v>
      </c>
      <c r="Q8" s="295">
        <f>+P8+O8</f>
        <v>-1.6021664604699055</v>
      </c>
      <c r="R8" s="280"/>
      <c r="S8" s="281"/>
      <c r="T8" s="280"/>
      <c r="U8" s="290"/>
      <c r="V8" s="280"/>
      <c r="W8" s="29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c r="DM8" s="280"/>
      <c r="DN8" s="280"/>
      <c r="DO8" s="280"/>
      <c r="DP8" s="280"/>
      <c r="DQ8" s="280"/>
      <c r="DR8" s="280"/>
      <c r="DS8" s="280"/>
      <c r="DT8" s="280"/>
      <c r="DU8" s="280"/>
      <c r="DV8" s="280"/>
      <c r="DW8" s="280"/>
      <c r="DX8" s="280"/>
      <c r="DY8" s="280"/>
      <c r="DZ8" s="280"/>
      <c r="EA8" s="280"/>
      <c r="EB8" s="280"/>
      <c r="EC8" s="280"/>
      <c r="ED8" s="280"/>
      <c r="EE8" s="280"/>
      <c r="EF8" s="280"/>
      <c r="EG8" s="280"/>
      <c r="EH8" s="280"/>
      <c r="EI8" s="280"/>
      <c r="EJ8" s="280"/>
      <c r="EK8" s="280"/>
      <c r="EL8" s="280"/>
      <c r="EM8" s="280"/>
      <c r="EN8" s="280"/>
      <c r="EO8" s="280"/>
      <c r="EP8" s="280"/>
      <c r="EQ8" s="280"/>
      <c r="ER8" s="280"/>
      <c r="ES8" s="280"/>
      <c r="ET8" s="280"/>
      <c r="EU8" s="280"/>
      <c r="EV8" s="280"/>
      <c r="EW8" s="280"/>
      <c r="EX8" s="280"/>
      <c r="EY8" s="280"/>
      <c r="EZ8" s="280"/>
      <c r="FA8" s="280"/>
      <c r="FB8" s="280"/>
      <c r="FC8" s="280"/>
      <c r="FD8" s="280"/>
      <c r="FE8" s="280"/>
      <c r="FF8" s="280"/>
      <c r="FG8" s="280"/>
      <c r="FH8" s="280"/>
      <c r="FI8" s="280"/>
      <c r="FJ8" s="280"/>
      <c r="FK8" s="280"/>
      <c r="FL8" s="280"/>
      <c r="FM8" s="280"/>
      <c r="FN8" s="280"/>
      <c r="FO8" s="280"/>
      <c r="FP8" s="280"/>
      <c r="FQ8" s="280"/>
      <c r="FR8" s="280"/>
      <c r="FS8" s="280"/>
      <c r="FT8" s="280"/>
      <c r="FU8" s="280"/>
      <c r="FV8" s="280"/>
      <c r="FW8" s="280"/>
      <c r="FX8" s="280"/>
      <c r="FY8" s="280"/>
      <c r="FZ8" s="280"/>
      <c r="GA8" s="280"/>
      <c r="GB8" s="280"/>
      <c r="GC8" s="280"/>
      <c r="GD8" s="280"/>
      <c r="GE8" s="280"/>
      <c r="GF8" s="280"/>
      <c r="GG8" s="280"/>
      <c r="GH8" s="280"/>
      <c r="GI8" s="280"/>
      <c r="GJ8" s="280"/>
      <c r="GK8" s="280"/>
      <c r="GL8" s="280"/>
      <c r="GM8" s="280"/>
      <c r="GN8" s="280"/>
      <c r="GO8" s="280"/>
      <c r="GP8" s="280"/>
      <c r="GQ8" s="280"/>
      <c r="GR8" s="280"/>
      <c r="GS8" s="280"/>
      <c r="GT8" s="280"/>
      <c r="GU8" s="280"/>
      <c r="GV8" s="280"/>
      <c r="GW8" s="280"/>
      <c r="GX8" s="280"/>
      <c r="GY8" s="280"/>
      <c r="GZ8" s="280"/>
      <c r="HA8" s="280"/>
      <c r="HB8" s="280"/>
      <c r="HC8" s="280"/>
      <c r="HD8" s="280"/>
      <c r="HE8" s="280"/>
      <c r="HF8" s="280"/>
      <c r="HG8" s="280"/>
      <c r="HH8" s="280"/>
      <c r="HI8" s="280"/>
      <c r="HJ8" s="280"/>
      <c r="HK8" s="280"/>
      <c r="HL8" s="280"/>
      <c r="HM8" s="280"/>
      <c r="HN8" s="280"/>
      <c r="HO8" s="280"/>
      <c r="HP8" s="280"/>
      <c r="HQ8" s="280"/>
      <c r="HR8" s="280"/>
      <c r="HS8" s="280"/>
      <c r="HT8" s="280"/>
      <c r="HU8" s="280"/>
      <c r="HV8" s="280"/>
      <c r="HW8" s="280"/>
      <c r="HX8" s="280"/>
      <c r="HY8" s="280"/>
      <c r="HZ8" s="280"/>
      <c r="IA8" s="280"/>
      <c r="IB8" s="280"/>
      <c r="IC8" s="280"/>
      <c r="ID8" s="280"/>
      <c r="IE8" s="280"/>
      <c r="IF8" s="280"/>
      <c r="IG8" s="280"/>
      <c r="IH8" s="280"/>
      <c r="II8" s="280"/>
      <c r="IJ8" s="280"/>
      <c r="IK8" s="280"/>
      <c r="IL8" s="280"/>
      <c r="IM8" s="280"/>
      <c r="IN8" s="280"/>
      <c r="IO8" s="280"/>
      <c r="IP8" s="280"/>
      <c r="IQ8" s="280"/>
      <c r="IR8" s="280"/>
      <c r="IS8" s="280"/>
      <c r="IT8" s="280"/>
      <c r="IU8" s="280"/>
      <c r="IV8" s="280"/>
    </row>
    <row r="9" spans="1:256" ht="15.75">
      <c r="A9" s="292"/>
      <c r="B9" s="283" t="s">
        <v>160</v>
      </c>
      <c r="C9" s="284"/>
      <c r="D9" s="285">
        <f>+ROUND(E9*(1+$F$6),3)</f>
        <v>-0.033</v>
      </c>
      <c r="E9" s="294">
        <v>0.07</v>
      </c>
      <c r="F9" s="286">
        <f>-1+D9/E9</f>
        <v>-1.4714285714285715</v>
      </c>
      <c r="G9" s="285"/>
      <c r="H9" s="285"/>
      <c r="I9" s="286"/>
      <c r="J9" s="285"/>
      <c r="K9" s="285"/>
      <c r="L9" s="286"/>
      <c r="M9" s="280"/>
      <c r="N9" s="280"/>
      <c r="O9" s="280"/>
      <c r="P9" s="280"/>
      <c r="Q9" s="280"/>
      <c r="R9" s="280"/>
      <c r="S9" s="281"/>
      <c r="T9" s="280"/>
      <c r="U9" s="290"/>
      <c r="V9" s="280"/>
      <c r="W9" s="290"/>
      <c r="X9" s="296"/>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c r="DM9" s="280"/>
      <c r="DN9" s="280"/>
      <c r="DO9" s="280"/>
      <c r="DP9" s="280"/>
      <c r="DQ9" s="280"/>
      <c r="DR9" s="280"/>
      <c r="DS9" s="280"/>
      <c r="DT9" s="280"/>
      <c r="DU9" s="280"/>
      <c r="DV9" s="280"/>
      <c r="DW9" s="280"/>
      <c r="DX9" s="280"/>
      <c r="DY9" s="280"/>
      <c r="DZ9" s="280"/>
      <c r="EA9" s="280"/>
      <c r="EB9" s="280"/>
      <c r="EC9" s="280"/>
      <c r="ED9" s="280"/>
      <c r="EE9" s="280"/>
      <c r="EF9" s="280"/>
      <c r="EG9" s="280"/>
      <c r="EH9" s="280"/>
      <c r="EI9" s="280"/>
      <c r="EJ9" s="280"/>
      <c r="EK9" s="280"/>
      <c r="EL9" s="280"/>
      <c r="EM9" s="280"/>
      <c r="EN9" s="280"/>
      <c r="EO9" s="280"/>
      <c r="EP9" s="280"/>
      <c r="EQ9" s="280"/>
      <c r="ER9" s="280"/>
      <c r="ES9" s="280"/>
      <c r="ET9" s="280"/>
      <c r="EU9" s="280"/>
      <c r="EV9" s="280"/>
      <c r="EW9" s="280"/>
      <c r="EX9" s="280"/>
      <c r="EY9" s="280"/>
      <c r="EZ9" s="280"/>
      <c r="FA9" s="280"/>
      <c r="FB9" s="280"/>
      <c r="FC9" s="280"/>
      <c r="FD9" s="280"/>
      <c r="FE9" s="280"/>
      <c r="FF9" s="280"/>
      <c r="FG9" s="280"/>
      <c r="FH9" s="280"/>
      <c r="FI9" s="280"/>
      <c r="FJ9" s="280"/>
      <c r="FK9" s="280"/>
      <c r="FL9" s="280"/>
      <c r="FM9" s="280"/>
      <c r="FN9" s="280"/>
      <c r="FO9" s="280"/>
      <c r="FP9" s="280"/>
      <c r="FQ9" s="280"/>
      <c r="FR9" s="280"/>
      <c r="FS9" s="280"/>
      <c r="FT9" s="280"/>
      <c r="FU9" s="280"/>
      <c r="FV9" s="280"/>
      <c r="FW9" s="280"/>
      <c r="FX9" s="280"/>
      <c r="FY9" s="280"/>
      <c r="FZ9" s="280"/>
      <c r="GA9" s="280"/>
      <c r="GB9" s="280"/>
      <c r="GC9" s="280"/>
      <c r="GD9" s="280"/>
      <c r="GE9" s="280"/>
      <c r="GF9" s="280"/>
      <c r="GG9" s="280"/>
      <c r="GH9" s="280"/>
      <c r="GI9" s="280"/>
      <c r="GJ9" s="280"/>
      <c r="GK9" s="280"/>
      <c r="GL9" s="280"/>
      <c r="GM9" s="280"/>
      <c r="GN9" s="280"/>
      <c r="GO9" s="280"/>
      <c r="GP9" s="280"/>
      <c r="GQ9" s="280"/>
      <c r="GR9" s="280"/>
      <c r="GS9" s="280"/>
      <c r="GT9" s="280"/>
      <c r="GU9" s="280"/>
      <c r="GV9" s="280"/>
      <c r="GW9" s="280"/>
      <c r="GX9" s="280"/>
      <c r="GY9" s="280"/>
      <c r="GZ9" s="280"/>
      <c r="HA9" s="280"/>
      <c r="HB9" s="280"/>
      <c r="HC9" s="280"/>
      <c r="HD9" s="280"/>
      <c r="HE9" s="280"/>
      <c r="HF9" s="280"/>
      <c r="HG9" s="280"/>
      <c r="HH9" s="280"/>
      <c r="HI9" s="280"/>
      <c r="HJ9" s="280"/>
      <c r="HK9" s="280"/>
      <c r="HL9" s="280"/>
      <c r="HM9" s="280"/>
      <c r="HN9" s="280"/>
      <c r="HO9" s="280"/>
      <c r="HP9" s="280"/>
      <c r="HQ9" s="280"/>
      <c r="HR9" s="280"/>
      <c r="HS9" s="280"/>
      <c r="HT9" s="280"/>
      <c r="HU9" s="280"/>
      <c r="HV9" s="280"/>
      <c r="HW9" s="280"/>
      <c r="HX9" s="280"/>
      <c r="HY9" s="280"/>
      <c r="HZ9" s="280"/>
      <c r="IA9" s="280"/>
      <c r="IB9" s="280"/>
      <c r="IC9" s="280"/>
      <c r="ID9" s="280"/>
      <c r="IE9" s="280"/>
      <c r="IF9" s="280"/>
      <c r="IG9" s="280"/>
      <c r="IH9" s="280"/>
      <c r="II9" s="280"/>
      <c r="IJ9" s="280"/>
      <c r="IK9" s="280"/>
      <c r="IL9" s="280"/>
      <c r="IM9" s="280"/>
      <c r="IN9" s="280"/>
      <c r="IO9" s="280"/>
      <c r="IP9" s="280"/>
      <c r="IQ9" s="280"/>
      <c r="IR9" s="280"/>
      <c r="IS9" s="280"/>
      <c r="IT9" s="280"/>
      <c r="IU9" s="280"/>
      <c r="IV9" s="280"/>
    </row>
    <row r="10" spans="1:256" ht="15">
      <c r="A10" s="297"/>
      <c r="B10" s="283" t="s">
        <v>161</v>
      </c>
      <c r="C10" s="298"/>
      <c r="D10" s="285">
        <f aca="true" t="shared" si="0" ref="D10:D20">+ROUND(E10*(1+$F$6),3)</f>
        <v>-0.033</v>
      </c>
      <c r="E10" s="294">
        <v>0.07</v>
      </c>
      <c r="F10" s="286">
        <f>-1+D10/E10</f>
        <v>-1.4714285714285715</v>
      </c>
      <c r="G10" s="285">
        <f aca="true" t="shared" si="1" ref="G10:G15">ROUND(+H10*(1+$I$6),2)</f>
        <v>-0.04</v>
      </c>
      <c r="H10" s="285">
        <v>0.05</v>
      </c>
      <c r="I10" s="286">
        <f>-1+G10/H10</f>
        <v>-1.7999999999999998</v>
      </c>
      <c r="J10" s="285">
        <f aca="true" t="shared" si="2" ref="J10:J15">ROUND(+K10*(1+$L$6),2)</f>
        <v>-0.03</v>
      </c>
      <c r="K10" s="285">
        <v>0.06</v>
      </c>
      <c r="L10" s="286">
        <f>-1+J10/K10</f>
        <v>-1.5</v>
      </c>
      <c r="M10" s="280"/>
      <c r="N10" s="280"/>
      <c r="O10" s="280"/>
      <c r="P10" s="280"/>
      <c r="Q10" s="280"/>
      <c r="R10" s="280"/>
      <c r="S10" s="281"/>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c r="DM10" s="280"/>
      <c r="DN10" s="280"/>
      <c r="DO10" s="280"/>
      <c r="DP10" s="280"/>
      <c r="DQ10" s="280"/>
      <c r="DR10" s="280"/>
      <c r="DS10" s="280"/>
      <c r="DT10" s="280"/>
      <c r="DU10" s="280"/>
      <c r="DV10" s="280"/>
      <c r="DW10" s="280"/>
      <c r="DX10" s="280"/>
      <c r="DY10" s="280"/>
      <c r="DZ10" s="280"/>
      <c r="EA10" s="280"/>
      <c r="EB10" s="280"/>
      <c r="EC10" s="280"/>
      <c r="ED10" s="280"/>
      <c r="EE10" s="280"/>
      <c r="EF10" s="280"/>
      <c r="EG10" s="280"/>
      <c r="EH10" s="280"/>
      <c r="EI10" s="280"/>
      <c r="EJ10" s="280"/>
      <c r="EK10" s="280"/>
      <c r="EL10" s="280"/>
      <c r="EM10" s="280"/>
      <c r="EN10" s="280"/>
      <c r="EO10" s="280"/>
      <c r="EP10" s="280"/>
      <c r="EQ10" s="280"/>
      <c r="ER10" s="280"/>
      <c r="ES10" s="280"/>
      <c r="ET10" s="280"/>
      <c r="EU10" s="280"/>
      <c r="EV10" s="280"/>
      <c r="EW10" s="280"/>
      <c r="EX10" s="280"/>
      <c r="EY10" s="280"/>
      <c r="EZ10" s="280"/>
      <c r="FA10" s="280"/>
      <c r="FB10" s="280"/>
      <c r="FC10" s="280"/>
      <c r="FD10" s="280"/>
      <c r="FE10" s="280"/>
      <c r="FF10" s="280"/>
      <c r="FG10" s="280"/>
      <c r="FH10" s="280"/>
      <c r="FI10" s="280"/>
      <c r="FJ10" s="280"/>
      <c r="FK10" s="280"/>
      <c r="FL10" s="280"/>
      <c r="FM10" s="280"/>
      <c r="FN10" s="280"/>
      <c r="FO10" s="280"/>
      <c r="FP10" s="280"/>
      <c r="FQ10" s="280"/>
      <c r="FR10" s="280"/>
      <c r="FS10" s="280"/>
      <c r="FT10" s="280"/>
      <c r="FU10" s="280"/>
      <c r="FV10" s="280"/>
      <c r="FW10" s="280"/>
      <c r="FX10" s="280"/>
      <c r="FY10" s="280"/>
      <c r="FZ10" s="280"/>
      <c r="GA10" s="280"/>
      <c r="GB10" s="280"/>
      <c r="GC10" s="280"/>
      <c r="GD10" s="280"/>
      <c r="GE10" s="280"/>
      <c r="GF10" s="280"/>
      <c r="GG10" s="280"/>
      <c r="GH10" s="280"/>
      <c r="GI10" s="280"/>
      <c r="GJ10" s="280"/>
      <c r="GK10" s="280"/>
      <c r="GL10" s="280"/>
      <c r="GM10" s="280"/>
      <c r="GN10" s="280"/>
      <c r="GO10" s="280"/>
      <c r="GP10" s="280"/>
      <c r="GQ10" s="280"/>
      <c r="GR10" s="280"/>
      <c r="GS10" s="280"/>
      <c r="GT10" s="280"/>
      <c r="GU10" s="280"/>
      <c r="GV10" s="280"/>
      <c r="GW10" s="280"/>
      <c r="GX10" s="280"/>
      <c r="GY10" s="280"/>
      <c r="GZ10" s="280"/>
      <c r="HA10" s="280"/>
      <c r="HB10" s="280"/>
      <c r="HC10" s="280"/>
      <c r="HD10" s="280"/>
      <c r="HE10" s="280"/>
      <c r="HF10" s="280"/>
      <c r="HG10" s="280"/>
      <c r="HH10" s="280"/>
      <c r="HI10" s="280"/>
      <c r="HJ10" s="280"/>
      <c r="HK10" s="280"/>
      <c r="HL10" s="280"/>
      <c r="HM10" s="280"/>
      <c r="HN10" s="280"/>
      <c r="HO10" s="280"/>
      <c r="HP10" s="280"/>
      <c r="HQ10" s="280"/>
      <c r="HR10" s="280"/>
      <c r="HS10" s="280"/>
      <c r="HT10" s="280"/>
      <c r="HU10" s="280"/>
      <c r="HV10" s="280"/>
      <c r="HW10" s="280"/>
      <c r="HX10" s="280"/>
      <c r="HY10" s="280"/>
      <c r="HZ10" s="280"/>
      <c r="IA10" s="280"/>
      <c r="IB10" s="280"/>
      <c r="IC10" s="280"/>
      <c r="ID10" s="280"/>
      <c r="IE10" s="280"/>
      <c r="IF10" s="280"/>
      <c r="IG10" s="280"/>
      <c r="IH10" s="280"/>
      <c r="II10" s="280"/>
      <c r="IJ10" s="280"/>
      <c r="IK10" s="280"/>
      <c r="IL10" s="280"/>
      <c r="IM10" s="280"/>
      <c r="IN10" s="280"/>
      <c r="IO10" s="280"/>
      <c r="IP10" s="280"/>
      <c r="IQ10" s="280"/>
      <c r="IR10" s="280"/>
      <c r="IS10" s="280"/>
      <c r="IT10" s="280"/>
      <c r="IU10" s="280"/>
      <c r="IV10" s="280"/>
    </row>
    <row r="11" spans="1:256" ht="15">
      <c r="A11" s="297"/>
      <c r="B11" s="283" t="s">
        <v>162</v>
      </c>
      <c r="C11" s="298"/>
      <c r="D11" s="285">
        <f t="shared" si="0"/>
        <v>-0.033</v>
      </c>
      <c r="E11" s="294">
        <v>0.07</v>
      </c>
      <c r="F11" s="286">
        <f aca="true" t="shared" si="3" ref="F11:F20">-1+D11/E11</f>
        <v>-1.4714285714285715</v>
      </c>
      <c r="G11" s="285">
        <f t="shared" si="1"/>
        <v>-0.04</v>
      </c>
      <c r="H11" s="285">
        <v>0.05</v>
      </c>
      <c r="I11" s="286">
        <f>-1+G11/H11</f>
        <v>-1.7999999999999998</v>
      </c>
      <c r="J11" s="285">
        <f t="shared" si="2"/>
        <v>-0.03</v>
      </c>
      <c r="K11" s="285">
        <v>0.06</v>
      </c>
      <c r="L11" s="286">
        <f>-1+J11/K11</f>
        <v>-1.5</v>
      </c>
      <c r="M11" s="280"/>
      <c r="N11" s="280"/>
      <c r="O11" s="280"/>
      <c r="P11" s="280"/>
      <c r="Q11" s="280"/>
      <c r="R11" s="280"/>
      <c r="S11" s="281"/>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c r="DM11" s="280"/>
      <c r="DN11" s="280"/>
      <c r="DO11" s="280"/>
      <c r="DP11" s="280"/>
      <c r="DQ11" s="280"/>
      <c r="DR11" s="280"/>
      <c r="DS11" s="280"/>
      <c r="DT11" s="280"/>
      <c r="DU11" s="280"/>
      <c r="DV11" s="280"/>
      <c r="DW11" s="280"/>
      <c r="DX11" s="280"/>
      <c r="DY11" s="280"/>
      <c r="DZ11" s="280"/>
      <c r="EA11" s="280"/>
      <c r="EB11" s="280"/>
      <c r="EC11" s="280"/>
      <c r="ED11" s="280"/>
      <c r="EE11" s="280"/>
      <c r="EF11" s="280"/>
      <c r="EG11" s="280"/>
      <c r="EH11" s="280"/>
      <c r="EI11" s="280"/>
      <c r="EJ11" s="280"/>
      <c r="EK11" s="280"/>
      <c r="EL11" s="280"/>
      <c r="EM11" s="280"/>
      <c r="EN11" s="280"/>
      <c r="EO11" s="280"/>
      <c r="EP11" s="280"/>
      <c r="EQ11" s="280"/>
      <c r="ER11" s="280"/>
      <c r="ES11" s="280"/>
      <c r="ET11" s="280"/>
      <c r="EU11" s="280"/>
      <c r="EV11" s="280"/>
      <c r="EW11" s="280"/>
      <c r="EX11" s="280"/>
      <c r="EY11" s="280"/>
      <c r="EZ11" s="280"/>
      <c r="FA11" s="280"/>
      <c r="FB11" s="280"/>
      <c r="FC11" s="280"/>
      <c r="FD11" s="280"/>
      <c r="FE11" s="280"/>
      <c r="FF11" s="280"/>
      <c r="FG11" s="280"/>
      <c r="FH11" s="280"/>
      <c r="FI11" s="280"/>
      <c r="FJ11" s="280"/>
      <c r="FK11" s="280"/>
      <c r="FL11" s="280"/>
      <c r="FM11" s="280"/>
      <c r="FN11" s="280"/>
      <c r="FO11" s="280"/>
      <c r="FP11" s="280"/>
      <c r="FQ11" s="280"/>
      <c r="FR11" s="280"/>
      <c r="FS11" s="280"/>
      <c r="FT11" s="280"/>
      <c r="FU11" s="280"/>
      <c r="FV11" s="280"/>
      <c r="FW11" s="280"/>
      <c r="FX11" s="280"/>
      <c r="FY11" s="280"/>
      <c r="FZ11" s="280"/>
      <c r="GA11" s="280"/>
      <c r="GB11" s="280"/>
      <c r="GC11" s="280"/>
      <c r="GD11" s="280"/>
      <c r="GE11" s="280"/>
      <c r="GF11" s="280"/>
      <c r="GG11" s="280"/>
      <c r="GH11" s="280"/>
      <c r="GI11" s="280"/>
      <c r="GJ11" s="280"/>
      <c r="GK11" s="280"/>
      <c r="GL11" s="280"/>
      <c r="GM11" s="280"/>
      <c r="GN11" s="280"/>
      <c r="GO11" s="280"/>
      <c r="GP11" s="280"/>
      <c r="GQ11" s="280"/>
      <c r="GR11" s="280"/>
      <c r="GS11" s="280"/>
      <c r="GT11" s="280"/>
      <c r="GU11" s="280"/>
      <c r="GV11" s="280"/>
      <c r="GW11" s="280"/>
      <c r="GX11" s="280"/>
      <c r="GY11" s="280"/>
      <c r="GZ11" s="280"/>
      <c r="HA11" s="280"/>
      <c r="HB11" s="280"/>
      <c r="HC11" s="280"/>
      <c r="HD11" s="280"/>
      <c r="HE11" s="280"/>
      <c r="HF11" s="280"/>
      <c r="HG11" s="280"/>
      <c r="HH11" s="280"/>
      <c r="HI11" s="280"/>
      <c r="HJ11" s="280"/>
      <c r="HK11" s="280"/>
      <c r="HL11" s="280"/>
      <c r="HM11" s="280"/>
      <c r="HN11" s="280"/>
      <c r="HO11" s="280"/>
      <c r="HP11" s="280"/>
      <c r="HQ11" s="280"/>
      <c r="HR11" s="280"/>
      <c r="HS11" s="280"/>
      <c r="HT11" s="280"/>
      <c r="HU11" s="280"/>
      <c r="HV11" s="280"/>
      <c r="HW11" s="280"/>
      <c r="HX11" s="280"/>
      <c r="HY11" s="280"/>
      <c r="HZ11" s="280"/>
      <c r="IA11" s="280"/>
      <c r="IB11" s="280"/>
      <c r="IC11" s="280"/>
      <c r="ID11" s="280"/>
      <c r="IE11" s="280"/>
      <c r="IF11" s="280"/>
      <c r="IG11" s="280"/>
      <c r="IH11" s="280"/>
      <c r="II11" s="280"/>
      <c r="IJ11" s="280"/>
      <c r="IK11" s="280"/>
      <c r="IL11" s="280"/>
      <c r="IM11" s="280"/>
      <c r="IN11" s="280"/>
      <c r="IO11" s="280"/>
      <c r="IP11" s="280"/>
      <c r="IQ11" s="280"/>
      <c r="IR11" s="280"/>
      <c r="IS11" s="280"/>
      <c r="IT11" s="280"/>
      <c r="IU11" s="280"/>
      <c r="IV11" s="280"/>
    </row>
    <row r="12" spans="1:256" ht="15">
      <c r="A12" s="297"/>
      <c r="B12" s="283" t="s">
        <v>163</v>
      </c>
      <c r="C12" s="298"/>
      <c r="D12" s="285">
        <f t="shared" si="0"/>
        <v>-0.067</v>
      </c>
      <c r="E12" s="294">
        <v>0.141</v>
      </c>
      <c r="F12" s="286">
        <f t="shared" si="3"/>
        <v>-1.4751773049645391</v>
      </c>
      <c r="G12" s="285">
        <f t="shared" si="1"/>
        <v>-0.07</v>
      </c>
      <c r="H12" s="285">
        <v>0.1</v>
      </c>
      <c r="I12" s="286">
        <f>-1+G12/H12</f>
        <v>-1.7000000000000002</v>
      </c>
      <c r="J12" s="285">
        <f t="shared" si="2"/>
        <v>-0.05</v>
      </c>
      <c r="K12" s="285">
        <v>0.09</v>
      </c>
      <c r="L12" s="286">
        <f>-1+J12/K12</f>
        <v>-1.5555555555555556</v>
      </c>
      <c r="M12" s="280"/>
      <c r="N12" s="280"/>
      <c r="O12" s="280"/>
      <c r="P12" s="280"/>
      <c r="Q12" s="280"/>
      <c r="R12" s="280"/>
      <c r="S12" s="281"/>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c r="DM12" s="280"/>
      <c r="DN12" s="280"/>
      <c r="DO12" s="280"/>
      <c r="DP12" s="280"/>
      <c r="DQ12" s="280"/>
      <c r="DR12" s="280"/>
      <c r="DS12" s="280"/>
      <c r="DT12" s="280"/>
      <c r="DU12" s="280"/>
      <c r="DV12" s="280"/>
      <c r="DW12" s="280"/>
      <c r="DX12" s="280"/>
      <c r="DY12" s="280"/>
      <c r="DZ12" s="280"/>
      <c r="EA12" s="280"/>
      <c r="EB12" s="280"/>
      <c r="EC12" s="280"/>
      <c r="ED12" s="280"/>
      <c r="EE12" s="280"/>
      <c r="EF12" s="280"/>
      <c r="EG12" s="280"/>
      <c r="EH12" s="280"/>
      <c r="EI12" s="280"/>
      <c r="EJ12" s="280"/>
      <c r="EK12" s="280"/>
      <c r="EL12" s="280"/>
      <c r="EM12" s="280"/>
      <c r="EN12" s="280"/>
      <c r="EO12" s="280"/>
      <c r="EP12" s="280"/>
      <c r="EQ12" s="280"/>
      <c r="ER12" s="280"/>
      <c r="ES12" s="280"/>
      <c r="ET12" s="280"/>
      <c r="EU12" s="280"/>
      <c r="EV12" s="280"/>
      <c r="EW12" s="280"/>
      <c r="EX12" s="280"/>
      <c r="EY12" s="280"/>
      <c r="EZ12" s="280"/>
      <c r="FA12" s="280"/>
      <c r="FB12" s="280"/>
      <c r="FC12" s="280"/>
      <c r="FD12" s="280"/>
      <c r="FE12" s="280"/>
      <c r="FF12" s="280"/>
      <c r="FG12" s="280"/>
      <c r="FH12" s="280"/>
      <c r="FI12" s="280"/>
      <c r="FJ12" s="280"/>
      <c r="FK12" s="280"/>
      <c r="FL12" s="280"/>
      <c r="FM12" s="280"/>
      <c r="FN12" s="280"/>
      <c r="FO12" s="280"/>
      <c r="FP12" s="280"/>
      <c r="FQ12" s="280"/>
      <c r="FR12" s="280"/>
      <c r="FS12" s="280"/>
      <c r="FT12" s="280"/>
      <c r="FU12" s="280"/>
      <c r="FV12" s="280"/>
      <c r="FW12" s="280"/>
      <c r="FX12" s="280"/>
      <c r="FY12" s="280"/>
      <c r="FZ12" s="280"/>
      <c r="GA12" s="280"/>
      <c r="GB12" s="280"/>
      <c r="GC12" s="280"/>
      <c r="GD12" s="280"/>
      <c r="GE12" s="280"/>
      <c r="GF12" s="280"/>
      <c r="GG12" s="280"/>
      <c r="GH12" s="280"/>
      <c r="GI12" s="280"/>
      <c r="GJ12" s="280"/>
      <c r="GK12" s="280"/>
      <c r="GL12" s="280"/>
      <c r="GM12" s="280"/>
      <c r="GN12" s="280"/>
      <c r="GO12" s="280"/>
      <c r="GP12" s="280"/>
      <c r="GQ12" s="280"/>
      <c r="GR12" s="280"/>
      <c r="GS12" s="280"/>
      <c r="GT12" s="280"/>
      <c r="GU12" s="280"/>
      <c r="GV12" s="280"/>
      <c r="GW12" s="280"/>
      <c r="GX12" s="280"/>
      <c r="GY12" s="280"/>
      <c r="GZ12" s="280"/>
      <c r="HA12" s="280"/>
      <c r="HB12" s="280"/>
      <c r="HC12" s="280"/>
      <c r="HD12" s="280"/>
      <c r="HE12" s="280"/>
      <c r="HF12" s="280"/>
      <c r="HG12" s="280"/>
      <c r="HH12" s="280"/>
      <c r="HI12" s="280"/>
      <c r="HJ12" s="280"/>
      <c r="HK12" s="280"/>
      <c r="HL12" s="280"/>
      <c r="HM12" s="280"/>
      <c r="HN12" s="280"/>
      <c r="HO12" s="280"/>
      <c r="HP12" s="280"/>
      <c r="HQ12" s="280"/>
      <c r="HR12" s="280"/>
      <c r="HS12" s="280"/>
      <c r="HT12" s="280"/>
      <c r="HU12" s="280"/>
      <c r="HV12" s="280"/>
      <c r="HW12" s="280"/>
      <c r="HX12" s="280"/>
      <c r="HY12" s="280"/>
      <c r="HZ12" s="280"/>
      <c r="IA12" s="280"/>
      <c r="IB12" s="280"/>
      <c r="IC12" s="280"/>
      <c r="ID12" s="280"/>
      <c r="IE12" s="280"/>
      <c r="IF12" s="280"/>
      <c r="IG12" s="280"/>
      <c r="IH12" s="280"/>
      <c r="II12" s="280"/>
      <c r="IJ12" s="280"/>
      <c r="IK12" s="280"/>
      <c r="IL12" s="280"/>
      <c r="IM12" s="280"/>
      <c r="IN12" s="280"/>
      <c r="IO12" s="280"/>
      <c r="IP12" s="280"/>
      <c r="IQ12" s="280"/>
      <c r="IR12" s="280"/>
      <c r="IS12" s="280"/>
      <c r="IT12" s="280"/>
      <c r="IU12" s="280"/>
      <c r="IV12" s="280"/>
    </row>
    <row r="13" spans="1:256" ht="15">
      <c r="A13" s="297"/>
      <c r="B13" s="283" t="s">
        <v>164</v>
      </c>
      <c r="C13" s="284"/>
      <c r="D13" s="285">
        <f t="shared" si="0"/>
        <v>-0.1</v>
      </c>
      <c r="E13" s="294">
        <v>0.211</v>
      </c>
      <c r="F13" s="286">
        <f t="shared" si="3"/>
        <v>-1.4739336492890995</v>
      </c>
      <c r="G13" s="285">
        <f t="shared" si="1"/>
        <v>-0.11</v>
      </c>
      <c r="H13" s="285">
        <v>0.16</v>
      </c>
      <c r="I13" s="286">
        <f>-1+G13/H13</f>
        <v>-1.6875</v>
      </c>
      <c r="J13" s="285">
        <f t="shared" si="2"/>
        <v>-0.08</v>
      </c>
      <c r="K13" s="285">
        <v>0.14</v>
      </c>
      <c r="L13" s="286">
        <f>-1+J13/K13</f>
        <v>-1.5714285714285714</v>
      </c>
      <c r="M13" s="280"/>
      <c r="N13" s="280"/>
      <c r="O13" s="280"/>
      <c r="P13" s="280"/>
      <c r="Q13" s="280"/>
      <c r="R13" s="280"/>
      <c r="S13" s="281"/>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c r="DM13" s="280"/>
      <c r="DN13" s="280"/>
      <c r="DO13" s="280"/>
      <c r="DP13" s="280"/>
      <c r="DQ13" s="280"/>
      <c r="DR13" s="280"/>
      <c r="DS13" s="280"/>
      <c r="DT13" s="280"/>
      <c r="DU13" s="280"/>
      <c r="DV13" s="280"/>
      <c r="DW13" s="280"/>
      <c r="DX13" s="280"/>
      <c r="DY13" s="280"/>
      <c r="DZ13" s="280"/>
      <c r="EA13" s="280"/>
      <c r="EB13" s="280"/>
      <c r="EC13" s="280"/>
      <c r="ED13" s="280"/>
      <c r="EE13" s="280"/>
      <c r="EF13" s="280"/>
      <c r="EG13" s="280"/>
      <c r="EH13" s="280"/>
      <c r="EI13" s="280"/>
      <c r="EJ13" s="280"/>
      <c r="EK13" s="280"/>
      <c r="EL13" s="280"/>
      <c r="EM13" s="280"/>
      <c r="EN13" s="280"/>
      <c r="EO13" s="280"/>
      <c r="EP13" s="280"/>
      <c r="EQ13" s="280"/>
      <c r="ER13" s="280"/>
      <c r="ES13" s="280"/>
      <c r="ET13" s="280"/>
      <c r="EU13" s="280"/>
      <c r="EV13" s="280"/>
      <c r="EW13" s="280"/>
      <c r="EX13" s="280"/>
      <c r="EY13" s="280"/>
      <c r="EZ13" s="280"/>
      <c r="FA13" s="280"/>
      <c r="FB13" s="280"/>
      <c r="FC13" s="280"/>
      <c r="FD13" s="280"/>
      <c r="FE13" s="280"/>
      <c r="FF13" s="280"/>
      <c r="FG13" s="280"/>
      <c r="FH13" s="280"/>
      <c r="FI13" s="280"/>
      <c r="FJ13" s="280"/>
      <c r="FK13" s="280"/>
      <c r="FL13" s="280"/>
      <c r="FM13" s="280"/>
      <c r="FN13" s="280"/>
      <c r="FO13" s="280"/>
      <c r="FP13" s="280"/>
      <c r="FQ13" s="280"/>
      <c r="FR13" s="280"/>
      <c r="FS13" s="280"/>
      <c r="FT13" s="280"/>
      <c r="FU13" s="280"/>
      <c r="FV13" s="280"/>
      <c r="FW13" s="280"/>
      <c r="FX13" s="280"/>
      <c r="FY13" s="280"/>
      <c r="FZ13" s="280"/>
      <c r="GA13" s="280"/>
      <c r="GB13" s="280"/>
      <c r="GC13" s="280"/>
      <c r="GD13" s="280"/>
      <c r="GE13" s="280"/>
      <c r="GF13" s="280"/>
      <c r="GG13" s="280"/>
      <c r="GH13" s="280"/>
      <c r="GI13" s="280"/>
      <c r="GJ13" s="280"/>
      <c r="GK13" s="280"/>
      <c r="GL13" s="280"/>
      <c r="GM13" s="280"/>
      <c r="GN13" s="280"/>
      <c r="GO13" s="280"/>
      <c r="GP13" s="280"/>
      <c r="GQ13" s="280"/>
      <c r="GR13" s="280"/>
      <c r="GS13" s="280"/>
      <c r="GT13" s="280"/>
      <c r="GU13" s="280"/>
      <c r="GV13" s="280"/>
      <c r="GW13" s="280"/>
      <c r="GX13" s="280"/>
      <c r="GY13" s="280"/>
      <c r="GZ13" s="280"/>
      <c r="HA13" s="280"/>
      <c r="HB13" s="280"/>
      <c r="HC13" s="280"/>
      <c r="HD13" s="280"/>
      <c r="HE13" s="280"/>
      <c r="HF13" s="280"/>
      <c r="HG13" s="280"/>
      <c r="HH13" s="280"/>
      <c r="HI13" s="280"/>
      <c r="HJ13" s="280"/>
      <c r="HK13" s="280"/>
      <c r="HL13" s="280"/>
      <c r="HM13" s="280"/>
      <c r="HN13" s="280"/>
      <c r="HO13" s="280"/>
      <c r="HP13" s="280"/>
      <c r="HQ13" s="280"/>
      <c r="HR13" s="280"/>
      <c r="HS13" s="280"/>
      <c r="HT13" s="280"/>
      <c r="HU13" s="280"/>
      <c r="HV13" s="280"/>
      <c r="HW13" s="280"/>
      <c r="HX13" s="280"/>
      <c r="HY13" s="280"/>
      <c r="HZ13" s="280"/>
      <c r="IA13" s="280"/>
      <c r="IB13" s="280"/>
      <c r="IC13" s="280"/>
      <c r="ID13" s="280"/>
      <c r="IE13" s="280"/>
      <c r="IF13" s="280"/>
      <c r="IG13" s="280"/>
      <c r="IH13" s="280"/>
      <c r="II13" s="280"/>
      <c r="IJ13" s="280"/>
      <c r="IK13" s="280"/>
      <c r="IL13" s="280"/>
      <c r="IM13" s="280"/>
      <c r="IN13" s="280"/>
      <c r="IO13" s="280"/>
      <c r="IP13" s="280"/>
      <c r="IQ13" s="280"/>
      <c r="IR13" s="280"/>
      <c r="IS13" s="280"/>
      <c r="IT13" s="280"/>
      <c r="IU13" s="280"/>
      <c r="IV13" s="280"/>
    </row>
    <row r="14" spans="1:256" ht="15">
      <c r="A14" s="297"/>
      <c r="B14" s="283" t="s">
        <v>165</v>
      </c>
      <c r="C14" s="284"/>
      <c r="D14" s="285">
        <f t="shared" si="0"/>
        <v>-0.217</v>
      </c>
      <c r="E14" s="294">
        <v>0.457</v>
      </c>
      <c r="F14" s="286">
        <f t="shared" si="3"/>
        <v>-1.474835886214442</v>
      </c>
      <c r="G14" s="285">
        <f t="shared" si="1"/>
        <v>-0.26</v>
      </c>
      <c r="H14" s="285">
        <v>0.37</v>
      </c>
      <c r="I14" s="286">
        <f aca="true" t="shared" si="4" ref="I14:I21">-1+G14/H14</f>
        <v>-1.7027027027027026</v>
      </c>
      <c r="J14" s="285">
        <f t="shared" si="2"/>
        <v>-0.16</v>
      </c>
      <c r="K14" s="285">
        <v>0.29</v>
      </c>
      <c r="L14" s="286">
        <f aca="true" t="shared" si="5" ref="L14:L20">-1+J14/K14</f>
        <v>-1.5517241379310347</v>
      </c>
      <c r="M14" s="280"/>
      <c r="N14" s="280"/>
      <c r="O14" s="280"/>
      <c r="P14" s="280"/>
      <c r="Q14" s="280"/>
      <c r="R14" s="280"/>
      <c r="S14" s="281"/>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c r="DM14" s="280"/>
      <c r="DN14" s="280"/>
      <c r="DO14" s="280"/>
      <c r="DP14" s="280"/>
      <c r="DQ14" s="280"/>
      <c r="DR14" s="280"/>
      <c r="DS14" s="280"/>
      <c r="DT14" s="280"/>
      <c r="DU14" s="280"/>
      <c r="DV14" s="280"/>
      <c r="DW14" s="280"/>
      <c r="DX14" s="280"/>
      <c r="DY14" s="280"/>
      <c r="DZ14" s="280"/>
      <c r="EA14" s="280"/>
      <c r="EB14" s="280"/>
      <c r="EC14" s="280"/>
      <c r="ED14" s="280"/>
      <c r="EE14" s="280"/>
      <c r="EF14" s="280"/>
      <c r="EG14" s="280"/>
      <c r="EH14" s="280"/>
      <c r="EI14" s="280"/>
      <c r="EJ14" s="280"/>
      <c r="EK14" s="280"/>
      <c r="EL14" s="280"/>
      <c r="EM14" s="280"/>
      <c r="EN14" s="280"/>
      <c r="EO14" s="280"/>
      <c r="EP14" s="280"/>
      <c r="EQ14" s="280"/>
      <c r="ER14" s="280"/>
      <c r="ES14" s="280"/>
      <c r="ET14" s="280"/>
      <c r="EU14" s="280"/>
      <c r="EV14" s="280"/>
      <c r="EW14" s="280"/>
      <c r="EX14" s="280"/>
      <c r="EY14" s="280"/>
      <c r="EZ14" s="280"/>
      <c r="FA14" s="280"/>
      <c r="FB14" s="280"/>
      <c r="FC14" s="280"/>
      <c r="FD14" s="280"/>
      <c r="FE14" s="280"/>
      <c r="FF14" s="280"/>
      <c r="FG14" s="280"/>
      <c r="FH14" s="280"/>
      <c r="FI14" s="280"/>
      <c r="FJ14" s="280"/>
      <c r="FK14" s="280"/>
      <c r="FL14" s="280"/>
      <c r="FM14" s="280"/>
      <c r="FN14" s="280"/>
      <c r="FO14" s="280"/>
      <c r="FP14" s="280"/>
      <c r="FQ14" s="280"/>
      <c r="FR14" s="280"/>
      <c r="FS14" s="280"/>
      <c r="FT14" s="280"/>
      <c r="FU14" s="280"/>
      <c r="FV14" s="280"/>
      <c r="FW14" s="280"/>
      <c r="FX14" s="280"/>
      <c r="FY14" s="280"/>
      <c r="FZ14" s="280"/>
      <c r="GA14" s="280"/>
      <c r="GB14" s="280"/>
      <c r="GC14" s="280"/>
      <c r="GD14" s="280"/>
      <c r="GE14" s="280"/>
      <c r="GF14" s="280"/>
      <c r="GG14" s="280"/>
      <c r="GH14" s="280"/>
      <c r="GI14" s="280"/>
      <c r="GJ14" s="280"/>
      <c r="GK14" s="280"/>
      <c r="GL14" s="280"/>
      <c r="GM14" s="280"/>
      <c r="GN14" s="280"/>
      <c r="GO14" s="280"/>
      <c r="GP14" s="280"/>
      <c r="GQ14" s="280"/>
      <c r="GR14" s="280"/>
      <c r="GS14" s="280"/>
      <c r="GT14" s="280"/>
      <c r="GU14" s="280"/>
      <c r="GV14" s="280"/>
      <c r="GW14" s="280"/>
      <c r="GX14" s="280"/>
      <c r="GY14" s="280"/>
      <c r="GZ14" s="280"/>
      <c r="HA14" s="280"/>
      <c r="HB14" s="280"/>
      <c r="HC14" s="280"/>
      <c r="HD14" s="280"/>
      <c r="HE14" s="280"/>
      <c r="HF14" s="280"/>
      <c r="HG14" s="280"/>
      <c r="HH14" s="280"/>
      <c r="HI14" s="280"/>
      <c r="HJ14" s="280"/>
      <c r="HK14" s="280"/>
      <c r="HL14" s="280"/>
      <c r="HM14" s="280"/>
      <c r="HN14" s="280"/>
      <c r="HO14" s="280"/>
      <c r="HP14" s="280"/>
      <c r="HQ14" s="280"/>
      <c r="HR14" s="280"/>
      <c r="HS14" s="280"/>
      <c r="HT14" s="280"/>
      <c r="HU14" s="280"/>
      <c r="HV14" s="280"/>
      <c r="HW14" s="280"/>
      <c r="HX14" s="280"/>
      <c r="HY14" s="280"/>
      <c r="HZ14" s="280"/>
      <c r="IA14" s="280"/>
      <c r="IB14" s="280"/>
      <c r="IC14" s="280"/>
      <c r="ID14" s="280"/>
      <c r="IE14" s="280"/>
      <c r="IF14" s="280"/>
      <c r="IG14" s="280"/>
      <c r="IH14" s="280"/>
      <c r="II14" s="280"/>
      <c r="IJ14" s="280"/>
      <c r="IK14" s="280"/>
      <c r="IL14" s="280"/>
      <c r="IM14" s="280"/>
      <c r="IN14" s="280"/>
      <c r="IO14" s="280"/>
      <c r="IP14" s="280"/>
      <c r="IQ14" s="280"/>
      <c r="IR14" s="280"/>
      <c r="IS14" s="280"/>
      <c r="IT14" s="280"/>
      <c r="IU14" s="280"/>
      <c r="IV14" s="280"/>
    </row>
    <row r="15" spans="1:256" ht="15">
      <c r="A15" s="297"/>
      <c r="B15" s="283" t="s">
        <v>166</v>
      </c>
      <c r="C15" s="284"/>
      <c r="D15" s="285">
        <f t="shared" si="0"/>
        <v>-0.334</v>
      </c>
      <c r="E15" s="294">
        <v>0.704</v>
      </c>
      <c r="F15" s="286">
        <f t="shared" si="3"/>
        <v>-1.4744318181818183</v>
      </c>
      <c r="G15" s="285">
        <f t="shared" si="1"/>
        <v>-0.37</v>
      </c>
      <c r="H15" s="285">
        <v>0.52</v>
      </c>
      <c r="I15" s="286">
        <f t="shared" si="4"/>
        <v>-1.7115384615384615</v>
      </c>
      <c r="J15" s="285">
        <f t="shared" si="2"/>
        <v>-0.23</v>
      </c>
      <c r="K15" s="285">
        <v>0.43</v>
      </c>
      <c r="L15" s="286">
        <f t="shared" si="5"/>
        <v>-1.5348837209302326</v>
      </c>
      <c r="M15" s="280"/>
      <c r="N15" s="280"/>
      <c r="O15" s="280"/>
      <c r="P15" s="280"/>
      <c r="Q15" s="280"/>
      <c r="R15" s="280"/>
      <c r="S15" s="281"/>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c r="DM15" s="280"/>
      <c r="DN15" s="280"/>
      <c r="DO15" s="280"/>
      <c r="DP15" s="280"/>
      <c r="DQ15" s="280"/>
      <c r="DR15" s="280"/>
      <c r="DS15" s="280"/>
      <c r="DT15" s="280"/>
      <c r="DU15" s="280"/>
      <c r="DV15" s="280"/>
      <c r="DW15" s="280"/>
      <c r="DX15" s="280"/>
      <c r="DY15" s="280"/>
      <c r="DZ15" s="280"/>
      <c r="EA15" s="280"/>
      <c r="EB15" s="280"/>
      <c r="EC15" s="280"/>
      <c r="ED15" s="280"/>
      <c r="EE15" s="280"/>
      <c r="EF15" s="280"/>
      <c r="EG15" s="280"/>
      <c r="EH15" s="280"/>
      <c r="EI15" s="280"/>
      <c r="EJ15" s="280"/>
      <c r="EK15" s="280"/>
      <c r="EL15" s="280"/>
      <c r="EM15" s="280"/>
      <c r="EN15" s="280"/>
      <c r="EO15" s="280"/>
      <c r="EP15" s="280"/>
      <c r="EQ15" s="280"/>
      <c r="ER15" s="280"/>
      <c r="ES15" s="280"/>
      <c r="ET15" s="280"/>
      <c r="EU15" s="280"/>
      <c r="EV15" s="280"/>
      <c r="EW15" s="280"/>
      <c r="EX15" s="280"/>
      <c r="EY15" s="280"/>
      <c r="EZ15" s="280"/>
      <c r="FA15" s="280"/>
      <c r="FB15" s="280"/>
      <c r="FC15" s="280"/>
      <c r="FD15" s="280"/>
      <c r="FE15" s="280"/>
      <c r="FF15" s="280"/>
      <c r="FG15" s="280"/>
      <c r="FH15" s="280"/>
      <c r="FI15" s="280"/>
      <c r="FJ15" s="280"/>
      <c r="FK15" s="280"/>
      <c r="FL15" s="280"/>
      <c r="FM15" s="280"/>
      <c r="FN15" s="280"/>
      <c r="FO15" s="280"/>
      <c r="FP15" s="280"/>
      <c r="FQ15" s="280"/>
      <c r="FR15" s="280"/>
      <c r="FS15" s="280"/>
      <c r="FT15" s="280"/>
      <c r="FU15" s="280"/>
      <c r="FV15" s="280"/>
      <c r="FW15" s="280"/>
      <c r="FX15" s="280"/>
      <c r="FY15" s="280"/>
      <c r="FZ15" s="280"/>
      <c r="GA15" s="280"/>
      <c r="GB15" s="280"/>
      <c r="GC15" s="280"/>
      <c r="GD15" s="280"/>
      <c r="GE15" s="280"/>
      <c r="GF15" s="280"/>
      <c r="GG15" s="280"/>
      <c r="GH15" s="280"/>
      <c r="GI15" s="280"/>
      <c r="GJ15" s="280"/>
      <c r="GK15" s="280"/>
      <c r="GL15" s="280"/>
      <c r="GM15" s="280"/>
      <c r="GN15" s="280"/>
      <c r="GO15" s="280"/>
      <c r="GP15" s="280"/>
      <c r="GQ15" s="280"/>
      <c r="GR15" s="280"/>
      <c r="GS15" s="280"/>
      <c r="GT15" s="280"/>
      <c r="GU15" s="280"/>
      <c r="GV15" s="280"/>
      <c r="GW15" s="280"/>
      <c r="GX15" s="280"/>
      <c r="GY15" s="280"/>
      <c r="GZ15" s="280"/>
      <c r="HA15" s="280"/>
      <c r="HB15" s="280"/>
      <c r="HC15" s="280"/>
      <c r="HD15" s="280"/>
      <c r="HE15" s="280"/>
      <c r="HF15" s="280"/>
      <c r="HG15" s="280"/>
      <c r="HH15" s="280"/>
      <c r="HI15" s="280"/>
      <c r="HJ15" s="280"/>
      <c r="HK15" s="280"/>
      <c r="HL15" s="280"/>
      <c r="HM15" s="280"/>
      <c r="HN15" s="280"/>
      <c r="HO15" s="280"/>
      <c r="HP15" s="280"/>
      <c r="HQ15" s="280"/>
      <c r="HR15" s="280"/>
      <c r="HS15" s="280"/>
      <c r="HT15" s="280"/>
      <c r="HU15" s="280"/>
      <c r="HV15" s="280"/>
      <c r="HW15" s="280"/>
      <c r="HX15" s="280"/>
      <c r="HY15" s="280"/>
      <c r="HZ15" s="280"/>
      <c r="IA15" s="280"/>
      <c r="IB15" s="280"/>
      <c r="IC15" s="280"/>
      <c r="ID15" s="280"/>
      <c r="IE15" s="280"/>
      <c r="IF15" s="280"/>
      <c r="IG15" s="280"/>
      <c r="IH15" s="280"/>
      <c r="II15" s="280"/>
      <c r="IJ15" s="280"/>
      <c r="IK15" s="280"/>
      <c r="IL15" s="280"/>
      <c r="IM15" s="280"/>
      <c r="IN15" s="280"/>
      <c r="IO15" s="280"/>
      <c r="IP15" s="280"/>
      <c r="IQ15" s="280"/>
      <c r="IR15" s="280"/>
      <c r="IS15" s="280"/>
      <c r="IT15" s="280"/>
      <c r="IU15" s="280"/>
      <c r="IV15" s="280"/>
    </row>
    <row r="16" spans="1:256" ht="15">
      <c r="A16" s="297"/>
      <c r="B16" s="283" t="s">
        <v>167</v>
      </c>
      <c r="C16" s="284"/>
      <c r="D16" s="285">
        <f t="shared" si="0"/>
        <v>-0.45</v>
      </c>
      <c r="E16" s="294">
        <v>0.95</v>
      </c>
      <c r="F16" s="286">
        <f t="shared" si="3"/>
        <v>-1.473684210526316</v>
      </c>
      <c r="G16" s="285">
        <f>+G14*2</f>
        <v>-0.52</v>
      </c>
      <c r="H16" s="285">
        <v>0.74</v>
      </c>
      <c r="I16" s="286">
        <f t="shared" si="4"/>
        <v>-1.7027027027027026</v>
      </c>
      <c r="J16" s="285">
        <f>+J14*2</f>
        <v>-0.32</v>
      </c>
      <c r="K16" s="285">
        <v>0.58</v>
      </c>
      <c r="L16" s="286">
        <f t="shared" si="5"/>
        <v>-1.5517241379310347</v>
      </c>
      <c r="M16" s="280"/>
      <c r="N16" s="280"/>
      <c r="O16" s="280"/>
      <c r="P16" s="280"/>
      <c r="Q16" s="280"/>
      <c r="R16" s="280"/>
      <c r="S16" s="281"/>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c r="DM16" s="280"/>
      <c r="DN16" s="280"/>
      <c r="DO16" s="280"/>
      <c r="DP16" s="280"/>
      <c r="DQ16" s="280"/>
      <c r="DR16" s="280"/>
      <c r="DS16" s="280"/>
      <c r="DT16" s="280"/>
      <c r="DU16" s="280"/>
      <c r="DV16" s="280"/>
      <c r="DW16" s="280"/>
      <c r="DX16" s="280"/>
      <c r="DY16" s="280"/>
      <c r="DZ16" s="280"/>
      <c r="EA16" s="280"/>
      <c r="EB16" s="280"/>
      <c r="EC16" s="280"/>
      <c r="ED16" s="280"/>
      <c r="EE16" s="280"/>
      <c r="EF16" s="280"/>
      <c r="EG16" s="280"/>
      <c r="EH16" s="280"/>
      <c r="EI16" s="280"/>
      <c r="EJ16" s="280"/>
      <c r="EK16" s="280"/>
      <c r="EL16" s="280"/>
      <c r="EM16" s="280"/>
      <c r="EN16" s="280"/>
      <c r="EO16" s="280"/>
      <c r="EP16" s="280"/>
      <c r="EQ16" s="280"/>
      <c r="ER16" s="280"/>
      <c r="ES16" s="280"/>
      <c r="ET16" s="280"/>
      <c r="EU16" s="280"/>
      <c r="EV16" s="280"/>
      <c r="EW16" s="280"/>
      <c r="EX16" s="280"/>
      <c r="EY16" s="280"/>
      <c r="EZ16" s="280"/>
      <c r="FA16" s="280"/>
      <c r="FB16" s="280"/>
      <c r="FC16" s="280"/>
      <c r="FD16" s="280"/>
      <c r="FE16" s="280"/>
      <c r="FF16" s="280"/>
      <c r="FG16" s="280"/>
      <c r="FH16" s="280"/>
      <c r="FI16" s="280"/>
      <c r="FJ16" s="280"/>
      <c r="FK16" s="280"/>
      <c r="FL16" s="280"/>
      <c r="FM16" s="280"/>
      <c r="FN16" s="280"/>
      <c r="FO16" s="280"/>
      <c r="FP16" s="280"/>
      <c r="FQ16" s="280"/>
      <c r="FR16" s="280"/>
      <c r="FS16" s="280"/>
      <c r="FT16" s="280"/>
      <c r="FU16" s="280"/>
      <c r="FV16" s="280"/>
      <c r="FW16" s="280"/>
      <c r="FX16" s="280"/>
      <c r="FY16" s="280"/>
      <c r="FZ16" s="280"/>
      <c r="GA16" s="280"/>
      <c r="GB16" s="280"/>
      <c r="GC16" s="280"/>
      <c r="GD16" s="280"/>
      <c r="GE16" s="280"/>
      <c r="GF16" s="280"/>
      <c r="GG16" s="280"/>
      <c r="GH16" s="280"/>
      <c r="GI16" s="280"/>
      <c r="GJ16" s="280"/>
      <c r="GK16" s="280"/>
      <c r="GL16" s="280"/>
      <c r="GM16" s="280"/>
      <c r="GN16" s="280"/>
      <c r="GO16" s="280"/>
      <c r="GP16" s="280"/>
      <c r="GQ16" s="280"/>
      <c r="GR16" s="280"/>
      <c r="GS16" s="280"/>
      <c r="GT16" s="280"/>
      <c r="GU16" s="280"/>
      <c r="GV16" s="280"/>
      <c r="GW16" s="280"/>
      <c r="GX16" s="280"/>
      <c r="GY16" s="280"/>
      <c r="GZ16" s="280"/>
      <c r="HA16" s="280"/>
      <c r="HB16" s="280"/>
      <c r="HC16" s="280"/>
      <c r="HD16" s="280"/>
      <c r="HE16" s="280"/>
      <c r="HF16" s="280"/>
      <c r="HG16" s="280"/>
      <c r="HH16" s="280"/>
      <c r="HI16" s="280"/>
      <c r="HJ16" s="280"/>
      <c r="HK16" s="280"/>
      <c r="HL16" s="280"/>
      <c r="HM16" s="280"/>
      <c r="HN16" s="280"/>
      <c r="HO16" s="280"/>
      <c r="HP16" s="280"/>
      <c r="HQ16" s="280"/>
      <c r="HR16" s="280"/>
      <c r="HS16" s="280"/>
      <c r="HT16" s="280"/>
      <c r="HU16" s="280"/>
      <c r="HV16" s="280"/>
      <c r="HW16" s="280"/>
      <c r="HX16" s="280"/>
      <c r="HY16" s="280"/>
      <c r="HZ16" s="280"/>
      <c r="IA16" s="280"/>
      <c r="IB16" s="280"/>
      <c r="IC16" s="280"/>
      <c r="ID16" s="280"/>
      <c r="IE16" s="280"/>
      <c r="IF16" s="280"/>
      <c r="IG16" s="280"/>
      <c r="IH16" s="280"/>
      <c r="II16" s="280"/>
      <c r="IJ16" s="280"/>
      <c r="IK16" s="280"/>
      <c r="IL16" s="280"/>
      <c r="IM16" s="280"/>
      <c r="IN16" s="280"/>
      <c r="IO16" s="280"/>
      <c r="IP16" s="280"/>
      <c r="IQ16" s="280"/>
      <c r="IR16" s="280"/>
      <c r="IS16" s="280"/>
      <c r="IT16" s="280"/>
      <c r="IU16" s="280"/>
      <c r="IV16" s="280"/>
    </row>
    <row r="17" spans="1:256" ht="15">
      <c r="A17" s="297"/>
      <c r="B17" s="283" t="s">
        <v>168</v>
      </c>
      <c r="C17" s="284"/>
      <c r="D17" s="285">
        <f t="shared" si="0"/>
        <v>-0.667</v>
      </c>
      <c r="E17" s="294">
        <v>1.407</v>
      </c>
      <c r="F17" s="286">
        <f t="shared" si="3"/>
        <v>-1.4740582800284292</v>
      </c>
      <c r="G17" s="285">
        <f>+G14*3</f>
        <v>-0.78</v>
      </c>
      <c r="H17" s="285">
        <v>1.1099999999999999</v>
      </c>
      <c r="I17" s="286">
        <f t="shared" si="4"/>
        <v>-1.7027027027027029</v>
      </c>
      <c r="J17" s="285">
        <f>+J14*3</f>
        <v>-0.48</v>
      </c>
      <c r="K17" s="285">
        <v>0.8699999999999999</v>
      </c>
      <c r="L17" s="286">
        <f t="shared" si="5"/>
        <v>-1.5517241379310347</v>
      </c>
      <c r="M17" s="280"/>
      <c r="N17" s="280"/>
      <c r="O17" s="280"/>
      <c r="P17" s="280"/>
      <c r="Q17" s="280"/>
      <c r="R17" s="280"/>
      <c r="S17" s="281"/>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c r="DM17" s="280"/>
      <c r="DN17" s="280"/>
      <c r="DO17" s="280"/>
      <c r="DP17" s="280"/>
      <c r="DQ17" s="280"/>
      <c r="DR17" s="280"/>
      <c r="DS17" s="280"/>
      <c r="DT17" s="280"/>
      <c r="DU17" s="280"/>
      <c r="DV17" s="280"/>
      <c r="DW17" s="280"/>
      <c r="DX17" s="280"/>
      <c r="DY17" s="280"/>
      <c r="DZ17" s="280"/>
      <c r="EA17" s="280"/>
      <c r="EB17" s="280"/>
      <c r="EC17" s="280"/>
      <c r="ED17" s="280"/>
      <c r="EE17" s="280"/>
      <c r="EF17" s="280"/>
      <c r="EG17" s="280"/>
      <c r="EH17" s="280"/>
      <c r="EI17" s="280"/>
      <c r="EJ17" s="280"/>
      <c r="EK17" s="280"/>
      <c r="EL17" s="280"/>
      <c r="EM17" s="280"/>
      <c r="EN17" s="280"/>
      <c r="EO17" s="280"/>
      <c r="EP17" s="280"/>
      <c r="EQ17" s="280"/>
      <c r="ER17" s="280"/>
      <c r="ES17" s="280"/>
      <c r="ET17" s="280"/>
      <c r="EU17" s="280"/>
      <c r="EV17" s="280"/>
      <c r="EW17" s="280"/>
      <c r="EX17" s="280"/>
      <c r="EY17" s="280"/>
      <c r="EZ17" s="280"/>
      <c r="FA17" s="280"/>
      <c r="FB17" s="280"/>
      <c r="FC17" s="280"/>
      <c r="FD17" s="280"/>
      <c r="FE17" s="280"/>
      <c r="FF17" s="280"/>
      <c r="FG17" s="280"/>
      <c r="FH17" s="280"/>
      <c r="FI17" s="280"/>
      <c r="FJ17" s="280"/>
      <c r="FK17" s="280"/>
      <c r="FL17" s="280"/>
      <c r="FM17" s="280"/>
      <c r="FN17" s="280"/>
      <c r="FO17" s="280"/>
      <c r="FP17" s="280"/>
      <c r="FQ17" s="280"/>
      <c r="FR17" s="280"/>
      <c r="FS17" s="280"/>
      <c r="FT17" s="280"/>
      <c r="FU17" s="280"/>
      <c r="FV17" s="280"/>
      <c r="FW17" s="280"/>
      <c r="FX17" s="280"/>
      <c r="FY17" s="280"/>
      <c r="FZ17" s="280"/>
      <c r="GA17" s="280"/>
      <c r="GB17" s="280"/>
      <c r="GC17" s="280"/>
      <c r="GD17" s="280"/>
      <c r="GE17" s="280"/>
      <c r="GF17" s="280"/>
      <c r="GG17" s="280"/>
      <c r="GH17" s="280"/>
      <c r="GI17" s="280"/>
      <c r="GJ17" s="280"/>
      <c r="GK17" s="280"/>
      <c r="GL17" s="280"/>
      <c r="GM17" s="280"/>
      <c r="GN17" s="280"/>
      <c r="GO17" s="280"/>
      <c r="GP17" s="280"/>
      <c r="GQ17" s="280"/>
      <c r="GR17" s="280"/>
      <c r="GS17" s="280"/>
      <c r="GT17" s="280"/>
      <c r="GU17" s="280"/>
      <c r="GV17" s="280"/>
      <c r="GW17" s="280"/>
      <c r="GX17" s="280"/>
      <c r="GY17" s="280"/>
      <c r="GZ17" s="280"/>
      <c r="HA17" s="280"/>
      <c r="HB17" s="280"/>
      <c r="HC17" s="280"/>
      <c r="HD17" s="280"/>
      <c r="HE17" s="280"/>
      <c r="HF17" s="280"/>
      <c r="HG17" s="280"/>
      <c r="HH17" s="280"/>
      <c r="HI17" s="280"/>
      <c r="HJ17" s="280"/>
      <c r="HK17" s="280"/>
      <c r="HL17" s="280"/>
      <c r="HM17" s="280"/>
      <c r="HN17" s="280"/>
      <c r="HO17" s="280"/>
      <c r="HP17" s="280"/>
      <c r="HQ17" s="280"/>
      <c r="HR17" s="280"/>
      <c r="HS17" s="280"/>
      <c r="HT17" s="280"/>
      <c r="HU17" s="280"/>
      <c r="HV17" s="280"/>
      <c r="HW17" s="280"/>
      <c r="HX17" s="280"/>
      <c r="HY17" s="280"/>
      <c r="HZ17" s="280"/>
      <c r="IA17" s="280"/>
      <c r="IB17" s="280"/>
      <c r="IC17" s="280"/>
      <c r="ID17" s="280"/>
      <c r="IE17" s="280"/>
      <c r="IF17" s="280"/>
      <c r="IG17" s="280"/>
      <c r="IH17" s="280"/>
      <c r="II17" s="280"/>
      <c r="IJ17" s="280"/>
      <c r="IK17" s="280"/>
      <c r="IL17" s="280"/>
      <c r="IM17" s="280"/>
      <c r="IN17" s="280"/>
      <c r="IO17" s="280"/>
      <c r="IP17" s="280"/>
      <c r="IQ17" s="280"/>
      <c r="IR17" s="280"/>
      <c r="IS17" s="280"/>
      <c r="IT17" s="280"/>
      <c r="IU17" s="280"/>
      <c r="IV17" s="280"/>
    </row>
    <row r="18" spans="1:256" ht="15">
      <c r="A18" s="297"/>
      <c r="B18" s="283" t="s">
        <v>169</v>
      </c>
      <c r="C18" s="284"/>
      <c r="D18" s="285">
        <f t="shared" si="0"/>
        <v>-0.884</v>
      </c>
      <c r="E18" s="294">
        <v>1.865</v>
      </c>
      <c r="F18" s="286">
        <f t="shared" si="3"/>
        <v>-1.473994638069705</v>
      </c>
      <c r="G18" s="285">
        <f>+G14*4</f>
        <v>-1.04</v>
      </c>
      <c r="H18" s="285">
        <v>1.48</v>
      </c>
      <c r="I18" s="286">
        <f t="shared" si="4"/>
        <v>-1.7027027027027026</v>
      </c>
      <c r="J18" s="285">
        <f>+J14*4</f>
        <v>-0.64</v>
      </c>
      <c r="K18" s="285">
        <v>1.16</v>
      </c>
      <c r="L18" s="286">
        <f t="shared" si="5"/>
        <v>-1.5517241379310347</v>
      </c>
      <c r="M18" s="280"/>
      <c r="N18" s="280"/>
      <c r="O18" s="280"/>
      <c r="P18" s="280"/>
      <c r="Q18" s="280"/>
      <c r="R18" s="280"/>
      <c r="S18" s="281"/>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c r="DM18" s="280"/>
      <c r="DN18" s="280"/>
      <c r="DO18" s="280"/>
      <c r="DP18" s="280"/>
      <c r="DQ18" s="280"/>
      <c r="DR18" s="280"/>
      <c r="DS18" s="280"/>
      <c r="DT18" s="280"/>
      <c r="DU18" s="280"/>
      <c r="DV18" s="280"/>
      <c r="DW18" s="280"/>
      <c r="DX18" s="280"/>
      <c r="DY18" s="280"/>
      <c r="DZ18" s="280"/>
      <c r="EA18" s="280"/>
      <c r="EB18" s="280"/>
      <c r="EC18" s="280"/>
      <c r="ED18" s="280"/>
      <c r="EE18" s="280"/>
      <c r="EF18" s="280"/>
      <c r="EG18" s="280"/>
      <c r="EH18" s="280"/>
      <c r="EI18" s="280"/>
      <c r="EJ18" s="280"/>
      <c r="EK18" s="280"/>
      <c r="EL18" s="280"/>
      <c r="EM18" s="280"/>
      <c r="EN18" s="280"/>
      <c r="EO18" s="280"/>
      <c r="EP18" s="280"/>
      <c r="EQ18" s="280"/>
      <c r="ER18" s="280"/>
      <c r="ES18" s="280"/>
      <c r="ET18" s="280"/>
      <c r="EU18" s="280"/>
      <c r="EV18" s="280"/>
      <c r="EW18" s="280"/>
      <c r="EX18" s="280"/>
      <c r="EY18" s="280"/>
      <c r="EZ18" s="280"/>
      <c r="FA18" s="280"/>
      <c r="FB18" s="280"/>
      <c r="FC18" s="280"/>
      <c r="FD18" s="280"/>
      <c r="FE18" s="280"/>
      <c r="FF18" s="280"/>
      <c r="FG18" s="280"/>
      <c r="FH18" s="280"/>
      <c r="FI18" s="280"/>
      <c r="FJ18" s="280"/>
      <c r="FK18" s="280"/>
      <c r="FL18" s="280"/>
      <c r="FM18" s="280"/>
      <c r="FN18" s="280"/>
      <c r="FO18" s="280"/>
      <c r="FP18" s="280"/>
      <c r="FQ18" s="280"/>
      <c r="FR18" s="280"/>
      <c r="FS18" s="280"/>
      <c r="FT18" s="280"/>
      <c r="FU18" s="280"/>
      <c r="FV18" s="280"/>
      <c r="FW18" s="280"/>
      <c r="FX18" s="280"/>
      <c r="FY18" s="280"/>
      <c r="FZ18" s="280"/>
      <c r="GA18" s="280"/>
      <c r="GB18" s="280"/>
      <c r="GC18" s="280"/>
      <c r="GD18" s="280"/>
      <c r="GE18" s="280"/>
      <c r="GF18" s="280"/>
      <c r="GG18" s="280"/>
      <c r="GH18" s="280"/>
      <c r="GI18" s="280"/>
      <c r="GJ18" s="280"/>
      <c r="GK18" s="280"/>
      <c r="GL18" s="280"/>
      <c r="GM18" s="280"/>
      <c r="GN18" s="280"/>
      <c r="GO18" s="280"/>
      <c r="GP18" s="280"/>
      <c r="GQ18" s="280"/>
      <c r="GR18" s="280"/>
      <c r="GS18" s="280"/>
      <c r="GT18" s="280"/>
      <c r="GU18" s="280"/>
      <c r="GV18" s="280"/>
      <c r="GW18" s="280"/>
      <c r="GX18" s="280"/>
      <c r="GY18" s="280"/>
      <c r="GZ18" s="280"/>
      <c r="HA18" s="280"/>
      <c r="HB18" s="280"/>
      <c r="HC18" s="280"/>
      <c r="HD18" s="280"/>
      <c r="HE18" s="280"/>
      <c r="HF18" s="280"/>
      <c r="HG18" s="280"/>
      <c r="HH18" s="280"/>
      <c r="HI18" s="280"/>
      <c r="HJ18" s="280"/>
      <c r="HK18" s="280"/>
      <c r="HL18" s="280"/>
      <c r="HM18" s="280"/>
      <c r="HN18" s="280"/>
      <c r="HO18" s="280"/>
      <c r="HP18" s="280"/>
      <c r="HQ18" s="280"/>
      <c r="HR18" s="280"/>
      <c r="HS18" s="280"/>
      <c r="HT18" s="280"/>
      <c r="HU18" s="280"/>
      <c r="HV18" s="280"/>
      <c r="HW18" s="280"/>
      <c r="HX18" s="280"/>
      <c r="HY18" s="280"/>
      <c r="HZ18" s="280"/>
      <c r="IA18" s="280"/>
      <c r="IB18" s="280"/>
      <c r="IC18" s="280"/>
      <c r="ID18" s="280"/>
      <c r="IE18" s="280"/>
      <c r="IF18" s="280"/>
      <c r="IG18" s="280"/>
      <c r="IH18" s="280"/>
      <c r="II18" s="280"/>
      <c r="IJ18" s="280"/>
      <c r="IK18" s="280"/>
      <c r="IL18" s="280"/>
      <c r="IM18" s="280"/>
      <c r="IN18" s="280"/>
      <c r="IO18" s="280"/>
      <c r="IP18" s="280"/>
      <c r="IQ18" s="280"/>
      <c r="IR18" s="280"/>
      <c r="IS18" s="280"/>
      <c r="IT18" s="280"/>
      <c r="IU18" s="280"/>
      <c r="IV18" s="280"/>
    </row>
    <row r="19" spans="1:256" ht="15">
      <c r="A19" s="297"/>
      <c r="B19" s="283" t="s">
        <v>170</v>
      </c>
      <c r="C19" s="284"/>
      <c r="D19" s="285">
        <f t="shared" si="0"/>
        <v>-1.334</v>
      </c>
      <c r="E19" s="294">
        <v>2.815</v>
      </c>
      <c r="F19" s="286">
        <f t="shared" si="3"/>
        <v>-1.4738898756660745</v>
      </c>
      <c r="G19" s="285">
        <f>+G14*6</f>
        <v>-1.56</v>
      </c>
      <c r="H19" s="285">
        <v>2.2199999999999998</v>
      </c>
      <c r="I19" s="286">
        <f t="shared" si="4"/>
        <v>-1.7027027027027029</v>
      </c>
      <c r="J19" s="285">
        <f>+J14*6</f>
        <v>-0.96</v>
      </c>
      <c r="K19" s="285">
        <v>1.7399999999999998</v>
      </c>
      <c r="L19" s="286">
        <f t="shared" si="5"/>
        <v>-1.5517241379310347</v>
      </c>
      <c r="M19" s="280"/>
      <c r="N19" s="280"/>
      <c r="O19" s="280"/>
      <c r="P19" s="280"/>
      <c r="Q19" s="280"/>
      <c r="R19" s="280"/>
      <c r="S19" s="281"/>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c r="DM19" s="280"/>
      <c r="DN19" s="280"/>
      <c r="DO19" s="280"/>
      <c r="DP19" s="280"/>
      <c r="DQ19" s="280"/>
      <c r="DR19" s="280"/>
      <c r="DS19" s="280"/>
      <c r="DT19" s="280"/>
      <c r="DU19" s="280"/>
      <c r="DV19" s="280"/>
      <c r="DW19" s="280"/>
      <c r="DX19" s="280"/>
      <c r="DY19" s="280"/>
      <c r="DZ19" s="280"/>
      <c r="EA19" s="280"/>
      <c r="EB19" s="280"/>
      <c r="EC19" s="280"/>
      <c r="ED19" s="280"/>
      <c r="EE19" s="280"/>
      <c r="EF19" s="280"/>
      <c r="EG19" s="280"/>
      <c r="EH19" s="280"/>
      <c r="EI19" s="280"/>
      <c r="EJ19" s="280"/>
      <c r="EK19" s="280"/>
      <c r="EL19" s="280"/>
      <c r="EM19" s="280"/>
      <c r="EN19" s="280"/>
      <c r="EO19" s="280"/>
      <c r="EP19" s="280"/>
      <c r="EQ19" s="280"/>
      <c r="ER19" s="280"/>
      <c r="ES19" s="280"/>
      <c r="ET19" s="280"/>
      <c r="EU19" s="280"/>
      <c r="EV19" s="280"/>
      <c r="EW19" s="280"/>
      <c r="EX19" s="280"/>
      <c r="EY19" s="280"/>
      <c r="EZ19" s="280"/>
      <c r="FA19" s="280"/>
      <c r="FB19" s="280"/>
      <c r="FC19" s="280"/>
      <c r="FD19" s="280"/>
      <c r="FE19" s="280"/>
      <c r="FF19" s="280"/>
      <c r="FG19" s="280"/>
      <c r="FH19" s="280"/>
      <c r="FI19" s="280"/>
      <c r="FJ19" s="280"/>
      <c r="FK19" s="280"/>
      <c r="FL19" s="280"/>
      <c r="FM19" s="280"/>
      <c r="FN19" s="280"/>
      <c r="FO19" s="280"/>
      <c r="FP19" s="280"/>
      <c r="FQ19" s="280"/>
      <c r="FR19" s="280"/>
      <c r="FS19" s="280"/>
      <c r="FT19" s="280"/>
      <c r="FU19" s="280"/>
      <c r="FV19" s="280"/>
      <c r="FW19" s="280"/>
      <c r="FX19" s="280"/>
      <c r="FY19" s="280"/>
      <c r="FZ19" s="280"/>
      <c r="GA19" s="280"/>
      <c r="GB19" s="280"/>
      <c r="GC19" s="280"/>
      <c r="GD19" s="280"/>
      <c r="GE19" s="280"/>
      <c r="GF19" s="280"/>
      <c r="GG19" s="280"/>
      <c r="GH19" s="280"/>
      <c r="GI19" s="280"/>
      <c r="GJ19" s="280"/>
      <c r="GK19" s="280"/>
      <c r="GL19" s="280"/>
      <c r="GM19" s="280"/>
      <c r="GN19" s="280"/>
      <c r="GO19" s="280"/>
      <c r="GP19" s="280"/>
      <c r="GQ19" s="280"/>
      <c r="GR19" s="280"/>
      <c r="GS19" s="280"/>
      <c r="GT19" s="280"/>
      <c r="GU19" s="280"/>
      <c r="GV19" s="280"/>
      <c r="GW19" s="280"/>
      <c r="GX19" s="280"/>
      <c r="GY19" s="280"/>
      <c r="GZ19" s="280"/>
      <c r="HA19" s="280"/>
      <c r="HB19" s="280"/>
      <c r="HC19" s="280"/>
      <c r="HD19" s="280"/>
      <c r="HE19" s="280"/>
      <c r="HF19" s="280"/>
      <c r="HG19" s="280"/>
      <c r="HH19" s="280"/>
      <c r="HI19" s="280"/>
      <c r="HJ19" s="280"/>
      <c r="HK19" s="280"/>
      <c r="HL19" s="280"/>
      <c r="HM19" s="280"/>
      <c r="HN19" s="280"/>
      <c r="HO19" s="280"/>
      <c r="HP19" s="280"/>
      <c r="HQ19" s="280"/>
      <c r="HR19" s="280"/>
      <c r="HS19" s="280"/>
      <c r="HT19" s="280"/>
      <c r="HU19" s="280"/>
      <c r="HV19" s="280"/>
      <c r="HW19" s="280"/>
      <c r="HX19" s="280"/>
      <c r="HY19" s="280"/>
      <c r="HZ19" s="280"/>
      <c r="IA19" s="280"/>
      <c r="IB19" s="280"/>
      <c r="IC19" s="280"/>
      <c r="ID19" s="280"/>
      <c r="IE19" s="280"/>
      <c r="IF19" s="280"/>
      <c r="IG19" s="280"/>
      <c r="IH19" s="280"/>
      <c r="II19" s="280"/>
      <c r="IJ19" s="280"/>
      <c r="IK19" s="280"/>
      <c r="IL19" s="280"/>
      <c r="IM19" s="280"/>
      <c r="IN19" s="280"/>
      <c r="IO19" s="280"/>
      <c r="IP19" s="280"/>
      <c r="IQ19" s="280"/>
      <c r="IR19" s="280"/>
      <c r="IS19" s="280"/>
      <c r="IT19" s="280"/>
      <c r="IU19" s="280"/>
      <c r="IV19" s="280"/>
    </row>
    <row r="20" spans="1:256" ht="15">
      <c r="A20" s="297"/>
      <c r="B20" s="283" t="s">
        <v>171</v>
      </c>
      <c r="C20" s="284"/>
      <c r="D20" s="285">
        <f t="shared" si="0"/>
        <v>-1.767</v>
      </c>
      <c r="E20" s="294">
        <v>3.73</v>
      </c>
      <c r="F20" s="286">
        <f t="shared" si="3"/>
        <v>-1.4737265415549596</v>
      </c>
      <c r="G20" s="285">
        <f>+G14*8</f>
        <v>-2.08</v>
      </c>
      <c r="H20" s="285">
        <v>2.96</v>
      </c>
      <c r="I20" s="286">
        <f t="shared" si="4"/>
        <v>-1.7027027027027026</v>
      </c>
      <c r="J20" s="285">
        <f>+J14*8</f>
        <v>-1.28</v>
      </c>
      <c r="K20" s="285">
        <v>2.32</v>
      </c>
      <c r="L20" s="286">
        <f t="shared" si="5"/>
        <v>-1.5517241379310347</v>
      </c>
      <c r="M20" s="280"/>
      <c r="N20" s="280"/>
      <c r="O20" s="280"/>
      <c r="P20" s="280"/>
      <c r="Q20" s="280"/>
      <c r="R20" s="280"/>
      <c r="S20" s="281"/>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c r="DM20" s="280"/>
      <c r="DN20" s="280"/>
      <c r="DO20" s="280"/>
      <c r="DP20" s="280"/>
      <c r="DQ20" s="280"/>
      <c r="DR20" s="280"/>
      <c r="DS20" s="280"/>
      <c r="DT20" s="280"/>
      <c r="DU20" s="280"/>
      <c r="DV20" s="280"/>
      <c r="DW20" s="280"/>
      <c r="DX20" s="280"/>
      <c r="DY20" s="280"/>
      <c r="DZ20" s="280"/>
      <c r="EA20" s="280"/>
      <c r="EB20" s="280"/>
      <c r="EC20" s="280"/>
      <c r="ED20" s="280"/>
      <c r="EE20" s="280"/>
      <c r="EF20" s="280"/>
      <c r="EG20" s="280"/>
      <c r="EH20" s="280"/>
      <c r="EI20" s="280"/>
      <c r="EJ20" s="280"/>
      <c r="EK20" s="280"/>
      <c r="EL20" s="280"/>
      <c r="EM20" s="280"/>
      <c r="EN20" s="280"/>
      <c r="EO20" s="280"/>
      <c r="EP20" s="280"/>
      <c r="EQ20" s="280"/>
      <c r="ER20" s="280"/>
      <c r="ES20" s="280"/>
      <c r="ET20" s="280"/>
      <c r="EU20" s="280"/>
      <c r="EV20" s="280"/>
      <c r="EW20" s="280"/>
      <c r="EX20" s="280"/>
      <c r="EY20" s="280"/>
      <c r="EZ20" s="280"/>
      <c r="FA20" s="280"/>
      <c r="FB20" s="280"/>
      <c r="FC20" s="280"/>
      <c r="FD20" s="280"/>
      <c r="FE20" s="280"/>
      <c r="FF20" s="280"/>
      <c r="FG20" s="280"/>
      <c r="FH20" s="280"/>
      <c r="FI20" s="280"/>
      <c r="FJ20" s="280"/>
      <c r="FK20" s="280"/>
      <c r="FL20" s="280"/>
      <c r="FM20" s="280"/>
      <c r="FN20" s="280"/>
      <c r="FO20" s="280"/>
      <c r="FP20" s="280"/>
      <c r="FQ20" s="280"/>
      <c r="FR20" s="280"/>
      <c r="FS20" s="280"/>
      <c r="FT20" s="280"/>
      <c r="FU20" s="280"/>
      <c r="FV20" s="280"/>
      <c r="FW20" s="280"/>
      <c r="FX20" s="280"/>
      <c r="FY20" s="280"/>
      <c r="FZ20" s="280"/>
      <c r="GA20" s="280"/>
      <c r="GB20" s="280"/>
      <c r="GC20" s="280"/>
      <c r="GD20" s="280"/>
      <c r="GE20" s="280"/>
      <c r="GF20" s="280"/>
      <c r="GG20" s="280"/>
      <c r="GH20" s="280"/>
      <c r="GI20" s="280"/>
      <c r="GJ20" s="280"/>
      <c r="GK20" s="280"/>
      <c r="GL20" s="280"/>
      <c r="GM20" s="280"/>
      <c r="GN20" s="280"/>
      <c r="GO20" s="280"/>
      <c r="GP20" s="280"/>
      <c r="GQ20" s="280"/>
      <c r="GR20" s="280"/>
      <c r="GS20" s="280"/>
      <c r="GT20" s="280"/>
      <c r="GU20" s="280"/>
      <c r="GV20" s="280"/>
      <c r="GW20" s="280"/>
      <c r="GX20" s="280"/>
      <c r="GY20" s="280"/>
      <c r="GZ20" s="280"/>
      <c r="HA20" s="280"/>
      <c r="HB20" s="280"/>
      <c r="HC20" s="280"/>
      <c r="HD20" s="280"/>
      <c r="HE20" s="280"/>
      <c r="HF20" s="280"/>
      <c r="HG20" s="280"/>
      <c r="HH20" s="280"/>
      <c r="HI20" s="280"/>
      <c r="HJ20" s="280"/>
      <c r="HK20" s="280"/>
      <c r="HL20" s="280"/>
      <c r="HM20" s="280"/>
      <c r="HN20" s="280"/>
      <c r="HO20" s="280"/>
      <c r="HP20" s="280"/>
      <c r="HQ20" s="280"/>
      <c r="HR20" s="280"/>
      <c r="HS20" s="280"/>
      <c r="HT20" s="280"/>
      <c r="HU20" s="280"/>
      <c r="HV20" s="280"/>
      <c r="HW20" s="280"/>
      <c r="HX20" s="280"/>
      <c r="HY20" s="280"/>
      <c r="HZ20" s="280"/>
      <c r="IA20" s="280"/>
      <c r="IB20" s="280"/>
      <c r="IC20" s="280"/>
      <c r="ID20" s="280"/>
      <c r="IE20" s="280"/>
      <c r="IF20" s="280"/>
      <c r="IG20" s="280"/>
      <c r="IH20" s="280"/>
      <c r="II20" s="280"/>
      <c r="IJ20" s="280"/>
      <c r="IK20" s="280"/>
      <c r="IL20" s="280"/>
      <c r="IM20" s="280"/>
      <c r="IN20" s="280"/>
      <c r="IO20" s="280"/>
      <c r="IP20" s="280"/>
      <c r="IQ20" s="280"/>
      <c r="IR20" s="280"/>
      <c r="IS20" s="280"/>
      <c r="IT20" s="280"/>
      <c r="IU20" s="280"/>
      <c r="IV20" s="280"/>
    </row>
    <row r="21" spans="1:256" ht="15">
      <c r="A21" s="297"/>
      <c r="B21" s="283" t="s">
        <v>172</v>
      </c>
      <c r="C21" s="284"/>
      <c r="D21" s="293"/>
      <c r="E21" s="285"/>
      <c r="F21" s="293"/>
      <c r="G21" s="285">
        <f>ROUND(+H21*(1+$I$6),1)</f>
        <v>-4.1</v>
      </c>
      <c r="H21" s="285">
        <v>5.7</v>
      </c>
      <c r="I21" s="286">
        <f t="shared" si="4"/>
        <v>-1.719298245614035</v>
      </c>
      <c r="J21" s="285"/>
      <c r="K21" s="285"/>
      <c r="L21" s="286"/>
      <c r="M21" s="280"/>
      <c r="N21" s="280"/>
      <c r="O21" s="280"/>
      <c r="P21" s="280"/>
      <c r="Q21" s="280"/>
      <c r="R21" s="280"/>
      <c r="S21" s="281"/>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0"/>
      <c r="DM21" s="280"/>
      <c r="DN21" s="280"/>
      <c r="DO21" s="280"/>
      <c r="DP21" s="280"/>
      <c r="DQ21" s="280"/>
      <c r="DR21" s="280"/>
      <c r="DS21" s="280"/>
      <c r="DT21" s="280"/>
      <c r="DU21" s="280"/>
      <c r="DV21" s="280"/>
      <c r="DW21" s="280"/>
      <c r="DX21" s="280"/>
      <c r="DY21" s="280"/>
      <c r="DZ21" s="280"/>
      <c r="EA21" s="280"/>
      <c r="EB21" s="280"/>
      <c r="EC21" s="280"/>
      <c r="ED21" s="280"/>
      <c r="EE21" s="280"/>
      <c r="EF21" s="280"/>
      <c r="EG21" s="280"/>
      <c r="EH21" s="280"/>
      <c r="EI21" s="280"/>
      <c r="EJ21" s="280"/>
      <c r="EK21" s="280"/>
      <c r="EL21" s="280"/>
      <c r="EM21" s="280"/>
      <c r="EN21" s="280"/>
      <c r="EO21" s="280"/>
      <c r="EP21" s="280"/>
      <c r="EQ21" s="280"/>
      <c r="ER21" s="280"/>
      <c r="ES21" s="280"/>
      <c r="ET21" s="280"/>
      <c r="EU21" s="280"/>
      <c r="EV21" s="280"/>
      <c r="EW21" s="280"/>
      <c r="EX21" s="280"/>
      <c r="EY21" s="280"/>
      <c r="EZ21" s="280"/>
      <c r="FA21" s="280"/>
      <c r="FB21" s="280"/>
      <c r="FC21" s="280"/>
      <c r="FD21" s="280"/>
      <c r="FE21" s="280"/>
      <c r="FF21" s="280"/>
      <c r="FG21" s="280"/>
      <c r="FH21" s="280"/>
      <c r="FI21" s="280"/>
      <c r="FJ21" s="280"/>
      <c r="FK21" s="280"/>
      <c r="FL21" s="280"/>
      <c r="FM21" s="280"/>
      <c r="FN21" s="280"/>
      <c r="FO21" s="280"/>
      <c r="FP21" s="280"/>
      <c r="FQ21" s="280"/>
      <c r="FR21" s="280"/>
      <c r="FS21" s="280"/>
      <c r="FT21" s="280"/>
      <c r="FU21" s="280"/>
      <c r="FV21" s="280"/>
      <c r="FW21" s="280"/>
      <c r="FX21" s="280"/>
      <c r="FY21" s="280"/>
      <c r="FZ21" s="280"/>
      <c r="GA21" s="280"/>
      <c r="GB21" s="280"/>
      <c r="GC21" s="280"/>
      <c r="GD21" s="280"/>
      <c r="GE21" s="280"/>
      <c r="GF21" s="280"/>
      <c r="GG21" s="280"/>
      <c r="GH21" s="280"/>
      <c r="GI21" s="280"/>
      <c r="GJ21" s="280"/>
      <c r="GK21" s="280"/>
      <c r="GL21" s="280"/>
      <c r="GM21" s="280"/>
      <c r="GN21" s="280"/>
      <c r="GO21" s="280"/>
      <c r="GP21" s="280"/>
      <c r="GQ21" s="280"/>
      <c r="GR21" s="280"/>
      <c r="GS21" s="280"/>
      <c r="GT21" s="280"/>
      <c r="GU21" s="280"/>
      <c r="GV21" s="280"/>
      <c r="GW21" s="280"/>
      <c r="GX21" s="280"/>
      <c r="GY21" s="280"/>
      <c r="GZ21" s="280"/>
      <c r="HA21" s="280"/>
      <c r="HB21" s="280"/>
      <c r="HC21" s="280"/>
      <c r="HD21" s="280"/>
      <c r="HE21" s="280"/>
      <c r="HF21" s="280"/>
      <c r="HG21" s="280"/>
      <c r="HH21" s="280"/>
      <c r="HI21" s="280"/>
      <c r="HJ21" s="280"/>
      <c r="HK21" s="280"/>
      <c r="HL21" s="280"/>
      <c r="HM21" s="280"/>
      <c r="HN21" s="280"/>
      <c r="HO21" s="280"/>
      <c r="HP21" s="280"/>
      <c r="HQ21" s="280"/>
      <c r="HR21" s="280"/>
      <c r="HS21" s="280"/>
      <c r="HT21" s="280"/>
      <c r="HU21" s="280"/>
      <c r="HV21" s="280"/>
      <c r="HW21" s="280"/>
      <c r="HX21" s="280"/>
      <c r="HY21" s="280"/>
      <c r="HZ21" s="280"/>
      <c r="IA21" s="280"/>
      <c r="IB21" s="280"/>
      <c r="IC21" s="280"/>
      <c r="ID21" s="280"/>
      <c r="IE21" s="280"/>
      <c r="IF21" s="280"/>
      <c r="IG21" s="280"/>
      <c r="IH21" s="280"/>
      <c r="II21" s="280"/>
      <c r="IJ21" s="280"/>
      <c r="IK21" s="280"/>
      <c r="IL21" s="280"/>
      <c r="IM21" s="280"/>
      <c r="IN21" s="280"/>
      <c r="IO21" s="280"/>
      <c r="IP21" s="280"/>
      <c r="IQ21" s="280"/>
      <c r="IR21" s="280"/>
      <c r="IS21" s="280"/>
      <c r="IT21" s="280"/>
      <c r="IU21" s="280"/>
      <c r="IV21" s="280"/>
    </row>
    <row r="22" spans="1:256" ht="15">
      <c r="A22" s="297"/>
      <c r="B22" s="283"/>
      <c r="C22" s="284"/>
      <c r="D22" s="293"/>
      <c r="E22" s="285"/>
      <c r="F22" s="293"/>
      <c r="G22" s="285"/>
      <c r="H22" s="285"/>
      <c r="I22" s="286"/>
      <c r="J22" s="285"/>
      <c r="K22" s="285"/>
      <c r="L22" s="286"/>
      <c r="M22" s="280"/>
      <c r="N22" s="280"/>
      <c r="O22" s="280"/>
      <c r="P22" s="280"/>
      <c r="Q22" s="280"/>
      <c r="R22" s="280"/>
      <c r="S22" s="281"/>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c r="DM22" s="280"/>
      <c r="DN22" s="280"/>
      <c r="DO22" s="280"/>
      <c r="DP22" s="280"/>
      <c r="DQ22" s="280"/>
      <c r="DR22" s="280"/>
      <c r="DS22" s="280"/>
      <c r="DT22" s="280"/>
      <c r="DU22" s="280"/>
      <c r="DV22" s="280"/>
      <c r="DW22" s="280"/>
      <c r="DX22" s="280"/>
      <c r="DY22" s="280"/>
      <c r="DZ22" s="280"/>
      <c r="EA22" s="280"/>
      <c r="EB22" s="280"/>
      <c r="EC22" s="280"/>
      <c r="ED22" s="280"/>
      <c r="EE22" s="280"/>
      <c r="EF22" s="280"/>
      <c r="EG22" s="280"/>
      <c r="EH22" s="280"/>
      <c r="EI22" s="280"/>
      <c r="EJ22" s="280"/>
      <c r="EK22" s="280"/>
      <c r="EL22" s="280"/>
      <c r="EM22" s="280"/>
      <c r="EN22" s="280"/>
      <c r="EO22" s="280"/>
      <c r="EP22" s="280"/>
      <c r="EQ22" s="280"/>
      <c r="ER22" s="280"/>
      <c r="ES22" s="280"/>
      <c r="ET22" s="280"/>
      <c r="EU22" s="280"/>
      <c r="EV22" s="280"/>
      <c r="EW22" s="280"/>
      <c r="EX22" s="280"/>
      <c r="EY22" s="280"/>
      <c r="EZ22" s="280"/>
      <c r="FA22" s="280"/>
      <c r="FB22" s="280"/>
      <c r="FC22" s="280"/>
      <c r="FD22" s="280"/>
      <c r="FE22" s="280"/>
      <c r="FF22" s="280"/>
      <c r="FG22" s="280"/>
      <c r="FH22" s="280"/>
      <c r="FI22" s="280"/>
      <c r="FJ22" s="280"/>
      <c r="FK22" s="280"/>
      <c r="FL22" s="280"/>
      <c r="FM22" s="280"/>
      <c r="FN22" s="280"/>
      <c r="FO22" s="280"/>
      <c r="FP22" s="280"/>
      <c r="FQ22" s="280"/>
      <c r="FR22" s="280"/>
      <c r="FS22" s="280"/>
      <c r="FT22" s="280"/>
      <c r="FU22" s="280"/>
      <c r="FV22" s="280"/>
      <c r="FW22" s="280"/>
      <c r="FX22" s="280"/>
      <c r="FY22" s="280"/>
      <c r="FZ22" s="280"/>
      <c r="GA22" s="280"/>
      <c r="GB22" s="280"/>
      <c r="GC22" s="280"/>
      <c r="GD22" s="280"/>
      <c r="GE22" s="280"/>
      <c r="GF22" s="280"/>
      <c r="GG22" s="280"/>
      <c r="GH22" s="280"/>
      <c r="GI22" s="280"/>
      <c r="GJ22" s="280"/>
      <c r="GK22" s="280"/>
      <c r="GL22" s="280"/>
      <c r="GM22" s="280"/>
      <c r="GN22" s="280"/>
      <c r="GO22" s="280"/>
      <c r="GP22" s="280"/>
      <c r="GQ22" s="280"/>
      <c r="GR22" s="280"/>
      <c r="GS22" s="280"/>
      <c r="GT22" s="280"/>
      <c r="GU22" s="280"/>
      <c r="GV22" s="280"/>
      <c r="GW22" s="280"/>
      <c r="GX22" s="280"/>
      <c r="GY22" s="280"/>
      <c r="GZ22" s="280"/>
      <c r="HA22" s="280"/>
      <c r="HB22" s="280"/>
      <c r="HC22" s="280"/>
      <c r="HD22" s="280"/>
      <c r="HE22" s="280"/>
      <c r="HF22" s="280"/>
      <c r="HG22" s="280"/>
      <c r="HH22" s="280"/>
      <c r="HI22" s="280"/>
      <c r="HJ22" s="280"/>
      <c r="HK22" s="280"/>
      <c r="HL22" s="280"/>
      <c r="HM22" s="280"/>
      <c r="HN22" s="280"/>
      <c r="HO22" s="280"/>
      <c r="HP22" s="280"/>
      <c r="HQ22" s="280"/>
      <c r="HR22" s="280"/>
      <c r="HS22" s="280"/>
      <c r="HT22" s="280"/>
      <c r="HU22" s="280"/>
      <c r="HV22" s="280"/>
      <c r="HW22" s="280"/>
      <c r="HX22" s="280"/>
      <c r="HY22" s="280"/>
      <c r="HZ22" s="280"/>
      <c r="IA22" s="280"/>
      <c r="IB22" s="280"/>
      <c r="IC22" s="280"/>
      <c r="ID22" s="280"/>
      <c r="IE22" s="280"/>
      <c r="IF22" s="280"/>
      <c r="IG22" s="280"/>
      <c r="IH22" s="280"/>
      <c r="II22" s="280"/>
      <c r="IJ22" s="280"/>
      <c r="IK22" s="280"/>
      <c r="IL22" s="280"/>
      <c r="IM22" s="280"/>
      <c r="IN22" s="280"/>
      <c r="IO22" s="280"/>
      <c r="IP22" s="280"/>
      <c r="IQ22" s="280"/>
      <c r="IR22" s="280"/>
      <c r="IS22" s="280"/>
      <c r="IT22" s="280"/>
      <c r="IU22" s="280"/>
      <c r="IV22" s="280"/>
    </row>
    <row r="23" spans="1:256" ht="15.75">
      <c r="A23" s="292" t="s">
        <v>173</v>
      </c>
      <c r="B23" s="283"/>
      <c r="C23" s="284"/>
      <c r="D23" s="293"/>
      <c r="E23" s="285"/>
      <c r="F23" s="293"/>
      <c r="G23" s="285"/>
      <c r="H23" s="285"/>
      <c r="I23" s="286"/>
      <c r="J23" s="285"/>
      <c r="K23" s="285"/>
      <c r="L23" s="286"/>
      <c r="M23" s="280"/>
      <c r="N23" s="280"/>
      <c r="O23" s="280"/>
      <c r="P23" s="280"/>
      <c r="Q23" s="280"/>
      <c r="R23" s="280"/>
      <c r="S23" s="281"/>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c r="DM23" s="280"/>
      <c r="DN23" s="280"/>
      <c r="DO23" s="280"/>
      <c r="DP23" s="280"/>
      <c r="DQ23" s="280"/>
      <c r="DR23" s="280"/>
      <c r="DS23" s="280"/>
      <c r="DT23" s="280"/>
      <c r="DU23" s="280"/>
      <c r="DV23" s="280"/>
      <c r="DW23" s="280"/>
      <c r="DX23" s="280"/>
      <c r="DY23" s="280"/>
      <c r="DZ23" s="280"/>
      <c r="EA23" s="280"/>
      <c r="EB23" s="280"/>
      <c r="EC23" s="280"/>
      <c r="ED23" s="280"/>
      <c r="EE23" s="280"/>
      <c r="EF23" s="280"/>
      <c r="EG23" s="280"/>
      <c r="EH23" s="280"/>
      <c r="EI23" s="280"/>
      <c r="EJ23" s="280"/>
      <c r="EK23" s="280"/>
      <c r="EL23" s="280"/>
      <c r="EM23" s="280"/>
      <c r="EN23" s="280"/>
      <c r="EO23" s="280"/>
      <c r="EP23" s="280"/>
      <c r="EQ23" s="280"/>
      <c r="ER23" s="280"/>
      <c r="ES23" s="280"/>
      <c r="ET23" s="280"/>
      <c r="EU23" s="280"/>
      <c r="EV23" s="280"/>
      <c r="EW23" s="280"/>
      <c r="EX23" s="280"/>
      <c r="EY23" s="280"/>
      <c r="EZ23" s="280"/>
      <c r="FA23" s="280"/>
      <c r="FB23" s="280"/>
      <c r="FC23" s="280"/>
      <c r="FD23" s="280"/>
      <c r="FE23" s="280"/>
      <c r="FF23" s="280"/>
      <c r="FG23" s="280"/>
      <c r="FH23" s="280"/>
      <c r="FI23" s="280"/>
      <c r="FJ23" s="280"/>
      <c r="FK23" s="280"/>
      <c r="FL23" s="280"/>
      <c r="FM23" s="280"/>
      <c r="FN23" s="280"/>
      <c r="FO23" s="280"/>
      <c r="FP23" s="280"/>
      <c r="FQ23" s="280"/>
      <c r="FR23" s="280"/>
      <c r="FS23" s="280"/>
      <c r="FT23" s="280"/>
      <c r="FU23" s="280"/>
      <c r="FV23" s="280"/>
      <c r="FW23" s="280"/>
      <c r="FX23" s="280"/>
      <c r="FY23" s="280"/>
      <c r="FZ23" s="280"/>
      <c r="GA23" s="280"/>
      <c r="GB23" s="280"/>
      <c r="GC23" s="280"/>
      <c r="GD23" s="280"/>
      <c r="GE23" s="280"/>
      <c r="GF23" s="280"/>
      <c r="GG23" s="280"/>
      <c r="GH23" s="280"/>
      <c r="GI23" s="280"/>
      <c r="GJ23" s="280"/>
      <c r="GK23" s="280"/>
      <c r="GL23" s="280"/>
      <c r="GM23" s="280"/>
      <c r="GN23" s="280"/>
      <c r="GO23" s="280"/>
      <c r="GP23" s="280"/>
      <c r="GQ23" s="280"/>
      <c r="GR23" s="280"/>
      <c r="GS23" s="280"/>
      <c r="GT23" s="280"/>
      <c r="GU23" s="280"/>
      <c r="GV23" s="280"/>
      <c r="GW23" s="280"/>
      <c r="GX23" s="280"/>
      <c r="GY23" s="280"/>
      <c r="GZ23" s="280"/>
      <c r="HA23" s="280"/>
      <c r="HB23" s="280"/>
      <c r="HC23" s="280"/>
      <c r="HD23" s="280"/>
      <c r="HE23" s="280"/>
      <c r="HF23" s="280"/>
      <c r="HG23" s="280"/>
      <c r="HH23" s="280"/>
      <c r="HI23" s="280"/>
      <c r="HJ23" s="280"/>
      <c r="HK23" s="280"/>
      <c r="HL23" s="280"/>
      <c r="HM23" s="280"/>
      <c r="HN23" s="280"/>
      <c r="HO23" s="280"/>
      <c r="HP23" s="280"/>
      <c r="HQ23" s="280"/>
      <c r="HR23" s="280"/>
      <c r="HS23" s="280"/>
      <c r="HT23" s="280"/>
      <c r="HU23" s="280"/>
      <c r="HV23" s="280"/>
      <c r="HW23" s="280"/>
      <c r="HX23" s="280"/>
      <c r="HY23" s="280"/>
      <c r="HZ23" s="280"/>
      <c r="IA23" s="280"/>
      <c r="IB23" s="280"/>
      <c r="IC23" s="280"/>
      <c r="ID23" s="280"/>
      <c r="IE23" s="280"/>
      <c r="IF23" s="280"/>
      <c r="IG23" s="280"/>
      <c r="IH23" s="280"/>
      <c r="II23" s="280"/>
      <c r="IJ23" s="280"/>
      <c r="IK23" s="280"/>
      <c r="IL23" s="280"/>
      <c r="IM23" s="280"/>
      <c r="IN23" s="280"/>
      <c r="IO23" s="280"/>
      <c r="IP23" s="280"/>
      <c r="IQ23" s="280"/>
      <c r="IR23" s="280"/>
      <c r="IS23" s="280"/>
      <c r="IT23" s="280"/>
      <c r="IU23" s="280"/>
      <c r="IV23" s="280"/>
    </row>
    <row r="24" spans="1:256" ht="15.75">
      <c r="A24" s="292"/>
      <c r="B24" s="283" t="s">
        <v>160</v>
      </c>
      <c r="C24" s="284"/>
      <c r="D24" s="299">
        <f>ROUND(+E24+E24*F$7,3)</f>
        <v>-0.013</v>
      </c>
      <c r="E24" s="285">
        <v>0.06</v>
      </c>
      <c r="F24" s="286">
        <f>-1+D24/E24</f>
        <v>-1.2166666666666668</v>
      </c>
      <c r="G24" s="285"/>
      <c r="H24" s="285"/>
      <c r="I24" s="286"/>
      <c r="J24" s="285"/>
      <c r="K24" s="285"/>
      <c r="L24" s="286"/>
      <c r="M24" s="280"/>
      <c r="N24" s="280"/>
      <c r="O24" s="280"/>
      <c r="P24" s="280"/>
      <c r="Q24" s="280"/>
      <c r="R24" s="280"/>
      <c r="S24" s="281"/>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c r="DM24" s="280"/>
      <c r="DN24" s="280"/>
      <c r="DO24" s="280"/>
      <c r="DP24" s="280"/>
      <c r="DQ24" s="280"/>
      <c r="DR24" s="280"/>
      <c r="DS24" s="280"/>
      <c r="DT24" s="280"/>
      <c r="DU24" s="280"/>
      <c r="DV24" s="280"/>
      <c r="DW24" s="280"/>
      <c r="DX24" s="280"/>
      <c r="DY24" s="280"/>
      <c r="DZ24" s="280"/>
      <c r="EA24" s="280"/>
      <c r="EB24" s="280"/>
      <c r="EC24" s="280"/>
      <c r="ED24" s="280"/>
      <c r="EE24" s="280"/>
      <c r="EF24" s="280"/>
      <c r="EG24" s="280"/>
      <c r="EH24" s="280"/>
      <c r="EI24" s="280"/>
      <c r="EJ24" s="280"/>
      <c r="EK24" s="280"/>
      <c r="EL24" s="280"/>
      <c r="EM24" s="280"/>
      <c r="EN24" s="280"/>
      <c r="EO24" s="280"/>
      <c r="EP24" s="280"/>
      <c r="EQ24" s="280"/>
      <c r="ER24" s="280"/>
      <c r="ES24" s="280"/>
      <c r="ET24" s="280"/>
      <c r="EU24" s="280"/>
      <c r="EV24" s="280"/>
      <c r="EW24" s="280"/>
      <c r="EX24" s="280"/>
      <c r="EY24" s="280"/>
      <c r="EZ24" s="280"/>
      <c r="FA24" s="280"/>
      <c r="FB24" s="280"/>
      <c r="FC24" s="280"/>
      <c r="FD24" s="280"/>
      <c r="FE24" s="280"/>
      <c r="FF24" s="280"/>
      <c r="FG24" s="280"/>
      <c r="FH24" s="280"/>
      <c r="FI24" s="280"/>
      <c r="FJ24" s="280"/>
      <c r="FK24" s="280"/>
      <c r="FL24" s="280"/>
      <c r="FM24" s="280"/>
      <c r="FN24" s="280"/>
      <c r="FO24" s="280"/>
      <c r="FP24" s="280"/>
      <c r="FQ24" s="280"/>
      <c r="FR24" s="280"/>
      <c r="FS24" s="280"/>
      <c r="FT24" s="280"/>
      <c r="FU24" s="280"/>
      <c r="FV24" s="280"/>
      <c r="FW24" s="280"/>
      <c r="FX24" s="280"/>
      <c r="FY24" s="280"/>
      <c r="FZ24" s="280"/>
      <c r="GA24" s="280"/>
      <c r="GB24" s="280"/>
      <c r="GC24" s="280"/>
      <c r="GD24" s="280"/>
      <c r="GE24" s="280"/>
      <c r="GF24" s="280"/>
      <c r="GG24" s="280"/>
      <c r="GH24" s="280"/>
      <c r="GI24" s="280"/>
      <c r="GJ24" s="280"/>
      <c r="GK24" s="280"/>
      <c r="GL24" s="280"/>
      <c r="GM24" s="280"/>
      <c r="GN24" s="280"/>
      <c r="GO24" s="280"/>
      <c r="GP24" s="280"/>
      <c r="GQ24" s="280"/>
      <c r="GR24" s="280"/>
      <c r="GS24" s="280"/>
      <c r="GT24" s="280"/>
      <c r="GU24" s="280"/>
      <c r="GV24" s="280"/>
      <c r="GW24" s="280"/>
      <c r="GX24" s="280"/>
      <c r="GY24" s="280"/>
      <c r="GZ24" s="280"/>
      <c r="HA24" s="280"/>
      <c r="HB24" s="280"/>
      <c r="HC24" s="280"/>
      <c r="HD24" s="280"/>
      <c r="HE24" s="280"/>
      <c r="HF24" s="280"/>
      <c r="HG24" s="280"/>
      <c r="HH24" s="280"/>
      <c r="HI24" s="280"/>
      <c r="HJ24" s="280"/>
      <c r="HK24" s="280"/>
      <c r="HL24" s="280"/>
      <c r="HM24" s="280"/>
      <c r="HN24" s="280"/>
      <c r="HO24" s="280"/>
      <c r="HP24" s="280"/>
      <c r="HQ24" s="280"/>
      <c r="HR24" s="280"/>
      <c r="HS24" s="280"/>
      <c r="HT24" s="280"/>
      <c r="HU24" s="280"/>
      <c r="HV24" s="280"/>
      <c r="HW24" s="280"/>
      <c r="HX24" s="280"/>
      <c r="HY24" s="280"/>
      <c r="HZ24" s="280"/>
      <c r="IA24" s="280"/>
      <c r="IB24" s="280"/>
      <c r="IC24" s="280"/>
      <c r="ID24" s="280"/>
      <c r="IE24" s="280"/>
      <c r="IF24" s="280"/>
      <c r="IG24" s="280"/>
      <c r="IH24" s="280"/>
      <c r="II24" s="280"/>
      <c r="IJ24" s="280"/>
      <c r="IK24" s="280"/>
      <c r="IL24" s="280"/>
      <c r="IM24" s="280"/>
      <c r="IN24" s="280"/>
      <c r="IO24" s="280"/>
      <c r="IP24" s="280"/>
      <c r="IQ24" s="280"/>
      <c r="IR24" s="280"/>
      <c r="IS24" s="280"/>
      <c r="IT24" s="280"/>
      <c r="IU24" s="280"/>
      <c r="IV24" s="280"/>
    </row>
    <row r="25" spans="1:256" ht="15">
      <c r="A25" s="297"/>
      <c r="B25" s="283" t="s">
        <v>161</v>
      </c>
      <c r="C25" s="298"/>
      <c r="D25" s="299">
        <f aca="true" t="shared" si="6" ref="D25:D35">ROUND(+E25+E25*F$7,3)</f>
        <v>-0.018</v>
      </c>
      <c r="E25" s="285">
        <v>0.081</v>
      </c>
      <c r="F25" s="286">
        <f>-1+D25/E25</f>
        <v>-1.2222222222222223</v>
      </c>
      <c r="G25" s="285"/>
      <c r="H25" s="285"/>
      <c r="I25" s="286"/>
      <c r="J25" s="285"/>
      <c r="K25" s="285"/>
      <c r="L25" s="286"/>
      <c r="M25" s="280"/>
      <c r="N25" s="280"/>
      <c r="O25" s="280"/>
      <c r="P25" s="280"/>
      <c r="Q25" s="280"/>
      <c r="R25" s="280"/>
      <c r="S25" s="281"/>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c r="DM25" s="280"/>
      <c r="DN25" s="280"/>
      <c r="DO25" s="280"/>
      <c r="DP25" s="280"/>
      <c r="DQ25" s="280"/>
      <c r="DR25" s="280"/>
      <c r="DS25" s="280"/>
      <c r="DT25" s="280"/>
      <c r="DU25" s="280"/>
      <c r="DV25" s="280"/>
      <c r="DW25" s="280"/>
      <c r="DX25" s="280"/>
      <c r="DY25" s="280"/>
      <c r="DZ25" s="280"/>
      <c r="EA25" s="280"/>
      <c r="EB25" s="280"/>
      <c r="EC25" s="280"/>
      <c r="ED25" s="280"/>
      <c r="EE25" s="280"/>
      <c r="EF25" s="280"/>
      <c r="EG25" s="280"/>
      <c r="EH25" s="280"/>
      <c r="EI25" s="280"/>
      <c r="EJ25" s="280"/>
      <c r="EK25" s="280"/>
      <c r="EL25" s="280"/>
      <c r="EM25" s="280"/>
      <c r="EN25" s="280"/>
      <c r="EO25" s="280"/>
      <c r="EP25" s="280"/>
      <c r="EQ25" s="280"/>
      <c r="ER25" s="280"/>
      <c r="ES25" s="280"/>
      <c r="ET25" s="280"/>
      <c r="EU25" s="280"/>
      <c r="EV25" s="280"/>
      <c r="EW25" s="280"/>
      <c r="EX25" s="280"/>
      <c r="EY25" s="280"/>
      <c r="EZ25" s="280"/>
      <c r="FA25" s="280"/>
      <c r="FB25" s="280"/>
      <c r="FC25" s="280"/>
      <c r="FD25" s="280"/>
      <c r="FE25" s="280"/>
      <c r="FF25" s="280"/>
      <c r="FG25" s="280"/>
      <c r="FH25" s="280"/>
      <c r="FI25" s="280"/>
      <c r="FJ25" s="280"/>
      <c r="FK25" s="280"/>
      <c r="FL25" s="280"/>
      <c r="FM25" s="280"/>
      <c r="FN25" s="280"/>
      <c r="FO25" s="280"/>
      <c r="FP25" s="280"/>
      <c r="FQ25" s="280"/>
      <c r="FR25" s="280"/>
      <c r="FS25" s="280"/>
      <c r="FT25" s="280"/>
      <c r="FU25" s="280"/>
      <c r="FV25" s="280"/>
      <c r="FW25" s="280"/>
      <c r="FX25" s="280"/>
      <c r="FY25" s="280"/>
      <c r="FZ25" s="280"/>
      <c r="GA25" s="280"/>
      <c r="GB25" s="280"/>
      <c r="GC25" s="280"/>
      <c r="GD25" s="280"/>
      <c r="GE25" s="280"/>
      <c r="GF25" s="280"/>
      <c r="GG25" s="280"/>
      <c r="GH25" s="280"/>
      <c r="GI25" s="280"/>
      <c r="GJ25" s="280"/>
      <c r="GK25" s="280"/>
      <c r="GL25" s="280"/>
      <c r="GM25" s="280"/>
      <c r="GN25" s="280"/>
      <c r="GO25" s="280"/>
      <c r="GP25" s="280"/>
      <c r="GQ25" s="280"/>
      <c r="GR25" s="280"/>
      <c r="GS25" s="280"/>
      <c r="GT25" s="280"/>
      <c r="GU25" s="280"/>
      <c r="GV25" s="280"/>
      <c r="GW25" s="280"/>
      <c r="GX25" s="280"/>
      <c r="GY25" s="280"/>
      <c r="GZ25" s="280"/>
      <c r="HA25" s="280"/>
      <c r="HB25" s="280"/>
      <c r="HC25" s="280"/>
      <c r="HD25" s="280"/>
      <c r="HE25" s="280"/>
      <c r="HF25" s="280"/>
      <c r="HG25" s="280"/>
      <c r="HH25" s="280"/>
      <c r="HI25" s="280"/>
      <c r="HJ25" s="280"/>
      <c r="HK25" s="280"/>
      <c r="HL25" s="280"/>
      <c r="HM25" s="280"/>
      <c r="HN25" s="280"/>
      <c r="HO25" s="280"/>
      <c r="HP25" s="280"/>
      <c r="HQ25" s="280"/>
      <c r="HR25" s="280"/>
      <c r="HS25" s="280"/>
      <c r="HT25" s="280"/>
      <c r="HU25" s="280"/>
      <c r="HV25" s="280"/>
      <c r="HW25" s="280"/>
      <c r="HX25" s="280"/>
      <c r="HY25" s="280"/>
      <c r="HZ25" s="280"/>
      <c r="IA25" s="280"/>
      <c r="IB25" s="280"/>
      <c r="IC25" s="280"/>
      <c r="ID25" s="280"/>
      <c r="IE25" s="280"/>
      <c r="IF25" s="280"/>
      <c r="IG25" s="280"/>
      <c r="IH25" s="280"/>
      <c r="II25" s="280"/>
      <c r="IJ25" s="280"/>
      <c r="IK25" s="280"/>
      <c r="IL25" s="280"/>
      <c r="IM25" s="280"/>
      <c r="IN25" s="280"/>
      <c r="IO25" s="280"/>
      <c r="IP25" s="280"/>
      <c r="IQ25" s="280"/>
      <c r="IR25" s="280"/>
      <c r="IS25" s="280"/>
      <c r="IT25" s="280"/>
      <c r="IU25" s="280"/>
      <c r="IV25" s="280"/>
    </row>
    <row r="26" spans="1:256" ht="15">
      <c r="A26" s="297"/>
      <c r="B26" s="283" t="s">
        <v>162</v>
      </c>
      <c r="C26" s="298"/>
      <c r="D26" s="299">
        <f t="shared" si="6"/>
        <v>-0.018</v>
      </c>
      <c r="E26" s="285">
        <v>0.081</v>
      </c>
      <c r="F26" s="286">
        <f>-1+D26/E26</f>
        <v>-1.2222222222222223</v>
      </c>
      <c r="G26" s="285"/>
      <c r="H26" s="285"/>
      <c r="I26" s="286"/>
      <c r="J26" s="285"/>
      <c r="K26" s="285"/>
      <c r="L26" s="286"/>
      <c r="M26" s="280"/>
      <c r="N26" s="280"/>
      <c r="O26" s="280"/>
      <c r="P26" s="280"/>
      <c r="Q26" s="280"/>
      <c r="R26" s="280"/>
      <c r="S26" s="281"/>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c r="DM26" s="280"/>
      <c r="DN26" s="280"/>
      <c r="DO26" s="280"/>
      <c r="DP26" s="280"/>
      <c r="DQ26" s="280"/>
      <c r="DR26" s="280"/>
      <c r="DS26" s="280"/>
      <c r="DT26" s="280"/>
      <c r="DU26" s="280"/>
      <c r="DV26" s="280"/>
      <c r="DW26" s="280"/>
      <c r="DX26" s="280"/>
      <c r="DY26" s="280"/>
      <c r="DZ26" s="280"/>
      <c r="EA26" s="280"/>
      <c r="EB26" s="280"/>
      <c r="EC26" s="280"/>
      <c r="ED26" s="280"/>
      <c r="EE26" s="280"/>
      <c r="EF26" s="280"/>
      <c r="EG26" s="280"/>
      <c r="EH26" s="280"/>
      <c r="EI26" s="280"/>
      <c r="EJ26" s="280"/>
      <c r="EK26" s="280"/>
      <c r="EL26" s="280"/>
      <c r="EM26" s="280"/>
      <c r="EN26" s="280"/>
      <c r="EO26" s="280"/>
      <c r="EP26" s="280"/>
      <c r="EQ26" s="280"/>
      <c r="ER26" s="280"/>
      <c r="ES26" s="280"/>
      <c r="ET26" s="280"/>
      <c r="EU26" s="280"/>
      <c r="EV26" s="280"/>
      <c r="EW26" s="280"/>
      <c r="EX26" s="280"/>
      <c r="EY26" s="280"/>
      <c r="EZ26" s="280"/>
      <c r="FA26" s="280"/>
      <c r="FB26" s="280"/>
      <c r="FC26" s="280"/>
      <c r="FD26" s="280"/>
      <c r="FE26" s="280"/>
      <c r="FF26" s="280"/>
      <c r="FG26" s="280"/>
      <c r="FH26" s="280"/>
      <c r="FI26" s="280"/>
      <c r="FJ26" s="280"/>
      <c r="FK26" s="280"/>
      <c r="FL26" s="280"/>
      <c r="FM26" s="280"/>
      <c r="FN26" s="280"/>
      <c r="FO26" s="280"/>
      <c r="FP26" s="280"/>
      <c r="FQ26" s="280"/>
      <c r="FR26" s="280"/>
      <c r="FS26" s="280"/>
      <c r="FT26" s="280"/>
      <c r="FU26" s="280"/>
      <c r="FV26" s="280"/>
      <c r="FW26" s="280"/>
      <c r="FX26" s="280"/>
      <c r="FY26" s="280"/>
      <c r="FZ26" s="280"/>
      <c r="GA26" s="280"/>
      <c r="GB26" s="280"/>
      <c r="GC26" s="280"/>
      <c r="GD26" s="280"/>
      <c r="GE26" s="280"/>
      <c r="GF26" s="280"/>
      <c r="GG26" s="280"/>
      <c r="GH26" s="280"/>
      <c r="GI26" s="280"/>
      <c r="GJ26" s="280"/>
      <c r="GK26" s="280"/>
      <c r="GL26" s="280"/>
      <c r="GM26" s="280"/>
      <c r="GN26" s="280"/>
      <c r="GO26" s="280"/>
      <c r="GP26" s="280"/>
      <c r="GQ26" s="280"/>
      <c r="GR26" s="280"/>
      <c r="GS26" s="280"/>
      <c r="GT26" s="280"/>
      <c r="GU26" s="280"/>
      <c r="GV26" s="280"/>
      <c r="GW26" s="280"/>
      <c r="GX26" s="280"/>
      <c r="GY26" s="280"/>
      <c r="GZ26" s="280"/>
      <c r="HA26" s="280"/>
      <c r="HB26" s="280"/>
      <c r="HC26" s="280"/>
      <c r="HD26" s="280"/>
      <c r="HE26" s="280"/>
      <c r="HF26" s="280"/>
      <c r="HG26" s="280"/>
      <c r="HH26" s="280"/>
      <c r="HI26" s="280"/>
      <c r="HJ26" s="280"/>
      <c r="HK26" s="280"/>
      <c r="HL26" s="280"/>
      <c r="HM26" s="280"/>
      <c r="HN26" s="280"/>
      <c r="HO26" s="280"/>
      <c r="HP26" s="280"/>
      <c r="HQ26" s="280"/>
      <c r="HR26" s="280"/>
      <c r="HS26" s="280"/>
      <c r="HT26" s="280"/>
      <c r="HU26" s="280"/>
      <c r="HV26" s="280"/>
      <c r="HW26" s="280"/>
      <c r="HX26" s="280"/>
      <c r="HY26" s="280"/>
      <c r="HZ26" s="280"/>
      <c r="IA26" s="280"/>
      <c r="IB26" s="280"/>
      <c r="IC26" s="280"/>
      <c r="ID26" s="280"/>
      <c r="IE26" s="280"/>
      <c r="IF26" s="280"/>
      <c r="IG26" s="280"/>
      <c r="IH26" s="280"/>
      <c r="II26" s="280"/>
      <c r="IJ26" s="280"/>
      <c r="IK26" s="280"/>
      <c r="IL26" s="280"/>
      <c r="IM26" s="280"/>
      <c r="IN26" s="280"/>
      <c r="IO26" s="280"/>
      <c r="IP26" s="280"/>
      <c r="IQ26" s="280"/>
      <c r="IR26" s="280"/>
      <c r="IS26" s="280"/>
      <c r="IT26" s="280"/>
      <c r="IU26" s="280"/>
      <c r="IV26" s="280"/>
    </row>
    <row r="27" spans="1:256" ht="15">
      <c r="A27" s="297"/>
      <c r="B27" s="283" t="s">
        <v>163</v>
      </c>
      <c r="C27" s="298"/>
      <c r="D27" s="299">
        <f t="shared" si="6"/>
        <v>-0.035</v>
      </c>
      <c r="E27" s="285">
        <v>0.161</v>
      </c>
      <c r="F27" s="286">
        <f>-1+D27/E27</f>
        <v>-1.2173913043478262</v>
      </c>
      <c r="G27" s="285"/>
      <c r="H27" s="285"/>
      <c r="I27" s="286"/>
      <c r="J27" s="285"/>
      <c r="K27" s="285"/>
      <c r="L27" s="286"/>
      <c r="M27" s="280"/>
      <c r="N27" s="280"/>
      <c r="O27" s="280"/>
      <c r="P27" s="280"/>
      <c r="Q27" s="280"/>
      <c r="R27" s="280"/>
      <c r="S27" s="281"/>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c r="DM27" s="280"/>
      <c r="DN27" s="280"/>
      <c r="DO27" s="280"/>
      <c r="DP27" s="280"/>
      <c r="DQ27" s="280"/>
      <c r="DR27" s="280"/>
      <c r="DS27" s="280"/>
      <c r="DT27" s="280"/>
      <c r="DU27" s="280"/>
      <c r="DV27" s="280"/>
      <c r="DW27" s="280"/>
      <c r="DX27" s="280"/>
      <c r="DY27" s="280"/>
      <c r="DZ27" s="280"/>
      <c r="EA27" s="280"/>
      <c r="EB27" s="280"/>
      <c r="EC27" s="280"/>
      <c r="ED27" s="280"/>
      <c r="EE27" s="280"/>
      <c r="EF27" s="280"/>
      <c r="EG27" s="280"/>
      <c r="EH27" s="280"/>
      <c r="EI27" s="280"/>
      <c r="EJ27" s="280"/>
      <c r="EK27" s="280"/>
      <c r="EL27" s="280"/>
      <c r="EM27" s="280"/>
      <c r="EN27" s="280"/>
      <c r="EO27" s="280"/>
      <c r="EP27" s="280"/>
      <c r="EQ27" s="280"/>
      <c r="ER27" s="280"/>
      <c r="ES27" s="280"/>
      <c r="ET27" s="280"/>
      <c r="EU27" s="280"/>
      <c r="EV27" s="280"/>
      <c r="EW27" s="280"/>
      <c r="EX27" s="280"/>
      <c r="EY27" s="280"/>
      <c r="EZ27" s="280"/>
      <c r="FA27" s="280"/>
      <c r="FB27" s="280"/>
      <c r="FC27" s="280"/>
      <c r="FD27" s="280"/>
      <c r="FE27" s="280"/>
      <c r="FF27" s="280"/>
      <c r="FG27" s="280"/>
      <c r="FH27" s="280"/>
      <c r="FI27" s="280"/>
      <c r="FJ27" s="280"/>
      <c r="FK27" s="280"/>
      <c r="FL27" s="280"/>
      <c r="FM27" s="280"/>
      <c r="FN27" s="280"/>
      <c r="FO27" s="280"/>
      <c r="FP27" s="280"/>
      <c r="FQ27" s="280"/>
      <c r="FR27" s="280"/>
      <c r="FS27" s="280"/>
      <c r="FT27" s="280"/>
      <c r="FU27" s="280"/>
      <c r="FV27" s="280"/>
      <c r="FW27" s="280"/>
      <c r="FX27" s="280"/>
      <c r="FY27" s="280"/>
      <c r="FZ27" s="280"/>
      <c r="GA27" s="280"/>
      <c r="GB27" s="280"/>
      <c r="GC27" s="280"/>
      <c r="GD27" s="280"/>
      <c r="GE27" s="280"/>
      <c r="GF27" s="280"/>
      <c r="GG27" s="280"/>
      <c r="GH27" s="280"/>
      <c r="GI27" s="280"/>
      <c r="GJ27" s="280"/>
      <c r="GK27" s="280"/>
      <c r="GL27" s="280"/>
      <c r="GM27" s="280"/>
      <c r="GN27" s="280"/>
      <c r="GO27" s="280"/>
      <c r="GP27" s="280"/>
      <c r="GQ27" s="280"/>
      <c r="GR27" s="280"/>
      <c r="GS27" s="280"/>
      <c r="GT27" s="280"/>
      <c r="GU27" s="280"/>
      <c r="GV27" s="280"/>
      <c r="GW27" s="280"/>
      <c r="GX27" s="280"/>
      <c r="GY27" s="280"/>
      <c r="GZ27" s="280"/>
      <c r="HA27" s="280"/>
      <c r="HB27" s="280"/>
      <c r="HC27" s="280"/>
      <c r="HD27" s="280"/>
      <c r="HE27" s="280"/>
      <c r="HF27" s="280"/>
      <c r="HG27" s="280"/>
      <c r="HH27" s="280"/>
      <c r="HI27" s="280"/>
      <c r="HJ27" s="280"/>
      <c r="HK27" s="280"/>
      <c r="HL27" s="280"/>
      <c r="HM27" s="280"/>
      <c r="HN27" s="280"/>
      <c r="HO27" s="280"/>
      <c r="HP27" s="280"/>
      <c r="HQ27" s="280"/>
      <c r="HR27" s="280"/>
      <c r="HS27" s="280"/>
      <c r="HT27" s="280"/>
      <c r="HU27" s="280"/>
      <c r="HV27" s="280"/>
      <c r="HW27" s="280"/>
      <c r="HX27" s="280"/>
      <c r="HY27" s="280"/>
      <c r="HZ27" s="280"/>
      <c r="IA27" s="280"/>
      <c r="IB27" s="280"/>
      <c r="IC27" s="280"/>
      <c r="ID27" s="280"/>
      <c r="IE27" s="280"/>
      <c r="IF27" s="280"/>
      <c r="IG27" s="280"/>
      <c r="IH27" s="280"/>
      <c r="II27" s="280"/>
      <c r="IJ27" s="280"/>
      <c r="IK27" s="280"/>
      <c r="IL27" s="280"/>
      <c r="IM27" s="280"/>
      <c r="IN27" s="280"/>
      <c r="IO27" s="280"/>
      <c r="IP27" s="280"/>
      <c r="IQ27" s="280"/>
      <c r="IR27" s="280"/>
      <c r="IS27" s="280"/>
      <c r="IT27" s="280"/>
      <c r="IU27" s="280"/>
      <c r="IV27" s="280"/>
    </row>
    <row r="28" spans="1:256" ht="15">
      <c r="A28" s="297"/>
      <c r="B28" s="283" t="s">
        <v>164</v>
      </c>
      <c r="C28" s="284"/>
      <c r="D28" s="299">
        <f t="shared" si="6"/>
        <v>-0.057</v>
      </c>
      <c r="E28" s="285">
        <v>0.262</v>
      </c>
      <c r="F28" s="286">
        <f>-1+D28/E28</f>
        <v>-1.217557251908397</v>
      </c>
      <c r="G28" s="285"/>
      <c r="H28" s="285"/>
      <c r="I28" s="286"/>
      <c r="J28" s="285"/>
      <c r="K28" s="285"/>
      <c r="L28" s="286"/>
      <c r="M28" s="280"/>
      <c r="N28" s="280"/>
      <c r="O28" s="280"/>
      <c r="P28" s="280"/>
      <c r="Q28" s="280"/>
      <c r="R28" s="280"/>
      <c r="S28" s="281"/>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c r="DM28" s="280"/>
      <c r="DN28" s="280"/>
      <c r="DO28" s="280"/>
      <c r="DP28" s="280"/>
      <c r="DQ28" s="280"/>
      <c r="DR28" s="280"/>
      <c r="DS28" s="280"/>
      <c r="DT28" s="280"/>
      <c r="DU28" s="280"/>
      <c r="DV28" s="280"/>
      <c r="DW28" s="280"/>
      <c r="DX28" s="280"/>
      <c r="DY28" s="280"/>
      <c r="DZ28" s="280"/>
      <c r="EA28" s="280"/>
      <c r="EB28" s="280"/>
      <c r="EC28" s="280"/>
      <c r="ED28" s="280"/>
      <c r="EE28" s="280"/>
      <c r="EF28" s="280"/>
      <c r="EG28" s="280"/>
      <c r="EH28" s="280"/>
      <c r="EI28" s="280"/>
      <c r="EJ28" s="280"/>
      <c r="EK28" s="280"/>
      <c r="EL28" s="280"/>
      <c r="EM28" s="280"/>
      <c r="EN28" s="280"/>
      <c r="EO28" s="280"/>
      <c r="EP28" s="280"/>
      <c r="EQ28" s="280"/>
      <c r="ER28" s="280"/>
      <c r="ES28" s="280"/>
      <c r="ET28" s="280"/>
      <c r="EU28" s="280"/>
      <c r="EV28" s="280"/>
      <c r="EW28" s="280"/>
      <c r="EX28" s="280"/>
      <c r="EY28" s="280"/>
      <c r="EZ28" s="280"/>
      <c r="FA28" s="280"/>
      <c r="FB28" s="280"/>
      <c r="FC28" s="280"/>
      <c r="FD28" s="280"/>
      <c r="FE28" s="280"/>
      <c r="FF28" s="280"/>
      <c r="FG28" s="280"/>
      <c r="FH28" s="280"/>
      <c r="FI28" s="280"/>
      <c r="FJ28" s="280"/>
      <c r="FK28" s="280"/>
      <c r="FL28" s="280"/>
      <c r="FM28" s="280"/>
      <c r="FN28" s="280"/>
      <c r="FO28" s="280"/>
      <c r="FP28" s="280"/>
      <c r="FQ28" s="280"/>
      <c r="FR28" s="280"/>
      <c r="FS28" s="280"/>
      <c r="FT28" s="280"/>
      <c r="FU28" s="280"/>
      <c r="FV28" s="280"/>
      <c r="FW28" s="280"/>
      <c r="FX28" s="280"/>
      <c r="FY28" s="280"/>
      <c r="FZ28" s="280"/>
      <c r="GA28" s="280"/>
      <c r="GB28" s="280"/>
      <c r="GC28" s="280"/>
      <c r="GD28" s="280"/>
      <c r="GE28" s="280"/>
      <c r="GF28" s="280"/>
      <c r="GG28" s="280"/>
      <c r="GH28" s="280"/>
      <c r="GI28" s="280"/>
      <c r="GJ28" s="280"/>
      <c r="GK28" s="280"/>
      <c r="GL28" s="280"/>
      <c r="GM28" s="280"/>
      <c r="GN28" s="280"/>
      <c r="GO28" s="280"/>
      <c r="GP28" s="280"/>
      <c r="GQ28" s="280"/>
      <c r="GR28" s="280"/>
      <c r="GS28" s="280"/>
      <c r="GT28" s="280"/>
      <c r="GU28" s="280"/>
      <c r="GV28" s="280"/>
      <c r="GW28" s="280"/>
      <c r="GX28" s="280"/>
      <c r="GY28" s="280"/>
      <c r="GZ28" s="280"/>
      <c r="HA28" s="280"/>
      <c r="HB28" s="280"/>
      <c r="HC28" s="280"/>
      <c r="HD28" s="280"/>
      <c r="HE28" s="280"/>
      <c r="HF28" s="280"/>
      <c r="HG28" s="280"/>
      <c r="HH28" s="280"/>
      <c r="HI28" s="280"/>
      <c r="HJ28" s="280"/>
      <c r="HK28" s="280"/>
      <c r="HL28" s="280"/>
      <c r="HM28" s="280"/>
      <c r="HN28" s="280"/>
      <c r="HO28" s="280"/>
      <c r="HP28" s="280"/>
      <c r="HQ28" s="280"/>
      <c r="HR28" s="280"/>
      <c r="HS28" s="280"/>
      <c r="HT28" s="280"/>
      <c r="HU28" s="280"/>
      <c r="HV28" s="280"/>
      <c r="HW28" s="280"/>
      <c r="HX28" s="280"/>
      <c r="HY28" s="280"/>
      <c r="HZ28" s="280"/>
      <c r="IA28" s="280"/>
      <c r="IB28" s="280"/>
      <c r="IC28" s="280"/>
      <c r="ID28" s="280"/>
      <c r="IE28" s="280"/>
      <c r="IF28" s="280"/>
      <c r="IG28" s="280"/>
      <c r="IH28" s="280"/>
      <c r="II28" s="280"/>
      <c r="IJ28" s="280"/>
      <c r="IK28" s="280"/>
      <c r="IL28" s="280"/>
      <c r="IM28" s="280"/>
      <c r="IN28" s="280"/>
      <c r="IO28" s="280"/>
      <c r="IP28" s="280"/>
      <c r="IQ28" s="280"/>
      <c r="IR28" s="280"/>
      <c r="IS28" s="280"/>
      <c r="IT28" s="280"/>
      <c r="IU28" s="280"/>
      <c r="IV28" s="280"/>
    </row>
    <row r="29" spans="1:256" ht="15">
      <c r="A29" s="297"/>
      <c r="B29" s="283" t="s">
        <v>165</v>
      </c>
      <c r="C29" s="284"/>
      <c r="D29" s="299">
        <f t="shared" si="6"/>
        <v>-0.144</v>
      </c>
      <c r="E29" s="294">
        <v>0.665</v>
      </c>
      <c r="F29" s="286">
        <f aca="true" t="shared" si="7" ref="F29:F35">-1+D29/E29</f>
        <v>-1.2165413533834586</v>
      </c>
      <c r="G29" s="285"/>
      <c r="H29" s="285"/>
      <c r="I29" s="286"/>
      <c r="J29" s="285"/>
      <c r="K29" s="285"/>
      <c r="L29" s="286"/>
      <c r="M29" s="280"/>
      <c r="N29" s="280"/>
      <c r="O29" s="280"/>
      <c r="P29" s="280"/>
      <c r="Q29" s="280"/>
      <c r="R29" s="280"/>
      <c r="S29" s="281"/>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c r="DM29" s="280"/>
      <c r="DN29" s="280"/>
      <c r="DO29" s="280"/>
      <c r="DP29" s="280"/>
      <c r="DQ29" s="280"/>
      <c r="DR29" s="280"/>
      <c r="DS29" s="280"/>
      <c r="DT29" s="280"/>
      <c r="DU29" s="280"/>
      <c r="DV29" s="280"/>
      <c r="DW29" s="280"/>
      <c r="DX29" s="280"/>
      <c r="DY29" s="280"/>
      <c r="DZ29" s="280"/>
      <c r="EA29" s="280"/>
      <c r="EB29" s="280"/>
      <c r="EC29" s="280"/>
      <c r="ED29" s="280"/>
      <c r="EE29" s="280"/>
      <c r="EF29" s="280"/>
      <c r="EG29" s="280"/>
      <c r="EH29" s="280"/>
      <c r="EI29" s="280"/>
      <c r="EJ29" s="280"/>
      <c r="EK29" s="280"/>
      <c r="EL29" s="280"/>
      <c r="EM29" s="280"/>
      <c r="EN29" s="280"/>
      <c r="EO29" s="280"/>
      <c r="EP29" s="280"/>
      <c r="EQ29" s="280"/>
      <c r="ER29" s="280"/>
      <c r="ES29" s="280"/>
      <c r="ET29" s="280"/>
      <c r="EU29" s="280"/>
      <c r="EV29" s="280"/>
      <c r="EW29" s="280"/>
      <c r="EX29" s="280"/>
      <c r="EY29" s="280"/>
      <c r="EZ29" s="280"/>
      <c r="FA29" s="280"/>
      <c r="FB29" s="280"/>
      <c r="FC29" s="280"/>
      <c r="FD29" s="280"/>
      <c r="FE29" s="280"/>
      <c r="FF29" s="280"/>
      <c r="FG29" s="280"/>
      <c r="FH29" s="280"/>
      <c r="FI29" s="280"/>
      <c r="FJ29" s="280"/>
      <c r="FK29" s="280"/>
      <c r="FL29" s="280"/>
      <c r="FM29" s="280"/>
      <c r="FN29" s="280"/>
      <c r="FO29" s="280"/>
      <c r="FP29" s="280"/>
      <c r="FQ29" s="280"/>
      <c r="FR29" s="280"/>
      <c r="FS29" s="280"/>
      <c r="FT29" s="280"/>
      <c r="FU29" s="280"/>
      <c r="FV29" s="280"/>
      <c r="FW29" s="280"/>
      <c r="FX29" s="280"/>
      <c r="FY29" s="280"/>
      <c r="FZ29" s="280"/>
      <c r="GA29" s="280"/>
      <c r="GB29" s="280"/>
      <c r="GC29" s="280"/>
      <c r="GD29" s="280"/>
      <c r="GE29" s="280"/>
      <c r="GF29" s="280"/>
      <c r="GG29" s="280"/>
      <c r="GH29" s="280"/>
      <c r="GI29" s="280"/>
      <c r="GJ29" s="280"/>
      <c r="GK29" s="280"/>
      <c r="GL29" s="280"/>
      <c r="GM29" s="280"/>
      <c r="GN29" s="280"/>
      <c r="GO29" s="280"/>
      <c r="GP29" s="280"/>
      <c r="GQ29" s="280"/>
      <c r="GR29" s="280"/>
      <c r="GS29" s="280"/>
      <c r="GT29" s="280"/>
      <c r="GU29" s="280"/>
      <c r="GV29" s="280"/>
      <c r="GW29" s="280"/>
      <c r="GX29" s="280"/>
      <c r="GY29" s="280"/>
      <c r="GZ29" s="280"/>
      <c r="HA29" s="280"/>
      <c r="HB29" s="280"/>
      <c r="HC29" s="280"/>
      <c r="HD29" s="280"/>
      <c r="HE29" s="280"/>
      <c r="HF29" s="280"/>
      <c r="HG29" s="280"/>
      <c r="HH29" s="280"/>
      <c r="HI29" s="280"/>
      <c r="HJ29" s="280"/>
      <c r="HK29" s="280"/>
      <c r="HL29" s="280"/>
      <c r="HM29" s="280"/>
      <c r="HN29" s="280"/>
      <c r="HO29" s="280"/>
      <c r="HP29" s="280"/>
      <c r="HQ29" s="280"/>
      <c r="HR29" s="280"/>
      <c r="HS29" s="280"/>
      <c r="HT29" s="280"/>
      <c r="HU29" s="280"/>
      <c r="HV29" s="280"/>
      <c r="HW29" s="280"/>
      <c r="HX29" s="280"/>
      <c r="HY29" s="280"/>
      <c r="HZ29" s="280"/>
      <c r="IA29" s="280"/>
      <c r="IB29" s="280"/>
      <c r="IC29" s="280"/>
      <c r="ID29" s="280"/>
      <c r="IE29" s="280"/>
      <c r="IF29" s="280"/>
      <c r="IG29" s="280"/>
      <c r="IH29" s="280"/>
      <c r="II29" s="280"/>
      <c r="IJ29" s="280"/>
      <c r="IK29" s="280"/>
      <c r="IL29" s="280"/>
      <c r="IM29" s="280"/>
      <c r="IN29" s="280"/>
      <c r="IO29" s="280"/>
      <c r="IP29" s="280"/>
      <c r="IQ29" s="280"/>
      <c r="IR29" s="280"/>
      <c r="IS29" s="280"/>
      <c r="IT29" s="280"/>
      <c r="IU29" s="280"/>
      <c r="IV29" s="280"/>
    </row>
    <row r="30" spans="1:256" ht="15">
      <c r="A30" s="297"/>
      <c r="B30" s="283" t="s">
        <v>166</v>
      </c>
      <c r="C30" s="284"/>
      <c r="D30" s="299">
        <f t="shared" si="6"/>
        <v>-0.223</v>
      </c>
      <c r="E30" s="294">
        <v>1.028</v>
      </c>
      <c r="F30" s="286">
        <f t="shared" si="7"/>
        <v>-1.2169260700389106</v>
      </c>
      <c r="G30" s="285"/>
      <c r="H30" s="285"/>
      <c r="I30" s="286"/>
      <c r="J30" s="285"/>
      <c r="K30" s="285"/>
      <c r="L30" s="286"/>
      <c r="M30" s="280"/>
      <c r="N30" s="280"/>
      <c r="O30" s="280"/>
      <c r="P30" s="280"/>
      <c r="Q30" s="280"/>
      <c r="R30" s="280"/>
      <c r="S30" s="281"/>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c r="DM30" s="280"/>
      <c r="DN30" s="280"/>
      <c r="DO30" s="280"/>
      <c r="DP30" s="280"/>
      <c r="DQ30" s="280"/>
      <c r="DR30" s="280"/>
      <c r="DS30" s="280"/>
      <c r="DT30" s="280"/>
      <c r="DU30" s="280"/>
      <c r="DV30" s="280"/>
      <c r="DW30" s="280"/>
      <c r="DX30" s="280"/>
      <c r="DY30" s="280"/>
      <c r="DZ30" s="280"/>
      <c r="EA30" s="280"/>
      <c r="EB30" s="280"/>
      <c r="EC30" s="280"/>
      <c r="ED30" s="280"/>
      <c r="EE30" s="280"/>
      <c r="EF30" s="280"/>
      <c r="EG30" s="280"/>
      <c r="EH30" s="280"/>
      <c r="EI30" s="280"/>
      <c r="EJ30" s="280"/>
      <c r="EK30" s="280"/>
      <c r="EL30" s="280"/>
      <c r="EM30" s="280"/>
      <c r="EN30" s="280"/>
      <c r="EO30" s="280"/>
      <c r="EP30" s="280"/>
      <c r="EQ30" s="280"/>
      <c r="ER30" s="280"/>
      <c r="ES30" s="280"/>
      <c r="ET30" s="280"/>
      <c r="EU30" s="280"/>
      <c r="EV30" s="280"/>
      <c r="EW30" s="280"/>
      <c r="EX30" s="280"/>
      <c r="EY30" s="280"/>
      <c r="EZ30" s="280"/>
      <c r="FA30" s="280"/>
      <c r="FB30" s="280"/>
      <c r="FC30" s="280"/>
      <c r="FD30" s="280"/>
      <c r="FE30" s="280"/>
      <c r="FF30" s="280"/>
      <c r="FG30" s="280"/>
      <c r="FH30" s="280"/>
      <c r="FI30" s="280"/>
      <c r="FJ30" s="280"/>
      <c r="FK30" s="280"/>
      <c r="FL30" s="280"/>
      <c r="FM30" s="280"/>
      <c r="FN30" s="280"/>
      <c r="FO30" s="280"/>
      <c r="FP30" s="280"/>
      <c r="FQ30" s="280"/>
      <c r="FR30" s="280"/>
      <c r="FS30" s="280"/>
      <c r="FT30" s="280"/>
      <c r="FU30" s="280"/>
      <c r="FV30" s="280"/>
      <c r="FW30" s="280"/>
      <c r="FX30" s="280"/>
      <c r="FY30" s="280"/>
      <c r="FZ30" s="280"/>
      <c r="GA30" s="280"/>
      <c r="GB30" s="280"/>
      <c r="GC30" s="280"/>
      <c r="GD30" s="280"/>
      <c r="GE30" s="280"/>
      <c r="GF30" s="280"/>
      <c r="GG30" s="280"/>
      <c r="GH30" s="280"/>
      <c r="GI30" s="280"/>
      <c r="GJ30" s="280"/>
      <c r="GK30" s="280"/>
      <c r="GL30" s="280"/>
      <c r="GM30" s="280"/>
      <c r="GN30" s="280"/>
      <c r="GO30" s="280"/>
      <c r="GP30" s="280"/>
      <c r="GQ30" s="280"/>
      <c r="GR30" s="280"/>
      <c r="GS30" s="280"/>
      <c r="GT30" s="280"/>
      <c r="GU30" s="280"/>
      <c r="GV30" s="280"/>
      <c r="GW30" s="280"/>
      <c r="GX30" s="280"/>
      <c r="GY30" s="280"/>
      <c r="GZ30" s="280"/>
      <c r="HA30" s="280"/>
      <c r="HB30" s="280"/>
      <c r="HC30" s="280"/>
      <c r="HD30" s="280"/>
      <c r="HE30" s="280"/>
      <c r="HF30" s="280"/>
      <c r="HG30" s="280"/>
      <c r="HH30" s="280"/>
      <c r="HI30" s="280"/>
      <c r="HJ30" s="280"/>
      <c r="HK30" s="280"/>
      <c r="HL30" s="280"/>
      <c r="HM30" s="280"/>
      <c r="HN30" s="280"/>
      <c r="HO30" s="280"/>
      <c r="HP30" s="280"/>
      <c r="HQ30" s="280"/>
      <c r="HR30" s="280"/>
      <c r="HS30" s="280"/>
      <c r="HT30" s="280"/>
      <c r="HU30" s="280"/>
      <c r="HV30" s="280"/>
      <c r="HW30" s="280"/>
      <c r="HX30" s="280"/>
      <c r="HY30" s="280"/>
      <c r="HZ30" s="280"/>
      <c r="IA30" s="280"/>
      <c r="IB30" s="280"/>
      <c r="IC30" s="280"/>
      <c r="ID30" s="280"/>
      <c r="IE30" s="280"/>
      <c r="IF30" s="280"/>
      <c r="IG30" s="280"/>
      <c r="IH30" s="280"/>
      <c r="II30" s="280"/>
      <c r="IJ30" s="280"/>
      <c r="IK30" s="280"/>
      <c r="IL30" s="280"/>
      <c r="IM30" s="280"/>
      <c r="IN30" s="280"/>
      <c r="IO30" s="280"/>
      <c r="IP30" s="280"/>
      <c r="IQ30" s="280"/>
      <c r="IR30" s="280"/>
      <c r="IS30" s="280"/>
      <c r="IT30" s="280"/>
      <c r="IU30" s="280"/>
      <c r="IV30" s="280"/>
    </row>
    <row r="31" spans="1:256" ht="15">
      <c r="A31" s="297"/>
      <c r="B31" s="283" t="s">
        <v>167</v>
      </c>
      <c r="C31" s="284"/>
      <c r="D31" s="299">
        <f t="shared" si="6"/>
        <v>-0.293</v>
      </c>
      <c r="E31" s="294">
        <v>1.35</v>
      </c>
      <c r="F31" s="286">
        <f t="shared" si="7"/>
        <v>-1.217037037037037</v>
      </c>
      <c r="G31" s="285"/>
      <c r="H31" s="285"/>
      <c r="I31" s="286"/>
      <c r="J31" s="285"/>
      <c r="K31" s="285"/>
      <c r="L31" s="286"/>
      <c r="M31" s="280"/>
      <c r="N31" s="280"/>
      <c r="O31" s="280"/>
      <c r="P31" s="280"/>
      <c r="Q31" s="280"/>
      <c r="R31" s="280"/>
      <c r="S31" s="281"/>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c r="DM31" s="280"/>
      <c r="DN31" s="280"/>
      <c r="DO31" s="280"/>
      <c r="DP31" s="280"/>
      <c r="DQ31" s="280"/>
      <c r="DR31" s="280"/>
      <c r="DS31" s="280"/>
      <c r="DT31" s="280"/>
      <c r="DU31" s="280"/>
      <c r="DV31" s="280"/>
      <c r="DW31" s="280"/>
      <c r="DX31" s="280"/>
      <c r="DY31" s="280"/>
      <c r="DZ31" s="280"/>
      <c r="EA31" s="280"/>
      <c r="EB31" s="280"/>
      <c r="EC31" s="280"/>
      <c r="ED31" s="280"/>
      <c r="EE31" s="280"/>
      <c r="EF31" s="280"/>
      <c r="EG31" s="280"/>
      <c r="EH31" s="280"/>
      <c r="EI31" s="280"/>
      <c r="EJ31" s="280"/>
      <c r="EK31" s="280"/>
      <c r="EL31" s="280"/>
      <c r="EM31" s="280"/>
      <c r="EN31" s="280"/>
      <c r="EO31" s="280"/>
      <c r="EP31" s="280"/>
      <c r="EQ31" s="280"/>
      <c r="ER31" s="280"/>
      <c r="ES31" s="280"/>
      <c r="ET31" s="280"/>
      <c r="EU31" s="280"/>
      <c r="EV31" s="280"/>
      <c r="EW31" s="280"/>
      <c r="EX31" s="280"/>
      <c r="EY31" s="280"/>
      <c r="EZ31" s="280"/>
      <c r="FA31" s="280"/>
      <c r="FB31" s="280"/>
      <c r="FC31" s="280"/>
      <c r="FD31" s="280"/>
      <c r="FE31" s="280"/>
      <c r="FF31" s="280"/>
      <c r="FG31" s="280"/>
      <c r="FH31" s="280"/>
      <c r="FI31" s="280"/>
      <c r="FJ31" s="280"/>
      <c r="FK31" s="280"/>
      <c r="FL31" s="280"/>
      <c r="FM31" s="280"/>
      <c r="FN31" s="280"/>
      <c r="FO31" s="280"/>
      <c r="FP31" s="280"/>
      <c r="FQ31" s="280"/>
      <c r="FR31" s="280"/>
      <c r="FS31" s="280"/>
      <c r="FT31" s="280"/>
      <c r="FU31" s="280"/>
      <c r="FV31" s="280"/>
      <c r="FW31" s="280"/>
      <c r="FX31" s="280"/>
      <c r="FY31" s="280"/>
      <c r="FZ31" s="280"/>
      <c r="GA31" s="280"/>
      <c r="GB31" s="280"/>
      <c r="GC31" s="280"/>
      <c r="GD31" s="280"/>
      <c r="GE31" s="280"/>
      <c r="GF31" s="280"/>
      <c r="GG31" s="280"/>
      <c r="GH31" s="280"/>
      <c r="GI31" s="280"/>
      <c r="GJ31" s="280"/>
      <c r="GK31" s="280"/>
      <c r="GL31" s="280"/>
      <c r="GM31" s="280"/>
      <c r="GN31" s="280"/>
      <c r="GO31" s="280"/>
      <c r="GP31" s="280"/>
      <c r="GQ31" s="280"/>
      <c r="GR31" s="280"/>
      <c r="GS31" s="280"/>
      <c r="GT31" s="280"/>
      <c r="GU31" s="280"/>
      <c r="GV31" s="280"/>
      <c r="GW31" s="280"/>
      <c r="GX31" s="280"/>
      <c r="GY31" s="280"/>
      <c r="GZ31" s="280"/>
      <c r="HA31" s="280"/>
      <c r="HB31" s="280"/>
      <c r="HC31" s="280"/>
      <c r="HD31" s="280"/>
      <c r="HE31" s="280"/>
      <c r="HF31" s="280"/>
      <c r="HG31" s="280"/>
      <c r="HH31" s="280"/>
      <c r="HI31" s="280"/>
      <c r="HJ31" s="280"/>
      <c r="HK31" s="280"/>
      <c r="HL31" s="280"/>
      <c r="HM31" s="280"/>
      <c r="HN31" s="280"/>
      <c r="HO31" s="280"/>
      <c r="HP31" s="280"/>
      <c r="HQ31" s="280"/>
      <c r="HR31" s="280"/>
      <c r="HS31" s="280"/>
      <c r="HT31" s="280"/>
      <c r="HU31" s="280"/>
      <c r="HV31" s="280"/>
      <c r="HW31" s="280"/>
      <c r="HX31" s="280"/>
      <c r="HY31" s="280"/>
      <c r="HZ31" s="280"/>
      <c r="IA31" s="280"/>
      <c r="IB31" s="280"/>
      <c r="IC31" s="280"/>
      <c r="ID31" s="280"/>
      <c r="IE31" s="280"/>
      <c r="IF31" s="280"/>
      <c r="IG31" s="280"/>
      <c r="IH31" s="280"/>
      <c r="II31" s="280"/>
      <c r="IJ31" s="280"/>
      <c r="IK31" s="280"/>
      <c r="IL31" s="280"/>
      <c r="IM31" s="280"/>
      <c r="IN31" s="280"/>
      <c r="IO31" s="280"/>
      <c r="IP31" s="280"/>
      <c r="IQ31" s="280"/>
      <c r="IR31" s="280"/>
      <c r="IS31" s="280"/>
      <c r="IT31" s="280"/>
      <c r="IU31" s="280"/>
      <c r="IV31" s="280"/>
    </row>
    <row r="32" spans="1:256" ht="15">
      <c r="A32" s="297"/>
      <c r="B32" s="283" t="s">
        <v>168</v>
      </c>
      <c r="C32" s="284"/>
      <c r="D32" s="299">
        <f t="shared" si="6"/>
        <v>-0.441</v>
      </c>
      <c r="E32" s="294">
        <v>2.035</v>
      </c>
      <c r="F32" s="286">
        <f t="shared" si="7"/>
        <v>-1.2167076167076167</v>
      </c>
      <c r="G32" s="285"/>
      <c r="H32" s="285"/>
      <c r="I32" s="286"/>
      <c r="J32" s="285"/>
      <c r="K32" s="285"/>
      <c r="L32" s="286"/>
      <c r="M32" s="280"/>
      <c r="N32" s="280"/>
      <c r="O32" s="280"/>
      <c r="P32" s="280"/>
      <c r="Q32" s="280"/>
      <c r="R32" s="280"/>
      <c r="S32" s="281"/>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c r="DM32" s="280"/>
      <c r="DN32" s="280"/>
      <c r="DO32" s="280"/>
      <c r="DP32" s="280"/>
      <c r="DQ32" s="280"/>
      <c r="DR32" s="280"/>
      <c r="DS32" s="280"/>
      <c r="DT32" s="280"/>
      <c r="DU32" s="280"/>
      <c r="DV32" s="280"/>
      <c r="DW32" s="280"/>
      <c r="DX32" s="280"/>
      <c r="DY32" s="280"/>
      <c r="DZ32" s="280"/>
      <c r="EA32" s="280"/>
      <c r="EB32" s="280"/>
      <c r="EC32" s="280"/>
      <c r="ED32" s="280"/>
      <c r="EE32" s="280"/>
      <c r="EF32" s="280"/>
      <c r="EG32" s="280"/>
      <c r="EH32" s="280"/>
      <c r="EI32" s="280"/>
      <c r="EJ32" s="280"/>
      <c r="EK32" s="280"/>
      <c r="EL32" s="280"/>
      <c r="EM32" s="280"/>
      <c r="EN32" s="280"/>
      <c r="EO32" s="280"/>
      <c r="EP32" s="280"/>
      <c r="EQ32" s="280"/>
      <c r="ER32" s="280"/>
      <c r="ES32" s="280"/>
      <c r="ET32" s="280"/>
      <c r="EU32" s="280"/>
      <c r="EV32" s="280"/>
      <c r="EW32" s="280"/>
      <c r="EX32" s="280"/>
      <c r="EY32" s="280"/>
      <c r="EZ32" s="280"/>
      <c r="FA32" s="280"/>
      <c r="FB32" s="280"/>
      <c r="FC32" s="280"/>
      <c r="FD32" s="280"/>
      <c r="FE32" s="280"/>
      <c r="FF32" s="280"/>
      <c r="FG32" s="280"/>
      <c r="FH32" s="280"/>
      <c r="FI32" s="280"/>
      <c r="FJ32" s="280"/>
      <c r="FK32" s="280"/>
      <c r="FL32" s="280"/>
      <c r="FM32" s="280"/>
      <c r="FN32" s="280"/>
      <c r="FO32" s="280"/>
      <c r="FP32" s="280"/>
      <c r="FQ32" s="280"/>
      <c r="FR32" s="280"/>
      <c r="FS32" s="280"/>
      <c r="FT32" s="280"/>
      <c r="FU32" s="280"/>
      <c r="FV32" s="280"/>
      <c r="FW32" s="280"/>
      <c r="FX32" s="280"/>
      <c r="FY32" s="280"/>
      <c r="FZ32" s="280"/>
      <c r="GA32" s="280"/>
      <c r="GB32" s="280"/>
      <c r="GC32" s="280"/>
      <c r="GD32" s="280"/>
      <c r="GE32" s="280"/>
      <c r="GF32" s="280"/>
      <c r="GG32" s="280"/>
      <c r="GH32" s="280"/>
      <c r="GI32" s="280"/>
      <c r="GJ32" s="280"/>
      <c r="GK32" s="280"/>
      <c r="GL32" s="280"/>
      <c r="GM32" s="280"/>
      <c r="GN32" s="280"/>
      <c r="GO32" s="280"/>
      <c r="GP32" s="280"/>
      <c r="GQ32" s="280"/>
      <c r="GR32" s="280"/>
      <c r="GS32" s="280"/>
      <c r="GT32" s="280"/>
      <c r="GU32" s="280"/>
      <c r="GV32" s="280"/>
      <c r="GW32" s="280"/>
      <c r="GX32" s="280"/>
      <c r="GY32" s="280"/>
      <c r="GZ32" s="280"/>
      <c r="HA32" s="280"/>
      <c r="HB32" s="280"/>
      <c r="HC32" s="280"/>
      <c r="HD32" s="280"/>
      <c r="HE32" s="280"/>
      <c r="HF32" s="280"/>
      <c r="HG32" s="280"/>
      <c r="HH32" s="280"/>
      <c r="HI32" s="280"/>
      <c r="HJ32" s="280"/>
      <c r="HK32" s="280"/>
      <c r="HL32" s="280"/>
      <c r="HM32" s="280"/>
      <c r="HN32" s="280"/>
      <c r="HO32" s="280"/>
      <c r="HP32" s="280"/>
      <c r="HQ32" s="280"/>
      <c r="HR32" s="280"/>
      <c r="HS32" s="280"/>
      <c r="HT32" s="280"/>
      <c r="HU32" s="280"/>
      <c r="HV32" s="280"/>
      <c r="HW32" s="280"/>
      <c r="HX32" s="280"/>
      <c r="HY32" s="280"/>
      <c r="HZ32" s="280"/>
      <c r="IA32" s="280"/>
      <c r="IB32" s="280"/>
      <c r="IC32" s="280"/>
      <c r="ID32" s="280"/>
      <c r="IE32" s="280"/>
      <c r="IF32" s="280"/>
      <c r="IG32" s="280"/>
      <c r="IH32" s="280"/>
      <c r="II32" s="280"/>
      <c r="IJ32" s="280"/>
      <c r="IK32" s="280"/>
      <c r="IL32" s="280"/>
      <c r="IM32" s="280"/>
      <c r="IN32" s="280"/>
      <c r="IO32" s="280"/>
      <c r="IP32" s="280"/>
      <c r="IQ32" s="280"/>
      <c r="IR32" s="280"/>
      <c r="IS32" s="280"/>
      <c r="IT32" s="280"/>
      <c r="IU32" s="280"/>
      <c r="IV32" s="280"/>
    </row>
    <row r="33" spans="1:256" ht="15">
      <c r="A33" s="297"/>
      <c r="B33" s="283" t="s">
        <v>169</v>
      </c>
      <c r="C33" s="284"/>
      <c r="D33" s="299">
        <f t="shared" si="6"/>
        <v>-0.586</v>
      </c>
      <c r="E33" s="294">
        <v>2.7</v>
      </c>
      <c r="F33" s="286">
        <f t="shared" si="7"/>
        <v>-1.217037037037037</v>
      </c>
      <c r="G33" s="285"/>
      <c r="H33" s="285"/>
      <c r="I33" s="286"/>
      <c r="J33" s="285"/>
      <c r="K33" s="285"/>
      <c r="L33" s="286"/>
      <c r="M33" s="280"/>
      <c r="N33" s="280"/>
      <c r="O33" s="280"/>
      <c r="P33" s="280"/>
      <c r="Q33" s="280"/>
      <c r="R33" s="280"/>
      <c r="S33" s="281"/>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c r="DM33" s="280"/>
      <c r="DN33" s="280"/>
      <c r="DO33" s="280"/>
      <c r="DP33" s="280"/>
      <c r="DQ33" s="280"/>
      <c r="DR33" s="280"/>
      <c r="DS33" s="280"/>
      <c r="DT33" s="280"/>
      <c r="DU33" s="280"/>
      <c r="DV33" s="280"/>
      <c r="DW33" s="280"/>
      <c r="DX33" s="280"/>
      <c r="DY33" s="280"/>
      <c r="DZ33" s="280"/>
      <c r="EA33" s="280"/>
      <c r="EB33" s="280"/>
      <c r="EC33" s="280"/>
      <c r="ED33" s="280"/>
      <c r="EE33" s="280"/>
      <c r="EF33" s="280"/>
      <c r="EG33" s="280"/>
      <c r="EH33" s="280"/>
      <c r="EI33" s="280"/>
      <c r="EJ33" s="280"/>
      <c r="EK33" s="280"/>
      <c r="EL33" s="280"/>
      <c r="EM33" s="280"/>
      <c r="EN33" s="280"/>
      <c r="EO33" s="280"/>
      <c r="EP33" s="280"/>
      <c r="EQ33" s="280"/>
      <c r="ER33" s="280"/>
      <c r="ES33" s="280"/>
      <c r="ET33" s="280"/>
      <c r="EU33" s="280"/>
      <c r="EV33" s="280"/>
      <c r="EW33" s="280"/>
      <c r="EX33" s="280"/>
      <c r="EY33" s="280"/>
      <c r="EZ33" s="280"/>
      <c r="FA33" s="280"/>
      <c r="FB33" s="280"/>
      <c r="FC33" s="280"/>
      <c r="FD33" s="280"/>
      <c r="FE33" s="280"/>
      <c r="FF33" s="280"/>
      <c r="FG33" s="280"/>
      <c r="FH33" s="280"/>
      <c r="FI33" s="280"/>
      <c r="FJ33" s="280"/>
      <c r="FK33" s="280"/>
      <c r="FL33" s="280"/>
      <c r="FM33" s="280"/>
      <c r="FN33" s="280"/>
      <c r="FO33" s="280"/>
      <c r="FP33" s="280"/>
      <c r="FQ33" s="280"/>
      <c r="FR33" s="280"/>
      <c r="FS33" s="280"/>
      <c r="FT33" s="280"/>
      <c r="FU33" s="280"/>
      <c r="FV33" s="280"/>
      <c r="FW33" s="280"/>
      <c r="FX33" s="280"/>
      <c r="FY33" s="280"/>
      <c r="FZ33" s="280"/>
      <c r="GA33" s="280"/>
      <c r="GB33" s="280"/>
      <c r="GC33" s="280"/>
      <c r="GD33" s="280"/>
      <c r="GE33" s="280"/>
      <c r="GF33" s="280"/>
      <c r="GG33" s="280"/>
      <c r="GH33" s="280"/>
      <c r="GI33" s="280"/>
      <c r="GJ33" s="280"/>
      <c r="GK33" s="280"/>
      <c r="GL33" s="280"/>
      <c r="GM33" s="280"/>
      <c r="GN33" s="280"/>
      <c r="GO33" s="280"/>
      <c r="GP33" s="280"/>
      <c r="GQ33" s="280"/>
      <c r="GR33" s="280"/>
      <c r="GS33" s="280"/>
      <c r="GT33" s="280"/>
      <c r="GU33" s="280"/>
      <c r="GV33" s="280"/>
      <c r="GW33" s="280"/>
      <c r="GX33" s="280"/>
      <c r="GY33" s="280"/>
      <c r="GZ33" s="280"/>
      <c r="HA33" s="280"/>
      <c r="HB33" s="280"/>
      <c r="HC33" s="280"/>
      <c r="HD33" s="280"/>
      <c r="HE33" s="280"/>
      <c r="HF33" s="280"/>
      <c r="HG33" s="280"/>
      <c r="HH33" s="280"/>
      <c r="HI33" s="280"/>
      <c r="HJ33" s="280"/>
      <c r="HK33" s="280"/>
      <c r="HL33" s="280"/>
      <c r="HM33" s="280"/>
      <c r="HN33" s="280"/>
      <c r="HO33" s="280"/>
      <c r="HP33" s="280"/>
      <c r="HQ33" s="280"/>
      <c r="HR33" s="280"/>
      <c r="HS33" s="280"/>
      <c r="HT33" s="280"/>
      <c r="HU33" s="280"/>
      <c r="HV33" s="280"/>
      <c r="HW33" s="280"/>
      <c r="HX33" s="280"/>
      <c r="HY33" s="280"/>
      <c r="HZ33" s="280"/>
      <c r="IA33" s="280"/>
      <c r="IB33" s="280"/>
      <c r="IC33" s="280"/>
      <c r="ID33" s="280"/>
      <c r="IE33" s="280"/>
      <c r="IF33" s="280"/>
      <c r="IG33" s="280"/>
      <c r="IH33" s="280"/>
      <c r="II33" s="280"/>
      <c r="IJ33" s="280"/>
      <c r="IK33" s="280"/>
      <c r="IL33" s="280"/>
      <c r="IM33" s="280"/>
      <c r="IN33" s="280"/>
      <c r="IO33" s="280"/>
      <c r="IP33" s="280"/>
      <c r="IQ33" s="280"/>
      <c r="IR33" s="280"/>
      <c r="IS33" s="280"/>
      <c r="IT33" s="280"/>
      <c r="IU33" s="280"/>
      <c r="IV33" s="280"/>
    </row>
    <row r="34" spans="1:256" ht="15">
      <c r="A34" s="297"/>
      <c r="B34" s="283" t="s">
        <v>170</v>
      </c>
      <c r="C34" s="284"/>
      <c r="D34" s="299">
        <f t="shared" si="6"/>
        <v>-0.878</v>
      </c>
      <c r="E34" s="294">
        <v>4.05</v>
      </c>
      <c r="F34" s="286">
        <f t="shared" si="7"/>
        <v>-1.2167901234567902</v>
      </c>
      <c r="G34" s="285"/>
      <c r="H34" s="285"/>
      <c r="I34" s="286"/>
      <c r="J34" s="285"/>
      <c r="K34" s="285"/>
      <c r="L34" s="286"/>
      <c r="M34" s="280"/>
      <c r="N34" s="280"/>
      <c r="O34" s="280"/>
      <c r="P34" s="280"/>
      <c r="Q34" s="280"/>
      <c r="R34" s="280"/>
      <c r="S34" s="281"/>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c r="DM34" s="280"/>
      <c r="DN34" s="280"/>
      <c r="DO34" s="280"/>
      <c r="DP34" s="280"/>
      <c r="DQ34" s="280"/>
      <c r="DR34" s="280"/>
      <c r="DS34" s="280"/>
      <c r="DT34" s="280"/>
      <c r="DU34" s="280"/>
      <c r="DV34" s="280"/>
      <c r="DW34" s="280"/>
      <c r="DX34" s="280"/>
      <c r="DY34" s="280"/>
      <c r="DZ34" s="280"/>
      <c r="EA34" s="280"/>
      <c r="EB34" s="280"/>
      <c r="EC34" s="280"/>
      <c r="ED34" s="280"/>
      <c r="EE34" s="280"/>
      <c r="EF34" s="280"/>
      <c r="EG34" s="280"/>
      <c r="EH34" s="280"/>
      <c r="EI34" s="280"/>
      <c r="EJ34" s="280"/>
      <c r="EK34" s="280"/>
      <c r="EL34" s="280"/>
      <c r="EM34" s="280"/>
      <c r="EN34" s="280"/>
      <c r="EO34" s="280"/>
      <c r="EP34" s="280"/>
      <c r="EQ34" s="280"/>
      <c r="ER34" s="280"/>
      <c r="ES34" s="280"/>
      <c r="ET34" s="280"/>
      <c r="EU34" s="280"/>
      <c r="EV34" s="280"/>
      <c r="EW34" s="280"/>
      <c r="EX34" s="280"/>
      <c r="EY34" s="280"/>
      <c r="EZ34" s="280"/>
      <c r="FA34" s="280"/>
      <c r="FB34" s="280"/>
      <c r="FC34" s="280"/>
      <c r="FD34" s="280"/>
      <c r="FE34" s="280"/>
      <c r="FF34" s="280"/>
      <c r="FG34" s="280"/>
      <c r="FH34" s="280"/>
      <c r="FI34" s="280"/>
      <c r="FJ34" s="280"/>
      <c r="FK34" s="280"/>
      <c r="FL34" s="280"/>
      <c r="FM34" s="280"/>
      <c r="FN34" s="280"/>
      <c r="FO34" s="280"/>
      <c r="FP34" s="280"/>
      <c r="FQ34" s="280"/>
      <c r="FR34" s="280"/>
      <c r="FS34" s="280"/>
      <c r="FT34" s="280"/>
      <c r="FU34" s="280"/>
      <c r="FV34" s="280"/>
      <c r="FW34" s="280"/>
      <c r="FX34" s="280"/>
      <c r="FY34" s="280"/>
      <c r="FZ34" s="280"/>
      <c r="GA34" s="280"/>
      <c r="GB34" s="280"/>
      <c r="GC34" s="280"/>
      <c r="GD34" s="280"/>
      <c r="GE34" s="280"/>
      <c r="GF34" s="280"/>
      <c r="GG34" s="280"/>
      <c r="GH34" s="280"/>
      <c r="GI34" s="280"/>
      <c r="GJ34" s="280"/>
      <c r="GK34" s="280"/>
      <c r="GL34" s="280"/>
      <c r="GM34" s="280"/>
      <c r="GN34" s="280"/>
      <c r="GO34" s="280"/>
      <c r="GP34" s="280"/>
      <c r="GQ34" s="280"/>
      <c r="GR34" s="280"/>
      <c r="GS34" s="280"/>
      <c r="GT34" s="280"/>
      <c r="GU34" s="280"/>
      <c r="GV34" s="280"/>
      <c r="GW34" s="280"/>
      <c r="GX34" s="280"/>
      <c r="GY34" s="280"/>
      <c r="GZ34" s="280"/>
      <c r="HA34" s="280"/>
      <c r="HB34" s="280"/>
      <c r="HC34" s="280"/>
      <c r="HD34" s="280"/>
      <c r="HE34" s="280"/>
      <c r="HF34" s="280"/>
      <c r="HG34" s="280"/>
      <c r="HH34" s="280"/>
      <c r="HI34" s="280"/>
      <c r="HJ34" s="280"/>
      <c r="HK34" s="280"/>
      <c r="HL34" s="280"/>
      <c r="HM34" s="280"/>
      <c r="HN34" s="280"/>
      <c r="HO34" s="280"/>
      <c r="HP34" s="280"/>
      <c r="HQ34" s="280"/>
      <c r="HR34" s="280"/>
      <c r="HS34" s="280"/>
      <c r="HT34" s="280"/>
      <c r="HU34" s="280"/>
      <c r="HV34" s="280"/>
      <c r="HW34" s="280"/>
      <c r="HX34" s="280"/>
      <c r="HY34" s="280"/>
      <c r="HZ34" s="280"/>
      <c r="IA34" s="280"/>
      <c r="IB34" s="280"/>
      <c r="IC34" s="280"/>
      <c r="ID34" s="280"/>
      <c r="IE34" s="280"/>
      <c r="IF34" s="280"/>
      <c r="IG34" s="280"/>
      <c r="IH34" s="280"/>
      <c r="II34" s="280"/>
      <c r="IJ34" s="280"/>
      <c r="IK34" s="280"/>
      <c r="IL34" s="280"/>
      <c r="IM34" s="280"/>
      <c r="IN34" s="280"/>
      <c r="IO34" s="280"/>
      <c r="IP34" s="280"/>
      <c r="IQ34" s="280"/>
      <c r="IR34" s="280"/>
      <c r="IS34" s="280"/>
      <c r="IT34" s="280"/>
      <c r="IU34" s="280"/>
      <c r="IV34" s="280"/>
    </row>
    <row r="35" spans="1:256" ht="15">
      <c r="A35" s="297"/>
      <c r="B35" s="283" t="s">
        <v>171</v>
      </c>
      <c r="C35" s="284"/>
      <c r="D35" s="299">
        <f t="shared" si="6"/>
        <v>-1.171</v>
      </c>
      <c r="E35" s="294">
        <v>5.4</v>
      </c>
      <c r="F35" s="286">
        <f t="shared" si="7"/>
        <v>-1.2168518518518519</v>
      </c>
      <c r="G35" s="285"/>
      <c r="H35" s="285"/>
      <c r="I35" s="286"/>
      <c r="J35" s="285"/>
      <c r="K35" s="285"/>
      <c r="L35" s="286"/>
      <c r="M35" s="280"/>
      <c r="N35" s="280"/>
      <c r="O35" s="280"/>
      <c r="P35" s="280"/>
      <c r="Q35" s="280"/>
      <c r="R35" s="280"/>
      <c r="S35" s="281"/>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0"/>
      <c r="DH35" s="280"/>
      <c r="DI35" s="280"/>
      <c r="DJ35" s="280"/>
      <c r="DK35" s="280"/>
      <c r="DL35" s="280"/>
      <c r="DM35" s="280"/>
      <c r="DN35" s="280"/>
      <c r="DO35" s="280"/>
      <c r="DP35" s="280"/>
      <c r="DQ35" s="280"/>
      <c r="DR35" s="280"/>
      <c r="DS35" s="280"/>
      <c r="DT35" s="280"/>
      <c r="DU35" s="280"/>
      <c r="DV35" s="280"/>
      <c r="DW35" s="280"/>
      <c r="DX35" s="280"/>
      <c r="DY35" s="280"/>
      <c r="DZ35" s="280"/>
      <c r="EA35" s="280"/>
      <c r="EB35" s="280"/>
      <c r="EC35" s="280"/>
      <c r="ED35" s="280"/>
      <c r="EE35" s="280"/>
      <c r="EF35" s="280"/>
      <c r="EG35" s="280"/>
      <c r="EH35" s="280"/>
      <c r="EI35" s="280"/>
      <c r="EJ35" s="280"/>
      <c r="EK35" s="280"/>
      <c r="EL35" s="280"/>
      <c r="EM35" s="280"/>
      <c r="EN35" s="280"/>
      <c r="EO35" s="280"/>
      <c r="EP35" s="280"/>
      <c r="EQ35" s="280"/>
      <c r="ER35" s="280"/>
      <c r="ES35" s="280"/>
      <c r="ET35" s="280"/>
      <c r="EU35" s="280"/>
      <c r="EV35" s="280"/>
      <c r="EW35" s="280"/>
      <c r="EX35" s="280"/>
      <c r="EY35" s="280"/>
      <c r="EZ35" s="280"/>
      <c r="FA35" s="280"/>
      <c r="FB35" s="280"/>
      <c r="FC35" s="280"/>
      <c r="FD35" s="280"/>
      <c r="FE35" s="280"/>
      <c r="FF35" s="280"/>
      <c r="FG35" s="280"/>
      <c r="FH35" s="280"/>
      <c r="FI35" s="280"/>
      <c r="FJ35" s="280"/>
      <c r="FK35" s="280"/>
      <c r="FL35" s="280"/>
      <c r="FM35" s="280"/>
      <c r="FN35" s="280"/>
      <c r="FO35" s="280"/>
      <c r="FP35" s="280"/>
      <c r="FQ35" s="280"/>
      <c r="FR35" s="280"/>
      <c r="FS35" s="280"/>
      <c r="FT35" s="280"/>
      <c r="FU35" s="280"/>
      <c r="FV35" s="280"/>
      <c r="FW35" s="280"/>
      <c r="FX35" s="280"/>
      <c r="FY35" s="280"/>
      <c r="FZ35" s="280"/>
      <c r="GA35" s="280"/>
      <c r="GB35" s="280"/>
      <c r="GC35" s="280"/>
      <c r="GD35" s="280"/>
      <c r="GE35" s="280"/>
      <c r="GF35" s="280"/>
      <c r="GG35" s="280"/>
      <c r="GH35" s="280"/>
      <c r="GI35" s="280"/>
      <c r="GJ35" s="280"/>
      <c r="GK35" s="280"/>
      <c r="GL35" s="280"/>
      <c r="GM35" s="280"/>
      <c r="GN35" s="280"/>
      <c r="GO35" s="280"/>
      <c r="GP35" s="280"/>
      <c r="GQ35" s="280"/>
      <c r="GR35" s="280"/>
      <c r="GS35" s="280"/>
      <c r="GT35" s="280"/>
      <c r="GU35" s="280"/>
      <c r="GV35" s="280"/>
      <c r="GW35" s="280"/>
      <c r="GX35" s="280"/>
      <c r="GY35" s="280"/>
      <c r="GZ35" s="280"/>
      <c r="HA35" s="280"/>
      <c r="HB35" s="280"/>
      <c r="HC35" s="280"/>
      <c r="HD35" s="280"/>
      <c r="HE35" s="280"/>
      <c r="HF35" s="280"/>
      <c r="HG35" s="280"/>
      <c r="HH35" s="280"/>
      <c r="HI35" s="280"/>
      <c r="HJ35" s="280"/>
      <c r="HK35" s="280"/>
      <c r="HL35" s="280"/>
      <c r="HM35" s="280"/>
      <c r="HN35" s="280"/>
      <c r="HO35" s="280"/>
      <c r="HP35" s="280"/>
      <c r="HQ35" s="280"/>
      <c r="HR35" s="280"/>
      <c r="HS35" s="280"/>
      <c r="HT35" s="280"/>
      <c r="HU35" s="280"/>
      <c r="HV35" s="280"/>
      <c r="HW35" s="280"/>
      <c r="HX35" s="280"/>
      <c r="HY35" s="280"/>
      <c r="HZ35" s="280"/>
      <c r="IA35" s="280"/>
      <c r="IB35" s="280"/>
      <c r="IC35" s="280"/>
      <c r="ID35" s="280"/>
      <c r="IE35" s="280"/>
      <c r="IF35" s="280"/>
      <c r="IG35" s="280"/>
      <c r="IH35" s="280"/>
      <c r="II35" s="280"/>
      <c r="IJ35" s="280"/>
      <c r="IK35" s="280"/>
      <c r="IL35" s="280"/>
      <c r="IM35" s="280"/>
      <c r="IN35" s="280"/>
      <c r="IO35" s="280"/>
      <c r="IP35" s="280"/>
      <c r="IQ35" s="280"/>
      <c r="IR35" s="280"/>
      <c r="IS35" s="280"/>
      <c r="IT35" s="280"/>
      <c r="IU35" s="280"/>
      <c r="IV35" s="280"/>
    </row>
    <row r="36" spans="1:256" ht="15">
      <c r="A36" s="297"/>
      <c r="B36" s="283"/>
      <c r="C36" s="284"/>
      <c r="D36" s="293"/>
      <c r="E36" s="285"/>
      <c r="F36" s="293"/>
      <c r="G36" s="285"/>
      <c r="H36" s="294"/>
      <c r="I36" s="286"/>
      <c r="J36" s="285"/>
      <c r="K36" s="294"/>
      <c r="L36" s="286"/>
      <c r="M36" s="280"/>
      <c r="N36" s="280"/>
      <c r="O36" s="280"/>
      <c r="P36" s="280"/>
      <c r="Q36" s="280"/>
      <c r="R36" s="280"/>
      <c r="S36" s="281"/>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c r="BY36" s="280"/>
      <c r="BZ36" s="280"/>
      <c r="CA36" s="280"/>
      <c r="CB36" s="280"/>
      <c r="CC36" s="280"/>
      <c r="CD36" s="280"/>
      <c r="CE36" s="280"/>
      <c r="CF36" s="280"/>
      <c r="CG36" s="280"/>
      <c r="CH36" s="280"/>
      <c r="CI36" s="280"/>
      <c r="CJ36" s="280"/>
      <c r="CK36" s="280"/>
      <c r="CL36" s="280"/>
      <c r="CM36" s="280"/>
      <c r="CN36" s="280"/>
      <c r="CO36" s="280"/>
      <c r="CP36" s="280"/>
      <c r="CQ36" s="280"/>
      <c r="CR36" s="280"/>
      <c r="CS36" s="280"/>
      <c r="CT36" s="280"/>
      <c r="CU36" s="280"/>
      <c r="CV36" s="280"/>
      <c r="CW36" s="280"/>
      <c r="CX36" s="280"/>
      <c r="CY36" s="280"/>
      <c r="CZ36" s="280"/>
      <c r="DA36" s="280"/>
      <c r="DB36" s="280"/>
      <c r="DC36" s="280"/>
      <c r="DD36" s="280"/>
      <c r="DE36" s="280"/>
      <c r="DF36" s="280"/>
      <c r="DG36" s="280"/>
      <c r="DH36" s="280"/>
      <c r="DI36" s="280"/>
      <c r="DJ36" s="280"/>
      <c r="DK36" s="280"/>
      <c r="DL36" s="280"/>
      <c r="DM36" s="280"/>
      <c r="DN36" s="280"/>
      <c r="DO36" s="280"/>
      <c r="DP36" s="280"/>
      <c r="DQ36" s="280"/>
      <c r="DR36" s="280"/>
      <c r="DS36" s="280"/>
      <c r="DT36" s="280"/>
      <c r="DU36" s="280"/>
      <c r="DV36" s="280"/>
      <c r="DW36" s="280"/>
      <c r="DX36" s="280"/>
      <c r="DY36" s="280"/>
      <c r="DZ36" s="280"/>
      <c r="EA36" s="280"/>
      <c r="EB36" s="280"/>
      <c r="EC36" s="280"/>
      <c r="ED36" s="280"/>
      <c r="EE36" s="280"/>
      <c r="EF36" s="280"/>
      <c r="EG36" s="280"/>
      <c r="EH36" s="280"/>
      <c r="EI36" s="280"/>
      <c r="EJ36" s="280"/>
      <c r="EK36" s="280"/>
      <c r="EL36" s="280"/>
      <c r="EM36" s="280"/>
      <c r="EN36" s="280"/>
      <c r="EO36" s="280"/>
      <c r="EP36" s="280"/>
      <c r="EQ36" s="280"/>
      <c r="ER36" s="280"/>
      <c r="ES36" s="280"/>
      <c r="ET36" s="280"/>
      <c r="EU36" s="280"/>
      <c r="EV36" s="280"/>
      <c r="EW36" s="280"/>
      <c r="EX36" s="280"/>
      <c r="EY36" s="280"/>
      <c r="EZ36" s="280"/>
      <c r="FA36" s="280"/>
      <c r="FB36" s="280"/>
      <c r="FC36" s="280"/>
      <c r="FD36" s="280"/>
      <c r="FE36" s="280"/>
      <c r="FF36" s="280"/>
      <c r="FG36" s="280"/>
      <c r="FH36" s="280"/>
      <c r="FI36" s="280"/>
      <c r="FJ36" s="280"/>
      <c r="FK36" s="280"/>
      <c r="FL36" s="280"/>
      <c r="FM36" s="280"/>
      <c r="FN36" s="280"/>
      <c r="FO36" s="280"/>
      <c r="FP36" s="280"/>
      <c r="FQ36" s="280"/>
      <c r="FR36" s="280"/>
      <c r="FS36" s="280"/>
      <c r="FT36" s="280"/>
      <c r="FU36" s="280"/>
      <c r="FV36" s="280"/>
      <c r="FW36" s="280"/>
      <c r="FX36" s="280"/>
      <c r="FY36" s="280"/>
      <c r="FZ36" s="280"/>
      <c r="GA36" s="280"/>
      <c r="GB36" s="280"/>
      <c r="GC36" s="280"/>
      <c r="GD36" s="280"/>
      <c r="GE36" s="280"/>
      <c r="GF36" s="280"/>
      <c r="GG36" s="280"/>
      <c r="GH36" s="280"/>
      <c r="GI36" s="280"/>
      <c r="GJ36" s="280"/>
      <c r="GK36" s="280"/>
      <c r="GL36" s="280"/>
      <c r="GM36" s="280"/>
      <c r="GN36" s="280"/>
      <c r="GO36" s="280"/>
      <c r="GP36" s="280"/>
      <c r="GQ36" s="280"/>
      <c r="GR36" s="280"/>
      <c r="GS36" s="280"/>
      <c r="GT36" s="280"/>
      <c r="GU36" s="280"/>
      <c r="GV36" s="280"/>
      <c r="GW36" s="280"/>
      <c r="GX36" s="280"/>
      <c r="GY36" s="280"/>
      <c r="GZ36" s="280"/>
      <c r="HA36" s="280"/>
      <c r="HB36" s="280"/>
      <c r="HC36" s="280"/>
      <c r="HD36" s="280"/>
      <c r="HE36" s="280"/>
      <c r="HF36" s="280"/>
      <c r="HG36" s="280"/>
      <c r="HH36" s="280"/>
      <c r="HI36" s="280"/>
      <c r="HJ36" s="280"/>
      <c r="HK36" s="280"/>
      <c r="HL36" s="280"/>
      <c r="HM36" s="280"/>
      <c r="HN36" s="280"/>
      <c r="HO36" s="280"/>
      <c r="HP36" s="280"/>
      <c r="HQ36" s="280"/>
      <c r="HR36" s="280"/>
      <c r="HS36" s="280"/>
      <c r="HT36" s="280"/>
      <c r="HU36" s="280"/>
      <c r="HV36" s="280"/>
      <c r="HW36" s="280"/>
      <c r="HX36" s="280"/>
      <c r="HY36" s="280"/>
      <c r="HZ36" s="280"/>
      <c r="IA36" s="280"/>
      <c r="IB36" s="280"/>
      <c r="IC36" s="280"/>
      <c r="ID36" s="280"/>
      <c r="IE36" s="280"/>
      <c r="IF36" s="280"/>
      <c r="IG36" s="280"/>
      <c r="IH36" s="280"/>
      <c r="II36" s="280"/>
      <c r="IJ36" s="280"/>
      <c r="IK36" s="280"/>
      <c r="IL36" s="280"/>
      <c r="IM36" s="280"/>
      <c r="IN36" s="280"/>
      <c r="IO36" s="280"/>
      <c r="IP36" s="280"/>
      <c r="IQ36" s="280"/>
      <c r="IR36" s="280"/>
      <c r="IS36" s="280"/>
      <c r="IT36" s="280"/>
      <c r="IU36" s="280"/>
      <c r="IV36" s="280"/>
    </row>
    <row r="37" spans="1:256" ht="15.75">
      <c r="A37" s="292" t="s">
        <v>174</v>
      </c>
      <c r="B37" s="283"/>
      <c r="C37" s="284"/>
      <c r="D37" s="293"/>
      <c r="E37" s="285"/>
      <c r="F37" s="293"/>
      <c r="G37" s="285"/>
      <c r="H37" s="294"/>
      <c r="I37" s="286"/>
      <c r="J37" s="285"/>
      <c r="K37" s="294"/>
      <c r="L37" s="286"/>
      <c r="M37" s="280"/>
      <c r="N37" s="280"/>
      <c r="O37" s="280"/>
      <c r="P37" s="280"/>
      <c r="Q37" s="280"/>
      <c r="R37" s="280"/>
      <c r="S37" s="281"/>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0"/>
      <c r="DM37" s="280"/>
      <c r="DN37" s="280"/>
      <c r="DO37" s="280"/>
      <c r="DP37" s="280"/>
      <c r="DQ37" s="280"/>
      <c r="DR37" s="280"/>
      <c r="DS37" s="280"/>
      <c r="DT37" s="280"/>
      <c r="DU37" s="280"/>
      <c r="DV37" s="280"/>
      <c r="DW37" s="280"/>
      <c r="DX37" s="280"/>
      <c r="DY37" s="280"/>
      <c r="DZ37" s="280"/>
      <c r="EA37" s="280"/>
      <c r="EB37" s="280"/>
      <c r="EC37" s="280"/>
      <c r="ED37" s="280"/>
      <c r="EE37" s="280"/>
      <c r="EF37" s="280"/>
      <c r="EG37" s="280"/>
      <c r="EH37" s="280"/>
      <c r="EI37" s="280"/>
      <c r="EJ37" s="280"/>
      <c r="EK37" s="280"/>
      <c r="EL37" s="280"/>
      <c r="EM37" s="280"/>
      <c r="EN37" s="280"/>
      <c r="EO37" s="280"/>
      <c r="EP37" s="280"/>
      <c r="EQ37" s="280"/>
      <c r="ER37" s="280"/>
      <c r="ES37" s="280"/>
      <c r="ET37" s="280"/>
      <c r="EU37" s="280"/>
      <c r="EV37" s="280"/>
      <c r="EW37" s="280"/>
      <c r="EX37" s="280"/>
      <c r="EY37" s="280"/>
      <c r="EZ37" s="280"/>
      <c r="FA37" s="280"/>
      <c r="FB37" s="280"/>
      <c r="FC37" s="280"/>
      <c r="FD37" s="280"/>
      <c r="FE37" s="280"/>
      <c r="FF37" s="280"/>
      <c r="FG37" s="280"/>
      <c r="FH37" s="280"/>
      <c r="FI37" s="280"/>
      <c r="FJ37" s="280"/>
      <c r="FK37" s="280"/>
      <c r="FL37" s="280"/>
      <c r="FM37" s="280"/>
      <c r="FN37" s="280"/>
      <c r="FO37" s="280"/>
      <c r="FP37" s="280"/>
      <c r="FQ37" s="280"/>
      <c r="FR37" s="280"/>
      <c r="FS37" s="280"/>
      <c r="FT37" s="280"/>
      <c r="FU37" s="280"/>
      <c r="FV37" s="280"/>
      <c r="FW37" s="280"/>
      <c r="FX37" s="280"/>
      <c r="FY37" s="280"/>
      <c r="FZ37" s="280"/>
      <c r="GA37" s="280"/>
      <c r="GB37" s="280"/>
      <c r="GC37" s="280"/>
      <c r="GD37" s="280"/>
      <c r="GE37" s="280"/>
      <c r="GF37" s="280"/>
      <c r="GG37" s="280"/>
      <c r="GH37" s="280"/>
      <c r="GI37" s="280"/>
      <c r="GJ37" s="280"/>
      <c r="GK37" s="280"/>
      <c r="GL37" s="280"/>
      <c r="GM37" s="280"/>
      <c r="GN37" s="280"/>
      <c r="GO37" s="280"/>
      <c r="GP37" s="280"/>
      <c r="GQ37" s="280"/>
      <c r="GR37" s="280"/>
      <c r="GS37" s="280"/>
      <c r="GT37" s="280"/>
      <c r="GU37" s="280"/>
      <c r="GV37" s="280"/>
      <c r="GW37" s="280"/>
      <c r="GX37" s="280"/>
      <c r="GY37" s="280"/>
      <c r="GZ37" s="280"/>
      <c r="HA37" s="280"/>
      <c r="HB37" s="280"/>
      <c r="HC37" s="280"/>
      <c r="HD37" s="280"/>
      <c r="HE37" s="280"/>
      <c r="HF37" s="280"/>
      <c r="HG37" s="280"/>
      <c r="HH37" s="280"/>
      <c r="HI37" s="280"/>
      <c r="HJ37" s="280"/>
      <c r="HK37" s="280"/>
      <c r="HL37" s="280"/>
      <c r="HM37" s="280"/>
      <c r="HN37" s="280"/>
      <c r="HO37" s="280"/>
      <c r="HP37" s="280"/>
      <c r="HQ37" s="280"/>
      <c r="HR37" s="280"/>
      <c r="HS37" s="280"/>
      <c r="HT37" s="280"/>
      <c r="HU37" s="280"/>
      <c r="HV37" s="280"/>
      <c r="HW37" s="280"/>
      <c r="HX37" s="280"/>
      <c r="HY37" s="280"/>
      <c r="HZ37" s="280"/>
      <c r="IA37" s="280"/>
      <c r="IB37" s="280"/>
      <c r="IC37" s="280"/>
      <c r="ID37" s="280"/>
      <c r="IE37" s="280"/>
      <c r="IF37" s="280"/>
      <c r="IG37" s="280"/>
      <c r="IH37" s="280"/>
      <c r="II37" s="280"/>
      <c r="IJ37" s="280"/>
      <c r="IK37" s="280"/>
      <c r="IL37" s="280"/>
      <c r="IM37" s="280"/>
      <c r="IN37" s="280"/>
      <c r="IO37" s="280"/>
      <c r="IP37" s="280"/>
      <c r="IQ37" s="280"/>
      <c r="IR37" s="280"/>
      <c r="IS37" s="280"/>
      <c r="IT37" s="280"/>
      <c r="IU37" s="280"/>
      <c r="IV37" s="280"/>
    </row>
    <row r="38" spans="1:256" ht="15">
      <c r="A38" s="297"/>
      <c r="B38" s="283" t="s">
        <v>175</v>
      </c>
      <c r="C38" s="284"/>
      <c r="D38" s="293"/>
      <c r="E38" s="285"/>
      <c r="F38" s="293"/>
      <c r="G38" s="300">
        <f>ROUND(+H38+H38*Q$8,2)</f>
        <v>-0.07</v>
      </c>
      <c r="H38" s="294">
        <v>0.11</v>
      </c>
      <c r="I38" s="286">
        <f>-1+G38/H38</f>
        <v>-1.6363636363636365</v>
      </c>
      <c r="J38" s="287">
        <f>+G38</f>
        <v>-0.07</v>
      </c>
      <c r="K38" s="285">
        <v>0.11</v>
      </c>
      <c r="L38" s="286">
        <f>-1+J38/K38</f>
        <v>-1.6363636363636365</v>
      </c>
      <c r="M38" s="280"/>
      <c r="N38" s="280"/>
      <c r="O38" s="280"/>
      <c r="P38" s="280"/>
      <c r="Q38" s="280"/>
      <c r="R38" s="280"/>
      <c r="S38" s="281"/>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0"/>
      <c r="DL38" s="280"/>
      <c r="DM38" s="280"/>
      <c r="DN38" s="280"/>
      <c r="DO38" s="280"/>
      <c r="DP38" s="280"/>
      <c r="DQ38" s="280"/>
      <c r="DR38" s="280"/>
      <c r="DS38" s="280"/>
      <c r="DT38" s="280"/>
      <c r="DU38" s="280"/>
      <c r="DV38" s="280"/>
      <c r="DW38" s="280"/>
      <c r="DX38" s="280"/>
      <c r="DY38" s="280"/>
      <c r="DZ38" s="280"/>
      <c r="EA38" s="280"/>
      <c r="EB38" s="280"/>
      <c r="EC38" s="280"/>
      <c r="ED38" s="280"/>
      <c r="EE38" s="280"/>
      <c r="EF38" s="280"/>
      <c r="EG38" s="280"/>
      <c r="EH38" s="280"/>
      <c r="EI38" s="280"/>
      <c r="EJ38" s="280"/>
      <c r="EK38" s="280"/>
      <c r="EL38" s="280"/>
      <c r="EM38" s="280"/>
      <c r="EN38" s="280"/>
      <c r="EO38" s="280"/>
      <c r="EP38" s="280"/>
      <c r="EQ38" s="280"/>
      <c r="ER38" s="280"/>
      <c r="ES38" s="280"/>
      <c r="ET38" s="280"/>
      <c r="EU38" s="280"/>
      <c r="EV38" s="280"/>
      <c r="EW38" s="280"/>
      <c r="EX38" s="280"/>
      <c r="EY38" s="280"/>
      <c r="EZ38" s="280"/>
      <c r="FA38" s="280"/>
      <c r="FB38" s="280"/>
      <c r="FC38" s="280"/>
      <c r="FD38" s="280"/>
      <c r="FE38" s="280"/>
      <c r="FF38" s="280"/>
      <c r="FG38" s="280"/>
      <c r="FH38" s="280"/>
      <c r="FI38" s="280"/>
      <c r="FJ38" s="280"/>
      <c r="FK38" s="280"/>
      <c r="FL38" s="280"/>
      <c r="FM38" s="280"/>
      <c r="FN38" s="280"/>
      <c r="FO38" s="280"/>
      <c r="FP38" s="280"/>
      <c r="FQ38" s="280"/>
      <c r="FR38" s="280"/>
      <c r="FS38" s="280"/>
      <c r="FT38" s="280"/>
      <c r="FU38" s="280"/>
      <c r="FV38" s="280"/>
      <c r="FW38" s="280"/>
      <c r="FX38" s="280"/>
      <c r="FY38" s="280"/>
      <c r="FZ38" s="280"/>
      <c r="GA38" s="280"/>
      <c r="GB38" s="280"/>
      <c r="GC38" s="280"/>
      <c r="GD38" s="280"/>
      <c r="GE38" s="280"/>
      <c r="GF38" s="280"/>
      <c r="GG38" s="280"/>
      <c r="GH38" s="280"/>
      <c r="GI38" s="280"/>
      <c r="GJ38" s="280"/>
      <c r="GK38" s="280"/>
      <c r="GL38" s="280"/>
      <c r="GM38" s="280"/>
      <c r="GN38" s="280"/>
      <c r="GO38" s="280"/>
      <c r="GP38" s="280"/>
      <c r="GQ38" s="280"/>
      <c r="GR38" s="280"/>
      <c r="GS38" s="280"/>
      <c r="GT38" s="280"/>
      <c r="GU38" s="280"/>
      <c r="GV38" s="280"/>
      <c r="GW38" s="280"/>
      <c r="GX38" s="280"/>
      <c r="GY38" s="280"/>
      <c r="GZ38" s="280"/>
      <c r="HA38" s="280"/>
      <c r="HB38" s="280"/>
      <c r="HC38" s="280"/>
      <c r="HD38" s="280"/>
      <c r="HE38" s="280"/>
      <c r="HF38" s="280"/>
      <c r="HG38" s="280"/>
      <c r="HH38" s="280"/>
      <c r="HI38" s="280"/>
      <c r="HJ38" s="280"/>
      <c r="HK38" s="280"/>
      <c r="HL38" s="280"/>
      <c r="HM38" s="280"/>
      <c r="HN38" s="280"/>
      <c r="HO38" s="280"/>
      <c r="HP38" s="280"/>
      <c r="HQ38" s="280"/>
      <c r="HR38" s="280"/>
      <c r="HS38" s="280"/>
      <c r="HT38" s="280"/>
      <c r="HU38" s="280"/>
      <c r="HV38" s="280"/>
      <c r="HW38" s="280"/>
      <c r="HX38" s="280"/>
      <c r="HY38" s="280"/>
      <c r="HZ38" s="280"/>
      <c r="IA38" s="280"/>
      <c r="IB38" s="280"/>
      <c r="IC38" s="280"/>
      <c r="ID38" s="280"/>
      <c r="IE38" s="280"/>
      <c r="IF38" s="280"/>
      <c r="IG38" s="280"/>
      <c r="IH38" s="280"/>
      <c r="II38" s="280"/>
      <c r="IJ38" s="280"/>
      <c r="IK38" s="280"/>
      <c r="IL38" s="280"/>
      <c r="IM38" s="280"/>
      <c r="IN38" s="280"/>
      <c r="IO38" s="280"/>
      <c r="IP38" s="280"/>
      <c r="IQ38" s="280"/>
      <c r="IR38" s="280"/>
      <c r="IS38" s="280"/>
      <c r="IT38" s="280"/>
      <c r="IU38" s="280"/>
      <c r="IV38" s="280"/>
    </row>
    <row r="39" spans="1:256" ht="15">
      <c r="A39" s="297"/>
      <c r="B39" s="283" t="s">
        <v>176</v>
      </c>
      <c r="C39" s="284"/>
      <c r="D39" s="293"/>
      <c r="E39" s="285"/>
      <c r="F39" s="293"/>
      <c r="G39" s="300">
        <f>ROUND(+H39+H39*Q$8,2)</f>
        <v>-0.04</v>
      </c>
      <c r="H39" s="294">
        <v>0.06</v>
      </c>
      <c r="I39" s="286">
        <f>-1+G39/H39</f>
        <v>-1.6666666666666667</v>
      </c>
      <c r="J39" s="287">
        <f>+G39</f>
        <v>-0.04</v>
      </c>
      <c r="K39" s="285">
        <v>0.06</v>
      </c>
      <c r="L39" s="286">
        <f>-1+J39/K39</f>
        <v>-1.6666666666666667</v>
      </c>
      <c r="M39" s="280"/>
      <c r="N39" s="280"/>
      <c r="O39" s="280"/>
      <c r="P39" s="280"/>
      <c r="Q39" s="280"/>
      <c r="R39" s="280"/>
      <c r="S39" s="281"/>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c r="DM39" s="280"/>
      <c r="DN39" s="280"/>
      <c r="DO39" s="280"/>
      <c r="DP39" s="280"/>
      <c r="DQ39" s="280"/>
      <c r="DR39" s="280"/>
      <c r="DS39" s="280"/>
      <c r="DT39" s="280"/>
      <c r="DU39" s="280"/>
      <c r="DV39" s="280"/>
      <c r="DW39" s="280"/>
      <c r="DX39" s="280"/>
      <c r="DY39" s="280"/>
      <c r="DZ39" s="280"/>
      <c r="EA39" s="280"/>
      <c r="EB39" s="280"/>
      <c r="EC39" s="280"/>
      <c r="ED39" s="280"/>
      <c r="EE39" s="280"/>
      <c r="EF39" s="280"/>
      <c r="EG39" s="280"/>
      <c r="EH39" s="280"/>
      <c r="EI39" s="280"/>
      <c r="EJ39" s="280"/>
      <c r="EK39" s="280"/>
      <c r="EL39" s="280"/>
      <c r="EM39" s="280"/>
      <c r="EN39" s="280"/>
      <c r="EO39" s="280"/>
      <c r="EP39" s="280"/>
      <c r="EQ39" s="280"/>
      <c r="ER39" s="280"/>
      <c r="ES39" s="280"/>
      <c r="ET39" s="280"/>
      <c r="EU39" s="280"/>
      <c r="EV39" s="280"/>
      <c r="EW39" s="280"/>
      <c r="EX39" s="280"/>
      <c r="EY39" s="280"/>
      <c r="EZ39" s="280"/>
      <c r="FA39" s="280"/>
      <c r="FB39" s="280"/>
      <c r="FC39" s="280"/>
      <c r="FD39" s="280"/>
      <c r="FE39" s="280"/>
      <c r="FF39" s="280"/>
      <c r="FG39" s="280"/>
      <c r="FH39" s="280"/>
      <c r="FI39" s="280"/>
      <c r="FJ39" s="280"/>
      <c r="FK39" s="280"/>
      <c r="FL39" s="280"/>
      <c r="FM39" s="280"/>
      <c r="FN39" s="280"/>
      <c r="FO39" s="280"/>
      <c r="FP39" s="280"/>
      <c r="FQ39" s="280"/>
      <c r="FR39" s="280"/>
      <c r="FS39" s="280"/>
      <c r="FT39" s="280"/>
      <c r="FU39" s="280"/>
      <c r="FV39" s="280"/>
      <c r="FW39" s="280"/>
      <c r="FX39" s="280"/>
      <c r="FY39" s="280"/>
      <c r="FZ39" s="280"/>
      <c r="GA39" s="280"/>
      <c r="GB39" s="280"/>
      <c r="GC39" s="280"/>
      <c r="GD39" s="280"/>
      <c r="GE39" s="280"/>
      <c r="GF39" s="280"/>
      <c r="GG39" s="280"/>
      <c r="GH39" s="280"/>
      <c r="GI39" s="280"/>
      <c r="GJ39" s="280"/>
      <c r="GK39" s="280"/>
      <c r="GL39" s="280"/>
      <c r="GM39" s="280"/>
      <c r="GN39" s="280"/>
      <c r="GO39" s="280"/>
      <c r="GP39" s="280"/>
      <c r="GQ39" s="280"/>
      <c r="GR39" s="280"/>
      <c r="GS39" s="280"/>
      <c r="GT39" s="280"/>
      <c r="GU39" s="280"/>
      <c r="GV39" s="280"/>
      <c r="GW39" s="280"/>
      <c r="GX39" s="280"/>
      <c r="GY39" s="280"/>
      <c r="GZ39" s="280"/>
      <c r="HA39" s="280"/>
      <c r="HB39" s="280"/>
      <c r="HC39" s="280"/>
      <c r="HD39" s="280"/>
      <c r="HE39" s="280"/>
      <c r="HF39" s="280"/>
      <c r="HG39" s="280"/>
      <c r="HH39" s="280"/>
      <c r="HI39" s="280"/>
      <c r="HJ39" s="280"/>
      <c r="HK39" s="280"/>
      <c r="HL39" s="280"/>
      <c r="HM39" s="280"/>
      <c r="HN39" s="280"/>
      <c r="HO39" s="280"/>
      <c r="HP39" s="280"/>
      <c r="HQ39" s="280"/>
      <c r="HR39" s="280"/>
      <c r="HS39" s="280"/>
      <c r="HT39" s="280"/>
      <c r="HU39" s="280"/>
      <c r="HV39" s="280"/>
      <c r="HW39" s="280"/>
      <c r="HX39" s="280"/>
      <c r="HY39" s="280"/>
      <c r="HZ39" s="280"/>
      <c r="IA39" s="280"/>
      <c r="IB39" s="280"/>
      <c r="IC39" s="280"/>
      <c r="ID39" s="280"/>
      <c r="IE39" s="280"/>
      <c r="IF39" s="280"/>
      <c r="IG39" s="280"/>
      <c r="IH39" s="280"/>
      <c r="II39" s="280"/>
      <c r="IJ39" s="280"/>
      <c r="IK39" s="280"/>
      <c r="IL39" s="280"/>
      <c r="IM39" s="280"/>
      <c r="IN39" s="280"/>
      <c r="IO39" s="280"/>
      <c r="IP39" s="280"/>
      <c r="IQ39" s="280"/>
      <c r="IR39" s="280"/>
      <c r="IS39" s="280"/>
      <c r="IT39" s="280"/>
      <c r="IU39" s="280"/>
      <c r="IV39" s="280"/>
    </row>
    <row r="40" spans="1:256" ht="15">
      <c r="A40" s="297"/>
      <c r="B40" s="283"/>
      <c r="C40" s="284"/>
      <c r="D40" s="293"/>
      <c r="E40" s="285"/>
      <c r="F40" s="293"/>
      <c r="G40" s="285"/>
      <c r="H40" s="285"/>
      <c r="I40" s="286"/>
      <c r="J40" s="285"/>
      <c r="K40" s="301"/>
      <c r="L40" s="286"/>
      <c r="M40" s="280"/>
      <c r="N40" s="280"/>
      <c r="O40" s="280"/>
      <c r="P40" s="280"/>
      <c r="Q40" s="280"/>
      <c r="R40" s="280"/>
      <c r="S40" s="281"/>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c r="DM40" s="280"/>
      <c r="DN40" s="280"/>
      <c r="DO40" s="280"/>
      <c r="DP40" s="280"/>
      <c r="DQ40" s="280"/>
      <c r="DR40" s="280"/>
      <c r="DS40" s="280"/>
      <c r="DT40" s="280"/>
      <c r="DU40" s="280"/>
      <c r="DV40" s="280"/>
      <c r="DW40" s="280"/>
      <c r="DX40" s="280"/>
      <c r="DY40" s="280"/>
      <c r="DZ40" s="280"/>
      <c r="EA40" s="280"/>
      <c r="EB40" s="280"/>
      <c r="EC40" s="280"/>
      <c r="ED40" s="280"/>
      <c r="EE40" s="280"/>
      <c r="EF40" s="280"/>
      <c r="EG40" s="280"/>
      <c r="EH40" s="280"/>
      <c r="EI40" s="280"/>
      <c r="EJ40" s="280"/>
      <c r="EK40" s="280"/>
      <c r="EL40" s="280"/>
      <c r="EM40" s="280"/>
      <c r="EN40" s="280"/>
      <c r="EO40" s="280"/>
      <c r="EP40" s="280"/>
      <c r="EQ40" s="280"/>
      <c r="ER40" s="280"/>
      <c r="ES40" s="280"/>
      <c r="ET40" s="280"/>
      <c r="EU40" s="280"/>
      <c r="EV40" s="280"/>
      <c r="EW40" s="280"/>
      <c r="EX40" s="280"/>
      <c r="EY40" s="280"/>
      <c r="EZ40" s="280"/>
      <c r="FA40" s="280"/>
      <c r="FB40" s="280"/>
      <c r="FC40" s="280"/>
      <c r="FD40" s="280"/>
      <c r="FE40" s="280"/>
      <c r="FF40" s="280"/>
      <c r="FG40" s="280"/>
      <c r="FH40" s="280"/>
      <c r="FI40" s="280"/>
      <c r="FJ40" s="280"/>
      <c r="FK40" s="280"/>
      <c r="FL40" s="280"/>
      <c r="FM40" s="280"/>
      <c r="FN40" s="280"/>
      <c r="FO40" s="280"/>
      <c r="FP40" s="280"/>
      <c r="FQ40" s="280"/>
      <c r="FR40" s="280"/>
      <c r="FS40" s="280"/>
      <c r="FT40" s="280"/>
      <c r="FU40" s="280"/>
      <c r="FV40" s="280"/>
      <c r="FW40" s="280"/>
      <c r="FX40" s="280"/>
      <c r="FY40" s="280"/>
      <c r="FZ40" s="280"/>
      <c r="GA40" s="280"/>
      <c r="GB40" s="280"/>
      <c r="GC40" s="280"/>
      <c r="GD40" s="280"/>
      <c r="GE40" s="280"/>
      <c r="GF40" s="280"/>
      <c r="GG40" s="280"/>
      <c r="GH40" s="280"/>
      <c r="GI40" s="280"/>
      <c r="GJ40" s="280"/>
      <c r="GK40" s="280"/>
      <c r="GL40" s="280"/>
      <c r="GM40" s="280"/>
      <c r="GN40" s="280"/>
      <c r="GO40" s="280"/>
      <c r="GP40" s="280"/>
      <c r="GQ40" s="280"/>
      <c r="GR40" s="280"/>
      <c r="GS40" s="280"/>
      <c r="GT40" s="280"/>
      <c r="GU40" s="280"/>
      <c r="GV40" s="280"/>
      <c r="GW40" s="280"/>
      <c r="GX40" s="280"/>
      <c r="GY40" s="280"/>
      <c r="GZ40" s="280"/>
      <c r="HA40" s="280"/>
      <c r="HB40" s="280"/>
      <c r="HC40" s="280"/>
      <c r="HD40" s="280"/>
      <c r="HE40" s="280"/>
      <c r="HF40" s="280"/>
      <c r="HG40" s="280"/>
      <c r="HH40" s="280"/>
      <c r="HI40" s="280"/>
      <c r="HJ40" s="280"/>
      <c r="HK40" s="280"/>
      <c r="HL40" s="280"/>
      <c r="HM40" s="280"/>
      <c r="HN40" s="280"/>
      <c r="HO40" s="280"/>
      <c r="HP40" s="280"/>
      <c r="HQ40" s="280"/>
      <c r="HR40" s="280"/>
      <c r="HS40" s="280"/>
      <c r="HT40" s="280"/>
      <c r="HU40" s="280"/>
      <c r="HV40" s="280"/>
      <c r="HW40" s="280"/>
      <c r="HX40" s="280"/>
      <c r="HY40" s="280"/>
      <c r="HZ40" s="280"/>
      <c r="IA40" s="280"/>
      <c r="IB40" s="280"/>
      <c r="IC40" s="280"/>
      <c r="ID40" s="280"/>
      <c r="IE40" s="280"/>
      <c r="IF40" s="280"/>
      <c r="IG40" s="280"/>
      <c r="IH40" s="280"/>
      <c r="II40" s="280"/>
      <c r="IJ40" s="280"/>
      <c r="IK40" s="280"/>
      <c r="IL40" s="280"/>
      <c r="IM40" s="280"/>
      <c r="IN40" s="280"/>
      <c r="IO40" s="280"/>
      <c r="IP40" s="280"/>
      <c r="IQ40" s="280"/>
      <c r="IR40" s="280"/>
      <c r="IS40" s="280"/>
      <c r="IT40" s="280"/>
      <c r="IU40" s="280"/>
      <c r="IV40" s="280"/>
    </row>
    <row r="41" spans="1:256" ht="15">
      <c r="A41" s="297"/>
      <c r="B41" s="283" t="s">
        <v>163</v>
      </c>
      <c r="C41" s="284"/>
      <c r="D41" s="299">
        <f>ROUND(+E41+E41*F$6,3)</f>
        <v>-0.1</v>
      </c>
      <c r="E41" s="294">
        <v>0.211</v>
      </c>
      <c r="F41" s="286">
        <f aca="true" t="shared" si="8" ref="F41:F49">-1+D41/E41</f>
        <v>-1.4739336492890995</v>
      </c>
      <c r="G41" s="285"/>
      <c r="H41" s="285"/>
      <c r="I41" s="286"/>
      <c r="J41" s="285"/>
      <c r="K41" s="301"/>
      <c r="L41" s="286"/>
      <c r="M41" s="280"/>
      <c r="N41" s="280"/>
      <c r="O41" s="280"/>
      <c r="P41" s="280"/>
      <c r="Q41" s="280"/>
      <c r="R41" s="280"/>
      <c r="S41" s="281"/>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c r="DM41" s="280"/>
      <c r="DN41" s="280"/>
      <c r="DO41" s="280"/>
      <c r="DP41" s="280"/>
      <c r="DQ41" s="280"/>
      <c r="DR41" s="280"/>
      <c r="DS41" s="280"/>
      <c r="DT41" s="280"/>
      <c r="DU41" s="280"/>
      <c r="DV41" s="280"/>
      <c r="DW41" s="280"/>
      <c r="DX41" s="280"/>
      <c r="DY41" s="280"/>
      <c r="DZ41" s="280"/>
      <c r="EA41" s="280"/>
      <c r="EB41" s="280"/>
      <c r="EC41" s="280"/>
      <c r="ED41" s="280"/>
      <c r="EE41" s="280"/>
      <c r="EF41" s="280"/>
      <c r="EG41" s="280"/>
      <c r="EH41" s="280"/>
      <c r="EI41" s="280"/>
      <c r="EJ41" s="280"/>
      <c r="EK41" s="280"/>
      <c r="EL41" s="280"/>
      <c r="EM41" s="280"/>
      <c r="EN41" s="280"/>
      <c r="EO41" s="280"/>
      <c r="EP41" s="280"/>
      <c r="EQ41" s="280"/>
      <c r="ER41" s="280"/>
      <c r="ES41" s="280"/>
      <c r="ET41" s="280"/>
      <c r="EU41" s="280"/>
      <c r="EV41" s="280"/>
      <c r="EW41" s="280"/>
      <c r="EX41" s="280"/>
      <c r="EY41" s="280"/>
      <c r="EZ41" s="280"/>
      <c r="FA41" s="280"/>
      <c r="FB41" s="280"/>
      <c r="FC41" s="280"/>
      <c r="FD41" s="280"/>
      <c r="FE41" s="280"/>
      <c r="FF41" s="280"/>
      <c r="FG41" s="280"/>
      <c r="FH41" s="280"/>
      <c r="FI41" s="280"/>
      <c r="FJ41" s="280"/>
      <c r="FK41" s="280"/>
      <c r="FL41" s="280"/>
      <c r="FM41" s="280"/>
      <c r="FN41" s="280"/>
      <c r="FO41" s="280"/>
      <c r="FP41" s="280"/>
      <c r="FQ41" s="280"/>
      <c r="FR41" s="280"/>
      <c r="FS41" s="280"/>
      <c r="FT41" s="280"/>
      <c r="FU41" s="280"/>
      <c r="FV41" s="280"/>
      <c r="FW41" s="280"/>
      <c r="FX41" s="280"/>
      <c r="FY41" s="280"/>
      <c r="FZ41" s="280"/>
      <c r="GA41" s="280"/>
      <c r="GB41" s="280"/>
      <c r="GC41" s="280"/>
      <c r="GD41" s="280"/>
      <c r="GE41" s="280"/>
      <c r="GF41" s="280"/>
      <c r="GG41" s="280"/>
      <c r="GH41" s="280"/>
      <c r="GI41" s="280"/>
      <c r="GJ41" s="280"/>
      <c r="GK41" s="280"/>
      <c r="GL41" s="280"/>
      <c r="GM41" s="280"/>
      <c r="GN41" s="280"/>
      <c r="GO41" s="280"/>
      <c r="GP41" s="280"/>
      <c r="GQ41" s="280"/>
      <c r="GR41" s="280"/>
      <c r="GS41" s="280"/>
      <c r="GT41" s="280"/>
      <c r="GU41" s="280"/>
      <c r="GV41" s="280"/>
      <c r="GW41" s="280"/>
      <c r="GX41" s="280"/>
      <c r="GY41" s="280"/>
      <c r="GZ41" s="280"/>
      <c r="HA41" s="280"/>
      <c r="HB41" s="280"/>
      <c r="HC41" s="280"/>
      <c r="HD41" s="280"/>
      <c r="HE41" s="280"/>
      <c r="HF41" s="280"/>
      <c r="HG41" s="280"/>
      <c r="HH41" s="280"/>
      <c r="HI41" s="280"/>
      <c r="HJ41" s="280"/>
      <c r="HK41" s="280"/>
      <c r="HL41" s="280"/>
      <c r="HM41" s="280"/>
      <c r="HN41" s="280"/>
      <c r="HO41" s="280"/>
      <c r="HP41" s="280"/>
      <c r="HQ41" s="280"/>
      <c r="HR41" s="280"/>
      <c r="HS41" s="280"/>
      <c r="HT41" s="280"/>
      <c r="HU41" s="280"/>
      <c r="HV41" s="280"/>
      <c r="HW41" s="280"/>
      <c r="HX41" s="280"/>
      <c r="HY41" s="280"/>
      <c r="HZ41" s="280"/>
      <c r="IA41" s="280"/>
      <c r="IB41" s="280"/>
      <c r="IC41" s="280"/>
      <c r="ID41" s="280"/>
      <c r="IE41" s="280"/>
      <c r="IF41" s="280"/>
      <c r="IG41" s="280"/>
      <c r="IH41" s="280"/>
      <c r="II41" s="280"/>
      <c r="IJ41" s="280"/>
      <c r="IK41" s="280"/>
      <c r="IL41" s="280"/>
      <c r="IM41" s="280"/>
      <c r="IN41" s="280"/>
      <c r="IO41" s="280"/>
      <c r="IP41" s="280"/>
      <c r="IQ41" s="280"/>
      <c r="IR41" s="280"/>
      <c r="IS41" s="280"/>
      <c r="IT41" s="280"/>
      <c r="IU41" s="280"/>
      <c r="IV41" s="280"/>
    </row>
    <row r="42" spans="1:256" ht="15">
      <c r="A42" s="297"/>
      <c r="B42" s="283" t="s">
        <v>164</v>
      </c>
      <c r="C42" s="284"/>
      <c r="D42" s="299">
        <f aca="true" t="shared" si="9" ref="D42:D49">ROUND(+E42+E42*F$6,3)</f>
        <v>-0.15</v>
      </c>
      <c r="E42" s="294">
        <v>0.317</v>
      </c>
      <c r="F42" s="286">
        <f t="shared" si="8"/>
        <v>-1.473186119873817</v>
      </c>
      <c r="G42" s="285"/>
      <c r="H42" s="285"/>
      <c r="I42" s="286"/>
      <c r="J42" s="285"/>
      <c r="K42" s="301"/>
      <c r="L42" s="286"/>
      <c r="M42" s="280"/>
      <c r="N42" s="280"/>
      <c r="O42" s="280"/>
      <c r="P42" s="280"/>
      <c r="Q42" s="280"/>
      <c r="R42" s="280"/>
      <c r="S42" s="281"/>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0"/>
      <c r="BR42" s="280"/>
      <c r="BS42" s="280"/>
      <c r="BT42" s="280"/>
      <c r="BU42" s="280"/>
      <c r="BV42" s="280"/>
      <c r="BW42" s="280"/>
      <c r="BX42" s="280"/>
      <c r="BY42" s="280"/>
      <c r="BZ42" s="280"/>
      <c r="CA42" s="280"/>
      <c r="CB42" s="280"/>
      <c r="CC42" s="280"/>
      <c r="CD42" s="280"/>
      <c r="CE42" s="280"/>
      <c r="CF42" s="280"/>
      <c r="CG42" s="280"/>
      <c r="CH42" s="280"/>
      <c r="CI42" s="280"/>
      <c r="CJ42" s="280"/>
      <c r="CK42" s="280"/>
      <c r="CL42" s="280"/>
      <c r="CM42" s="280"/>
      <c r="CN42" s="280"/>
      <c r="CO42" s="280"/>
      <c r="CP42" s="280"/>
      <c r="CQ42" s="280"/>
      <c r="CR42" s="280"/>
      <c r="CS42" s="280"/>
      <c r="CT42" s="280"/>
      <c r="CU42" s="280"/>
      <c r="CV42" s="280"/>
      <c r="CW42" s="280"/>
      <c r="CX42" s="280"/>
      <c r="CY42" s="280"/>
      <c r="CZ42" s="280"/>
      <c r="DA42" s="280"/>
      <c r="DB42" s="280"/>
      <c r="DC42" s="280"/>
      <c r="DD42" s="280"/>
      <c r="DE42" s="280"/>
      <c r="DF42" s="280"/>
      <c r="DG42" s="280"/>
      <c r="DH42" s="280"/>
      <c r="DI42" s="280"/>
      <c r="DJ42" s="280"/>
      <c r="DK42" s="280"/>
      <c r="DL42" s="280"/>
      <c r="DM42" s="280"/>
      <c r="DN42" s="280"/>
      <c r="DO42" s="280"/>
      <c r="DP42" s="280"/>
      <c r="DQ42" s="280"/>
      <c r="DR42" s="280"/>
      <c r="DS42" s="280"/>
      <c r="DT42" s="280"/>
      <c r="DU42" s="280"/>
      <c r="DV42" s="280"/>
      <c r="DW42" s="280"/>
      <c r="DX42" s="280"/>
      <c r="DY42" s="280"/>
      <c r="DZ42" s="280"/>
      <c r="EA42" s="280"/>
      <c r="EB42" s="280"/>
      <c r="EC42" s="280"/>
      <c r="ED42" s="280"/>
      <c r="EE42" s="280"/>
      <c r="EF42" s="280"/>
      <c r="EG42" s="280"/>
      <c r="EH42" s="280"/>
      <c r="EI42" s="280"/>
      <c r="EJ42" s="280"/>
      <c r="EK42" s="280"/>
      <c r="EL42" s="280"/>
      <c r="EM42" s="280"/>
      <c r="EN42" s="280"/>
      <c r="EO42" s="280"/>
      <c r="EP42" s="280"/>
      <c r="EQ42" s="280"/>
      <c r="ER42" s="280"/>
      <c r="ES42" s="280"/>
      <c r="ET42" s="280"/>
      <c r="EU42" s="280"/>
      <c r="EV42" s="280"/>
      <c r="EW42" s="280"/>
      <c r="EX42" s="280"/>
      <c r="EY42" s="280"/>
      <c r="EZ42" s="280"/>
      <c r="FA42" s="280"/>
      <c r="FB42" s="280"/>
      <c r="FC42" s="280"/>
      <c r="FD42" s="280"/>
      <c r="FE42" s="280"/>
      <c r="FF42" s="280"/>
      <c r="FG42" s="280"/>
      <c r="FH42" s="280"/>
      <c r="FI42" s="280"/>
      <c r="FJ42" s="280"/>
      <c r="FK42" s="280"/>
      <c r="FL42" s="280"/>
      <c r="FM42" s="280"/>
      <c r="FN42" s="280"/>
      <c r="FO42" s="280"/>
      <c r="FP42" s="280"/>
      <c r="FQ42" s="280"/>
      <c r="FR42" s="280"/>
      <c r="FS42" s="280"/>
      <c r="FT42" s="280"/>
      <c r="FU42" s="280"/>
      <c r="FV42" s="280"/>
      <c r="FW42" s="280"/>
      <c r="FX42" s="280"/>
      <c r="FY42" s="280"/>
      <c r="FZ42" s="280"/>
      <c r="GA42" s="280"/>
      <c r="GB42" s="280"/>
      <c r="GC42" s="280"/>
      <c r="GD42" s="280"/>
      <c r="GE42" s="280"/>
      <c r="GF42" s="280"/>
      <c r="GG42" s="280"/>
      <c r="GH42" s="280"/>
      <c r="GI42" s="280"/>
      <c r="GJ42" s="280"/>
      <c r="GK42" s="280"/>
      <c r="GL42" s="280"/>
      <c r="GM42" s="280"/>
      <c r="GN42" s="280"/>
      <c r="GO42" s="280"/>
      <c r="GP42" s="280"/>
      <c r="GQ42" s="280"/>
      <c r="GR42" s="280"/>
      <c r="GS42" s="280"/>
      <c r="GT42" s="280"/>
      <c r="GU42" s="280"/>
      <c r="GV42" s="280"/>
      <c r="GW42" s="280"/>
      <c r="GX42" s="280"/>
      <c r="GY42" s="280"/>
      <c r="GZ42" s="280"/>
      <c r="HA42" s="280"/>
      <c r="HB42" s="280"/>
      <c r="HC42" s="280"/>
      <c r="HD42" s="280"/>
      <c r="HE42" s="280"/>
      <c r="HF42" s="280"/>
      <c r="HG42" s="280"/>
      <c r="HH42" s="280"/>
      <c r="HI42" s="280"/>
      <c r="HJ42" s="280"/>
      <c r="HK42" s="280"/>
      <c r="HL42" s="280"/>
      <c r="HM42" s="280"/>
      <c r="HN42" s="280"/>
      <c r="HO42" s="280"/>
      <c r="HP42" s="280"/>
      <c r="HQ42" s="280"/>
      <c r="HR42" s="280"/>
      <c r="HS42" s="280"/>
      <c r="HT42" s="280"/>
      <c r="HU42" s="280"/>
      <c r="HV42" s="280"/>
      <c r="HW42" s="280"/>
      <c r="HX42" s="280"/>
      <c r="HY42" s="280"/>
      <c r="HZ42" s="280"/>
      <c r="IA42" s="280"/>
      <c r="IB42" s="280"/>
      <c r="IC42" s="280"/>
      <c r="ID42" s="280"/>
      <c r="IE42" s="280"/>
      <c r="IF42" s="280"/>
      <c r="IG42" s="280"/>
      <c r="IH42" s="280"/>
      <c r="II42" s="280"/>
      <c r="IJ42" s="280"/>
      <c r="IK42" s="280"/>
      <c r="IL42" s="280"/>
      <c r="IM42" s="280"/>
      <c r="IN42" s="280"/>
      <c r="IO42" s="280"/>
      <c r="IP42" s="280"/>
      <c r="IQ42" s="280"/>
      <c r="IR42" s="280"/>
      <c r="IS42" s="280"/>
      <c r="IT42" s="280"/>
      <c r="IU42" s="280"/>
      <c r="IV42" s="280"/>
    </row>
    <row r="43" spans="1:256" ht="15">
      <c r="A43" s="297"/>
      <c r="B43" s="283" t="s">
        <v>165</v>
      </c>
      <c r="C43" s="284"/>
      <c r="D43" s="299">
        <f t="shared" si="9"/>
        <v>-0.317</v>
      </c>
      <c r="E43" s="294">
        <v>0.669</v>
      </c>
      <c r="F43" s="286">
        <f t="shared" si="8"/>
        <v>-1.4738415545590433</v>
      </c>
      <c r="G43" s="285"/>
      <c r="H43" s="285"/>
      <c r="I43" s="286"/>
      <c r="J43" s="285"/>
      <c r="K43" s="285"/>
      <c r="L43" s="286"/>
      <c r="M43" s="280"/>
      <c r="N43" s="280"/>
      <c r="O43" s="280"/>
      <c r="P43" s="280"/>
      <c r="Q43" s="280"/>
      <c r="R43" s="280"/>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0"/>
      <c r="DA43" s="280"/>
      <c r="DB43" s="280"/>
      <c r="DC43" s="280"/>
      <c r="DD43" s="280"/>
      <c r="DE43" s="280"/>
      <c r="DF43" s="280"/>
      <c r="DG43" s="280"/>
      <c r="DH43" s="280"/>
      <c r="DI43" s="280"/>
      <c r="DJ43" s="280"/>
      <c r="DK43" s="280"/>
      <c r="DL43" s="280"/>
      <c r="DM43" s="280"/>
      <c r="DN43" s="280"/>
      <c r="DO43" s="280"/>
      <c r="DP43" s="280"/>
      <c r="DQ43" s="280"/>
      <c r="DR43" s="280"/>
      <c r="DS43" s="280"/>
      <c r="DT43" s="280"/>
      <c r="DU43" s="280"/>
      <c r="DV43" s="280"/>
      <c r="DW43" s="280"/>
      <c r="DX43" s="280"/>
      <c r="DY43" s="280"/>
      <c r="DZ43" s="280"/>
      <c r="EA43" s="280"/>
      <c r="EB43" s="280"/>
      <c r="EC43" s="280"/>
      <c r="ED43" s="280"/>
      <c r="EE43" s="280"/>
      <c r="EF43" s="280"/>
      <c r="EG43" s="280"/>
      <c r="EH43" s="280"/>
      <c r="EI43" s="280"/>
      <c r="EJ43" s="280"/>
      <c r="EK43" s="280"/>
      <c r="EL43" s="280"/>
      <c r="EM43" s="280"/>
      <c r="EN43" s="280"/>
      <c r="EO43" s="280"/>
      <c r="EP43" s="280"/>
      <c r="EQ43" s="280"/>
      <c r="ER43" s="280"/>
      <c r="ES43" s="280"/>
      <c r="ET43" s="280"/>
      <c r="EU43" s="280"/>
      <c r="EV43" s="280"/>
      <c r="EW43" s="280"/>
      <c r="EX43" s="280"/>
      <c r="EY43" s="280"/>
      <c r="EZ43" s="280"/>
      <c r="FA43" s="280"/>
      <c r="FB43" s="280"/>
      <c r="FC43" s="280"/>
      <c r="FD43" s="280"/>
      <c r="FE43" s="280"/>
      <c r="FF43" s="280"/>
      <c r="FG43" s="280"/>
      <c r="FH43" s="280"/>
      <c r="FI43" s="280"/>
      <c r="FJ43" s="280"/>
      <c r="FK43" s="280"/>
      <c r="FL43" s="280"/>
      <c r="FM43" s="280"/>
      <c r="FN43" s="280"/>
      <c r="FO43" s="280"/>
      <c r="FP43" s="280"/>
      <c r="FQ43" s="280"/>
      <c r="FR43" s="280"/>
      <c r="FS43" s="280"/>
      <c r="FT43" s="280"/>
      <c r="FU43" s="280"/>
      <c r="FV43" s="280"/>
      <c r="FW43" s="280"/>
      <c r="FX43" s="280"/>
      <c r="FY43" s="280"/>
      <c r="FZ43" s="280"/>
      <c r="GA43" s="280"/>
      <c r="GB43" s="280"/>
      <c r="GC43" s="280"/>
      <c r="GD43" s="280"/>
      <c r="GE43" s="280"/>
      <c r="GF43" s="280"/>
      <c r="GG43" s="280"/>
      <c r="GH43" s="280"/>
      <c r="GI43" s="280"/>
      <c r="GJ43" s="280"/>
      <c r="GK43" s="280"/>
      <c r="GL43" s="280"/>
      <c r="GM43" s="280"/>
      <c r="GN43" s="280"/>
      <c r="GO43" s="280"/>
      <c r="GP43" s="280"/>
      <c r="GQ43" s="280"/>
      <c r="GR43" s="280"/>
      <c r="GS43" s="280"/>
      <c r="GT43" s="280"/>
      <c r="GU43" s="280"/>
      <c r="GV43" s="280"/>
      <c r="GW43" s="280"/>
      <c r="GX43" s="280"/>
      <c r="GY43" s="280"/>
      <c r="GZ43" s="280"/>
      <c r="HA43" s="280"/>
      <c r="HB43" s="280"/>
      <c r="HC43" s="280"/>
      <c r="HD43" s="280"/>
      <c r="HE43" s="280"/>
      <c r="HF43" s="280"/>
      <c r="HG43" s="280"/>
      <c r="HH43" s="280"/>
      <c r="HI43" s="280"/>
      <c r="HJ43" s="280"/>
      <c r="HK43" s="280"/>
      <c r="HL43" s="280"/>
      <c r="HM43" s="280"/>
      <c r="HN43" s="280"/>
      <c r="HO43" s="280"/>
      <c r="HP43" s="280"/>
      <c r="HQ43" s="280"/>
      <c r="HR43" s="280"/>
      <c r="HS43" s="280"/>
      <c r="HT43" s="280"/>
      <c r="HU43" s="280"/>
      <c r="HV43" s="280"/>
      <c r="HW43" s="280"/>
      <c r="HX43" s="280"/>
      <c r="HY43" s="280"/>
      <c r="HZ43" s="280"/>
      <c r="IA43" s="280"/>
      <c r="IB43" s="280"/>
      <c r="IC43" s="280"/>
      <c r="ID43" s="280"/>
      <c r="IE43" s="280"/>
      <c r="IF43" s="280"/>
      <c r="IG43" s="280"/>
      <c r="IH43" s="280"/>
      <c r="II43" s="280"/>
      <c r="IJ43" s="280"/>
      <c r="IK43" s="280"/>
      <c r="IL43" s="280"/>
      <c r="IM43" s="280"/>
      <c r="IN43" s="280"/>
      <c r="IO43" s="280"/>
      <c r="IP43" s="280"/>
      <c r="IQ43" s="280"/>
      <c r="IR43" s="280"/>
      <c r="IS43" s="280"/>
      <c r="IT43" s="280"/>
      <c r="IU43" s="280"/>
      <c r="IV43" s="280"/>
    </row>
    <row r="44" spans="1:256" ht="15">
      <c r="A44" s="297"/>
      <c r="B44" s="283" t="s">
        <v>166</v>
      </c>
      <c r="C44" s="284"/>
      <c r="D44" s="299">
        <f t="shared" si="9"/>
        <v>-0.4</v>
      </c>
      <c r="E44" s="294">
        <v>0.844</v>
      </c>
      <c r="F44" s="286">
        <f t="shared" si="8"/>
        <v>-1.4739336492890995</v>
      </c>
      <c r="G44" s="285"/>
      <c r="H44" s="285"/>
      <c r="I44" s="286"/>
      <c r="J44" s="285"/>
      <c r="K44" s="285"/>
      <c r="L44" s="286"/>
      <c r="M44" s="280"/>
      <c r="N44" s="280"/>
      <c r="O44" s="280"/>
      <c r="P44" s="280"/>
      <c r="Q44" s="280"/>
      <c r="R44" s="280"/>
      <c r="S44" s="281"/>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0"/>
      <c r="DM44" s="280"/>
      <c r="DN44" s="280"/>
      <c r="DO44" s="280"/>
      <c r="DP44" s="280"/>
      <c r="DQ44" s="280"/>
      <c r="DR44" s="280"/>
      <c r="DS44" s="280"/>
      <c r="DT44" s="280"/>
      <c r="DU44" s="280"/>
      <c r="DV44" s="280"/>
      <c r="DW44" s="280"/>
      <c r="DX44" s="280"/>
      <c r="DY44" s="280"/>
      <c r="DZ44" s="280"/>
      <c r="EA44" s="280"/>
      <c r="EB44" s="280"/>
      <c r="EC44" s="280"/>
      <c r="ED44" s="280"/>
      <c r="EE44" s="280"/>
      <c r="EF44" s="280"/>
      <c r="EG44" s="280"/>
      <c r="EH44" s="280"/>
      <c r="EI44" s="280"/>
      <c r="EJ44" s="280"/>
      <c r="EK44" s="280"/>
      <c r="EL44" s="280"/>
      <c r="EM44" s="280"/>
      <c r="EN44" s="280"/>
      <c r="EO44" s="280"/>
      <c r="EP44" s="280"/>
      <c r="EQ44" s="280"/>
      <c r="ER44" s="280"/>
      <c r="ES44" s="280"/>
      <c r="ET44" s="280"/>
      <c r="EU44" s="280"/>
      <c r="EV44" s="280"/>
      <c r="EW44" s="280"/>
      <c r="EX44" s="280"/>
      <c r="EY44" s="280"/>
      <c r="EZ44" s="280"/>
      <c r="FA44" s="280"/>
      <c r="FB44" s="280"/>
      <c r="FC44" s="280"/>
      <c r="FD44" s="280"/>
      <c r="FE44" s="280"/>
      <c r="FF44" s="280"/>
      <c r="FG44" s="280"/>
      <c r="FH44" s="280"/>
      <c r="FI44" s="280"/>
      <c r="FJ44" s="280"/>
      <c r="FK44" s="280"/>
      <c r="FL44" s="280"/>
      <c r="FM44" s="280"/>
      <c r="FN44" s="280"/>
      <c r="FO44" s="280"/>
      <c r="FP44" s="280"/>
      <c r="FQ44" s="280"/>
      <c r="FR44" s="280"/>
      <c r="FS44" s="280"/>
      <c r="FT44" s="280"/>
      <c r="FU44" s="280"/>
      <c r="FV44" s="280"/>
      <c r="FW44" s="280"/>
      <c r="FX44" s="280"/>
      <c r="FY44" s="280"/>
      <c r="FZ44" s="280"/>
      <c r="GA44" s="280"/>
      <c r="GB44" s="280"/>
      <c r="GC44" s="280"/>
      <c r="GD44" s="280"/>
      <c r="GE44" s="280"/>
      <c r="GF44" s="280"/>
      <c r="GG44" s="280"/>
      <c r="GH44" s="280"/>
      <c r="GI44" s="280"/>
      <c r="GJ44" s="280"/>
      <c r="GK44" s="280"/>
      <c r="GL44" s="280"/>
      <c r="GM44" s="280"/>
      <c r="GN44" s="280"/>
      <c r="GO44" s="280"/>
      <c r="GP44" s="280"/>
      <c r="GQ44" s="280"/>
      <c r="GR44" s="280"/>
      <c r="GS44" s="280"/>
      <c r="GT44" s="280"/>
      <c r="GU44" s="280"/>
      <c r="GV44" s="280"/>
      <c r="GW44" s="280"/>
      <c r="GX44" s="280"/>
      <c r="GY44" s="280"/>
      <c r="GZ44" s="280"/>
      <c r="HA44" s="280"/>
      <c r="HB44" s="280"/>
      <c r="HC44" s="280"/>
      <c r="HD44" s="280"/>
      <c r="HE44" s="280"/>
      <c r="HF44" s="280"/>
      <c r="HG44" s="280"/>
      <c r="HH44" s="280"/>
      <c r="HI44" s="280"/>
      <c r="HJ44" s="280"/>
      <c r="HK44" s="280"/>
      <c r="HL44" s="280"/>
      <c r="HM44" s="280"/>
      <c r="HN44" s="280"/>
      <c r="HO44" s="280"/>
      <c r="HP44" s="280"/>
      <c r="HQ44" s="280"/>
      <c r="HR44" s="280"/>
      <c r="HS44" s="280"/>
      <c r="HT44" s="280"/>
      <c r="HU44" s="280"/>
      <c r="HV44" s="280"/>
      <c r="HW44" s="280"/>
      <c r="HX44" s="280"/>
      <c r="HY44" s="280"/>
      <c r="HZ44" s="280"/>
      <c r="IA44" s="280"/>
      <c r="IB44" s="280"/>
      <c r="IC44" s="280"/>
      <c r="ID44" s="280"/>
      <c r="IE44" s="280"/>
      <c r="IF44" s="280"/>
      <c r="IG44" s="280"/>
      <c r="IH44" s="280"/>
      <c r="II44" s="280"/>
      <c r="IJ44" s="280"/>
      <c r="IK44" s="280"/>
      <c r="IL44" s="280"/>
      <c r="IM44" s="280"/>
      <c r="IN44" s="280"/>
      <c r="IO44" s="280"/>
      <c r="IP44" s="280"/>
      <c r="IQ44" s="280"/>
      <c r="IR44" s="280"/>
      <c r="IS44" s="280"/>
      <c r="IT44" s="280"/>
      <c r="IU44" s="280"/>
      <c r="IV44" s="280"/>
    </row>
    <row r="45" spans="1:256" ht="15">
      <c r="A45" s="297"/>
      <c r="B45" s="283" t="s">
        <v>167</v>
      </c>
      <c r="C45" s="284"/>
      <c r="D45" s="299">
        <f t="shared" si="9"/>
        <v>-0.483</v>
      </c>
      <c r="E45" s="294">
        <v>1.02</v>
      </c>
      <c r="F45" s="286">
        <f t="shared" si="8"/>
        <v>-1.473529411764706</v>
      </c>
      <c r="G45" s="285"/>
      <c r="H45" s="301"/>
      <c r="I45" s="286"/>
      <c r="J45" s="285"/>
      <c r="K45" s="285"/>
      <c r="L45" s="286"/>
      <c r="M45" s="280"/>
      <c r="N45" s="280"/>
      <c r="O45" s="280"/>
      <c r="P45" s="280"/>
      <c r="Q45" s="280"/>
      <c r="R45" s="280"/>
      <c r="S45" s="281"/>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c r="DM45" s="280"/>
      <c r="DN45" s="280"/>
      <c r="DO45" s="280"/>
      <c r="DP45" s="280"/>
      <c r="DQ45" s="280"/>
      <c r="DR45" s="280"/>
      <c r="DS45" s="280"/>
      <c r="DT45" s="280"/>
      <c r="DU45" s="280"/>
      <c r="DV45" s="280"/>
      <c r="DW45" s="280"/>
      <c r="DX45" s="280"/>
      <c r="DY45" s="280"/>
      <c r="DZ45" s="280"/>
      <c r="EA45" s="280"/>
      <c r="EB45" s="280"/>
      <c r="EC45" s="280"/>
      <c r="ED45" s="280"/>
      <c r="EE45" s="280"/>
      <c r="EF45" s="280"/>
      <c r="EG45" s="280"/>
      <c r="EH45" s="280"/>
      <c r="EI45" s="280"/>
      <c r="EJ45" s="280"/>
      <c r="EK45" s="280"/>
      <c r="EL45" s="280"/>
      <c r="EM45" s="280"/>
      <c r="EN45" s="280"/>
      <c r="EO45" s="280"/>
      <c r="EP45" s="280"/>
      <c r="EQ45" s="280"/>
      <c r="ER45" s="280"/>
      <c r="ES45" s="280"/>
      <c r="ET45" s="280"/>
      <c r="EU45" s="280"/>
      <c r="EV45" s="280"/>
      <c r="EW45" s="280"/>
      <c r="EX45" s="280"/>
      <c r="EY45" s="280"/>
      <c r="EZ45" s="280"/>
      <c r="FA45" s="280"/>
      <c r="FB45" s="280"/>
      <c r="FC45" s="280"/>
      <c r="FD45" s="280"/>
      <c r="FE45" s="280"/>
      <c r="FF45" s="280"/>
      <c r="FG45" s="280"/>
      <c r="FH45" s="280"/>
      <c r="FI45" s="280"/>
      <c r="FJ45" s="280"/>
      <c r="FK45" s="280"/>
      <c r="FL45" s="280"/>
      <c r="FM45" s="280"/>
      <c r="FN45" s="280"/>
      <c r="FO45" s="280"/>
      <c r="FP45" s="280"/>
      <c r="FQ45" s="280"/>
      <c r="FR45" s="280"/>
      <c r="FS45" s="280"/>
      <c r="FT45" s="280"/>
      <c r="FU45" s="280"/>
      <c r="FV45" s="280"/>
      <c r="FW45" s="280"/>
      <c r="FX45" s="280"/>
      <c r="FY45" s="280"/>
      <c r="FZ45" s="280"/>
      <c r="GA45" s="280"/>
      <c r="GB45" s="280"/>
      <c r="GC45" s="280"/>
      <c r="GD45" s="280"/>
      <c r="GE45" s="280"/>
      <c r="GF45" s="280"/>
      <c r="GG45" s="280"/>
      <c r="GH45" s="280"/>
      <c r="GI45" s="280"/>
      <c r="GJ45" s="280"/>
      <c r="GK45" s="280"/>
      <c r="GL45" s="280"/>
      <c r="GM45" s="280"/>
      <c r="GN45" s="280"/>
      <c r="GO45" s="280"/>
      <c r="GP45" s="280"/>
      <c r="GQ45" s="280"/>
      <c r="GR45" s="280"/>
      <c r="GS45" s="280"/>
      <c r="GT45" s="280"/>
      <c r="GU45" s="280"/>
      <c r="GV45" s="280"/>
      <c r="GW45" s="280"/>
      <c r="GX45" s="280"/>
      <c r="GY45" s="280"/>
      <c r="GZ45" s="280"/>
      <c r="HA45" s="280"/>
      <c r="HB45" s="280"/>
      <c r="HC45" s="280"/>
      <c r="HD45" s="280"/>
      <c r="HE45" s="280"/>
      <c r="HF45" s="280"/>
      <c r="HG45" s="280"/>
      <c r="HH45" s="280"/>
      <c r="HI45" s="280"/>
      <c r="HJ45" s="280"/>
      <c r="HK45" s="280"/>
      <c r="HL45" s="280"/>
      <c r="HM45" s="280"/>
      <c r="HN45" s="280"/>
      <c r="HO45" s="280"/>
      <c r="HP45" s="280"/>
      <c r="HQ45" s="280"/>
      <c r="HR45" s="280"/>
      <c r="HS45" s="280"/>
      <c r="HT45" s="280"/>
      <c r="HU45" s="280"/>
      <c r="HV45" s="280"/>
      <c r="HW45" s="280"/>
      <c r="HX45" s="280"/>
      <c r="HY45" s="280"/>
      <c r="HZ45" s="280"/>
      <c r="IA45" s="280"/>
      <c r="IB45" s="280"/>
      <c r="IC45" s="280"/>
      <c r="ID45" s="280"/>
      <c r="IE45" s="280"/>
      <c r="IF45" s="280"/>
      <c r="IG45" s="280"/>
      <c r="IH45" s="280"/>
      <c r="II45" s="280"/>
      <c r="IJ45" s="280"/>
      <c r="IK45" s="280"/>
      <c r="IL45" s="280"/>
      <c r="IM45" s="280"/>
      <c r="IN45" s="280"/>
      <c r="IO45" s="280"/>
      <c r="IP45" s="280"/>
      <c r="IQ45" s="280"/>
      <c r="IR45" s="280"/>
      <c r="IS45" s="280"/>
      <c r="IT45" s="280"/>
      <c r="IU45" s="280"/>
      <c r="IV45" s="280"/>
    </row>
    <row r="46" spans="1:256" ht="15">
      <c r="A46" s="297"/>
      <c r="B46" s="283" t="s">
        <v>168</v>
      </c>
      <c r="C46" s="284"/>
      <c r="D46" s="299">
        <f t="shared" si="9"/>
        <v>-0.684</v>
      </c>
      <c r="E46" s="294">
        <v>1.443</v>
      </c>
      <c r="F46" s="286">
        <f t="shared" si="8"/>
        <v>-1.474012474012474</v>
      </c>
      <c r="G46" s="285"/>
      <c r="H46" s="301"/>
      <c r="I46" s="286"/>
      <c r="J46" s="285"/>
      <c r="K46" s="285"/>
      <c r="L46" s="286"/>
      <c r="M46" s="280"/>
      <c r="N46" s="280"/>
      <c r="O46" s="280"/>
      <c r="P46" s="280"/>
      <c r="Q46" s="280"/>
      <c r="R46" s="280"/>
      <c r="S46" s="281"/>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c r="DM46" s="280"/>
      <c r="DN46" s="280"/>
      <c r="DO46" s="280"/>
      <c r="DP46" s="280"/>
      <c r="DQ46" s="280"/>
      <c r="DR46" s="280"/>
      <c r="DS46" s="280"/>
      <c r="DT46" s="280"/>
      <c r="DU46" s="280"/>
      <c r="DV46" s="280"/>
      <c r="DW46" s="280"/>
      <c r="DX46" s="280"/>
      <c r="DY46" s="280"/>
      <c r="DZ46" s="280"/>
      <c r="EA46" s="280"/>
      <c r="EB46" s="280"/>
      <c r="EC46" s="280"/>
      <c r="ED46" s="280"/>
      <c r="EE46" s="280"/>
      <c r="EF46" s="280"/>
      <c r="EG46" s="280"/>
      <c r="EH46" s="280"/>
      <c r="EI46" s="280"/>
      <c r="EJ46" s="280"/>
      <c r="EK46" s="280"/>
      <c r="EL46" s="280"/>
      <c r="EM46" s="280"/>
      <c r="EN46" s="280"/>
      <c r="EO46" s="280"/>
      <c r="EP46" s="280"/>
      <c r="EQ46" s="280"/>
      <c r="ER46" s="280"/>
      <c r="ES46" s="280"/>
      <c r="ET46" s="280"/>
      <c r="EU46" s="280"/>
      <c r="EV46" s="280"/>
      <c r="EW46" s="280"/>
      <c r="EX46" s="280"/>
      <c r="EY46" s="280"/>
      <c r="EZ46" s="280"/>
      <c r="FA46" s="280"/>
      <c r="FB46" s="280"/>
      <c r="FC46" s="280"/>
      <c r="FD46" s="280"/>
      <c r="FE46" s="280"/>
      <c r="FF46" s="280"/>
      <c r="FG46" s="280"/>
      <c r="FH46" s="280"/>
      <c r="FI46" s="280"/>
      <c r="FJ46" s="280"/>
      <c r="FK46" s="280"/>
      <c r="FL46" s="280"/>
      <c r="FM46" s="280"/>
      <c r="FN46" s="280"/>
      <c r="FO46" s="280"/>
      <c r="FP46" s="280"/>
      <c r="FQ46" s="280"/>
      <c r="FR46" s="280"/>
      <c r="FS46" s="280"/>
      <c r="FT46" s="280"/>
      <c r="FU46" s="280"/>
      <c r="FV46" s="280"/>
      <c r="FW46" s="280"/>
      <c r="FX46" s="280"/>
      <c r="FY46" s="280"/>
      <c r="FZ46" s="280"/>
      <c r="GA46" s="280"/>
      <c r="GB46" s="280"/>
      <c r="GC46" s="280"/>
      <c r="GD46" s="280"/>
      <c r="GE46" s="280"/>
      <c r="GF46" s="280"/>
      <c r="GG46" s="280"/>
      <c r="GH46" s="280"/>
      <c r="GI46" s="280"/>
      <c r="GJ46" s="280"/>
      <c r="GK46" s="280"/>
      <c r="GL46" s="280"/>
      <c r="GM46" s="280"/>
      <c r="GN46" s="280"/>
      <c r="GO46" s="280"/>
      <c r="GP46" s="280"/>
      <c r="GQ46" s="280"/>
      <c r="GR46" s="280"/>
      <c r="GS46" s="280"/>
      <c r="GT46" s="280"/>
      <c r="GU46" s="280"/>
      <c r="GV46" s="280"/>
      <c r="GW46" s="280"/>
      <c r="GX46" s="280"/>
      <c r="GY46" s="280"/>
      <c r="GZ46" s="280"/>
      <c r="HA46" s="280"/>
      <c r="HB46" s="280"/>
      <c r="HC46" s="280"/>
      <c r="HD46" s="280"/>
      <c r="HE46" s="280"/>
      <c r="HF46" s="280"/>
      <c r="HG46" s="280"/>
      <c r="HH46" s="280"/>
      <c r="HI46" s="280"/>
      <c r="HJ46" s="280"/>
      <c r="HK46" s="280"/>
      <c r="HL46" s="280"/>
      <c r="HM46" s="280"/>
      <c r="HN46" s="280"/>
      <c r="HO46" s="280"/>
      <c r="HP46" s="280"/>
      <c r="HQ46" s="280"/>
      <c r="HR46" s="280"/>
      <c r="HS46" s="280"/>
      <c r="HT46" s="280"/>
      <c r="HU46" s="280"/>
      <c r="HV46" s="280"/>
      <c r="HW46" s="280"/>
      <c r="HX46" s="280"/>
      <c r="HY46" s="280"/>
      <c r="HZ46" s="280"/>
      <c r="IA46" s="280"/>
      <c r="IB46" s="280"/>
      <c r="IC46" s="280"/>
      <c r="ID46" s="280"/>
      <c r="IE46" s="280"/>
      <c r="IF46" s="280"/>
      <c r="IG46" s="280"/>
      <c r="IH46" s="280"/>
      <c r="II46" s="280"/>
      <c r="IJ46" s="280"/>
      <c r="IK46" s="280"/>
      <c r="IL46" s="280"/>
      <c r="IM46" s="280"/>
      <c r="IN46" s="280"/>
      <c r="IO46" s="280"/>
      <c r="IP46" s="280"/>
      <c r="IQ46" s="280"/>
      <c r="IR46" s="280"/>
      <c r="IS46" s="280"/>
      <c r="IT46" s="280"/>
      <c r="IU46" s="280"/>
      <c r="IV46" s="280"/>
    </row>
    <row r="47" spans="1:256" ht="15">
      <c r="A47" s="297"/>
      <c r="B47" s="283" t="s">
        <v>169</v>
      </c>
      <c r="C47" s="284"/>
      <c r="D47" s="299">
        <f t="shared" si="9"/>
        <v>-0.784</v>
      </c>
      <c r="E47" s="294">
        <v>1.654</v>
      </c>
      <c r="F47" s="286">
        <f t="shared" si="8"/>
        <v>-1.4740024183796856</v>
      </c>
      <c r="G47" s="285"/>
      <c r="H47" s="285"/>
      <c r="I47" s="286"/>
      <c r="J47" s="285"/>
      <c r="K47" s="285"/>
      <c r="L47" s="286"/>
      <c r="M47" s="280"/>
      <c r="N47" s="280"/>
      <c r="O47" s="280"/>
      <c r="P47" s="280"/>
      <c r="Q47" s="280"/>
      <c r="R47" s="280"/>
      <c r="S47" s="281"/>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c r="DM47" s="280"/>
      <c r="DN47" s="280"/>
      <c r="DO47" s="280"/>
      <c r="DP47" s="280"/>
      <c r="DQ47" s="280"/>
      <c r="DR47" s="280"/>
      <c r="DS47" s="280"/>
      <c r="DT47" s="280"/>
      <c r="DU47" s="280"/>
      <c r="DV47" s="280"/>
      <c r="DW47" s="280"/>
      <c r="DX47" s="280"/>
      <c r="DY47" s="280"/>
      <c r="DZ47" s="280"/>
      <c r="EA47" s="280"/>
      <c r="EB47" s="280"/>
      <c r="EC47" s="280"/>
      <c r="ED47" s="280"/>
      <c r="EE47" s="280"/>
      <c r="EF47" s="280"/>
      <c r="EG47" s="280"/>
      <c r="EH47" s="280"/>
      <c r="EI47" s="280"/>
      <c r="EJ47" s="280"/>
      <c r="EK47" s="280"/>
      <c r="EL47" s="280"/>
      <c r="EM47" s="280"/>
      <c r="EN47" s="280"/>
      <c r="EO47" s="280"/>
      <c r="EP47" s="280"/>
      <c r="EQ47" s="280"/>
      <c r="ER47" s="280"/>
      <c r="ES47" s="280"/>
      <c r="ET47" s="280"/>
      <c r="EU47" s="280"/>
      <c r="EV47" s="280"/>
      <c r="EW47" s="280"/>
      <c r="EX47" s="280"/>
      <c r="EY47" s="280"/>
      <c r="EZ47" s="280"/>
      <c r="FA47" s="280"/>
      <c r="FB47" s="280"/>
      <c r="FC47" s="280"/>
      <c r="FD47" s="280"/>
      <c r="FE47" s="280"/>
      <c r="FF47" s="280"/>
      <c r="FG47" s="280"/>
      <c r="FH47" s="280"/>
      <c r="FI47" s="280"/>
      <c r="FJ47" s="280"/>
      <c r="FK47" s="280"/>
      <c r="FL47" s="280"/>
      <c r="FM47" s="280"/>
      <c r="FN47" s="280"/>
      <c r="FO47" s="280"/>
      <c r="FP47" s="280"/>
      <c r="FQ47" s="280"/>
      <c r="FR47" s="280"/>
      <c r="FS47" s="280"/>
      <c r="FT47" s="280"/>
      <c r="FU47" s="280"/>
      <c r="FV47" s="280"/>
      <c r="FW47" s="280"/>
      <c r="FX47" s="280"/>
      <c r="FY47" s="280"/>
      <c r="FZ47" s="280"/>
      <c r="GA47" s="280"/>
      <c r="GB47" s="280"/>
      <c r="GC47" s="280"/>
      <c r="GD47" s="280"/>
      <c r="GE47" s="280"/>
      <c r="GF47" s="280"/>
      <c r="GG47" s="280"/>
      <c r="GH47" s="280"/>
      <c r="GI47" s="280"/>
      <c r="GJ47" s="280"/>
      <c r="GK47" s="280"/>
      <c r="GL47" s="280"/>
      <c r="GM47" s="280"/>
      <c r="GN47" s="280"/>
      <c r="GO47" s="280"/>
      <c r="GP47" s="280"/>
      <c r="GQ47" s="280"/>
      <c r="GR47" s="280"/>
      <c r="GS47" s="280"/>
      <c r="GT47" s="280"/>
      <c r="GU47" s="280"/>
      <c r="GV47" s="280"/>
      <c r="GW47" s="280"/>
      <c r="GX47" s="280"/>
      <c r="GY47" s="280"/>
      <c r="GZ47" s="280"/>
      <c r="HA47" s="280"/>
      <c r="HB47" s="280"/>
      <c r="HC47" s="280"/>
      <c r="HD47" s="280"/>
      <c r="HE47" s="280"/>
      <c r="HF47" s="280"/>
      <c r="HG47" s="280"/>
      <c r="HH47" s="280"/>
      <c r="HI47" s="280"/>
      <c r="HJ47" s="280"/>
      <c r="HK47" s="280"/>
      <c r="HL47" s="280"/>
      <c r="HM47" s="280"/>
      <c r="HN47" s="280"/>
      <c r="HO47" s="280"/>
      <c r="HP47" s="280"/>
      <c r="HQ47" s="280"/>
      <c r="HR47" s="280"/>
      <c r="HS47" s="280"/>
      <c r="HT47" s="280"/>
      <c r="HU47" s="280"/>
      <c r="HV47" s="280"/>
      <c r="HW47" s="280"/>
      <c r="HX47" s="280"/>
      <c r="HY47" s="280"/>
      <c r="HZ47" s="280"/>
      <c r="IA47" s="280"/>
      <c r="IB47" s="280"/>
      <c r="IC47" s="280"/>
      <c r="ID47" s="280"/>
      <c r="IE47" s="280"/>
      <c r="IF47" s="280"/>
      <c r="IG47" s="280"/>
      <c r="IH47" s="280"/>
      <c r="II47" s="280"/>
      <c r="IJ47" s="280"/>
      <c r="IK47" s="280"/>
      <c r="IL47" s="280"/>
      <c r="IM47" s="280"/>
      <c r="IN47" s="280"/>
      <c r="IO47" s="280"/>
      <c r="IP47" s="280"/>
      <c r="IQ47" s="280"/>
      <c r="IR47" s="280"/>
      <c r="IS47" s="280"/>
      <c r="IT47" s="280"/>
      <c r="IU47" s="280"/>
      <c r="IV47" s="280"/>
    </row>
    <row r="48" spans="1:256" ht="15">
      <c r="A48" s="297"/>
      <c r="B48" s="283" t="s">
        <v>170</v>
      </c>
      <c r="C48" s="284"/>
      <c r="D48" s="299">
        <f t="shared" si="9"/>
        <v>-0.884</v>
      </c>
      <c r="E48" s="294">
        <v>1.865</v>
      </c>
      <c r="F48" s="286">
        <f t="shared" si="8"/>
        <v>-1.473994638069705</v>
      </c>
      <c r="G48" s="285"/>
      <c r="H48" s="285"/>
      <c r="I48" s="286"/>
      <c r="J48" s="285"/>
      <c r="K48" s="285"/>
      <c r="L48" s="286"/>
      <c r="M48" s="280"/>
      <c r="N48" s="280"/>
      <c r="O48" s="280"/>
      <c r="P48" s="280"/>
      <c r="Q48" s="280"/>
      <c r="R48" s="280"/>
      <c r="S48" s="281"/>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c r="DM48" s="280"/>
      <c r="DN48" s="280"/>
      <c r="DO48" s="280"/>
      <c r="DP48" s="280"/>
      <c r="DQ48" s="280"/>
      <c r="DR48" s="280"/>
      <c r="DS48" s="280"/>
      <c r="DT48" s="280"/>
      <c r="DU48" s="280"/>
      <c r="DV48" s="280"/>
      <c r="DW48" s="280"/>
      <c r="DX48" s="280"/>
      <c r="DY48" s="280"/>
      <c r="DZ48" s="280"/>
      <c r="EA48" s="280"/>
      <c r="EB48" s="280"/>
      <c r="EC48" s="280"/>
      <c r="ED48" s="280"/>
      <c r="EE48" s="280"/>
      <c r="EF48" s="280"/>
      <c r="EG48" s="280"/>
      <c r="EH48" s="280"/>
      <c r="EI48" s="280"/>
      <c r="EJ48" s="280"/>
      <c r="EK48" s="280"/>
      <c r="EL48" s="280"/>
      <c r="EM48" s="280"/>
      <c r="EN48" s="280"/>
      <c r="EO48" s="280"/>
      <c r="EP48" s="280"/>
      <c r="EQ48" s="280"/>
      <c r="ER48" s="280"/>
      <c r="ES48" s="280"/>
      <c r="ET48" s="280"/>
      <c r="EU48" s="280"/>
      <c r="EV48" s="280"/>
      <c r="EW48" s="280"/>
      <c r="EX48" s="280"/>
      <c r="EY48" s="280"/>
      <c r="EZ48" s="280"/>
      <c r="FA48" s="280"/>
      <c r="FB48" s="280"/>
      <c r="FC48" s="280"/>
      <c r="FD48" s="280"/>
      <c r="FE48" s="280"/>
      <c r="FF48" s="280"/>
      <c r="FG48" s="280"/>
      <c r="FH48" s="280"/>
      <c r="FI48" s="280"/>
      <c r="FJ48" s="280"/>
      <c r="FK48" s="280"/>
      <c r="FL48" s="280"/>
      <c r="FM48" s="280"/>
      <c r="FN48" s="280"/>
      <c r="FO48" s="280"/>
      <c r="FP48" s="280"/>
      <c r="FQ48" s="280"/>
      <c r="FR48" s="280"/>
      <c r="FS48" s="280"/>
      <c r="FT48" s="280"/>
      <c r="FU48" s="280"/>
      <c r="FV48" s="280"/>
      <c r="FW48" s="280"/>
      <c r="FX48" s="280"/>
      <c r="FY48" s="280"/>
      <c r="FZ48" s="280"/>
      <c r="GA48" s="280"/>
      <c r="GB48" s="280"/>
      <c r="GC48" s="280"/>
      <c r="GD48" s="280"/>
      <c r="GE48" s="280"/>
      <c r="GF48" s="280"/>
      <c r="GG48" s="280"/>
      <c r="GH48" s="280"/>
      <c r="GI48" s="280"/>
      <c r="GJ48" s="280"/>
      <c r="GK48" s="280"/>
      <c r="GL48" s="280"/>
      <c r="GM48" s="280"/>
      <c r="GN48" s="280"/>
      <c r="GO48" s="280"/>
      <c r="GP48" s="280"/>
      <c r="GQ48" s="280"/>
      <c r="GR48" s="280"/>
      <c r="GS48" s="280"/>
      <c r="GT48" s="280"/>
      <c r="GU48" s="280"/>
      <c r="GV48" s="280"/>
      <c r="GW48" s="280"/>
      <c r="GX48" s="280"/>
      <c r="GY48" s="280"/>
      <c r="GZ48" s="280"/>
      <c r="HA48" s="280"/>
      <c r="HB48" s="280"/>
      <c r="HC48" s="280"/>
      <c r="HD48" s="280"/>
      <c r="HE48" s="280"/>
      <c r="HF48" s="280"/>
      <c r="HG48" s="280"/>
      <c r="HH48" s="280"/>
      <c r="HI48" s="280"/>
      <c r="HJ48" s="280"/>
      <c r="HK48" s="280"/>
      <c r="HL48" s="280"/>
      <c r="HM48" s="280"/>
      <c r="HN48" s="280"/>
      <c r="HO48" s="280"/>
      <c r="HP48" s="280"/>
      <c r="HQ48" s="280"/>
      <c r="HR48" s="280"/>
      <c r="HS48" s="280"/>
      <c r="HT48" s="280"/>
      <c r="HU48" s="280"/>
      <c r="HV48" s="280"/>
      <c r="HW48" s="280"/>
      <c r="HX48" s="280"/>
      <c r="HY48" s="280"/>
      <c r="HZ48" s="280"/>
      <c r="IA48" s="280"/>
      <c r="IB48" s="280"/>
      <c r="IC48" s="280"/>
      <c r="ID48" s="280"/>
      <c r="IE48" s="280"/>
      <c r="IF48" s="280"/>
      <c r="IG48" s="280"/>
      <c r="IH48" s="280"/>
      <c r="II48" s="280"/>
      <c r="IJ48" s="280"/>
      <c r="IK48" s="280"/>
      <c r="IL48" s="280"/>
      <c r="IM48" s="280"/>
      <c r="IN48" s="280"/>
      <c r="IO48" s="280"/>
      <c r="IP48" s="280"/>
      <c r="IQ48" s="280"/>
      <c r="IR48" s="280"/>
      <c r="IS48" s="280"/>
      <c r="IT48" s="280"/>
      <c r="IU48" s="280"/>
      <c r="IV48" s="280"/>
    </row>
    <row r="49" spans="1:256" ht="15">
      <c r="A49" s="297"/>
      <c r="B49" s="283" t="s">
        <v>171</v>
      </c>
      <c r="C49" s="284"/>
      <c r="D49" s="299">
        <f t="shared" si="9"/>
        <v>-1</v>
      </c>
      <c r="E49" s="294">
        <v>2.111</v>
      </c>
      <c r="F49" s="286">
        <f t="shared" si="8"/>
        <v>-1.473709142586452</v>
      </c>
      <c r="G49" s="285"/>
      <c r="H49" s="285"/>
      <c r="I49" s="286"/>
      <c r="J49" s="285"/>
      <c r="K49" s="285"/>
      <c r="L49" s="286"/>
      <c r="M49" s="280"/>
      <c r="N49" s="280"/>
      <c r="O49" s="280"/>
      <c r="P49" s="280"/>
      <c r="Q49" s="280"/>
      <c r="R49" s="280"/>
      <c r="S49" s="281"/>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c r="DM49" s="280"/>
      <c r="DN49" s="280"/>
      <c r="DO49" s="280"/>
      <c r="DP49" s="280"/>
      <c r="DQ49" s="280"/>
      <c r="DR49" s="280"/>
      <c r="DS49" s="280"/>
      <c r="DT49" s="280"/>
      <c r="DU49" s="280"/>
      <c r="DV49" s="280"/>
      <c r="DW49" s="280"/>
      <c r="DX49" s="280"/>
      <c r="DY49" s="280"/>
      <c r="DZ49" s="280"/>
      <c r="EA49" s="280"/>
      <c r="EB49" s="280"/>
      <c r="EC49" s="280"/>
      <c r="ED49" s="280"/>
      <c r="EE49" s="280"/>
      <c r="EF49" s="280"/>
      <c r="EG49" s="280"/>
      <c r="EH49" s="280"/>
      <c r="EI49" s="280"/>
      <c r="EJ49" s="280"/>
      <c r="EK49" s="280"/>
      <c r="EL49" s="280"/>
      <c r="EM49" s="280"/>
      <c r="EN49" s="280"/>
      <c r="EO49" s="280"/>
      <c r="EP49" s="280"/>
      <c r="EQ49" s="280"/>
      <c r="ER49" s="280"/>
      <c r="ES49" s="280"/>
      <c r="ET49" s="280"/>
      <c r="EU49" s="280"/>
      <c r="EV49" s="280"/>
      <c r="EW49" s="280"/>
      <c r="EX49" s="280"/>
      <c r="EY49" s="280"/>
      <c r="EZ49" s="280"/>
      <c r="FA49" s="280"/>
      <c r="FB49" s="280"/>
      <c r="FC49" s="280"/>
      <c r="FD49" s="280"/>
      <c r="FE49" s="280"/>
      <c r="FF49" s="280"/>
      <c r="FG49" s="280"/>
      <c r="FH49" s="280"/>
      <c r="FI49" s="280"/>
      <c r="FJ49" s="280"/>
      <c r="FK49" s="280"/>
      <c r="FL49" s="280"/>
      <c r="FM49" s="280"/>
      <c r="FN49" s="280"/>
      <c r="FO49" s="280"/>
      <c r="FP49" s="280"/>
      <c r="FQ49" s="280"/>
      <c r="FR49" s="280"/>
      <c r="FS49" s="280"/>
      <c r="FT49" s="280"/>
      <c r="FU49" s="280"/>
      <c r="FV49" s="280"/>
      <c r="FW49" s="280"/>
      <c r="FX49" s="280"/>
      <c r="FY49" s="280"/>
      <c r="FZ49" s="280"/>
      <c r="GA49" s="280"/>
      <c r="GB49" s="280"/>
      <c r="GC49" s="280"/>
      <c r="GD49" s="280"/>
      <c r="GE49" s="280"/>
      <c r="GF49" s="280"/>
      <c r="GG49" s="280"/>
      <c r="GH49" s="280"/>
      <c r="GI49" s="280"/>
      <c r="GJ49" s="280"/>
      <c r="GK49" s="280"/>
      <c r="GL49" s="280"/>
      <c r="GM49" s="280"/>
      <c r="GN49" s="280"/>
      <c r="GO49" s="280"/>
      <c r="GP49" s="280"/>
      <c r="GQ49" s="280"/>
      <c r="GR49" s="280"/>
      <c r="GS49" s="280"/>
      <c r="GT49" s="280"/>
      <c r="GU49" s="280"/>
      <c r="GV49" s="280"/>
      <c r="GW49" s="280"/>
      <c r="GX49" s="280"/>
      <c r="GY49" s="280"/>
      <c r="GZ49" s="280"/>
      <c r="HA49" s="280"/>
      <c r="HB49" s="280"/>
      <c r="HC49" s="280"/>
      <c r="HD49" s="280"/>
      <c r="HE49" s="280"/>
      <c r="HF49" s="280"/>
      <c r="HG49" s="280"/>
      <c r="HH49" s="280"/>
      <c r="HI49" s="280"/>
      <c r="HJ49" s="280"/>
      <c r="HK49" s="280"/>
      <c r="HL49" s="280"/>
      <c r="HM49" s="280"/>
      <c r="HN49" s="280"/>
      <c r="HO49" s="280"/>
      <c r="HP49" s="280"/>
      <c r="HQ49" s="280"/>
      <c r="HR49" s="280"/>
      <c r="HS49" s="280"/>
      <c r="HT49" s="280"/>
      <c r="HU49" s="280"/>
      <c r="HV49" s="280"/>
      <c r="HW49" s="280"/>
      <c r="HX49" s="280"/>
      <c r="HY49" s="280"/>
      <c r="HZ49" s="280"/>
      <c r="IA49" s="280"/>
      <c r="IB49" s="280"/>
      <c r="IC49" s="280"/>
      <c r="ID49" s="280"/>
      <c r="IE49" s="280"/>
      <c r="IF49" s="280"/>
      <c r="IG49" s="280"/>
      <c r="IH49" s="280"/>
      <c r="II49" s="280"/>
      <c r="IJ49" s="280"/>
      <c r="IK49" s="280"/>
      <c r="IL49" s="280"/>
      <c r="IM49" s="280"/>
      <c r="IN49" s="280"/>
      <c r="IO49" s="280"/>
      <c r="IP49" s="280"/>
      <c r="IQ49" s="280"/>
      <c r="IR49" s="280"/>
      <c r="IS49" s="280"/>
      <c r="IT49" s="280"/>
      <c r="IU49" s="280"/>
      <c r="IV49" s="280"/>
    </row>
    <row r="50" spans="1:256" ht="15">
      <c r="A50" s="297"/>
      <c r="B50" s="283"/>
      <c r="C50" s="284"/>
      <c r="D50" s="285"/>
      <c r="E50" s="294"/>
      <c r="F50" s="286"/>
      <c r="G50" s="285"/>
      <c r="H50" s="285"/>
      <c r="I50" s="286"/>
      <c r="J50" s="285"/>
      <c r="K50" s="285"/>
      <c r="L50" s="286"/>
      <c r="M50" s="280"/>
      <c r="N50" s="280"/>
      <c r="O50" s="280"/>
      <c r="P50" s="280"/>
      <c r="Q50" s="280"/>
      <c r="R50" s="280"/>
      <c r="S50" s="281"/>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0"/>
      <c r="DH50" s="280"/>
      <c r="DI50" s="280"/>
      <c r="DJ50" s="280"/>
      <c r="DK50" s="280"/>
      <c r="DL50" s="280"/>
      <c r="DM50" s="280"/>
      <c r="DN50" s="280"/>
      <c r="DO50" s="280"/>
      <c r="DP50" s="280"/>
      <c r="DQ50" s="280"/>
      <c r="DR50" s="280"/>
      <c r="DS50" s="280"/>
      <c r="DT50" s="280"/>
      <c r="DU50" s="280"/>
      <c r="DV50" s="280"/>
      <c r="DW50" s="280"/>
      <c r="DX50" s="280"/>
      <c r="DY50" s="280"/>
      <c r="DZ50" s="280"/>
      <c r="EA50" s="280"/>
      <c r="EB50" s="280"/>
      <c r="EC50" s="280"/>
      <c r="ED50" s="280"/>
      <c r="EE50" s="280"/>
      <c r="EF50" s="280"/>
      <c r="EG50" s="280"/>
      <c r="EH50" s="280"/>
      <c r="EI50" s="280"/>
      <c r="EJ50" s="280"/>
      <c r="EK50" s="280"/>
      <c r="EL50" s="280"/>
      <c r="EM50" s="280"/>
      <c r="EN50" s="280"/>
      <c r="EO50" s="280"/>
      <c r="EP50" s="280"/>
      <c r="EQ50" s="280"/>
      <c r="ER50" s="280"/>
      <c r="ES50" s="280"/>
      <c r="ET50" s="280"/>
      <c r="EU50" s="280"/>
      <c r="EV50" s="280"/>
      <c r="EW50" s="280"/>
      <c r="EX50" s="280"/>
      <c r="EY50" s="280"/>
      <c r="EZ50" s="280"/>
      <c r="FA50" s="280"/>
      <c r="FB50" s="280"/>
      <c r="FC50" s="280"/>
      <c r="FD50" s="280"/>
      <c r="FE50" s="280"/>
      <c r="FF50" s="280"/>
      <c r="FG50" s="280"/>
      <c r="FH50" s="280"/>
      <c r="FI50" s="280"/>
      <c r="FJ50" s="280"/>
      <c r="FK50" s="280"/>
      <c r="FL50" s="280"/>
      <c r="FM50" s="280"/>
      <c r="FN50" s="280"/>
      <c r="FO50" s="280"/>
      <c r="FP50" s="280"/>
      <c r="FQ50" s="280"/>
      <c r="FR50" s="280"/>
      <c r="FS50" s="280"/>
      <c r="FT50" s="280"/>
      <c r="FU50" s="280"/>
      <c r="FV50" s="280"/>
      <c r="FW50" s="280"/>
      <c r="FX50" s="280"/>
      <c r="FY50" s="280"/>
      <c r="FZ50" s="280"/>
      <c r="GA50" s="280"/>
      <c r="GB50" s="280"/>
      <c r="GC50" s="280"/>
      <c r="GD50" s="280"/>
      <c r="GE50" s="280"/>
      <c r="GF50" s="280"/>
      <c r="GG50" s="280"/>
      <c r="GH50" s="280"/>
      <c r="GI50" s="280"/>
      <c r="GJ50" s="280"/>
      <c r="GK50" s="280"/>
      <c r="GL50" s="280"/>
      <c r="GM50" s="280"/>
      <c r="GN50" s="280"/>
      <c r="GO50" s="280"/>
      <c r="GP50" s="280"/>
      <c r="GQ50" s="280"/>
      <c r="GR50" s="280"/>
      <c r="GS50" s="280"/>
      <c r="GT50" s="280"/>
      <c r="GU50" s="280"/>
      <c r="GV50" s="280"/>
      <c r="GW50" s="280"/>
      <c r="GX50" s="280"/>
      <c r="GY50" s="280"/>
      <c r="GZ50" s="280"/>
      <c r="HA50" s="280"/>
      <c r="HB50" s="280"/>
      <c r="HC50" s="280"/>
      <c r="HD50" s="280"/>
      <c r="HE50" s="280"/>
      <c r="HF50" s="280"/>
      <c r="HG50" s="280"/>
      <c r="HH50" s="280"/>
      <c r="HI50" s="280"/>
      <c r="HJ50" s="280"/>
      <c r="HK50" s="280"/>
      <c r="HL50" s="280"/>
      <c r="HM50" s="280"/>
      <c r="HN50" s="280"/>
      <c r="HO50" s="280"/>
      <c r="HP50" s="280"/>
      <c r="HQ50" s="280"/>
      <c r="HR50" s="280"/>
      <c r="HS50" s="280"/>
      <c r="HT50" s="280"/>
      <c r="HU50" s="280"/>
      <c r="HV50" s="280"/>
      <c r="HW50" s="280"/>
      <c r="HX50" s="280"/>
      <c r="HY50" s="280"/>
      <c r="HZ50" s="280"/>
      <c r="IA50" s="280"/>
      <c r="IB50" s="280"/>
      <c r="IC50" s="280"/>
      <c r="ID50" s="280"/>
      <c r="IE50" s="280"/>
      <c r="IF50" s="280"/>
      <c r="IG50" s="280"/>
      <c r="IH50" s="280"/>
      <c r="II50" s="280"/>
      <c r="IJ50" s="280"/>
      <c r="IK50" s="280"/>
      <c r="IL50" s="280"/>
      <c r="IM50" s="280"/>
      <c r="IN50" s="280"/>
      <c r="IO50" s="280"/>
      <c r="IP50" s="280"/>
      <c r="IQ50" s="280"/>
      <c r="IR50" s="280"/>
      <c r="IS50" s="280"/>
      <c r="IT50" s="280"/>
      <c r="IU50" s="280"/>
      <c r="IV50" s="280"/>
    </row>
    <row r="51" spans="1:256" ht="15">
      <c r="A51" s="297"/>
      <c r="B51" s="283"/>
      <c r="C51" s="284"/>
      <c r="D51" s="285"/>
      <c r="E51" s="294"/>
      <c r="F51" s="286"/>
      <c r="G51" s="285"/>
      <c r="H51" s="285"/>
      <c r="I51" s="286"/>
      <c r="J51" s="285"/>
      <c r="K51" s="285"/>
      <c r="L51" s="286"/>
      <c r="M51" s="280"/>
      <c r="N51" s="280"/>
      <c r="O51" s="280"/>
      <c r="P51" s="280"/>
      <c r="Q51" s="280"/>
      <c r="R51" s="280"/>
      <c r="S51" s="281"/>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c r="DM51" s="280"/>
      <c r="DN51" s="280"/>
      <c r="DO51" s="280"/>
      <c r="DP51" s="280"/>
      <c r="DQ51" s="280"/>
      <c r="DR51" s="280"/>
      <c r="DS51" s="280"/>
      <c r="DT51" s="280"/>
      <c r="DU51" s="280"/>
      <c r="DV51" s="280"/>
      <c r="DW51" s="280"/>
      <c r="DX51" s="280"/>
      <c r="DY51" s="280"/>
      <c r="DZ51" s="280"/>
      <c r="EA51" s="280"/>
      <c r="EB51" s="280"/>
      <c r="EC51" s="280"/>
      <c r="ED51" s="280"/>
      <c r="EE51" s="280"/>
      <c r="EF51" s="280"/>
      <c r="EG51" s="280"/>
      <c r="EH51" s="280"/>
      <c r="EI51" s="280"/>
      <c r="EJ51" s="280"/>
      <c r="EK51" s="280"/>
      <c r="EL51" s="280"/>
      <c r="EM51" s="280"/>
      <c r="EN51" s="280"/>
      <c r="EO51" s="280"/>
      <c r="EP51" s="280"/>
      <c r="EQ51" s="280"/>
      <c r="ER51" s="280"/>
      <c r="ES51" s="280"/>
      <c r="ET51" s="280"/>
      <c r="EU51" s="280"/>
      <c r="EV51" s="280"/>
      <c r="EW51" s="280"/>
      <c r="EX51" s="280"/>
      <c r="EY51" s="280"/>
      <c r="EZ51" s="280"/>
      <c r="FA51" s="280"/>
      <c r="FB51" s="280"/>
      <c r="FC51" s="280"/>
      <c r="FD51" s="280"/>
      <c r="FE51" s="280"/>
      <c r="FF51" s="280"/>
      <c r="FG51" s="280"/>
      <c r="FH51" s="280"/>
      <c r="FI51" s="280"/>
      <c r="FJ51" s="280"/>
      <c r="FK51" s="280"/>
      <c r="FL51" s="280"/>
      <c r="FM51" s="280"/>
      <c r="FN51" s="280"/>
      <c r="FO51" s="280"/>
      <c r="FP51" s="280"/>
      <c r="FQ51" s="280"/>
      <c r="FR51" s="280"/>
      <c r="FS51" s="280"/>
      <c r="FT51" s="280"/>
      <c r="FU51" s="280"/>
      <c r="FV51" s="280"/>
      <c r="FW51" s="280"/>
      <c r="FX51" s="280"/>
      <c r="FY51" s="280"/>
      <c r="FZ51" s="280"/>
      <c r="GA51" s="280"/>
      <c r="GB51" s="280"/>
      <c r="GC51" s="280"/>
      <c r="GD51" s="280"/>
      <c r="GE51" s="280"/>
      <c r="GF51" s="280"/>
      <c r="GG51" s="280"/>
      <c r="GH51" s="280"/>
      <c r="GI51" s="280"/>
      <c r="GJ51" s="280"/>
      <c r="GK51" s="280"/>
      <c r="GL51" s="280"/>
      <c r="GM51" s="280"/>
      <c r="GN51" s="280"/>
      <c r="GO51" s="280"/>
      <c r="GP51" s="280"/>
      <c r="GQ51" s="280"/>
      <c r="GR51" s="280"/>
      <c r="GS51" s="280"/>
      <c r="GT51" s="280"/>
      <c r="GU51" s="280"/>
      <c r="GV51" s="280"/>
      <c r="GW51" s="280"/>
      <c r="GX51" s="280"/>
      <c r="GY51" s="280"/>
      <c r="GZ51" s="280"/>
      <c r="HA51" s="280"/>
      <c r="HB51" s="280"/>
      <c r="HC51" s="280"/>
      <c r="HD51" s="280"/>
      <c r="HE51" s="280"/>
      <c r="HF51" s="280"/>
      <c r="HG51" s="280"/>
      <c r="HH51" s="280"/>
      <c r="HI51" s="280"/>
      <c r="HJ51" s="280"/>
      <c r="HK51" s="280"/>
      <c r="HL51" s="280"/>
      <c r="HM51" s="280"/>
      <c r="HN51" s="280"/>
      <c r="HO51" s="280"/>
      <c r="HP51" s="280"/>
      <c r="HQ51" s="280"/>
      <c r="HR51" s="280"/>
      <c r="HS51" s="280"/>
      <c r="HT51" s="280"/>
      <c r="HU51" s="280"/>
      <c r="HV51" s="280"/>
      <c r="HW51" s="280"/>
      <c r="HX51" s="280"/>
      <c r="HY51" s="280"/>
      <c r="HZ51" s="280"/>
      <c r="IA51" s="280"/>
      <c r="IB51" s="280"/>
      <c r="IC51" s="280"/>
      <c r="ID51" s="280"/>
      <c r="IE51" s="280"/>
      <c r="IF51" s="280"/>
      <c r="IG51" s="280"/>
      <c r="IH51" s="280"/>
      <c r="II51" s="280"/>
      <c r="IJ51" s="280"/>
      <c r="IK51" s="280"/>
      <c r="IL51" s="280"/>
      <c r="IM51" s="280"/>
      <c r="IN51" s="280"/>
      <c r="IO51" s="280"/>
      <c r="IP51" s="280"/>
      <c r="IQ51" s="280"/>
      <c r="IR51" s="280"/>
      <c r="IS51" s="280"/>
      <c r="IT51" s="280"/>
      <c r="IU51" s="280"/>
      <c r="IV51" s="280"/>
    </row>
    <row r="52" spans="1:256" ht="15.75">
      <c r="A52" s="292" t="s">
        <v>177</v>
      </c>
      <c r="B52" s="283"/>
      <c r="C52" s="284"/>
      <c r="D52" s="285"/>
      <c r="E52" s="294"/>
      <c r="F52" s="286"/>
      <c r="G52" s="285"/>
      <c r="H52" s="285"/>
      <c r="I52" s="286"/>
      <c r="J52" s="285"/>
      <c r="K52" s="285"/>
      <c r="L52" s="286"/>
      <c r="M52" s="280"/>
      <c r="N52" s="280"/>
      <c r="O52" s="280"/>
      <c r="P52" s="280"/>
      <c r="Q52" s="280"/>
      <c r="R52" s="280"/>
      <c r="S52" s="281"/>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c r="DM52" s="280"/>
      <c r="DN52" s="280"/>
      <c r="DO52" s="280"/>
      <c r="DP52" s="280"/>
      <c r="DQ52" s="280"/>
      <c r="DR52" s="280"/>
      <c r="DS52" s="280"/>
      <c r="DT52" s="280"/>
      <c r="DU52" s="280"/>
      <c r="DV52" s="280"/>
      <c r="DW52" s="280"/>
      <c r="DX52" s="280"/>
      <c r="DY52" s="280"/>
      <c r="DZ52" s="280"/>
      <c r="EA52" s="280"/>
      <c r="EB52" s="280"/>
      <c r="EC52" s="280"/>
      <c r="ED52" s="280"/>
      <c r="EE52" s="280"/>
      <c r="EF52" s="280"/>
      <c r="EG52" s="280"/>
      <c r="EH52" s="280"/>
      <c r="EI52" s="280"/>
      <c r="EJ52" s="280"/>
      <c r="EK52" s="280"/>
      <c r="EL52" s="280"/>
      <c r="EM52" s="280"/>
      <c r="EN52" s="280"/>
      <c r="EO52" s="280"/>
      <c r="EP52" s="280"/>
      <c r="EQ52" s="280"/>
      <c r="ER52" s="280"/>
      <c r="ES52" s="280"/>
      <c r="ET52" s="280"/>
      <c r="EU52" s="280"/>
      <c r="EV52" s="280"/>
      <c r="EW52" s="280"/>
      <c r="EX52" s="280"/>
      <c r="EY52" s="280"/>
      <c r="EZ52" s="280"/>
      <c r="FA52" s="280"/>
      <c r="FB52" s="280"/>
      <c r="FC52" s="280"/>
      <c r="FD52" s="280"/>
      <c r="FE52" s="280"/>
      <c r="FF52" s="280"/>
      <c r="FG52" s="280"/>
      <c r="FH52" s="280"/>
      <c r="FI52" s="280"/>
      <c r="FJ52" s="280"/>
      <c r="FK52" s="280"/>
      <c r="FL52" s="280"/>
      <c r="FM52" s="280"/>
      <c r="FN52" s="280"/>
      <c r="FO52" s="280"/>
      <c r="FP52" s="280"/>
      <c r="FQ52" s="280"/>
      <c r="FR52" s="280"/>
      <c r="FS52" s="280"/>
      <c r="FT52" s="280"/>
      <c r="FU52" s="280"/>
      <c r="FV52" s="280"/>
      <c r="FW52" s="280"/>
      <c r="FX52" s="280"/>
      <c r="FY52" s="280"/>
      <c r="FZ52" s="280"/>
      <c r="GA52" s="280"/>
      <c r="GB52" s="280"/>
      <c r="GC52" s="280"/>
      <c r="GD52" s="280"/>
      <c r="GE52" s="280"/>
      <c r="GF52" s="280"/>
      <c r="GG52" s="280"/>
      <c r="GH52" s="280"/>
      <c r="GI52" s="280"/>
      <c r="GJ52" s="280"/>
      <c r="GK52" s="280"/>
      <c r="GL52" s="280"/>
      <c r="GM52" s="280"/>
      <c r="GN52" s="280"/>
      <c r="GO52" s="280"/>
      <c r="GP52" s="280"/>
      <c r="GQ52" s="280"/>
      <c r="GR52" s="280"/>
      <c r="GS52" s="280"/>
      <c r="GT52" s="280"/>
      <c r="GU52" s="280"/>
      <c r="GV52" s="280"/>
      <c r="GW52" s="280"/>
      <c r="GX52" s="280"/>
      <c r="GY52" s="280"/>
      <c r="GZ52" s="280"/>
      <c r="HA52" s="280"/>
      <c r="HB52" s="280"/>
      <c r="HC52" s="280"/>
      <c r="HD52" s="280"/>
      <c r="HE52" s="280"/>
      <c r="HF52" s="280"/>
      <c r="HG52" s="280"/>
      <c r="HH52" s="280"/>
      <c r="HI52" s="280"/>
      <c r="HJ52" s="280"/>
      <c r="HK52" s="280"/>
      <c r="HL52" s="280"/>
      <c r="HM52" s="280"/>
      <c r="HN52" s="280"/>
      <c r="HO52" s="280"/>
      <c r="HP52" s="280"/>
      <c r="HQ52" s="280"/>
      <c r="HR52" s="280"/>
      <c r="HS52" s="280"/>
      <c r="HT52" s="280"/>
      <c r="HU52" s="280"/>
      <c r="HV52" s="280"/>
      <c r="HW52" s="280"/>
      <c r="HX52" s="280"/>
      <c r="HY52" s="280"/>
      <c r="HZ52" s="280"/>
      <c r="IA52" s="280"/>
      <c r="IB52" s="280"/>
      <c r="IC52" s="280"/>
      <c r="ID52" s="280"/>
      <c r="IE52" s="280"/>
      <c r="IF52" s="280"/>
      <c r="IG52" s="280"/>
      <c r="IH52" s="280"/>
      <c r="II52" s="280"/>
      <c r="IJ52" s="280"/>
      <c r="IK52" s="280"/>
      <c r="IL52" s="280"/>
      <c r="IM52" s="280"/>
      <c r="IN52" s="280"/>
      <c r="IO52" s="280"/>
      <c r="IP52" s="280"/>
      <c r="IQ52" s="280"/>
      <c r="IR52" s="280"/>
      <c r="IS52" s="280"/>
      <c r="IT52" s="280"/>
      <c r="IU52" s="280"/>
      <c r="IV52" s="280"/>
    </row>
    <row r="53" spans="1:256" ht="15">
      <c r="A53" s="297"/>
      <c r="B53" s="283" t="s">
        <v>163</v>
      </c>
      <c r="C53" s="284"/>
      <c r="D53" s="299">
        <f>ROUND(+E53+E53*F$7,3)</f>
        <v>-0.07</v>
      </c>
      <c r="E53" s="294">
        <v>0.322</v>
      </c>
      <c r="F53" s="286">
        <f aca="true" t="shared" si="10" ref="F53:F61">-1+D53/E53</f>
        <v>-1.2173913043478262</v>
      </c>
      <c r="G53" s="285"/>
      <c r="H53" s="285"/>
      <c r="I53" s="286"/>
      <c r="J53" s="285"/>
      <c r="K53" s="285"/>
      <c r="L53" s="286"/>
      <c r="M53" s="280"/>
      <c r="N53" s="280"/>
      <c r="O53" s="280"/>
      <c r="P53" s="280"/>
      <c r="Q53" s="280"/>
      <c r="R53" s="280"/>
      <c r="S53" s="281"/>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0"/>
      <c r="DM53" s="280"/>
      <c r="DN53" s="280"/>
      <c r="DO53" s="280"/>
      <c r="DP53" s="280"/>
      <c r="DQ53" s="280"/>
      <c r="DR53" s="280"/>
      <c r="DS53" s="280"/>
      <c r="DT53" s="280"/>
      <c r="DU53" s="280"/>
      <c r="DV53" s="280"/>
      <c r="DW53" s="280"/>
      <c r="DX53" s="280"/>
      <c r="DY53" s="280"/>
      <c r="DZ53" s="280"/>
      <c r="EA53" s="280"/>
      <c r="EB53" s="280"/>
      <c r="EC53" s="280"/>
      <c r="ED53" s="280"/>
      <c r="EE53" s="280"/>
      <c r="EF53" s="280"/>
      <c r="EG53" s="280"/>
      <c r="EH53" s="280"/>
      <c r="EI53" s="280"/>
      <c r="EJ53" s="280"/>
      <c r="EK53" s="280"/>
      <c r="EL53" s="280"/>
      <c r="EM53" s="280"/>
      <c r="EN53" s="280"/>
      <c r="EO53" s="280"/>
      <c r="EP53" s="280"/>
      <c r="EQ53" s="280"/>
      <c r="ER53" s="280"/>
      <c r="ES53" s="280"/>
      <c r="ET53" s="280"/>
      <c r="EU53" s="280"/>
      <c r="EV53" s="280"/>
      <c r="EW53" s="280"/>
      <c r="EX53" s="280"/>
      <c r="EY53" s="280"/>
      <c r="EZ53" s="280"/>
      <c r="FA53" s="280"/>
      <c r="FB53" s="280"/>
      <c r="FC53" s="280"/>
      <c r="FD53" s="280"/>
      <c r="FE53" s="280"/>
      <c r="FF53" s="280"/>
      <c r="FG53" s="280"/>
      <c r="FH53" s="280"/>
      <c r="FI53" s="280"/>
      <c r="FJ53" s="280"/>
      <c r="FK53" s="280"/>
      <c r="FL53" s="280"/>
      <c r="FM53" s="280"/>
      <c r="FN53" s="280"/>
      <c r="FO53" s="280"/>
      <c r="FP53" s="280"/>
      <c r="FQ53" s="280"/>
      <c r="FR53" s="280"/>
      <c r="FS53" s="280"/>
      <c r="FT53" s="280"/>
      <c r="FU53" s="280"/>
      <c r="FV53" s="280"/>
      <c r="FW53" s="280"/>
      <c r="FX53" s="280"/>
      <c r="FY53" s="280"/>
      <c r="FZ53" s="280"/>
      <c r="GA53" s="280"/>
      <c r="GB53" s="280"/>
      <c r="GC53" s="280"/>
      <c r="GD53" s="280"/>
      <c r="GE53" s="280"/>
      <c r="GF53" s="280"/>
      <c r="GG53" s="280"/>
      <c r="GH53" s="280"/>
      <c r="GI53" s="280"/>
      <c r="GJ53" s="280"/>
      <c r="GK53" s="280"/>
      <c r="GL53" s="280"/>
      <c r="GM53" s="280"/>
      <c r="GN53" s="280"/>
      <c r="GO53" s="280"/>
      <c r="GP53" s="280"/>
      <c r="GQ53" s="280"/>
      <c r="GR53" s="280"/>
      <c r="GS53" s="280"/>
      <c r="GT53" s="280"/>
      <c r="GU53" s="280"/>
      <c r="GV53" s="280"/>
      <c r="GW53" s="280"/>
      <c r="GX53" s="280"/>
      <c r="GY53" s="280"/>
      <c r="GZ53" s="280"/>
      <c r="HA53" s="280"/>
      <c r="HB53" s="280"/>
      <c r="HC53" s="280"/>
      <c r="HD53" s="280"/>
      <c r="HE53" s="280"/>
      <c r="HF53" s="280"/>
      <c r="HG53" s="280"/>
      <c r="HH53" s="280"/>
      <c r="HI53" s="280"/>
      <c r="HJ53" s="280"/>
      <c r="HK53" s="280"/>
      <c r="HL53" s="280"/>
      <c r="HM53" s="280"/>
      <c r="HN53" s="280"/>
      <c r="HO53" s="280"/>
      <c r="HP53" s="280"/>
      <c r="HQ53" s="280"/>
      <c r="HR53" s="280"/>
      <c r="HS53" s="280"/>
      <c r="HT53" s="280"/>
      <c r="HU53" s="280"/>
      <c r="HV53" s="280"/>
      <c r="HW53" s="280"/>
      <c r="HX53" s="280"/>
      <c r="HY53" s="280"/>
      <c r="HZ53" s="280"/>
      <c r="IA53" s="280"/>
      <c r="IB53" s="280"/>
      <c r="IC53" s="280"/>
      <c r="ID53" s="280"/>
      <c r="IE53" s="280"/>
      <c r="IF53" s="280"/>
      <c r="IG53" s="280"/>
      <c r="IH53" s="280"/>
      <c r="II53" s="280"/>
      <c r="IJ53" s="280"/>
      <c r="IK53" s="280"/>
      <c r="IL53" s="280"/>
      <c r="IM53" s="280"/>
      <c r="IN53" s="280"/>
      <c r="IO53" s="280"/>
      <c r="IP53" s="280"/>
      <c r="IQ53" s="280"/>
      <c r="IR53" s="280"/>
      <c r="IS53" s="280"/>
      <c r="IT53" s="280"/>
      <c r="IU53" s="280"/>
      <c r="IV53" s="280"/>
    </row>
    <row r="54" spans="1:256" ht="15">
      <c r="A54" s="297"/>
      <c r="B54" s="283" t="s">
        <v>164</v>
      </c>
      <c r="C54" s="284"/>
      <c r="D54" s="299">
        <f aca="true" t="shared" si="11" ref="D54:D61">ROUND(+E54+E54*F$7,3)</f>
        <v>-0.105</v>
      </c>
      <c r="E54" s="294">
        <v>0.484</v>
      </c>
      <c r="F54" s="286">
        <f t="shared" si="10"/>
        <v>-1.2169421487603307</v>
      </c>
      <c r="G54" s="285"/>
      <c r="H54" s="285"/>
      <c r="I54" s="286"/>
      <c r="J54" s="285"/>
      <c r="K54" s="285"/>
      <c r="L54" s="286"/>
      <c r="M54" s="280"/>
      <c r="N54" s="280"/>
      <c r="O54" s="280"/>
      <c r="P54" s="280"/>
      <c r="Q54" s="280"/>
      <c r="R54" s="280"/>
      <c r="S54" s="281"/>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c r="DM54" s="280"/>
      <c r="DN54" s="280"/>
      <c r="DO54" s="280"/>
      <c r="DP54" s="280"/>
      <c r="DQ54" s="280"/>
      <c r="DR54" s="280"/>
      <c r="DS54" s="280"/>
      <c r="DT54" s="280"/>
      <c r="DU54" s="280"/>
      <c r="DV54" s="280"/>
      <c r="DW54" s="280"/>
      <c r="DX54" s="280"/>
      <c r="DY54" s="280"/>
      <c r="DZ54" s="280"/>
      <c r="EA54" s="280"/>
      <c r="EB54" s="280"/>
      <c r="EC54" s="280"/>
      <c r="ED54" s="280"/>
      <c r="EE54" s="280"/>
      <c r="EF54" s="280"/>
      <c r="EG54" s="280"/>
      <c r="EH54" s="280"/>
      <c r="EI54" s="280"/>
      <c r="EJ54" s="280"/>
      <c r="EK54" s="280"/>
      <c r="EL54" s="280"/>
      <c r="EM54" s="280"/>
      <c r="EN54" s="280"/>
      <c r="EO54" s="280"/>
      <c r="EP54" s="280"/>
      <c r="EQ54" s="280"/>
      <c r="ER54" s="280"/>
      <c r="ES54" s="280"/>
      <c r="ET54" s="280"/>
      <c r="EU54" s="280"/>
      <c r="EV54" s="280"/>
      <c r="EW54" s="280"/>
      <c r="EX54" s="280"/>
      <c r="EY54" s="280"/>
      <c r="EZ54" s="280"/>
      <c r="FA54" s="280"/>
      <c r="FB54" s="280"/>
      <c r="FC54" s="280"/>
      <c r="FD54" s="280"/>
      <c r="FE54" s="280"/>
      <c r="FF54" s="280"/>
      <c r="FG54" s="280"/>
      <c r="FH54" s="280"/>
      <c r="FI54" s="280"/>
      <c r="FJ54" s="280"/>
      <c r="FK54" s="280"/>
      <c r="FL54" s="280"/>
      <c r="FM54" s="280"/>
      <c r="FN54" s="280"/>
      <c r="FO54" s="280"/>
      <c r="FP54" s="280"/>
      <c r="FQ54" s="280"/>
      <c r="FR54" s="280"/>
      <c r="FS54" s="280"/>
      <c r="FT54" s="280"/>
      <c r="FU54" s="280"/>
      <c r="FV54" s="280"/>
      <c r="FW54" s="280"/>
      <c r="FX54" s="280"/>
      <c r="FY54" s="280"/>
      <c r="FZ54" s="280"/>
      <c r="GA54" s="280"/>
      <c r="GB54" s="280"/>
      <c r="GC54" s="280"/>
      <c r="GD54" s="280"/>
      <c r="GE54" s="280"/>
      <c r="GF54" s="280"/>
      <c r="GG54" s="280"/>
      <c r="GH54" s="280"/>
      <c r="GI54" s="280"/>
      <c r="GJ54" s="280"/>
      <c r="GK54" s="280"/>
      <c r="GL54" s="280"/>
      <c r="GM54" s="280"/>
      <c r="GN54" s="280"/>
      <c r="GO54" s="280"/>
      <c r="GP54" s="280"/>
      <c r="GQ54" s="280"/>
      <c r="GR54" s="280"/>
      <c r="GS54" s="280"/>
      <c r="GT54" s="280"/>
      <c r="GU54" s="280"/>
      <c r="GV54" s="280"/>
      <c r="GW54" s="280"/>
      <c r="GX54" s="280"/>
      <c r="GY54" s="280"/>
      <c r="GZ54" s="280"/>
      <c r="HA54" s="280"/>
      <c r="HB54" s="280"/>
      <c r="HC54" s="280"/>
      <c r="HD54" s="280"/>
      <c r="HE54" s="280"/>
      <c r="HF54" s="280"/>
      <c r="HG54" s="280"/>
      <c r="HH54" s="280"/>
      <c r="HI54" s="280"/>
      <c r="HJ54" s="280"/>
      <c r="HK54" s="280"/>
      <c r="HL54" s="280"/>
      <c r="HM54" s="280"/>
      <c r="HN54" s="280"/>
      <c r="HO54" s="280"/>
      <c r="HP54" s="280"/>
      <c r="HQ54" s="280"/>
      <c r="HR54" s="280"/>
      <c r="HS54" s="280"/>
      <c r="HT54" s="280"/>
      <c r="HU54" s="280"/>
      <c r="HV54" s="280"/>
      <c r="HW54" s="280"/>
      <c r="HX54" s="280"/>
      <c r="HY54" s="280"/>
      <c r="HZ54" s="280"/>
      <c r="IA54" s="280"/>
      <c r="IB54" s="280"/>
      <c r="IC54" s="280"/>
      <c r="ID54" s="280"/>
      <c r="IE54" s="280"/>
      <c r="IF54" s="280"/>
      <c r="IG54" s="280"/>
      <c r="IH54" s="280"/>
      <c r="II54" s="280"/>
      <c r="IJ54" s="280"/>
      <c r="IK54" s="280"/>
      <c r="IL54" s="280"/>
      <c r="IM54" s="280"/>
      <c r="IN54" s="280"/>
      <c r="IO54" s="280"/>
      <c r="IP54" s="280"/>
      <c r="IQ54" s="280"/>
      <c r="IR54" s="280"/>
      <c r="IS54" s="280"/>
      <c r="IT54" s="280"/>
      <c r="IU54" s="280"/>
      <c r="IV54" s="280"/>
    </row>
    <row r="55" spans="1:256" ht="15">
      <c r="A55" s="297"/>
      <c r="B55" s="283" t="s">
        <v>165</v>
      </c>
      <c r="C55" s="284"/>
      <c r="D55" s="299">
        <f t="shared" si="11"/>
        <v>-0.227</v>
      </c>
      <c r="E55" s="294">
        <v>1.048</v>
      </c>
      <c r="F55" s="286">
        <f t="shared" si="10"/>
        <v>-1.2166030534351144</v>
      </c>
      <c r="G55" s="285"/>
      <c r="H55" s="285"/>
      <c r="I55" s="286"/>
      <c r="J55" s="285"/>
      <c r="K55" s="285"/>
      <c r="L55" s="286"/>
      <c r="M55" s="280"/>
      <c r="N55" s="280"/>
      <c r="O55" s="280"/>
      <c r="P55" s="280"/>
      <c r="Q55" s="280"/>
      <c r="R55" s="280"/>
      <c r="S55" s="281"/>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c r="DM55" s="280"/>
      <c r="DN55" s="280"/>
      <c r="DO55" s="280"/>
      <c r="DP55" s="280"/>
      <c r="DQ55" s="280"/>
      <c r="DR55" s="280"/>
      <c r="DS55" s="280"/>
      <c r="DT55" s="280"/>
      <c r="DU55" s="280"/>
      <c r="DV55" s="280"/>
      <c r="DW55" s="280"/>
      <c r="DX55" s="280"/>
      <c r="DY55" s="280"/>
      <c r="DZ55" s="280"/>
      <c r="EA55" s="280"/>
      <c r="EB55" s="280"/>
      <c r="EC55" s="280"/>
      <c r="ED55" s="280"/>
      <c r="EE55" s="280"/>
      <c r="EF55" s="280"/>
      <c r="EG55" s="280"/>
      <c r="EH55" s="280"/>
      <c r="EI55" s="280"/>
      <c r="EJ55" s="280"/>
      <c r="EK55" s="280"/>
      <c r="EL55" s="280"/>
      <c r="EM55" s="280"/>
      <c r="EN55" s="280"/>
      <c r="EO55" s="280"/>
      <c r="EP55" s="280"/>
      <c r="EQ55" s="280"/>
      <c r="ER55" s="280"/>
      <c r="ES55" s="280"/>
      <c r="ET55" s="280"/>
      <c r="EU55" s="280"/>
      <c r="EV55" s="280"/>
      <c r="EW55" s="280"/>
      <c r="EX55" s="280"/>
      <c r="EY55" s="280"/>
      <c r="EZ55" s="280"/>
      <c r="FA55" s="280"/>
      <c r="FB55" s="280"/>
      <c r="FC55" s="280"/>
      <c r="FD55" s="280"/>
      <c r="FE55" s="280"/>
      <c r="FF55" s="280"/>
      <c r="FG55" s="280"/>
      <c r="FH55" s="280"/>
      <c r="FI55" s="280"/>
      <c r="FJ55" s="280"/>
      <c r="FK55" s="280"/>
      <c r="FL55" s="280"/>
      <c r="FM55" s="280"/>
      <c r="FN55" s="280"/>
      <c r="FO55" s="280"/>
      <c r="FP55" s="280"/>
      <c r="FQ55" s="280"/>
      <c r="FR55" s="280"/>
      <c r="FS55" s="280"/>
      <c r="FT55" s="280"/>
      <c r="FU55" s="280"/>
      <c r="FV55" s="280"/>
      <c r="FW55" s="280"/>
      <c r="FX55" s="280"/>
      <c r="FY55" s="280"/>
      <c r="FZ55" s="280"/>
      <c r="GA55" s="280"/>
      <c r="GB55" s="280"/>
      <c r="GC55" s="280"/>
      <c r="GD55" s="280"/>
      <c r="GE55" s="280"/>
      <c r="GF55" s="280"/>
      <c r="GG55" s="280"/>
      <c r="GH55" s="280"/>
      <c r="GI55" s="280"/>
      <c r="GJ55" s="280"/>
      <c r="GK55" s="280"/>
      <c r="GL55" s="280"/>
      <c r="GM55" s="280"/>
      <c r="GN55" s="280"/>
      <c r="GO55" s="280"/>
      <c r="GP55" s="280"/>
      <c r="GQ55" s="280"/>
      <c r="GR55" s="280"/>
      <c r="GS55" s="280"/>
      <c r="GT55" s="280"/>
      <c r="GU55" s="280"/>
      <c r="GV55" s="280"/>
      <c r="GW55" s="280"/>
      <c r="GX55" s="280"/>
      <c r="GY55" s="280"/>
      <c r="GZ55" s="280"/>
      <c r="HA55" s="280"/>
      <c r="HB55" s="280"/>
      <c r="HC55" s="280"/>
      <c r="HD55" s="280"/>
      <c r="HE55" s="280"/>
      <c r="HF55" s="280"/>
      <c r="HG55" s="280"/>
      <c r="HH55" s="280"/>
      <c r="HI55" s="280"/>
      <c r="HJ55" s="280"/>
      <c r="HK55" s="280"/>
      <c r="HL55" s="280"/>
      <c r="HM55" s="280"/>
      <c r="HN55" s="280"/>
      <c r="HO55" s="280"/>
      <c r="HP55" s="280"/>
      <c r="HQ55" s="280"/>
      <c r="HR55" s="280"/>
      <c r="HS55" s="280"/>
      <c r="HT55" s="280"/>
      <c r="HU55" s="280"/>
      <c r="HV55" s="280"/>
      <c r="HW55" s="280"/>
      <c r="HX55" s="280"/>
      <c r="HY55" s="280"/>
      <c r="HZ55" s="280"/>
      <c r="IA55" s="280"/>
      <c r="IB55" s="280"/>
      <c r="IC55" s="280"/>
      <c r="ID55" s="280"/>
      <c r="IE55" s="280"/>
      <c r="IF55" s="280"/>
      <c r="IG55" s="280"/>
      <c r="IH55" s="280"/>
      <c r="II55" s="280"/>
      <c r="IJ55" s="280"/>
      <c r="IK55" s="280"/>
      <c r="IL55" s="280"/>
      <c r="IM55" s="280"/>
      <c r="IN55" s="280"/>
      <c r="IO55" s="280"/>
      <c r="IP55" s="280"/>
      <c r="IQ55" s="280"/>
      <c r="IR55" s="280"/>
      <c r="IS55" s="280"/>
      <c r="IT55" s="280"/>
      <c r="IU55" s="280"/>
      <c r="IV55" s="280"/>
    </row>
    <row r="56" spans="1:256" ht="15">
      <c r="A56" s="297"/>
      <c r="B56" s="283" t="s">
        <v>166</v>
      </c>
      <c r="C56" s="284"/>
      <c r="D56" s="299">
        <f t="shared" si="11"/>
        <v>-0.284</v>
      </c>
      <c r="E56" s="294">
        <v>1.31</v>
      </c>
      <c r="F56" s="286">
        <f t="shared" si="10"/>
        <v>-1.216793893129771</v>
      </c>
      <c r="G56" s="285"/>
      <c r="H56" s="285"/>
      <c r="I56" s="286"/>
      <c r="J56" s="285"/>
      <c r="K56" s="285"/>
      <c r="L56" s="286"/>
      <c r="M56" s="280"/>
      <c r="N56" s="280"/>
      <c r="O56" s="280"/>
      <c r="P56" s="280"/>
      <c r="Q56" s="280"/>
      <c r="R56" s="280"/>
      <c r="S56" s="281"/>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c r="DM56" s="280"/>
      <c r="DN56" s="280"/>
      <c r="DO56" s="280"/>
      <c r="DP56" s="280"/>
      <c r="DQ56" s="280"/>
      <c r="DR56" s="280"/>
      <c r="DS56" s="280"/>
      <c r="DT56" s="280"/>
      <c r="DU56" s="280"/>
      <c r="DV56" s="280"/>
      <c r="DW56" s="280"/>
      <c r="DX56" s="280"/>
      <c r="DY56" s="280"/>
      <c r="DZ56" s="280"/>
      <c r="EA56" s="280"/>
      <c r="EB56" s="280"/>
      <c r="EC56" s="280"/>
      <c r="ED56" s="280"/>
      <c r="EE56" s="280"/>
      <c r="EF56" s="280"/>
      <c r="EG56" s="280"/>
      <c r="EH56" s="280"/>
      <c r="EI56" s="280"/>
      <c r="EJ56" s="280"/>
      <c r="EK56" s="280"/>
      <c r="EL56" s="280"/>
      <c r="EM56" s="280"/>
      <c r="EN56" s="280"/>
      <c r="EO56" s="280"/>
      <c r="EP56" s="280"/>
      <c r="EQ56" s="280"/>
      <c r="ER56" s="280"/>
      <c r="ES56" s="280"/>
      <c r="ET56" s="280"/>
      <c r="EU56" s="280"/>
      <c r="EV56" s="280"/>
      <c r="EW56" s="280"/>
      <c r="EX56" s="280"/>
      <c r="EY56" s="280"/>
      <c r="EZ56" s="280"/>
      <c r="FA56" s="280"/>
      <c r="FB56" s="280"/>
      <c r="FC56" s="280"/>
      <c r="FD56" s="280"/>
      <c r="FE56" s="280"/>
      <c r="FF56" s="280"/>
      <c r="FG56" s="280"/>
      <c r="FH56" s="280"/>
      <c r="FI56" s="280"/>
      <c r="FJ56" s="280"/>
      <c r="FK56" s="280"/>
      <c r="FL56" s="280"/>
      <c r="FM56" s="280"/>
      <c r="FN56" s="280"/>
      <c r="FO56" s="280"/>
      <c r="FP56" s="280"/>
      <c r="FQ56" s="280"/>
      <c r="FR56" s="280"/>
      <c r="FS56" s="280"/>
      <c r="FT56" s="280"/>
      <c r="FU56" s="280"/>
      <c r="FV56" s="280"/>
      <c r="FW56" s="280"/>
      <c r="FX56" s="280"/>
      <c r="FY56" s="280"/>
      <c r="FZ56" s="280"/>
      <c r="GA56" s="280"/>
      <c r="GB56" s="280"/>
      <c r="GC56" s="280"/>
      <c r="GD56" s="280"/>
      <c r="GE56" s="280"/>
      <c r="GF56" s="280"/>
      <c r="GG56" s="280"/>
      <c r="GH56" s="280"/>
      <c r="GI56" s="280"/>
      <c r="GJ56" s="280"/>
      <c r="GK56" s="280"/>
      <c r="GL56" s="280"/>
      <c r="GM56" s="280"/>
      <c r="GN56" s="280"/>
      <c r="GO56" s="280"/>
      <c r="GP56" s="280"/>
      <c r="GQ56" s="280"/>
      <c r="GR56" s="280"/>
      <c r="GS56" s="280"/>
      <c r="GT56" s="280"/>
      <c r="GU56" s="280"/>
      <c r="GV56" s="280"/>
      <c r="GW56" s="280"/>
      <c r="GX56" s="280"/>
      <c r="GY56" s="280"/>
      <c r="GZ56" s="280"/>
      <c r="HA56" s="280"/>
      <c r="HB56" s="280"/>
      <c r="HC56" s="280"/>
      <c r="HD56" s="280"/>
      <c r="HE56" s="280"/>
      <c r="HF56" s="280"/>
      <c r="HG56" s="280"/>
      <c r="HH56" s="280"/>
      <c r="HI56" s="280"/>
      <c r="HJ56" s="280"/>
      <c r="HK56" s="280"/>
      <c r="HL56" s="280"/>
      <c r="HM56" s="280"/>
      <c r="HN56" s="280"/>
      <c r="HO56" s="280"/>
      <c r="HP56" s="280"/>
      <c r="HQ56" s="280"/>
      <c r="HR56" s="280"/>
      <c r="HS56" s="280"/>
      <c r="HT56" s="280"/>
      <c r="HU56" s="280"/>
      <c r="HV56" s="280"/>
      <c r="HW56" s="280"/>
      <c r="HX56" s="280"/>
      <c r="HY56" s="280"/>
      <c r="HZ56" s="280"/>
      <c r="IA56" s="280"/>
      <c r="IB56" s="280"/>
      <c r="IC56" s="280"/>
      <c r="ID56" s="280"/>
      <c r="IE56" s="280"/>
      <c r="IF56" s="280"/>
      <c r="IG56" s="280"/>
      <c r="IH56" s="280"/>
      <c r="II56" s="280"/>
      <c r="IJ56" s="280"/>
      <c r="IK56" s="280"/>
      <c r="IL56" s="280"/>
      <c r="IM56" s="280"/>
      <c r="IN56" s="280"/>
      <c r="IO56" s="280"/>
      <c r="IP56" s="280"/>
      <c r="IQ56" s="280"/>
      <c r="IR56" s="280"/>
      <c r="IS56" s="280"/>
      <c r="IT56" s="280"/>
      <c r="IU56" s="280"/>
      <c r="IV56" s="280"/>
    </row>
    <row r="57" spans="1:256" ht="15">
      <c r="A57" s="297"/>
      <c r="B57" s="283" t="s">
        <v>167</v>
      </c>
      <c r="C57" s="284"/>
      <c r="D57" s="299">
        <f t="shared" si="11"/>
        <v>-0.345</v>
      </c>
      <c r="E57" s="294">
        <v>1.592</v>
      </c>
      <c r="F57" s="286">
        <f t="shared" si="10"/>
        <v>-1.2167085427135678</v>
      </c>
      <c r="G57" s="285"/>
      <c r="H57" s="285"/>
      <c r="I57" s="286"/>
      <c r="J57" s="285"/>
      <c r="K57" s="285"/>
      <c r="L57" s="286"/>
      <c r="M57" s="280"/>
      <c r="N57" s="280"/>
      <c r="O57" s="280"/>
      <c r="P57" s="280"/>
      <c r="Q57" s="280"/>
      <c r="R57" s="280"/>
      <c r="S57" s="281"/>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c r="DM57" s="280"/>
      <c r="DN57" s="280"/>
      <c r="DO57" s="280"/>
      <c r="DP57" s="280"/>
      <c r="DQ57" s="280"/>
      <c r="DR57" s="280"/>
      <c r="DS57" s="280"/>
      <c r="DT57" s="280"/>
      <c r="DU57" s="280"/>
      <c r="DV57" s="280"/>
      <c r="DW57" s="280"/>
      <c r="DX57" s="280"/>
      <c r="DY57" s="280"/>
      <c r="DZ57" s="280"/>
      <c r="EA57" s="280"/>
      <c r="EB57" s="280"/>
      <c r="EC57" s="280"/>
      <c r="ED57" s="280"/>
      <c r="EE57" s="280"/>
      <c r="EF57" s="280"/>
      <c r="EG57" s="280"/>
      <c r="EH57" s="280"/>
      <c r="EI57" s="280"/>
      <c r="EJ57" s="280"/>
      <c r="EK57" s="280"/>
      <c r="EL57" s="280"/>
      <c r="EM57" s="280"/>
      <c r="EN57" s="280"/>
      <c r="EO57" s="280"/>
      <c r="EP57" s="280"/>
      <c r="EQ57" s="280"/>
      <c r="ER57" s="280"/>
      <c r="ES57" s="280"/>
      <c r="ET57" s="280"/>
      <c r="EU57" s="280"/>
      <c r="EV57" s="280"/>
      <c r="EW57" s="280"/>
      <c r="EX57" s="280"/>
      <c r="EY57" s="280"/>
      <c r="EZ57" s="280"/>
      <c r="FA57" s="280"/>
      <c r="FB57" s="280"/>
      <c r="FC57" s="280"/>
      <c r="FD57" s="280"/>
      <c r="FE57" s="280"/>
      <c r="FF57" s="280"/>
      <c r="FG57" s="280"/>
      <c r="FH57" s="280"/>
      <c r="FI57" s="280"/>
      <c r="FJ57" s="280"/>
      <c r="FK57" s="280"/>
      <c r="FL57" s="280"/>
      <c r="FM57" s="280"/>
      <c r="FN57" s="280"/>
      <c r="FO57" s="280"/>
      <c r="FP57" s="280"/>
      <c r="FQ57" s="280"/>
      <c r="FR57" s="280"/>
      <c r="FS57" s="280"/>
      <c r="FT57" s="280"/>
      <c r="FU57" s="280"/>
      <c r="FV57" s="280"/>
      <c r="FW57" s="280"/>
      <c r="FX57" s="280"/>
      <c r="FY57" s="280"/>
      <c r="FZ57" s="280"/>
      <c r="GA57" s="280"/>
      <c r="GB57" s="280"/>
      <c r="GC57" s="280"/>
      <c r="GD57" s="280"/>
      <c r="GE57" s="280"/>
      <c r="GF57" s="280"/>
      <c r="GG57" s="280"/>
      <c r="GH57" s="280"/>
      <c r="GI57" s="280"/>
      <c r="GJ57" s="280"/>
      <c r="GK57" s="280"/>
      <c r="GL57" s="280"/>
      <c r="GM57" s="280"/>
      <c r="GN57" s="280"/>
      <c r="GO57" s="280"/>
      <c r="GP57" s="280"/>
      <c r="GQ57" s="280"/>
      <c r="GR57" s="280"/>
      <c r="GS57" s="280"/>
      <c r="GT57" s="280"/>
      <c r="GU57" s="280"/>
      <c r="GV57" s="280"/>
      <c r="GW57" s="280"/>
      <c r="GX57" s="280"/>
      <c r="GY57" s="280"/>
      <c r="GZ57" s="280"/>
      <c r="HA57" s="280"/>
      <c r="HB57" s="280"/>
      <c r="HC57" s="280"/>
      <c r="HD57" s="280"/>
      <c r="HE57" s="280"/>
      <c r="HF57" s="280"/>
      <c r="HG57" s="280"/>
      <c r="HH57" s="280"/>
      <c r="HI57" s="280"/>
      <c r="HJ57" s="280"/>
      <c r="HK57" s="280"/>
      <c r="HL57" s="280"/>
      <c r="HM57" s="280"/>
      <c r="HN57" s="280"/>
      <c r="HO57" s="280"/>
      <c r="HP57" s="280"/>
      <c r="HQ57" s="280"/>
      <c r="HR57" s="280"/>
      <c r="HS57" s="280"/>
      <c r="HT57" s="280"/>
      <c r="HU57" s="280"/>
      <c r="HV57" s="280"/>
      <c r="HW57" s="280"/>
      <c r="HX57" s="280"/>
      <c r="HY57" s="280"/>
      <c r="HZ57" s="280"/>
      <c r="IA57" s="280"/>
      <c r="IB57" s="280"/>
      <c r="IC57" s="280"/>
      <c r="ID57" s="280"/>
      <c r="IE57" s="280"/>
      <c r="IF57" s="280"/>
      <c r="IG57" s="280"/>
      <c r="IH57" s="280"/>
      <c r="II57" s="280"/>
      <c r="IJ57" s="280"/>
      <c r="IK57" s="280"/>
      <c r="IL57" s="280"/>
      <c r="IM57" s="280"/>
      <c r="IN57" s="280"/>
      <c r="IO57" s="280"/>
      <c r="IP57" s="280"/>
      <c r="IQ57" s="280"/>
      <c r="IR57" s="280"/>
      <c r="IS57" s="280"/>
      <c r="IT57" s="280"/>
      <c r="IU57" s="280"/>
      <c r="IV57" s="280"/>
    </row>
    <row r="58" spans="1:256" ht="15">
      <c r="A58" s="297"/>
      <c r="B58" s="283" t="s">
        <v>168</v>
      </c>
      <c r="C58" s="284"/>
      <c r="D58" s="299">
        <f t="shared" si="11"/>
        <v>-0.476</v>
      </c>
      <c r="E58" s="294">
        <v>2.196</v>
      </c>
      <c r="F58" s="286">
        <f t="shared" si="10"/>
        <v>-1.2167577413479052</v>
      </c>
      <c r="G58" s="285"/>
      <c r="H58" s="285"/>
      <c r="I58" s="286"/>
      <c r="J58" s="285"/>
      <c r="K58" s="285"/>
      <c r="L58" s="286"/>
      <c r="M58" s="280"/>
      <c r="N58" s="280"/>
      <c r="O58" s="280"/>
      <c r="P58" s="280"/>
      <c r="Q58" s="280"/>
      <c r="R58" s="280"/>
      <c r="S58" s="281"/>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c r="DM58" s="280"/>
      <c r="DN58" s="280"/>
      <c r="DO58" s="280"/>
      <c r="DP58" s="280"/>
      <c r="DQ58" s="280"/>
      <c r="DR58" s="280"/>
      <c r="DS58" s="280"/>
      <c r="DT58" s="280"/>
      <c r="DU58" s="280"/>
      <c r="DV58" s="280"/>
      <c r="DW58" s="280"/>
      <c r="DX58" s="280"/>
      <c r="DY58" s="280"/>
      <c r="DZ58" s="280"/>
      <c r="EA58" s="280"/>
      <c r="EB58" s="280"/>
      <c r="EC58" s="280"/>
      <c r="ED58" s="280"/>
      <c r="EE58" s="280"/>
      <c r="EF58" s="280"/>
      <c r="EG58" s="280"/>
      <c r="EH58" s="280"/>
      <c r="EI58" s="280"/>
      <c r="EJ58" s="280"/>
      <c r="EK58" s="280"/>
      <c r="EL58" s="280"/>
      <c r="EM58" s="280"/>
      <c r="EN58" s="280"/>
      <c r="EO58" s="280"/>
      <c r="EP58" s="280"/>
      <c r="EQ58" s="280"/>
      <c r="ER58" s="280"/>
      <c r="ES58" s="280"/>
      <c r="ET58" s="280"/>
      <c r="EU58" s="280"/>
      <c r="EV58" s="280"/>
      <c r="EW58" s="280"/>
      <c r="EX58" s="280"/>
      <c r="EY58" s="280"/>
      <c r="EZ58" s="280"/>
      <c r="FA58" s="280"/>
      <c r="FB58" s="280"/>
      <c r="FC58" s="280"/>
      <c r="FD58" s="280"/>
      <c r="FE58" s="280"/>
      <c r="FF58" s="280"/>
      <c r="FG58" s="280"/>
      <c r="FH58" s="280"/>
      <c r="FI58" s="280"/>
      <c r="FJ58" s="280"/>
      <c r="FK58" s="280"/>
      <c r="FL58" s="280"/>
      <c r="FM58" s="280"/>
      <c r="FN58" s="280"/>
      <c r="FO58" s="280"/>
      <c r="FP58" s="280"/>
      <c r="FQ58" s="280"/>
      <c r="FR58" s="280"/>
      <c r="FS58" s="280"/>
      <c r="FT58" s="280"/>
      <c r="FU58" s="280"/>
      <c r="FV58" s="280"/>
      <c r="FW58" s="280"/>
      <c r="FX58" s="280"/>
      <c r="FY58" s="280"/>
      <c r="FZ58" s="280"/>
      <c r="GA58" s="280"/>
      <c r="GB58" s="280"/>
      <c r="GC58" s="280"/>
      <c r="GD58" s="280"/>
      <c r="GE58" s="280"/>
      <c r="GF58" s="280"/>
      <c r="GG58" s="280"/>
      <c r="GH58" s="280"/>
      <c r="GI58" s="280"/>
      <c r="GJ58" s="280"/>
      <c r="GK58" s="280"/>
      <c r="GL58" s="280"/>
      <c r="GM58" s="280"/>
      <c r="GN58" s="280"/>
      <c r="GO58" s="280"/>
      <c r="GP58" s="280"/>
      <c r="GQ58" s="280"/>
      <c r="GR58" s="280"/>
      <c r="GS58" s="280"/>
      <c r="GT58" s="280"/>
      <c r="GU58" s="280"/>
      <c r="GV58" s="280"/>
      <c r="GW58" s="280"/>
      <c r="GX58" s="280"/>
      <c r="GY58" s="280"/>
      <c r="GZ58" s="280"/>
      <c r="HA58" s="280"/>
      <c r="HB58" s="280"/>
      <c r="HC58" s="280"/>
      <c r="HD58" s="280"/>
      <c r="HE58" s="280"/>
      <c r="HF58" s="280"/>
      <c r="HG58" s="280"/>
      <c r="HH58" s="280"/>
      <c r="HI58" s="280"/>
      <c r="HJ58" s="280"/>
      <c r="HK58" s="280"/>
      <c r="HL58" s="280"/>
      <c r="HM58" s="280"/>
      <c r="HN58" s="280"/>
      <c r="HO58" s="280"/>
      <c r="HP58" s="280"/>
      <c r="HQ58" s="280"/>
      <c r="HR58" s="280"/>
      <c r="HS58" s="280"/>
      <c r="HT58" s="280"/>
      <c r="HU58" s="280"/>
      <c r="HV58" s="280"/>
      <c r="HW58" s="280"/>
      <c r="HX58" s="280"/>
      <c r="HY58" s="280"/>
      <c r="HZ58" s="280"/>
      <c r="IA58" s="280"/>
      <c r="IB58" s="280"/>
      <c r="IC58" s="280"/>
      <c r="ID58" s="280"/>
      <c r="IE58" s="280"/>
      <c r="IF58" s="280"/>
      <c r="IG58" s="280"/>
      <c r="IH58" s="280"/>
      <c r="II58" s="280"/>
      <c r="IJ58" s="280"/>
      <c r="IK58" s="280"/>
      <c r="IL58" s="280"/>
      <c r="IM58" s="280"/>
      <c r="IN58" s="280"/>
      <c r="IO58" s="280"/>
      <c r="IP58" s="280"/>
      <c r="IQ58" s="280"/>
      <c r="IR58" s="280"/>
      <c r="IS58" s="280"/>
      <c r="IT58" s="280"/>
      <c r="IU58" s="280"/>
      <c r="IV58" s="280"/>
    </row>
    <row r="59" spans="1:256" ht="15">
      <c r="A59" s="297"/>
      <c r="B59" s="283" t="s">
        <v>169</v>
      </c>
      <c r="C59" s="284"/>
      <c r="D59" s="299">
        <f t="shared" si="11"/>
        <v>-0.555</v>
      </c>
      <c r="E59" s="294">
        <v>2.559</v>
      </c>
      <c r="F59" s="286">
        <f t="shared" si="10"/>
        <v>-1.216881594372802</v>
      </c>
      <c r="G59" s="285"/>
      <c r="H59" s="285"/>
      <c r="I59" s="286"/>
      <c r="J59" s="285"/>
      <c r="K59" s="285"/>
      <c r="L59" s="286"/>
      <c r="M59" s="280"/>
      <c r="N59" s="280"/>
      <c r="O59" s="280"/>
      <c r="P59" s="280"/>
      <c r="Q59" s="280"/>
      <c r="R59" s="280"/>
      <c r="S59" s="281"/>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c r="DM59" s="280"/>
      <c r="DN59" s="280"/>
      <c r="DO59" s="280"/>
      <c r="DP59" s="280"/>
      <c r="DQ59" s="280"/>
      <c r="DR59" s="280"/>
      <c r="DS59" s="280"/>
      <c r="DT59" s="280"/>
      <c r="DU59" s="280"/>
      <c r="DV59" s="280"/>
      <c r="DW59" s="280"/>
      <c r="DX59" s="280"/>
      <c r="DY59" s="280"/>
      <c r="DZ59" s="280"/>
      <c r="EA59" s="280"/>
      <c r="EB59" s="280"/>
      <c r="EC59" s="280"/>
      <c r="ED59" s="280"/>
      <c r="EE59" s="280"/>
      <c r="EF59" s="280"/>
      <c r="EG59" s="280"/>
      <c r="EH59" s="280"/>
      <c r="EI59" s="280"/>
      <c r="EJ59" s="280"/>
      <c r="EK59" s="280"/>
      <c r="EL59" s="280"/>
      <c r="EM59" s="280"/>
      <c r="EN59" s="280"/>
      <c r="EO59" s="280"/>
      <c r="EP59" s="280"/>
      <c r="EQ59" s="280"/>
      <c r="ER59" s="280"/>
      <c r="ES59" s="280"/>
      <c r="ET59" s="280"/>
      <c r="EU59" s="280"/>
      <c r="EV59" s="280"/>
      <c r="EW59" s="280"/>
      <c r="EX59" s="280"/>
      <c r="EY59" s="280"/>
      <c r="EZ59" s="280"/>
      <c r="FA59" s="280"/>
      <c r="FB59" s="280"/>
      <c r="FC59" s="280"/>
      <c r="FD59" s="280"/>
      <c r="FE59" s="280"/>
      <c r="FF59" s="280"/>
      <c r="FG59" s="280"/>
      <c r="FH59" s="280"/>
      <c r="FI59" s="280"/>
      <c r="FJ59" s="280"/>
      <c r="FK59" s="280"/>
      <c r="FL59" s="280"/>
      <c r="FM59" s="280"/>
      <c r="FN59" s="280"/>
      <c r="FO59" s="280"/>
      <c r="FP59" s="280"/>
      <c r="FQ59" s="280"/>
      <c r="FR59" s="280"/>
      <c r="FS59" s="280"/>
      <c r="FT59" s="280"/>
      <c r="FU59" s="280"/>
      <c r="FV59" s="280"/>
      <c r="FW59" s="280"/>
      <c r="FX59" s="280"/>
      <c r="FY59" s="280"/>
      <c r="FZ59" s="280"/>
      <c r="GA59" s="280"/>
      <c r="GB59" s="280"/>
      <c r="GC59" s="280"/>
      <c r="GD59" s="280"/>
      <c r="GE59" s="280"/>
      <c r="GF59" s="280"/>
      <c r="GG59" s="280"/>
      <c r="GH59" s="280"/>
      <c r="GI59" s="280"/>
      <c r="GJ59" s="280"/>
      <c r="GK59" s="280"/>
      <c r="GL59" s="280"/>
      <c r="GM59" s="280"/>
      <c r="GN59" s="280"/>
      <c r="GO59" s="280"/>
      <c r="GP59" s="280"/>
      <c r="GQ59" s="280"/>
      <c r="GR59" s="280"/>
      <c r="GS59" s="280"/>
      <c r="GT59" s="280"/>
      <c r="GU59" s="280"/>
      <c r="GV59" s="280"/>
      <c r="GW59" s="280"/>
      <c r="GX59" s="280"/>
      <c r="GY59" s="280"/>
      <c r="GZ59" s="280"/>
      <c r="HA59" s="280"/>
      <c r="HB59" s="280"/>
      <c r="HC59" s="280"/>
      <c r="HD59" s="280"/>
      <c r="HE59" s="280"/>
      <c r="HF59" s="280"/>
      <c r="HG59" s="280"/>
      <c r="HH59" s="280"/>
      <c r="HI59" s="280"/>
      <c r="HJ59" s="280"/>
      <c r="HK59" s="280"/>
      <c r="HL59" s="280"/>
      <c r="HM59" s="280"/>
      <c r="HN59" s="280"/>
      <c r="HO59" s="280"/>
      <c r="HP59" s="280"/>
      <c r="HQ59" s="280"/>
      <c r="HR59" s="280"/>
      <c r="HS59" s="280"/>
      <c r="HT59" s="280"/>
      <c r="HU59" s="280"/>
      <c r="HV59" s="280"/>
      <c r="HW59" s="280"/>
      <c r="HX59" s="280"/>
      <c r="HY59" s="280"/>
      <c r="HZ59" s="280"/>
      <c r="IA59" s="280"/>
      <c r="IB59" s="280"/>
      <c r="IC59" s="280"/>
      <c r="ID59" s="280"/>
      <c r="IE59" s="280"/>
      <c r="IF59" s="280"/>
      <c r="IG59" s="280"/>
      <c r="IH59" s="280"/>
      <c r="II59" s="280"/>
      <c r="IJ59" s="280"/>
      <c r="IK59" s="280"/>
      <c r="IL59" s="280"/>
      <c r="IM59" s="280"/>
      <c r="IN59" s="280"/>
      <c r="IO59" s="280"/>
      <c r="IP59" s="280"/>
      <c r="IQ59" s="280"/>
      <c r="IR59" s="280"/>
      <c r="IS59" s="280"/>
      <c r="IT59" s="280"/>
      <c r="IU59" s="280"/>
      <c r="IV59" s="280"/>
    </row>
    <row r="60" spans="1:256" ht="15">
      <c r="A60" s="297"/>
      <c r="B60" s="283" t="s">
        <v>170</v>
      </c>
      <c r="C60" s="284"/>
      <c r="D60" s="299">
        <f t="shared" si="11"/>
        <v>-0.629</v>
      </c>
      <c r="E60" s="294">
        <v>2.901</v>
      </c>
      <c r="F60" s="286">
        <f t="shared" si="10"/>
        <v>-1.2168217855911756</v>
      </c>
      <c r="G60" s="285"/>
      <c r="H60" s="285"/>
      <c r="I60" s="286"/>
      <c r="J60" s="285"/>
      <c r="K60" s="285"/>
      <c r="L60" s="286"/>
      <c r="M60" s="280"/>
      <c r="N60" s="280"/>
      <c r="O60" s="280"/>
      <c r="P60" s="280"/>
      <c r="Q60" s="280"/>
      <c r="R60" s="280"/>
      <c r="S60" s="281"/>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c r="DM60" s="280"/>
      <c r="DN60" s="280"/>
      <c r="DO60" s="280"/>
      <c r="DP60" s="280"/>
      <c r="DQ60" s="280"/>
      <c r="DR60" s="280"/>
      <c r="DS60" s="280"/>
      <c r="DT60" s="280"/>
      <c r="DU60" s="280"/>
      <c r="DV60" s="280"/>
      <c r="DW60" s="280"/>
      <c r="DX60" s="280"/>
      <c r="DY60" s="280"/>
      <c r="DZ60" s="280"/>
      <c r="EA60" s="280"/>
      <c r="EB60" s="280"/>
      <c r="EC60" s="280"/>
      <c r="ED60" s="280"/>
      <c r="EE60" s="280"/>
      <c r="EF60" s="280"/>
      <c r="EG60" s="280"/>
      <c r="EH60" s="280"/>
      <c r="EI60" s="280"/>
      <c r="EJ60" s="280"/>
      <c r="EK60" s="280"/>
      <c r="EL60" s="280"/>
      <c r="EM60" s="280"/>
      <c r="EN60" s="280"/>
      <c r="EO60" s="280"/>
      <c r="EP60" s="280"/>
      <c r="EQ60" s="280"/>
      <c r="ER60" s="280"/>
      <c r="ES60" s="280"/>
      <c r="ET60" s="280"/>
      <c r="EU60" s="280"/>
      <c r="EV60" s="280"/>
      <c r="EW60" s="280"/>
      <c r="EX60" s="280"/>
      <c r="EY60" s="280"/>
      <c r="EZ60" s="280"/>
      <c r="FA60" s="280"/>
      <c r="FB60" s="280"/>
      <c r="FC60" s="280"/>
      <c r="FD60" s="280"/>
      <c r="FE60" s="280"/>
      <c r="FF60" s="280"/>
      <c r="FG60" s="280"/>
      <c r="FH60" s="280"/>
      <c r="FI60" s="280"/>
      <c r="FJ60" s="280"/>
      <c r="FK60" s="280"/>
      <c r="FL60" s="280"/>
      <c r="FM60" s="280"/>
      <c r="FN60" s="280"/>
      <c r="FO60" s="280"/>
      <c r="FP60" s="280"/>
      <c r="FQ60" s="280"/>
      <c r="FR60" s="280"/>
      <c r="FS60" s="280"/>
      <c r="FT60" s="280"/>
      <c r="FU60" s="280"/>
      <c r="FV60" s="280"/>
      <c r="FW60" s="280"/>
      <c r="FX60" s="280"/>
      <c r="FY60" s="280"/>
      <c r="FZ60" s="280"/>
      <c r="GA60" s="280"/>
      <c r="GB60" s="280"/>
      <c r="GC60" s="280"/>
      <c r="GD60" s="280"/>
      <c r="GE60" s="280"/>
      <c r="GF60" s="280"/>
      <c r="GG60" s="280"/>
      <c r="GH60" s="280"/>
      <c r="GI60" s="280"/>
      <c r="GJ60" s="280"/>
      <c r="GK60" s="280"/>
      <c r="GL60" s="280"/>
      <c r="GM60" s="280"/>
      <c r="GN60" s="280"/>
      <c r="GO60" s="280"/>
      <c r="GP60" s="280"/>
      <c r="GQ60" s="280"/>
      <c r="GR60" s="280"/>
      <c r="GS60" s="280"/>
      <c r="GT60" s="280"/>
      <c r="GU60" s="280"/>
      <c r="GV60" s="280"/>
      <c r="GW60" s="280"/>
      <c r="GX60" s="280"/>
      <c r="GY60" s="280"/>
      <c r="GZ60" s="280"/>
      <c r="HA60" s="280"/>
      <c r="HB60" s="280"/>
      <c r="HC60" s="280"/>
      <c r="HD60" s="280"/>
      <c r="HE60" s="280"/>
      <c r="HF60" s="280"/>
      <c r="HG60" s="280"/>
      <c r="HH60" s="280"/>
      <c r="HI60" s="280"/>
      <c r="HJ60" s="280"/>
      <c r="HK60" s="280"/>
      <c r="HL60" s="280"/>
      <c r="HM60" s="280"/>
      <c r="HN60" s="280"/>
      <c r="HO60" s="280"/>
      <c r="HP60" s="280"/>
      <c r="HQ60" s="280"/>
      <c r="HR60" s="280"/>
      <c r="HS60" s="280"/>
      <c r="HT60" s="280"/>
      <c r="HU60" s="280"/>
      <c r="HV60" s="280"/>
      <c r="HW60" s="280"/>
      <c r="HX60" s="280"/>
      <c r="HY60" s="280"/>
      <c r="HZ60" s="280"/>
      <c r="IA60" s="280"/>
      <c r="IB60" s="280"/>
      <c r="IC60" s="280"/>
      <c r="ID60" s="280"/>
      <c r="IE60" s="280"/>
      <c r="IF60" s="280"/>
      <c r="IG60" s="280"/>
      <c r="IH60" s="280"/>
      <c r="II60" s="280"/>
      <c r="IJ60" s="280"/>
      <c r="IK60" s="280"/>
      <c r="IL60" s="280"/>
      <c r="IM60" s="280"/>
      <c r="IN60" s="280"/>
      <c r="IO60" s="280"/>
      <c r="IP60" s="280"/>
      <c r="IQ60" s="280"/>
      <c r="IR60" s="280"/>
      <c r="IS60" s="280"/>
      <c r="IT60" s="280"/>
      <c r="IU60" s="280"/>
      <c r="IV60" s="280"/>
    </row>
    <row r="61" spans="1:256" ht="15">
      <c r="A61" s="297"/>
      <c r="B61" s="283" t="s">
        <v>171</v>
      </c>
      <c r="C61" s="284"/>
      <c r="D61" s="299">
        <f t="shared" si="11"/>
        <v>-0.717</v>
      </c>
      <c r="E61" s="294">
        <v>3.304</v>
      </c>
      <c r="F61" s="286">
        <f t="shared" si="10"/>
        <v>-1.2170096852300243</v>
      </c>
      <c r="G61" s="285"/>
      <c r="H61" s="285"/>
      <c r="I61" s="286"/>
      <c r="J61" s="285"/>
      <c r="K61" s="285"/>
      <c r="L61" s="286"/>
      <c r="M61" s="280"/>
      <c r="N61" s="280"/>
      <c r="O61" s="280"/>
      <c r="P61" s="280"/>
      <c r="Q61" s="280"/>
      <c r="R61" s="280"/>
      <c r="S61" s="281"/>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c r="DM61" s="280"/>
      <c r="DN61" s="280"/>
      <c r="DO61" s="280"/>
      <c r="DP61" s="280"/>
      <c r="DQ61" s="280"/>
      <c r="DR61" s="280"/>
      <c r="DS61" s="280"/>
      <c r="DT61" s="280"/>
      <c r="DU61" s="280"/>
      <c r="DV61" s="280"/>
      <c r="DW61" s="280"/>
      <c r="DX61" s="280"/>
      <c r="DY61" s="280"/>
      <c r="DZ61" s="280"/>
      <c r="EA61" s="280"/>
      <c r="EB61" s="280"/>
      <c r="EC61" s="280"/>
      <c r="ED61" s="280"/>
      <c r="EE61" s="280"/>
      <c r="EF61" s="280"/>
      <c r="EG61" s="280"/>
      <c r="EH61" s="280"/>
      <c r="EI61" s="280"/>
      <c r="EJ61" s="280"/>
      <c r="EK61" s="280"/>
      <c r="EL61" s="280"/>
      <c r="EM61" s="280"/>
      <c r="EN61" s="280"/>
      <c r="EO61" s="280"/>
      <c r="EP61" s="280"/>
      <c r="EQ61" s="280"/>
      <c r="ER61" s="280"/>
      <c r="ES61" s="280"/>
      <c r="ET61" s="280"/>
      <c r="EU61" s="280"/>
      <c r="EV61" s="280"/>
      <c r="EW61" s="280"/>
      <c r="EX61" s="280"/>
      <c r="EY61" s="280"/>
      <c r="EZ61" s="280"/>
      <c r="FA61" s="280"/>
      <c r="FB61" s="280"/>
      <c r="FC61" s="280"/>
      <c r="FD61" s="280"/>
      <c r="FE61" s="280"/>
      <c r="FF61" s="280"/>
      <c r="FG61" s="280"/>
      <c r="FH61" s="280"/>
      <c r="FI61" s="280"/>
      <c r="FJ61" s="280"/>
      <c r="FK61" s="280"/>
      <c r="FL61" s="280"/>
      <c r="FM61" s="280"/>
      <c r="FN61" s="280"/>
      <c r="FO61" s="280"/>
      <c r="FP61" s="280"/>
      <c r="FQ61" s="280"/>
      <c r="FR61" s="280"/>
      <c r="FS61" s="280"/>
      <c r="FT61" s="280"/>
      <c r="FU61" s="280"/>
      <c r="FV61" s="280"/>
      <c r="FW61" s="280"/>
      <c r="FX61" s="280"/>
      <c r="FY61" s="280"/>
      <c r="FZ61" s="280"/>
      <c r="GA61" s="280"/>
      <c r="GB61" s="280"/>
      <c r="GC61" s="280"/>
      <c r="GD61" s="280"/>
      <c r="GE61" s="280"/>
      <c r="GF61" s="280"/>
      <c r="GG61" s="280"/>
      <c r="GH61" s="280"/>
      <c r="GI61" s="280"/>
      <c r="GJ61" s="280"/>
      <c r="GK61" s="280"/>
      <c r="GL61" s="280"/>
      <c r="GM61" s="280"/>
      <c r="GN61" s="280"/>
      <c r="GO61" s="280"/>
      <c r="GP61" s="280"/>
      <c r="GQ61" s="280"/>
      <c r="GR61" s="280"/>
      <c r="GS61" s="280"/>
      <c r="GT61" s="280"/>
      <c r="GU61" s="280"/>
      <c r="GV61" s="280"/>
      <c r="GW61" s="280"/>
      <c r="GX61" s="280"/>
      <c r="GY61" s="280"/>
      <c r="GZ61" s="280"/>
      <c r="HA61" s="280"/>
      <c r="HB61" s="280"/>
      <c r="HC61" s="280"/>
      <c r="HD61" s="280"/>
      <c r="HE61" s="280"/>
      <c r="HF61" s="280"/>
      <c r="HG61" s="280"/>
      <c r="HH61" s="280"/>
      <c r="HI61" s="280"/>
      <c r="HJ61" s="280"/>
      <c r="HK61" s="280"/>
      <c r="HL61" s="280"/>
      <c r="HM61" s="280"/>
      <c r="HN61" s="280"/>
      <c r="HO61" s="280"/>
      <c r="HP61" s="280"/>
      <c r="HQ61" s="280"/>
      <c r="HR61" s="280"/>
      <c r="HS61" s="280"/>
      <c r="HT61" s="280"/>
      <c r="HU61" s="280"/>
      <c r="HV61" s="280"/>
      <c r="HW61" s="280"/>
      <c r="HX61" s="280"/>
      <c r="HY61" s="280"/>
      <c r="HZ61" s="280"/>
      <c r="IA61" s="280"/>
      <c r="IB61" s="280"/>
      <c r="IC61" s="280"/>
      <c r="ID61" s="280"/>
      <c r="IE61" s="280"/>
      <c r="IF61" s="280"/>
      <c r="IG61" s="280"/>
      <c r="IH61" s="280"/>
      <c r="II61" s="280"/>
      <c r="IJ61" s="280"/>
      <c r="IK61" s="280"/>
      <c r="IL61" s="280"/>
      <c r="IM61" s="280"/>
      <c r="IN61" s="280"/>
      <c r="IO61" s="280"/>
      <c r="IP61" s="280"/>
      <c r="IQ61" s="280"/>
      <c r="IR61" s="280"/>
      <c r="IS61" s="280"/>
      <c r="IT61" s="280"/>
      <c r="IU61" s="280"/>
      <c r="IV61" s="280"/>
    </row>
    <row r="62" spans="1:256" ht="15.75" thickBot="1">
      <c r="A62" s="302"/>
      <c r="B62" s="303"/>
      <c r="C62" s="304"/>
      <c r="D62" s="305"/>
      <c r="E62" s="306"/>
      <c r="F62" s="305"/>
      <c r="G62" s="307"/>
      <c r="H62" s="307"/>
      <c r="I62" s="308"/>
      <c r="J62" s="307"/>
      <c r="K62" s="307"/>
      <c r="L62" s="308"/>
      <c r="M62" s="280"/>
      <c r="N62" s="280"/>
      <c r="O62" s="280"/>
      <c r="P62" s="280"/>
      <c r="Q62" s="280"/>
      <c r="R62" s="280"/>
      <c r="S62" s="281"/>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c r="DM62" s="280"/>
      <c r="DN62" s="280"/>
      <c r="DO62" s="280"/>
      <c r="DP62" s="280"/>
      <c r="DQ62" s="280"/>
      <c r="DR62" s="280"/>
      <c r="DS62" s="280"/>
      <c r="DT62" s="280"/>
      <c r="DU62" s="280"/>
      <c r="DV62" s="280"/>
      <c r="DW62" s="280"/>
      <c r="DX62" s="280"/>
      <c r="DY62" s="280"/>
      <c r="DZ62" s="280"/>
      <c r="EA62" s="280"/>
      <c r="EB62" s="280"/>
      <c r="EC62" s="280"/>
      <c r="ED62" s="280"/>
      <c r="EE62" s="280"/>
      <c r="EF62" s="280"/>
      <c r="EG62" s="280"/>
      <c r="EH62" s="280"/>
      <c r="EI62" s="280"/>
      <c r="EJ62" s="280"/>
      <c r="EK62" s="280"/>
      <c r="EL62" s="280"/>
      <c r="EM62" s="280"/>
      <c r="EN62" s="280"/>
      <c r="EO62" s="280"/>
      <c r="EP62" s="280"/>
      <c r="EQ62" s="280"/>
      <c r="ER62" s="280"/>
      <c r="ES62" s="280"/>
      <c r="ET62" s="280"/>
      <c r="EU62" s="280"/>
      <c r="EV62" s="280"/>
      <c r="EW62" s="280"/>
      <c r="EX62" s="280"/>
      <c r="EY62" s="280"/>
      <c r="EZ62" s="280"/>
      <c r="FA62" s="280"/>
      <c r="FB62" s="280"/>
      <c r="FC62" s="280"/>
      <c r="FD62" s="280"/>
      <c r="FE62" s="280"/>
      <c r="FF62" s="280"/>
      <c r="FG62" s="280"/>
      <c r="FH62" s="280"/>
      <c r="FI62" s="280"/>
      <c r="FJ62" s="280"/>
      <c r="FK62" s="280"/>
      <c r="FL62" s="280"/>
      <c r="FM62" s="280"/>
      <c r="FN62" s="280"/>
      <c r="FO62" s="280"/>
      <c r="FP62" s="280"/>
      <c r="FQ62" s="280"/>
      <c r="FR62" s="280"/>
      <c r="FS62" s="280"/>
      <c r="FT62" s="280"/>
      <c r="FU62" s="280"/>
      <c r="FV62" s="280"/>
      <c r="FW62" s="280"/>
      <c r="FX62" s="280"/>
      <c r="FY62" s="280"/>
      <c r="FZ62" s="280"/>
      <c r="GA62" s="280"/>
      <c r="GB62" s="280"/>
      <c r="GC62" s="280"/>
      <c r="GD62" s="280"/>
      <c r="GE62" s="280"/>
      <c r="GF62" s="280"/>
      <c r="GG62" s="280"/>
      <c r="GH62" s="280"/>
      <c r="GI62" s="280"/>
      <c r="GJ62" s="280"/>
      <c r="GK62" s="280"/>
      <c r="GL62" s="280"/>
      <c r="GM62" s="280"/>
      <c r="GN62" s="280"/>
      <c r="GO62" s="280"/>
      <c r="GP62" s="280"/>
      <c r="GQ62" s="280"/>
      <c r="GR62" s="280"/>
      <c r="GS62" s="280"/>
      <c r="GT62" s="280"/>
      <c r="GU62" s="280"/>
      <c r="GV62" s="280"/>
      <c r="GW62" s="280"/>
      <c r="GX62" s="280"/>
      <c r="GY62" s="280"/>
      <c r="GZ62" s="280"/>
      <c r="HA62" s="280"/>
      <c r="HB62" s="280"/>
      <c r="HC62" s="280"/>
      <c r="HD62" s="280"/>
      <c r="HE62" s="280"/>
      <c r="HF62" s="280"/>
      <c r="HG62" s="280"/>
      <c r="HH62" s="280"/>
      <c r="HI62" s="280"/>
      <c r="HJ62" s="280"/>
      <c r="HK62" s="280"/>
      <c r="HL62" s="280"/>
      <c r="HM62" s="280"/>
      <c r="HN62" s="280"/>
      <c r="HO62" s="280"/>
      <c r="HP62" s="280"/>
      <c r="HQ62" s="280"/>
      <c r="HR62" s="280"/>
      <c r="HS62" s="280"/>
      <c r="HT62" s="280"/>
      <c r="HU62" s="280"/>
      <c r="HV62" s="280"/>
      <c r="HW62" s="280"/>
      <c r="HX62" s="280"/>
      <c r="HY62" s="280"/>
      <c r="HZ62" s="280"/>
      <c r="IA62" s="280"/>
      <c r="IB62" s="280"/>
      <c r="IC62" s="280"/>
      <c r="ID62" s="280"/>
      <c r="IE62" s="280"/>
      <c r="IF62" s="280"/>
      <c r="IG62" s="280"/>
      <c r="IH62" s="280"/>
      <c r="II62" s="280"/>
      <c r="IJ62" s="280"/>
      <c r="IK62" s="280"/>
      <c r="IL62" s="280"/>
      <c r="IM62" s="280"/>
      <c r="IN62" s="280"/>
      <c r="IO62" s="280"/>
      <c r="IP62" s="280"/>
      <c r="IQ62" s="280"/>
      <c r="IR62" s="280"/>
      <c r="IS62" s="280"/>
      <c r="IT62" s="280"/>
      <c r="IU62" s="280"/>
      <c r="IV62" s="280"/>
    </row>
    <row r="63" spans="1:256" ht="15">
      <c r="A63" s="280"/>
      <c r="B63" s="280"/>
      <c r="C63" s="280"/>
      <c r="D63" s="280"/>
      <c r="E63" s="309"/>
      <c r="F63" s="280"/>
      <c r="G63" s="280"/>
      <c r="H63" s="309"/>
      <c r="I63" s="280"/>
      <c r="J63" s="280"/>
      <c r="K63" s="280"/>
      <c r="L63" s="296"/>
      <c r="M63" s="280"/>
      <c r="N63" s="280"/>
      <c r="O63" s="280"/>
      <c r="P63" s="280"/>
      <c r="Q63" s="280"/>
      <c r="R63" s="280"/>
      <c r="S63" s="281"/>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c r="DM63" s="280"/>
      <c r="DN63" s="280"/>
      <c r="DO63" s="280"/>
      <c r="DP63" s="280"/>
      <c r="DQ63" s="280"/>
      <c r="DR63" s="280"/>
      <c r="DS63" s="280"/>
      <c r="DT63" s="280"/>
      <c r="DU63" s="280"/>
      <c r="DV63" s="280"/>
      <c r="DW63" s="280"/>
      <c r="DX63" s="280"/>
      <c r="DY63" s="280"/>
      <c r="DZ63" s="280"/>
      <c r="EA63" s="280"/>
      <c r="EB63" s="280"/>
      <c r="EC63" s="280"/>
      <c r="ED63" s="280"/>
      <c r="EE63" s="280"/>
      <c r="EF63" s="280"/>
      <c r="EG63" s="280"/>
      <c r="EH63" s="280"/>
      <c r="EI63" s="280"/>
      <c r="EJ63" s="280"/>
      <c r="EK63" s="280"/>
      <c r="EL63" s="280"/>
      <c r="EM63" s="280"/>
      <c r="EN63" s="280"/>
      <c r="EO63" s="280"/>
      <c r="EP63" s="280"/>
      <c r="EQ63" s="280"/>
      <c r="ER63" s="280"/>
      <c r="ES63" s="280"/>
      <c r="ET63" s="280"/>
      <c r="EU63" s="280"/>
      <c r="EV63" s="280"/>
      <c r="EW63" s="280"/>
      <c r="EX63" s="280"/>
      <c r="EY63" s="280"/>
      <c r="EZ63" s="280"/>
      <c r="FA63" s="280"/>
      <c r="FB63" s="280"/>
      <c r="FC63" s="280"/>
      <c r="FD63" s="280"/>
      <c r="FE63" s="280"/>
      <c r="FF63" s="280"/>
      <c r="FG63" s="280"/>
      <c r="FH63" s="280"/>
      <c r="FI63" s="280"/>
      <c r="FJ63" s="280"/>
      <c r="FK63" s="280"/>
      <c r="FL63" s="280"/>
      <c r="FM63" s="280"/>
      <c r="FN63" s="280"/>
      <c r="FO63" s="280"/>
      <c r="FP63" s="280"/>
      <c r="FQ63" s="280"/>
      <c r="FR63" s="280"/>
      <c r="FS63" s="280"/>
      <c r="FT63" s="280"/>
      <c r="FU63" s="280"/>
      <c r="FV63" s="280"/>
      <c r="FW63" s="280"/>
      <c r="FX63" s="280"/>
      <c r="FY63" s="280"/>
      <c r="FZ63" s="280"/>
      <c r="GA63" s="280"/>
      <c r="GB63" s="280"/>
      <c r="GC63" s="280"/>
      <c r="GD63" s="280"/>
      <c r="GE63" s="280"/>
      <c r="GF63" s="280"/>
      <c r="GG63" s="280"/>
      <c r="GH63" s="280"/>
      <c r="GI63" s="280"/>
      <c r="GJ63" s="280"/>
      <c r="GK63" s="280"/>
      <c r="GL63" s="280"/>
      <c r="GM63" s="280"/>
      <c r="GN63" s="280"/>
      <c r="GO63" s="280"/>
      <c r="GP63" s="280"/>
      <c r="GQ63" s="280"/>
      <c r="GR63" s="280"/>
      <c r="GS63" s="280"/>
      <c r="GT63" s="280"/>
      <c r="GU63" s="280"/>
      <c r="GV63" s="280"/>
      <c r="GW63" s="280"/>
      <c r="GX63" s="280"/>
      <c r="GY63" s="280"/>
      <c r="GZ63" s="280"/>
      <c r="HA63" s="280"/>
      <c r="HB63" s="280"/>
      <c r="HC63" s="280"/>
      <c r="HD63" s="280"/>
      <c r="HE63" s="280"/>
      <c r="HF63" s="280"/>
      <c r="HG63" s="280"/>
      <c r="HH63" s="280"/>
      <c r="HI63" s="280"/>
      <c r="HJ63" s="280"/>
      <c r="HK63" s="280"/>
      <c r="HL63" s="280"/>
      <c r="HM63" s="280"/>
      <c r="HN63" s="280"/>
      <c r="HO63" s="280"/>
      <c r="HP63" s="280"/>
      <c r="HQ63" s="280"/>
      <c r="HR63" s="280"/>
      <c r="HS63" s="280"/>
      <c r="HT63" s="280"/>
      <c r="HU63" s="280"/>
      <c r="HV63" s="280"/>
      <c r="HW63" s="280"/>
      <c r="HX63" s="280"/>
      <c r="HY63" s="280"/>
      <c r="HZ63" s="280"/>
      <c r="IA63" s="280"/>
      <c r="IB63" s="280"/>
      <c r="IC63" s="280"/>
      <c r="ID63" s="280"/>
      <c r="IE63" s="280"/>
      <c r="IF63" s="280"/>
      <c r="IG63" s="280"/>
      <c r="IH63" s="280"/>
      <c r="II63" s="280"/>
      <c r="IJ63" s="280"/>
      <c r="IK63" s="280"/>
      <c r="IL63" s="280"/>
      <c r="IM63" s="280"/>
      <c r="IN63" s="280"/>
      <c r="IO63" s="280"/>
      <c r="IP63" s="280"/>
      <c r="IQ63" s="280"/>
      <c r="IR63" s="280"/>
      <c r="IS63" s="280"/>
      <c r="IT63" s="280"/>
      <c r="IU63" s="280"/>
      <c r="IV63" s="280"/>
    </row>
    <row r="64" spans="1:256" ht="15.75">
      <c r="A64" s="310" t="s">
        <v>178</v>
      </c>
      <c r="B64" s="543" t="s">
        <v>179</v>
      </c>
      <c r="C64" s="544"/>
      <c r="D64" s="544"/>
      <c r="E64" s="544"/>
      <c r="F64" s="544"/>
      <c r="G64" s="544"/>
      <c r="H64" s="544"/>
      <c r="I64" s="544"/>
      <c r="J64" s="544"/>
      <c r="K64" s="544"/>
      <c r="L64" s="544"/>
      <c r="M64" s="280"/>
      <c r="N64" s="280"/>
      <c r="O64" s="280"/>
      <c r="P64" s="280"/>
      <c r="Q64" s="280"/>
      <c r="R64" s="280"/>
      <c r="S64" s="281"/>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c r="DM64" s="280"/>
      <c r="DN64" s="280"/>
      <c r="DO64" s="280"/>
      <c r="DP64" s="280"/>
      <c r="DQ64" s="280"/>
      <c r="DR64" s="280"/>
      <c r="DS64" s="280"/>
      <c r="DT64" s="280"/>
      <c r="DU64" s="280"/>
      <c r="DV64" s="280"/>
      <c r="DW64" s="280"/>
      <c r="DX64" s="280"/>
      <c r="DY64" s="280"/>
      <c r="DZ64" s="280"/>
      <c r="EA64" s="280"/>
      <c r="EB64" s="280"/>
      <c r="EC64" s="280"/>
      <c r="ED64" s="280"/>
      <c r="EE64" s="280"/>
      <c r="EF64" s="280"/>
      <c r="EG64" s="280"/>
      <c r="EH64" s="280"/>
      <c r="EI64" s="280"/>
      <c r="EJ64" s="280"/>
      <c r="EK64" s="280"/>
      <c r="EL64" s="280"/>
      <c r="EM64" s="280"/>
      <c r="EN64" s="280"/>
      <c r="EO64" s="280"/>
      <c r="EP64" s="280"/>
      <c r="EQ64" s="280"/>
      <c r="ER64" s="280"/>
      <c r="ES64" s="280"/>
      <c r="ET64" s="280"/>
      <c r="EU64" s="280"/>
      <c r="EV64" s="280"/>
      <c r="EW64" s="280"/>
      <c r="EX64" s="280"/>
      <c r="EY64" s="280"/>
      <c r="EZ64" s="280"/>
      <c r="FA64" s="280"/>
      <c r="FB64" s="280"/>
      <c r="FC64" s="280"/>
      <c r="FD64" s="280"/>
      <c r="FE64" s="280"/>
      <c r="FF64" s="280"/>
      <c r="FG64" s="280"/>
      <c r="FH64" s="280"/>
      <c r="FI64" s="280"/>
      <c r="FJ64" s="280"/>
      <c r="FK64" s="280"/>
      <c r="FL64" s="280"/>
      <c r="FM64" s="280"/>
      <c r="FN64" s="280"/>
      <c r="FO64" s="280"/>
      <c r="FP64" s="280"/>
      <c r="FQ64" s="280"/>
      <c r="FR64" s="280"/>
      <c r="FS64" s="280"/>
      <c r="FT64" s="280"/>
      <c r="FU64" s="280"/>
      <c r="FV64" s="280"/>
      <c r="FW64" s="280"/>
      <c r="FX64" s="280"/>
      <c r="FY64" s="280"/>
      <c r="FZ64" s="280"/>
      <c r="GA64" s="280"/>
      <c r="GB64" s="280"/>
      <c r="GC64" s="280"/>
      <c r="GD64" s="280"/>
      <c r="GE64" s="280"/>
      <c r="GF64" s="280"/>
      <c r="GG64" s="280"/>
      <c r="GH64" s="280"/>
      <c r="GI64" s="280"/>
      <c r="GJ64" s="280"/>
      <c r="GK64" s="280"/>
      <c r="GL64" s="280"/>
      <c r="GM64" s="280"/>
      <c r="GN64" s="280"/>
      <c r="GO64" s="280"/>
      <c r="GP64" s="280"/>
      <c r="GQ64" s="280"/>
      <c r="GR64" s="280"/>
      <c r="GS64" s="280"/>
      <c r="GT64" s="280"/>
      <c r="GU64" s="280"/>
      <c r="GV64" s="280"/>
      <c r="GW64" s="280"/>
      <c r="GX64" s="280"/>
      <c r="GY64" s="280"/>
      <c r="GZ64" s="280"/>
      <c r="HA64" s="280"/>
      <c r="HB64" s="280"/>
      <c r="HC64" s="280"/>
      <c r="HD64" s="280"/>
      <c r="HE64" s="280"/>
      <c r="HF64" s="280"/>
      <c r="HG64" s="280"/>
      <c r="HH64" s="280"/>
      <c r="HI64" s="280"/>
      <c r="HJ64" s="280"/>
      <c r="HK64" s="280"/>
      <c r="HL64" s="280"/>
      <c r="HM64" s="280"/>
      <c r="HN64" s="280"/>
      <c r="HO64" s="280"/>
      <c r="HP64" s="280"/>
      <c r="HQ64" s="280"/>
      <c r="HR64" s="280"/>
      <c r="HS64" s="280"/>
      <c r="HT64" s="280"/>
      <c r="HU64" s="280"/>
      <c r="HV64" s="280"/>
      <c r="HW64" s="280"/>
      <c r="HX64" s="280"/>
      <c r="HY64" s="280"/>
      <c r="HZ64" s="280"/>
      <c r="IA64" s="280"/>
      <c r="IB64" s="280"/>
      <c r="IC64" s="280"/>
      <c r="ID64" s="280"/>
      <c r="IE64" s="280"/>
      <c r="IF64" s="280"/>
      <c r="IG64" s="280"/>
      <c r="IH64" s="280"/>
      <c r="II64" s="280"/>
      <c r="IJ64" s="280"/>
      <c r="IK64" s="280"/>
      <c r="IL64" s="280"/>
      <c r="IM64" s="280"/>
      <c r="IN64" s="280"/>
      <c r="IO64" s="280"/>
      <c r="IP64" s="280"/>
      <c r="IQ64" s="280"/>
      <c r="IR64" s="280"/>
      <c r="IS64" s="280"/>
      <c r="IT64" s="280"/>
      <c r="IU64" s="280"/>
      <c r="IV64" s="280"/>
    </row>
    <row r="65" spans="1:256" ht="15">
      <c r="A65" s="280"/>
      <c r="B65" s="544"/>
      <c r="C65" s="544"/>
      <c r="D65" s="544"/>
      <c r="E65" s="544"/>
      <c r="F65" s="544"/>
      <c r="G65" s="544"/>
      <c r="H65" s="544"/>
      <c r="I65" s="544"/>
      <c r="J65" s="544"/>
      <c r="K65" s="544"/>
      <c r="L65" s="544"/>
      <c r="M65" s="280"/>
      <c r="N65" s="280"/>
      <c r="O65" s="280"/>
      <c r="P65" s="280"/>
      <c r="Q65" s="280"/>
      <c r="R65" s="280"/>
      <c r="S65" s="281"/>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c r="DM65" s="280"/>
      <c r="DN65" s="280"/>
      <c r="DO65" s="280"/>
      <c r="DP65" s="280"/>
      <c r="DQ65" s="280"/>
      <c r="DR65" s="280"/>
      <c r="DS65" s="280"/>
      <c r="DT65" s="280"/>
      <c r="DU65" s="280"/>
      <c r="DV65" s="280"/>
      <c r="DW65" s="280"/>
      <c r="DX65" s="280"/>
      <c r="DY65" s="280"/>
      <c r="DZ65" s="280"/>
      <c r="EA65" s="280"/>
      <c r="EB65" s="280"/>
      <c r="EC65" s="280"/>
      <c r="ED65" s="280"/>
      <c r="EE65" s="280"/>
      <c r="EF65" s="280"/>
      <c r="EG65" s="280"/>
      <c r="EH65" s="280"/>
      <c r="EI65" s="280"/>
      <c r="EJ65" s="280"/>
      <c r="EK65" s="280"/>
      <c r="EL65" s="280"/>
      <c r="EM65" s="280"/>
      <c r="EN65" s="280"/>
      <c r="EO65" s="280"/>
      <c r="EP65" s="280"/>
      <c r="EQ65" s="280"/>
      <c r="ER65" s="280"/>
      <c r="ES65" s="280"/>
      <c r="ET65" s="280"/>
      <c r="EU65" s="280"/>
      <c r="EV65" s="280"/>
      <c r="EW65" s="280"/>
      <c r="EX65" s="280"/>
      <c r="EY65" s="280"/>
      <c r="EZ65" s="280"/>
      <c r="FA65" s="280"/>
      <c r="FB65" s="280"/>
      <c r="FC65" s="280"/>
      <c r="FD65" s="280"/>
      <c r="FE65" s="280"/>
      <c r="FF65" s="280"/>
      <c r="FG65" s="280"/>
      <c r="FH65" s="280"/>
      <c r="FI65" s="280"/>
      <c r="FJ65" s="280"/>
      <c r="FK65" s="280"/>
      <c r="FL65" s="280"/>
      <c r="FM65" s="280"/>
      <c r="FN65" s="280"/>
      <c r="FO65" s="280"/>
      <c r="FP65" s="280"/>
      <c r="FQ65" s="280"/>
      <c r="FR65" s="280"/>
      <c r="FS65" s="280"/>
      <c r="FT65" s="280"/>
      <c r="FU65" s="280"/>
      <c r="FV65" s="280"/>
      <c r="FW65" s="280"/>
      <c r="FX65" s="280"/>
      <c r="FY65" s="280"/>
      <c r="FZ65" s="280"/>
      <c r="GA65" s="280"/>
      <c r="GB65" s="280"/>
      <c r="GC65" s="280"/>
      <c r="GD65" s="280"/>
      <c r="GE65" s="280"/>
      <c r="GF65" s="280"/>
      <c r="GG65" s="280"/>
      <c r="GH65" s="280"/>
      <c r="GI65" s="280"/>
      <c r="GJ65" s="280"/>
      <c r="GK65" s="280"/>
      <c r="GL65" s="280"/>
      <c r="GM65" s="280"/>
      <c r="GN65" s="280"/>
      <c r="GO65" s="280"/>
      <c r="GP65" s="280"/>
      <c r="GQ65" s="280"/>
      <c r="GR65" s="280"/>
      <c r="GS65" s="280"/>
      <c r="GT65" s="280"/>
      <c r="GU65" s="280"/>
      <c r="GV65" s="280"/>
      <c r="GW65" s="280"/>
      <c r="GX65" s="280"/>
      <c r="GY65" s="280"/>
      <c r="GZ65" s="280"/>
      <c r="HA65" s="280"/>
      <c r="HB65" s="280"/>
      <c r="HC65" s="280"/>
      <c r="HD65" s="280"/>
      <c r="HE65" s="280"/>
      <c r="HF65" s="280"/>
      <c r="HG65" s="280"/>
      <c r="HH65" s="280"/>
      <c r="HI65" s="280"/>
      <c r="HJ65" s="280"/>
      <c r="HK65" s="280"/>
      <c r="HL65" s="280"/>
      <c r="HM65" s="280"/>
      <c r="HN65" s="280"/>
      <c r="HO65" s="280"/>
      <c r="HP65" s="280"/>
      <c r="HQ65" s="280"/>
      <c r="HR65" s="280"/>
      <c r="HS65" s="280"/>
      <c r="HT65" s="280"/>
      <c r="HU65" s="280"/>
      <c r="HV65" s="280"/>
      <c r="HW65" s="280"/>
      <c r="HX65" s="280"/>
      <c r="HY65" s="280"/>
      <c r="HZ65" s="280"/>
      <c r="IA65" s="280"/>
      <c r="IB65" s="280"/>
      <c r="IC65" s="280"/>
      <c r="ID65" s="280"/>
      <c r="IE65" s="280"/>
      <c r="IF65" s="280"/>
      <c r="IG65" s="280"/>
      <c r="IH65" s="280"/>
      <c r="II65" s="280"/>
      <c r="IJ65" s="280"/>
      <c r="IK65" s="280"/>
      <c r="IL65" s="280"/>
      <c r="IM65" s="280"/>
      <c r="IN65" s="280"/>
      <c r="IO65" s="280"/>
      <c r="IP65" s="280"/>
      <c r="IQ65" s="280"/>
      <c r="IR65" s="280"/>
      <c r="IS65" s="280"/>
      <c r="IT65" s="280"/>
      <c r="IU65" s="280"/>
      <c r="IV65" s="280"/>
    </row>
    <row r="66" spans="1:256" ht="15">
      <c r="A66" s="280"/>
      <c r="B66" s="280"/>
      <c r="C66" s="280"/>
      <c r="D66" s="280"/>
      <c r="E66" s="309"/>
      <c r="F66" s="280"/>
      <c r="G66" s="280"/>
      <c r="H66" s="309"/>
      <c r="I66" s="280"/>
      <c r="J66" s="280"/>
      <c r="K66" s="280"/>
      <c r="L66" s="280"/>
      <c r="M66" s="280"/>
      <c r="N66" s="280"/>
      <c r="O66" s="280"/>
      <c r="P66" s="280"/>
      <c r="Q66" s="280"/>
      <c r="R66" s="280"/>
      <c r="S66" s="281"/>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c r="DM66" s="280"/>
      <c r="DN66" s="280"/>
      <c r="DO66" s="280"/>
      <c r="DP66" s="280"/>
      <c r="DQ66" s="280"/>
      <c r="DR66" s="280"/>
      <c r="DS66" s="280"/>
      <c r="DT66" s="280"/>
      <c r="DU66" s="280"/>
      <c r="DV66" s="280"/>
      <c r="DW66" s="280"/>
      <c r="DX66" s="280"/>
      <c r="DY66" s="280"/>
      <c r="DZ66" s="280"/>
      <c r="EA66" s="280"/>
      <c r="EB66" s="280"/>
      <c r="EC66" s="280"/>
      <c r="ED66" s="280"/>
      <c r="EE66" s="280"/>
      <c r="EF66" s="280"/>
      <c r="EG66" s="280"/>
      <c r="EH66" s="280"/>
      <c r="EI66" s="280"/>
      <c r="EJ66" s="280"/>
      <c r="EK66" s="280"/>
      <c r="EL66" s="280"/>
      <c r="EM66" s="280"/>
      <c r="EN66" s="280"/>
      <c r="EO66" s="280"/>
      <c r="EP66" s="280"/>
      <c r="EQ66" s="280"/>
      <c r="ER66" s="280"/>
      <c r="ES66" s="280"/>
      <c r="ET66" s="280"/>
      <c r="EU66" s="280"/>
      <c r="EV66" s="280"/>
      <c r="EW66" s="280"/>
      <c r="EX66" s="280"/>
      <c r="EY66" s="280"/>
      <c r="EZ66" s="280"/>
      <c r="FA66" s="280"/>
      <c r="FB66" s="280"/>
      <c r="FC66" s="280"/>
      <c r="FD66" s="280"/>
      <c r="FE66" s="280"/>
      <c r="FF66" s="280"/>
      <c r="FG66" s="280"/>
      <c r="FH66" s="280"/>
      <c r="FI66" s="280"/>
      <c r="FJ66" s="280"/>
      <c r="FK66" s="280"/>
      <c r="FL66" s="280"/>
      <c r="FM66" s="280"/>
      <c r="FN66" s="280"/>
      <c r="FO66" s="280"/>
      <c r="FP66" s="280"/>
      <c r="FQ66" s="280"/>
      <c r="FR66" s="280"/>
      <c r="FS66" s="280"/>
      <c r="FT66" s="280"/>
      <c r="FU66" s="280"/>
      <c r="FV66" s="280"/>
      <c r="FW66" s="280"/>
      <c r="FX66" s="280"/>
      <c r="FY66" s="280"/>
      <c r="FZ66" s="280"/>
      <c r="GA66" s="280"/>
      <c r="GB66" s="280"/>
      <c r="GC66" s="280"/>
      <c r="GD66" s="280"/>
      <c r="GE66" s="280"/>
      <c r="GF66" s="280"/>
      <c r="GG66" s="280"/>
      <c r="GH66" s="280"/>
      <c r="GI66" s="280"/>
      <c r="GJ66" s="280"/>
      <c r="GK66" s="280"/>
      <c r="GL66" s="280"/>
      <c r="GM66" s="280"/>
      <c r="GN66" s="280"/>
      <c r="GO66" s="280"/>
      <c r="GP66" s="280"/>
      <c r="GQ66" s="280"/>
      <c r="GR66" s="280"/>
      <c r="GS66" s="280"/>
      <c r="GT66" s="280"/>
      <c r="GU66" s="280"/>
      <c r="GV66" s="280"/>
      <c r="GW66" s="280"/>
      <c r="GX66" s="280"/>
      <c r="GY66" s="280"/>
      <c r="GZ66" s="280"/>
      <c r="HA66" s="280"/>
      <c r="HB66" s="280"/>
      <c r="HC66" s="280"/>
      <c r="HD66" s="280"/>
      <c r="HE66" s="280"/>
      <c r="HF66" s="280"/>
      <c r="HG66" s="280"/>
      <c r="HH66" s="280"/>
      <c r="HI66" s="280"/>
      <c r="HJ66" s="280"/>
      <c r="HK66" s="280"/>
      <c r="HL66" s="280"/>
      <c r="HM66" s="280"/>
      <c r="HN66" s="280"/>
      <c r="HO66" s="280"/>
      <c r="HP66" s="280"/>
      <c r="HQ66" s="280"/>
      <c r="HR66" s="280"/>
      <c r="HS66" s="280"/>
      <c r="HT66" s="280"/>
      <c r="HU66" s="280"/>
      <c r="HV66" s="280"/>
      <c r="HW66" s="280"/>
      <c r="HX66" s="280"/>
      <c r="HY66" s="280"/>
      <c r="HZ66" s="280"/>
      <c r="IA66" s="280"/>
      <c r="IB66" s="280"/>
      <c r="IC66" s="280"/>
      <c r="ID66" s="280"/>
      <c r="IE66" s="280"/>
      <c r="IF66" s="280"/>
      <c r="IG66" s="280"/>
      <c r="IH66" s="280"/>
      <c r="II66" s="280"/>
      <c r="IJ66" s="280"/>
      <c r="IK66" s="280"/>
      <c r="IL66" s="280"/>
      <c r="IM66" s="280"/>
      <c r="IN66" s="280"/>
      <c r="IO66" s="280"/>
      <c r="IP66" s="280"/>
      <c r="IQ66" s="280"/>
      <c r="IR66" s="280"/>
      <c r="IS66" s="280"/>
      <c r="IT66" s="280"/>
      <c r="IU66" s="280"/>
      <c r="IV66" s="280"/>
    </row>
    <row r="67" spans="1:256" ht="15">
      <c r="A67" s="280"/>
      <c r="B67" s="280"/>
      <c r="C67" s="280"/>
      <c r="D67" s="280"/>
      <c r="E67" s="309"/>
      <c r="F67" s="280"/>
      <c r="G67" s="280"/>
      <c r="H67" s="309"/>
      <c r="I67" s="280"/>
      <c r="J67" s="280"/>
      <c r="K67" s="280"/>
      <c r="L67" s="280"/>
      <c r="M67" s="280"/>
      <c r="N67" s="280"/>
      <c r="O67" s="280"/>
      <c r="P67" s="280"/>
      <c r="Q67" s="280"/>
      <c r="R67" s="280"/>
      <c r="S67" s="281"/>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0"/>
      <c r="DK67" s="280"/>
      <c r="DL67" s="280"/>
      <c r="DM67" s="280"/>
      <c r="DN67" s="280"/>
      <c r="DO67" s="280"/>
      <c r="DP67" s="280"/>
      <c r="DQ67" s="280"/>
      <c r="DR67" s="280"/>
      <c r="DS67" s="280"/>
      <c r="DT67" s="280"/>
      <c r="DU67" s="280"/>
      <c r="DV67" s="280"/>
      <c r="DW67" s="280"/>
      <c r="DX67" s="280"/>
      <c r="DY67" s="280"/>
      <c r="DZ67" s="280"/>
      <c r="EA67" s="280"/>
      <c r="EB67" s="280"/>
      <c r="EC67" s="280"/>
      <c r="ED67" s="280"/>
      <c r="EE67" s="280"/>
      <c r="EF67" s="280"/>
      <c r="EG67" s="280"/>
      <c r="EH67" s="280"/>
      <c r="EI67" s="280"/>
      <c r="EJ67" s="280"/>
      <c r="EK67" s="280"/>
      <c r="EL67" s="280"/>
      <c r="EM67" s="280"/>
      <c r="EN67" s="280"/>
      <c r="EO67" s="280"/>
      <c r="EP67" s="280"/>
      <c r="EQ67" s="280"/>
      <c r="ER67" s="280"/>
      <c r="ES67" s="280"/>
      <c r="ET67" s="280"/>
      <c r="EU67" s="280"/>
      <c r="EV67" s="280"/>
      <c r="EW67" s="280"/>
      <c r="EX67" s="280"/>
      <c r="EY67" s="280"/>
      <c r="EZ67" s="280"/>
      <c r="FA67" s="280"/>
      <c r="FB67" s="280"/>
      <c r="FC67" s="280"/>
      <c r="FD67" s="280"/>
      <c r="FE67" s="280"/>
      <c r="FF67" s="280"/>
      <c r="FG67" s="280"/>
      <c r="FH67" s="280"/>
      <c r="FI67" s="280"/>
      <c r="FJ67" s="280"/>
      <c r="FK67" s="280"/>
      <c r="FL67" s="280"/>
      <c r="FM67" s="280"/>
      <c r="FN67" s="280"/>
      <c r="FO67" s="280"/>
      <c r="FP67" s="280"/>
      <c r="FQ67" s="280"/>
      <c r="FR67" s="280"/>
      <c r="FS67" s="280"/>
      <c r="FT67" s="280"/>
      <c r="FU67" s="280"/>
      <c r="FV67" s="280"/>
      <c r="FW67" s="280"/>
      <c r="FX67" s="280"/>
      <c r="FY67" s="280"/>
      <c r="FZ67" s="280"/>
      <c r="GA67" s="280"/>
      <c r="GB67" s="280"/>
      <c r="GC67" s="280"/>
      <c r="GD67" s="280"/>
      <c r="GE67" s="280"/>
      <c r="GF67" s="280"/>
      <c r="GG67" s="280"/>
      <c r="GH67" s="280"/>
      <c r="GI67" s="280"/>
      <c r="GJ67" s="280"/>
      <c r="GK67" s="280"/>
      <c r="GL67" s="280"/>
      <c r="GM67" s="280"/>
      <c r="GN67" s="280"/>
      <c r="GO67" s="280"/>
      <c r="GP67" s="280"/>
      <c r="GQ67" s="280"/>
      <c r="GR67" s="280"/>
      <c r="GS67" s="280"/>
      <c r="GT67" s="280"/>
      <c r="GU67" s="280"/>
      <c r="GV67" s="280"/>
      <c r="GW67" s="280"/>
      <c r="GX67" s="280"/>
      <c r="GY67" s="280"/>
      <c r="GZ67" s="280"/>
      <c r="HA67" s="280"/>
      <c r="HB67" s="280"/>
      <c r="HC67" s="280"/>
      <c r="HD67" s="280"/>
      <c r="HE67" s="280"/>
      <c r="HF67" s="280"/>
      <c r="HG67" s="280"/>
      <c r="HH67" s="280"/>
      <c r="HI67" s="280"/>
      <c r="HJ67" s="280"/>
      <c r="HK67" s="280"/>
      <c r="HL67" s="280"/>
      <c r="HM67" s="280"/>
      <c r="HN67" s="280"/>
      <c r="HO67" s="280"/>
      <c r="HP67" s="280"/>
      <c r="HQ67" s="280"/>
      <c r="HR67" s="280"/>
      <c r="HS67" s="280"/>
      <c r="HT67" s="280"/>
      <c r="HU67" s="280"/>
      <c r="HV67" s="280"/>
      <c r="HW67" s="280"/>
      <c r="HX67" s="280"/>
      <c r="HY67" s="280"/>
      <c r="HZ67" s="280"/>
      <c r="IA67" s="280"/>
      <c r="IB67" s="280"/>
      <c r="IC67" s="280"/>
      <c r="ID67" s="280"/>
      <c r="IE67" s="280"/>
      <c r="IF67" s="280"/>
      <c r="IG67" s="280"/>
      <c r="IH67" s="280"/>
      <c r="II67" s="280"/>
      <c r="IJ67" s="280"/>
      <c r="IK67" s="280"/>
      <c r="IL67" s="280"/>
      <c r="IM67" s="280"/>
      <c r="IN67" s="280"/>
      <c r="IO67" s="280"/>
      <c r="IP67" s="280"/>
      <c r="IQ67" s="280"/>
      <c r="IR67" s="280"/>
      <c r="IS67" s="280"/>
      <c r="IT67" s="280"/>
      <c r="IU67" s="280"/>
      <c r="IV67" s="280"/>
    </row>
    <row r="68" spans="1:256" ht="15">
      <c r="A68" s="280"/>
      <c r="B68" s="280"/>
      <c r="C68" s="280"/>
      <c r="D68" s="280"/>
      <c r="E68" s="309"/>
      <c r="F68" s="280"/>
      <c r="G68" s="280"/>
      <c r="H68" s="309"/>
      <c r="I68" s="280"/>
      <c r="J68" s="280"/>
      <c r="K68" s="280"/>
      <c r="L68" s="280"/>
      <c r="M68" s="280"/>
      <c r="N68" s="280"/>
      <c r="O68" s="280"/>
      <c r="P68" s="280"/>
      <c r="Q68" s="280"/>
      <c r="R68" s="280"/>
      <c r="S68" s="281"/>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c r="DM68" s="280"/>
      <c r="DN68" s="280"/>
      <c r="DO68" s="280"/>
      <c r="DP68" s="280"/>
      <c r="DQ68" s="280"/>
      <c r="DR68" s="280"/>
      <c r="DS68" s="280"/>
      <c r="DT68" s="280"/>
      <c r="DU68" s="280"/>
      <c r="DV68" s="280"/>
      <c r="DW68" s="280"/>
      <c r="DX68" s="280"/>
      <c r="DY68" s="280"/>
      <c r="DZ68" s="280"/>
      <c r="EA68" s="280"/>
      <c r="EB68" s="280"/>
      <c r="EC68" s="280"/>
      <c r="ED68" s="280"/>
      <c r="EE68" s="280"/>
      <c r="EF68" s="280"/>
      <c r="EG68" s="280"/>
      <c r="EH68" s="280"/>
      <c r="EI68" s="280"/>
      <c r="EJ68" s="280"/>
      <c r="EK68" s="280"/>
      <c r="EL68" s="280"/>
      <c r="EM68" s="280"/>
      <c r="EN68" s="280"/>
      <c r="EO68" s="280"/>
      <c r="EP68" s="280"/>
      <c r="EQ68" s="280"/>
      <c r="ER68" s="280"/>
      <c r="ES68" s="280"/>
      <c r="ET68" s="280"/>
      <c r="EU68" s="280"/>
      <c r="EV68" s="280"/>
      <c r="EW68" s="280"/>
      <c r="EX68" s="280"/>
      <c r="EY68" s="280"/>
      <c r="EZ68" s="280"/>
      <c r="FA68" s="280"/>
      <c r="FB68" s="280"/>
      <c r="FC68" s="280"/>
      <c r="FD68" s="280"/>
      <c r="FE68" s="280"/>
      <c r="FF68" s="280"/>
      <c r="FG68" s="280"/>
      <c r="FH68" s="280"/>
      <c r="FI68" s="280"/>
      <c r="FJ68" s="280"/>
      <c r="FK68" s="280"/>
      <c r="FL68" s="280"/>
      <c r="FM68" s="280"/>
      <c r="FN68" s="280"/>
      <c r="FO68" s="280"/>
      <c r="FP68" s="280"/>
      <c r="FQ68" s="280"/>
      <c r="FR68" s="280"/>
      <c r="FS68" s="280"/>
      <c r="FT68" s="280"/>
      <c r="FU68" s="280"/>
      <c r="FV68" s="280"/>
      <c r="FW68" s="280"/>
      <c r="FX68" s="280"/>
      <c r="FY68" s="280"/>
      <c r="FZ68" s="280"/>
      <c r="GA68" s="280"/>
      <c r="GB68" s="280"/>
      <c r="GC68" s="280"/>
      <c r="GD68" s="280"/>
      <c r="GE68" s="280"/>
      <c r="GF68" s="280"/>
      <c r="GG68" s="280"/>
      <c r="GH68" s="280"/>
      <c r="GI68" s="280"/>
      <c r="GJ68" s="280"/>
      <c r="GK68" s="280"/>
      <c r="GL68" s="280"/>
      <c r="GM68" s="280"/>
      <c r="GN68" s="280"/>
      <c r="GO68" s="280"/>
      <c r="GP68" s="280"/>
      <c r="GQ68" s="280"/>
      <c r="GR68" s="280"/>
      <c r="GS68" s="280"/>
      <c r="GT68" s="280"/>
      <c r="GU68" s="280"/>
      <c r="GV68" s="280"/>
      <c r="GW68" s="280"/>
      <c r="GX68" s="280"/>
      <c r="GY68" s="280"/>
      <c r="GZ68" s="280"/>
      <c r="HA68" s="280"/>
      <c r="HB68" s="280"/>
      <c r="HC68" s="280"/>
      <c r="HD68" s="280"/>
      <c r="HE68" s="280"/>
      <c r="HF68" s="280"/>
      <c r="HG68" s="280"/>
      <c r="HH68" s="280"/>
      <c r="HI68" s="280"/>
      <c r="HJ68" s="280"/>
      <c r="HK68" s="280"/>
      <c r="HL68" s="280"/>
      <c r="HM68" s="280"/>
      <c r="HN68" s="280"/>
      <c r="HO68" s="280"/>
      <c r="HP68" s="280"/>
      <c r="HQ68" s="280"/>
      <c r="HR68" s="280"/>
      <c r="HS68" s="280"/>
      <c r="HT68" s="280"/>
      <c r="HU68" s="280"/>
      <c r="HV68" s="280"/>
      <c r="HW68" s="280"/>
      <c r="HX68" s="280"/>
      <c r="HY68" s="280"/>
      <c r="HZ68" s="280"/>
      <c r="IA68" s="280"/>
      <c r="IB68" s="280"/>
      <c r="IC68" s="280"/>
      <c r="ID68" s="280"/>
      <c r="IE68" s="280"/>
      <c r="IF68" s="280"/>
      <c r="IG68" s="280"/>
      <c r="IH68" s="280"/>
      <c r="II68" s="280"/>
      <c r="IJ68" s="280"/>
      <c r="IK68" s="280"/>
      <c r="IL68" s="280"/>
      <c r="IM68" s="280"/>
      <c r="IN68" s="280"/>
      <c r="IO68" s="280"/>
      <c r="IP68" s="280"/>
      <c r="IQ68" s="280"/>
      <c r="IR68" s="280"/>
      <c r="IS68" s="280"/>
      <c r="IT68" s="280"/>
      <c r="IU68" s="280"/>
      <c r="IV68" s="280"/>
    </row>
    <row r="69" spans="1:256" ht="15">
      <c r="A69" s="311"/>
      <c r="B69" s="311"/>
      <c r="C69" s="311"/>
      <c r="D69" s="309"/>
      <c r="E69" s="309"/>
      <c r="F69" s="311"/>
      <c r="G69" s="311"/>
      <c r="H69" s="311"/>
      <c r="I69" s="311"/>
      <c r="J69" s="311"/>
      <c r="K69" s="311"/>
      <c r="L69" s="311"/>
      <c r="M69" s="311"/>
      <c r="N69" s="311"/>
      <c r="O69" s="311"/>
      <c r="P69" s="311"/>
      <c r="Q69" s="311"/>
      <c r="R69" s="311"/>
      <c r="S69" s="281"/>
      <c r="T69" s="311"/>
      <c r="U69" s="311"/>
      <c r="V69" s="311"/>
      <c r="W69" s="311"/>
      <c r="X69" s="311"/>
      <c r="Y69" s="311"/>
      <c r="Z69" s="311"/>
      <c r="AA69" s="311"/>
      <c r="AB69" s="311"/>
      <c r="AC69" s="311"/>
      <c r="AD69" s="311"/>
      <c r="AE69" s="311"/>
      <c r="AF69" s="311"/>
      <c r="AG69" s="311"/>
      <c r="AH69" s="311"/>
      <c r="AI69" s="311"/>
      <c r="AJ69" s="311"/>
      <c r="AK69" s="311"/>
      <c r="AL69" s="311"/>
      <c r="AM69" s="311"/>
      <c r="AN69" s="311"/>
      <c r="AO69" s="311"/>
      <c r="AP69" s="311"/>
      <c r="AQ69" s="311"/>
      <c r="AR69" s="311"/>
      <c r="AS69" s="311"/>
      <c r="AT69" s="311"/>
      <c r="AU69" s="311"/>
      <c r="AV69" s="311"/>
      <c r="AW69" s="311"/>
      <c r="AX69" s="311"/>
      <c r="AY69" s="311"/>
      <c r="AZ69" s="311"/>
      <c r="BA69" s="311"/>
      <c r="BB69" s="311"/>
      <c r="BC69" s="311"/>
      <c r="BD69" s="311"/>
      <c r="BE69" s="311"/>
      <c r="BF69" s="311"/>
      <c r="BG69" s="311"/>
      <c r="BH69" s="311"/>
      <c r="BI69" s="311"/>
      <c r="BJ69" s="311"/>
      <c r="BK69" s="311"/>
      <c r="BL69" s="311"/>
      <c r="BM69" s="311"/>
      <c r="BN69" s="311"/>
      <c r="BO69" s="311"/>
      <c r="BP69" s="311"/>
      <c r="BQ69" s="311"/>
      <c r="BR69" s="311"/>
      <c r="BS69" s="311"/>
      <c r="BT69" s="311"/>
      <c r="BU69" s="311"/>
      <c r="BV69" s="311"/>
      <c r="BW69" s="311"/>
      <c r="BX69" s="311"/>
      <c r="BY69" s="311"/>
      <c r="BZ69" s="311"/>
      <c r="CA69" s="311"/>
      <c r="CB69" s="311"/>
      <c r="CC69" s="311"/>
      <c r="CD69" s="311"/>
      <c r="CE69" s="311"/>
      <c r="CF69" s="311"/>
      <c r="CG69" s="311"/>
      <c r="CH69" s="311"/>
      <c r="CI69" s="311"/>
      <c r="CJ69" s="311"/>
      <c r="CK69" s="311"/>
      <c r="CL69" s="311"/>
      <c r="CM69" s="311"/>
      <c r="CN69" s="311"/>
      <c r="CO69" s="311"/>
      <c r="CP69" s="311"/>
      <c r="CQ69" s="311"/>
      <c r="CR69" s="311"/>
      <c r="CS69" s="311"/>
      <c r="CT69" s="311"/>
      <c r="CU69" s="311"/>
      <c r="CV69" s="311"/>
      <c r="CW69" s="311"/>
      <c r="CX69" s="311"/>
      <c r="CY69" s="311"/>
      <c r="CZ69" s="311"/>
      <c r="DA69" s="311"/>
      <c r="DB69" s="311"/>
      <c r="DC69" s="311"/>
      <c r="DD69" s="311"/>
      <c r="DE69" s="311"/>
      <c r="DF69" s="311"/>
      <c r="DG69" s="311"/>
      <c r="DH69" s="311"/>
      <c r="DI69" s="311"/>
      <c r="DJ69" s="311"/>
      <c r="DK69" s="311"/>
      <c r="DL69" s="311"/>
      <c r="DM69" s="311"/>
      <c r="DN69" s="311"/>
      <c r="DO69" s="311"/>
      <c r="DP69" s="311"/>
      <c r="DQ69" s="311"/>
      <c r="DR69" s="311"/>
      <c r="DS69" s="311"/>
      <c r="DT69" s="311"/>
      <c r="DU69" s="311"/>
      <c r="DV69" s="311"/>
      <c r="DW69" s="311"/>
      <c r="DX69" s="311"/>
      <c r="DY69" s="311"/>
      <c r="DZ69" s="311"/>
      <c r="EA69" s="311"/>
      <c r="EB69" s="311"/>
      <c r="EC69" s="311"/>
      <c r="ED69" s="311"/>
      <c r="EE69" s="311"/>
      <c r="EF69" s="311"/>
      <c r="EG69" s="311"/>
      <c r="EH69" s="311"/>
      <c r="EI69" s="311"/>
      <c r="EJ69" s="311"/>
      <c r="EK69" s="311"/>
      <c r="EL69" s="311"/>
      <c r="EM69" s="311"/>
      <c r="EN69" s="311"/>
      <c r="EO69" s="311"/>
      <c r="EP69" s="311"/>
      <c r="EQ69" s="311"/>
      <c r="ER69" s="311"/>
      <c r="ES69" s="311"/>
      <c r="ET69" s="311"/>
      <c r="EU69" s="311"/>
      <c r="EV69" s="311"/>
      <c r="EW69" s="311"/>
      <c r="EX69" s="311"/>
      <c r="EY69" s="311"/>
      <c r="EZ69" s="311"/>
      <c r="FA69" s="311"/>
      <c r="FB69" s="311"/>
      <c r="FC69" s="311"/>
      <c r="FD69" s="311"/>
      <c r="FE69" s="311"/>
      <c r="FF69" s="311"/>
      <c r="FG69" s="311"/>
      <c r="FH69" s="311"/>
      <c r="FI69" s="311"/>
      <c r="FJ69" s="311"/>
      <c r="FK69" s="311"/>
      <c r="FL69" s="311"/>
      <c r="FM69" s="311"/>
      <c r="FN69" s="311"/>
      <c r="FO69" s="311"/>
      <c r="FP69" s="311"/>
      <c r="FQ69" s="311"/>
      <c r="FR69" s="311"/>
      <c r="FS69" s="311"/>
      <c r="FT69" s="311"/>
      <c r="FU69" s="311"/>
      <c r="FV69" s="311"/>
      <c r="FW69" s="311"/>
      <c r="FX69" s="311"/>
      <c r="FY69" s="311"/>
      <c r="FZ69" s="311"/>
      <c r="GA69" s="311"/>
      <c r="GB69" s="311"/>
      <c r="GC69" s="311"/>
      <c r="GD69" s="311"/>
      <c r="GE69" s="311"/>
      <c r="GF69" s="311"/>
      <c r="GG69" s="311"/>
      <c r="GH69" s="311"/>
      <c r="GI69" s="311"/>
      <c r="GJ69" s="311"/>
      <c r="GK69" s="311"/>
      <c r="GL69" s="311"/>
      <c r="GM69" s="311"/>
      <c r="GN69" s="311"/>
      <c r="GO69" s="311"/>
      <c r="GP69" s="311"/>
      <c r="GQ69" s="311"/>
      <c r="GR69" s="311"/>
      <c r="GS69" s="311"/>
      <c r="GT69" s="311"/>
      <c r="GU69" s="311"/>
      <c r="GV69" s="311"/>
      <c r="GW69" s="311"/>
      <c r="GX69" s="311"/>
      <c r="GY69" s="311"/>
      <c r="GZ69" s="311"/>
      <c r="HA69" s="311"/>
      <c r="HB69" s="311"/>
      <c r="HC69" s="311"/>
      <c r="HD69" s="311"/>
      <c r="HE69" s="311"/>
      <c r="HF69" s="311"/>
      <c r="HG69" s="311"/>
      <c r="HH69" s="311"/>
      <c r="HI69" s="311"/>
      <c r="HJ69" s="311"/>
      <c r="HK69" s="311"/>
      <c r="HL69" s="311"/>
      <c r="HM69" s="311"/>
      <c r="HN69" s="311"/>
      <c r="HO69" s="311"/>
      <c r="HP69" s="311"/>
      <c r="HQ69" s="311"/>
      <c r="HR69" s="311"/>
      <c r="HS69" s="311"/>
      <c r="HT69" s="311"/>
      <c r="HU69" s="311"/>
      <c r="HV69" s="311"/>
      <c r="HW69" s="311"/>
      <c r="HX69" s="311"/>
      <c r="HY69" s="311"/>
      <c r="HZ69" s="311"/>
      <c r="IA69" s="311"/>
      <c r="IB69" s="311"/>
      <c r="IC69" s="311"/>
      <c r="ID69" s="311"/>
      <c r="IE69" s="311"/>
      <c r="IF69" s="311"/>
      <c r="IG69" s="311"/>
      <c r="IH69" s="311"/>
      <c r="II69" s="311"/>
      <c r="IJ69" s="311"/>
      <c r="IK69" s="311"/>
      <c r="IL69" s="311"/>
      <c r="IM69" s="311"/>
      <c r="IN69" s="311"/>
      <c r="IO69" s="311"/>
      <c r="IP69" s="311"/>
      <c r="IQ69" s="311"/>
      <c r="IR69" s="311"/>
      <c r="IS69" s="311"/>
      <c r="IT69" s="311"/>
      <c r="IU69" s="311"/>
      <c r="IV69" s="311"/>
    </row>
    <row r="70" spans="1:256" ht="15">
      <c r="A70" s="280"/>
      <c r="B70" s="280"/>
      <c r="C70" s="280"/>
      <c r="D70" s="280"/>
      <c r="E70" s="309"/>
      <c r="F70" s="280"/>
      <c r="G70" s="280"/>
      <c r="H70" s="309"/>
      <c r="I70" s="280"/>
      <c r="J70" s="280"/>
      <c r="K70" s="280"/>
      <c r="L70" s="280"/>
      <c r="M70" s="280"/>
      <c r="N70" s="280"/>
      <c r="O70" s="280"/>
      <c r="P70" s="280"/>
      <c r="Q70" s="280"/>
      <c r="R70" s="280"/>
      <c r="S70" s="281"/>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c r="DM70" s="280"/>
      <c r="DN70" s="280"/>
      <c r="DO70" s="280"/>
      <c r="DP70" s="280"/>
      <c r="DQ70" s="280"/>
      <c r="DR70" s="280"/>
      <c r="DS70" s="280"/>
      <c r="DT70" s="280"/>
      <c r="DU70" s="280"/>
      <c r="DV70" s="280"/>
      <c r="DW70" s="280"/>
      <c r="DX70" s="280"/>
      <c r="DY70" s="280"/>
      <c r="DZ70" s="280"/>
      <c r="EA70" s="280"/>
      <c r="EB70" s="280"/>
      <c r="EC70" s="280"/>
      <c r="ED70" s="280"/>
      <c r="EE70" s="280"/>
      <c r="EF70" s="280"/>
      <c r="EG70" s="280"/>
      <c r="EH70" s="280"/>
      <c r="EI70" s="280"/>
      <c r="EJ70" s="280"/>
      <c r="EK70" s="280"/>
      <c r="EL70" s="280"/>
      <c r="EM70" s="280"/>
      <c r="EN70" s="280"/>
      <c r="EO70" s="280"/>
      <c r="EP70" s="280"/>
      <c r="EQ70" s="280"/>
      <c r="ER70" s="280"/>
      <c r="ES70" s="280"/>
      <c r="ET70" s="280"/>
      <c r="EU70" s="280"/>
      <c r="EV70" s="280"/>
      <c r="EW70" s="280"/>
      <c r="EX70" s="280"/>
      <c r="EY70" s="280"/>
      <c r="EZ70" s="280"/>
      <c r="FA70" s="280"/>
      <c r="FB70" s="280"/>
      <c r="FC70" s="280"/>
      <c r="FD70" s="280"/>
      <c r="FE70" s="280"/>
      <c r="FF70" s="280"/>
      <c r="FG70" s="280"/>
      <c r="FH70" s="280"/>
      <c r="FI70" s="280"/>
      <c r="FJ70" s="280"/>
      <c r="FK70" s="280"/>
      <c r="FL70" s="280"/>
      <c r="FM70" s="280"/>
      <c r="FN70" s="280"/>
      <c r="FO70" s="280"/>
      <c r="FP70" s="280"/>
      <c r="FQ70" s="280"/>
      <c r="FR70" s="280"/>
      <c r="FS70" s="280"/>
      <c r="FT70" s="280"/>
      <c r="FU70" s="280"/>
      <c r="FV70" s="280"/>
      <c r="FW70" s="280"/>
      <c r="FX70" s="280"/>
      <c r="FY70" s="280"/>
      <c r="FZ70" s="280"/>
      <c r="GA70" s="280"/>
      <c r="GB70" s="280"/>
      <c r="GC70" s="280"/>
      <c r="GD70" s="280"/>
      <c r="GE70" s="280"/>
      <c r="GF70" s="280"/>
      <c r="GG70" s="280"/>
      <c r="GH70" s="280"/>
      <c r="GI70" s="280"/>
      <c r="GJ70" s="280"/>
      <c r="GK70" s="280"/>
      <c r="GL70" s="280"/>
      <c r="GM70" s="280"/>
      <c r="GN70" s="280"/>
      <c r="GO70" s="280"/>
      <c r="GP70" s="280"/>
      <c r="GQ70" s="280"/>
      <c r="GR70" s="280"/>
      <c r="GS70" s="280"/>
      <c r="GT70" s="280"/>
      <c r="GU70" s="280"/>
      <c r="GV70" s="280"/>
      <c r="GW70" s="280"/>
      <c r="GX70" s="280"/>
      <c r="GY70" s="280"/>
      <c r="GZ70" s="280"/>
      <c r="HA70" s="280"/>
      <c r="HB70" s="280"/>
      <c r="HC70" s="280"/>
      <c r="HD70" s="280"/>
      <c r="HE70" s="280"/>
      <c r="HF70" s="280"/>
      <c r="HG70" s="280"/>
      <c r="HH70" s="280"/>
      <c r="HI70" s="280"/>
      <c r="HJ70" s="280"/>
      <c r="HK70" s="280"/>
      <c r="HL70" s="280"/>
      <c r="HM70" s="280"/>
      <c r="HN70" s="280"/>
      <c r="HO70" s="280"/>
      <c r="HP70" s="280"/>
      <c r="HQ70" s="280"/>
      <c r="HR70" s="280"/>
      <c r="HS70" s="280"/>
      <c r="HT70" s="280"/>
      <c r="HU70" s="280"/>
      <c r="HV70" s="280"/>
      <c r="HW70" s="280"/>
      <c r="HX70" s="280"/>
      <c r="HY70" s="280"/>
      <c r="HZ70" s="280"/>
      <c r="IA70" s="280"/>
      <c r="IB70" s="280"/>
      <c r="IC70" s="280"/>
      <c r="ID70" s="280"/>
      <c r="IE70" s="280"/>
      <c r="IF70" s="280"/>
      <c r="IG70" s="280"/>
      <c r="IH70" s="280"/>
      <c r="II70" s="280"/>
      <c r="IJ70" s="280"/>
      <c r="IK70" s="280"/>
      <c r="IL70" s="280"/>
      <c r="IM70" s="280"/>
      <c r="IN70" s="280"/>
      <c r="IO70" s="280"/>
      <c r="IP70" s="280"/>
      <c r="IQ70" s="280"/>
      <c r="IR70" s="280"/>
      <c r="IS70" s="280"/>
      <c r="IT70" s="280"/>
      <c r="IU70" s="280"/>
      <c r="IV70" s="280"/>
    </row>
    <row r="71" spans="1:256" ht="15">
      <c r="A71" s="281"/>
      <c r="B71" s="281"/>
      <c r="C71" s="281"/>
      <c r="D71" s="281"/>
      <c r="E71" s="309"/>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c r="DM71" s="281"/>
      <c r="DN71" s="281"/>
      <c r="DO71" s="281"/>
      <c r="DP71" s="281"/>
      <c r="DQ71" s="281"/>
      <c r="DR71" s="281"/>
      <c r="DS71" s="281"/>
      <c r="DT71" s="281"/>
      <c r="DU71" s="281"/>
      <c r="DV71" s="281"/>
      <c r="DW71" s="281"/>
      <c r="DX71" s="281"/>
      <c r="DY71" s="281"/>
      <c r="DZ71" s="281"/>
      <c r="EA71" s="281"/>
      <c r="EB71" s="281"/>
      <c r="EC71" s="281"/>
      <c r="ED71" s="281"/>
      <c r="EE71" s="281"/>
      <c r="EF71" s="281"/>
      <c r="EG71" s="281"/>
      <c r="EH71" s="281"/>
      <c r="EI71" s="281"/>
      <c r="EJ71" s="281"/>
      <c r="EK71" s="281"/>
      <c r="EL71" s="281"/>
      <c r="EM71" s="281"/>
      <c r="EN71" s="281"/>
      <c r="EO71" s="281"/>
      <c r="EP71" s="281"/>
      <c r="EQ71" s="281"/>
      <c r="ER71" s="281"/>
      <c r="ES71" s="281"/>
      <c r="ET71" s="281"/>
      <c r="EU71" s="281"/>
      <c r="EV71" s="281"/>
      <c r="EW71" s="281"/>
      <c r="EX71" s="281"/>
      <c r="EY71" s="281"/>
      <c r="EZ71" s="281"/>
      <c r="FA71" s="281"/>
      <c r="FB71" s="281"/>
      <c r="FC71" s="281"/>
      <c r="FD71" s="281"/>
      <c r="FE71" s="281"/>
      <c r="FF71" s="281"/>
      <c r="FG71" s="281"/>
      <c r="FH71" s="281"/>
      <c r="FI71" s="281"/>
      <c r="FJ71" s="281"/>
      <c r="FK71" s="281"/>
      <c r="FL71" s="281"/>
      <c r="FM71" s="281"/>
      <c r="FN71" s="281"/>
      <c r="FO71" s="281"/>
      <c r="FP71" s="281"/>
      <c r="FQ71" s="281"/>
      <c r="FR71" s="281"/>
      <c r="FS71" s="281"/>
      <c r="FT71" s="281"/>
      <c r="FU71" s="281"/>
      <c r="FV71" s="281"/>
      <c r="FW71" s="281"/>
      <c r="FX71" s="281"/>
      <c r="FY71" s="281"/>
      <c r="FZ71" s="281"/>
      <c r="GA71" s="281"/>
      <c r="GB71" s="281"/>
      <c r="GC71" s="281"/>
      <c r="GD71" s="281"/>
      <c r="GE71" s="281"/>
      <c r="GF71" s="281"/>
      <c r="GG71" s="281"/>
      <c r="GH71" s="281"/>
      <c r="GI71" s="281"/>
      <c r="GJ71" s="281"/>
      <c r="GK71" s="281"/>
      <c r="GL71" s="281"/>
      <c r="GM71" s="281"/>
      <c r="GN71" s="281"/>
      <c r="GO71" s="281"/>
      <c r="GP71" s="281"/>
      <c r="GQ71" s="281"/>
      <c r="GR71" s="281"/>
      <c r="GS71" s="281"/>
      <c r="GT71" s="281"/>
      <c r="GU71" s="281"/>
      <c r="GV71" s="281"/>
      <c r="GW71" s="281"/>
      <c r="GX71" s="281"/>
      <c r="GY71" s="281"/>
      <c r="GZ71" s="281"/>
      <c r="HA71" s="281"/>
      <c r="HB71" s="281"/>
      <c r="HC71" s="281"/>
      <c r="HD71" s="281"/>
      <c r="HE71" s="281"/>
      <c r="HF71" s="281"/>
      <c r="HG71" s="281"/>
      <c r="HH71" s="281"/>
      <c r="HI71" s="281"/>
      <c r="HJ71" s="281"/>
      <c r="HK71" s="281"/>
      <c r="HL71" s="281"/>
      <c r="HM71" s="281"/>
      <c r="HN71" s="281"/>
      <c r="HO71" s="281"/>
      <c r="HP71" s="281"/>
      <c r="HQ71" s="281"/>
      <c r="HR71" s="281"/>
      <c r="HS71" s="281"/>
      <c r="HT71" s="281"/>
      <c r="HU71" s="281"/>
      <c r="HV71" s="281"/>
      <c r="HW71" s="281"/>
      <c r="HX71" s="281"/>
      <c r="HY71" s="281"/>
      <c r="HZ71" s="281"/>
      <c r="IA71" s="281"/>
      <c r="IB71" s="281"/>
      <c r="IC71" s="281"/>
      <c r="ID71" s="281"/>
      <c r="IE71" s="281"/>
      <c r="IF71" s="281"/>
      <c r="IG71" s="281"/>
      <c r="IH71" s="281"/>
      <c r="II71" s="281"/>
      <c r="IJ71" s="281"/>
      <c r="IK71" s="281"/>
      <c r="IL71" s="281"/>
      <c r="IM71" s="281"/>
      <c r="IN71" s="281"/>
      <c r="IO71" s="281"/>
      <c r="IP71" s="281"/>
      <c r="IQ71" s="281"/>
      <c r="IR71" s="281"/>
      <c r="IS71" s="281"/>
      <c r="IT71" s="281"/>
      <c r="IU71" s="281"/>
      <c r="IV71" s="281"/>
    </row>
    <row r="72" spans="1:256" ht="15">
      <c r="A72" s="280"/>
      <c r="B72" s="280"/>
      <c r="C72" s="280"/>
      <c r="D72" s="280"/>
      <c r="E72" s="309"/>
      <c r="F72" s="280"/>
      <c r="G72" s="280"/>
      <c r="H72" s="280"/>
      <c r="I72" s="280"/>
      <c r="J72" s="280"/>
      <c r="K72" s="280"/>
      <c r="L72" s="280"/>
      <c r="M72" s="280"/>
      <c r="N72" s="280"/>
      <c r="O72" s="280"/>
      <c r="P72" s="280"/>
      <c r="Q72" s="280"/>
      <c r="R72" s="280"/>
      <c r="S72" s="281"/>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c r="DM72" s="280"/>
      <c r="DN72" s="280"/>
      <c r="DO72" s="280"/>
      <c r="DP72" s="280"/>
      <c r="DQ72" s="280"/>
      <c r="DR72" s="280"/>
      <c r="DS72" s="280"/>
      <c r="DT72" s="280"/>
      <c r="DU72" s="280"/>
      <c r="DV72" s="280"/>
      <c r="DW72" s="280"/>
      <c r="DX72" s="280"/>
      <c r="DY72" s="280"/>
      <c r="DZ72" s="280"/>
      <c r="EA72" s="280"/>
      <c r="EB72" s="280"/>
      <c r="EC72" s="280"/>
      <c r="ED72" s="280"/>
      <c r="EE72" s="280"/>
      <c r="EF72" s="280"/>
      <c r="EG72" s="280"/>
      <c r="EH72" s="280"/>
      <c r="EI72" s="280"/>
      <c r="EJ72" s="280"/>
      <c r="EK72" s="280"/>
      <c r="EL72" s="280"/>
      <c r="EM72" s="280"/>
      <c r="EN72" s="280"/>
      <c r="EO72" s="280"/>
      <c r="EP72" s="280"/>
      <c r="EQ72" s="280"/>
      <c r="ER72" s="280"/>
      <c r="ES72" s="280"/>
      <c r="ET72" s="280"/>
      <c r="EU72" s="280"/>
      <c r="EV72" s="280"/>
      <c r="EW72" s="280"/>
      <c r="EX72" s="280"/>
      <c r="EY72" s="280"/>
      <c r="EZ72" s="280"/>
      <c r="FA72" s="280"/>
      <c r="FB72" s="280"/>
      <c r="FC72" s="280"/>
      <c r="FD72" s="280"/>
      <c r="FE72" s="280"/>
      <c r="FF72" s="280"/>
      <c r="FG72" s="280"/>
      <c r="FH72" s="280"/>
      <c r="FI72" s="280"/>
      <c r="FJ72" s="280"/>
      <c r="FK72" s="280"/>
      <c r="FL72" s="280"/>
      <c r="FM72" s="280"/>
      <c r="FN72" s="280"/>
      <c r="FO72" s="280"/>
      <c r="FP72" s="280"/>
      <c r="FQ72" s="280"/>
      <c r="FR72" s="280"/>
      <c r="FS72" s="280"/>
      <c r="FT72" s="280"/>
      <c r="FU72" s="280"/>
      <c r="FV72" s="280"/>
      <c r="FW72" s="280"/>
      <c r="FX72" s="280"/>
      <c r="FY72" s="280"/>
      <c r="FZ72" s="280"/>
      <c r="GA72" s="280"/>
      <c r="GB72" s="280"/>
      <c r="GC72" s="280"/>
      <c r="GD72" s="280"/>
      <c r="GE72" s="280"/>
      <c r="GF72" s="280"/>
      <c r="GG72" s="280"/>
      <c r="GH72" s="280"/>
      <c r="GI72" s="280"/>
      <c r="GJ72" s="280"/>
      <c r="GK72" s="280"/>
      <c r="GL72" s="280"/>
      <c r="GM72" s="280"/>
      <c r="GN72" s="280"/>
      <c r="GO72" s="280"/>
      <c r="GP72" s="280"/>
      <c r="GQ72" s="280"/>
      <c r="GR72" s="280"/>
      <c r="GS72" s="280"/>
      <c r="GT72" s="280"/>
      <c r="GU72" s="280"/>
      <c r="GV72" s="280"/>
      <c r="GW72" s="280"/>
      <c r="GX72" s="280"/>
      <c r="GY72" s="280"/>
      <c r="GZ72" s="280"/>
      <c r="HA72" s="280"/>
      <c r="HB72" s="280"/>
      <c r="HC72" s="280"/>
      <c r="HD72" s="280"/>
      <c r="HE72" s="280"/>
      <c r="HF72" s="280"/>
      <c r="HG72" s="280"/>
      <c r="HH72" s="280"/>
      <c r="HI72" s="280"/>
      <c r="HJ72" s="280"/>
      <c r="HK72" s="280"/>
      <c r="HL72" s="280"/>
      <c r="HM72" s="280"/>
      <c r="HN72" s="280"/>
      <c r="HO72" s="280"/>
      <c r="HP72" s="280"/>
      <c r="HQ72" s="280"/>
      <c r="HR72" s="280"/>
      <c r="HS72" s="280"/>
      <c r="HT72" s="280"/>
      <c r="HU72" s="280"/>
      <c r="HV72" s="280"/>
      <c r="HW72" s="280"/>
      <c r="HX72" s="280"/>
      <c r="HY72" s="280"/>
      <c r="HZ72" s="280"/>
      <c r="IA72" s="280"/>
      <c r="IB72" s="280"/>
      <c r="IC72" s="280"/>
      <c r="ID72" s="280"/>
      <c r="IE72" s="280"/>
      <c r="IF72" s="280"/>
      <c r="IG72" s="280"/>
      <c r="IH72" s="280"/>
      <c r="II72" s="280"/>
      <c r="IJ72" s="280"/>
      <c r="IK72" s="280"/>
      <c r="IL72" s="280"/>
      <c r="IM72" s="280"/>
      <c r="IN72" s="280"/>
      <c r="IO72" s="280"/>
      <c r="IP72" s="280"/>
      <c r="IQ72" s="280"/>
      <c r="IR72" s="280"/>
      <c r="IS72" s="280"/>
      <c r="IT72" s="280"/>
      <c r="IU72" s="280"/>
      <c r="IV72" s="280"/>
    </row>
    <row r="73" spans="1:256" ht="15">
      <c r="A73" s="280"/>
      <c r="B73" s="280"/>
      <c r="C73" s="280"/>
      <c r="D73" s="280"/>
      <c r="E73" s="309"/>
      <c r="F73" s="280"/>
      <c r="G73" s="280"/>
      <c r="H73" s="280"/>
      <c r="I73" s="280"/>
      <c r="J73" s="280"/>
      <c r="K73" s="280"/>
      <c r="L73" s="280"/>
      <c r="M73" s="280"/>
      <c r="N73" s="280"/>
      <c r="O73" s="280"/>
      <c r="P73" s="280"/>
      <c r="Q73" s="280"/>
      <c r="R73" s="280"/>
      <c r="S73" s="281"/>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c r="DM73" s="280"/>
      <c r="DN73" s="280"/>
      <c r="DO73" s="280"/>
      <c r="DP73" s="280"/>
      <c r="DQ73" s="280"/>
      <c r="DR73" s="280"/>
      <c r="DS73" s="280"/>
      <c r="DT73" s="280"/>
      <c r="DU73" s="280"/>
      <c r="DV73" s="280"/>
      <c r="DW73" s="280"/>
      <c r="DX73" s="280"/>
      <c r="DY73" s="280"/>
      <c r="DZ73" s="280"/>
      <c r="EA73" s="280"/>
      <c r="EB73" s="280"/>
      <c r="EC73" s="280"/>
      <c r="ED73" s="280"/>
      <c r="EE73" s="280"/>
      <c r="EF73" s="280"/>
      <c r="EG73" s="280"/>
      <c r="EH73" s="280"/>
      <c r="EI73" s="280"/>
      <c r="EJ73" s="280"/>
      <c r="EK73" s="280"/>
      <c r="EL73" s="280"/>
      <c r="EM73" s="280"/>
      <c r="EN73" s="280"/>
      <c r="EO73" s="280"/>
      <c r="EP73" s="280"/>
      <c r="EQ73" s="280"/>
      <c r="ER73" s="280"/>
      <c r="ES73" s="280"/>
      <c r="ET73" s="280"/>
      <c r="EU73" s="280"/>
      <c r="EV73" s="280"/>
      <c r="EW73" s="280"/>
      <c r="EX73" s="280"/>
      <c r="EY73" s="280"/>
      <c r="EZ73" s="280"/>
      <c r="FA73" s="280"/>
      <c r="FB73" s="280"/>
      <c r="FC73" s="280"/>
      <c r="FD73" s="280"/>
      <c r="FE73" s="280"/>
      <c r="FF73" s="280"/>
      <c r="FG73" s="280"/>
      <c r="FH73" s="280"/>
      <c r="FI73" s="280"/>
      <c r="FJ73" s="280"/>
      <c r="FK73" s="280"/>
      <c r="FL73" s="280"/>
      <c r="FM73" s="280"/>
      <c r="FN73" s="280"/>
      <c r="FO73" s="280"/>
      <c r="FP73" s="280"/>
      <c r="FQ73" s="280"/>
      <c r="FR73" s="280"/>
      <c r="FS73" s="280"/>
      <c r="FT73" s="280"/>
      <c r="FU73" s="280"/>
      <c r="FV73" s="280"/>
      <c r="FW73" s="280"/>
      <c r="FX73" s="280"/>
      <c r="FY73" s="280"/>
      <c r="FZ73" s="280"/>
      <c r="GA73" s="280"/>
      <c r="GB73" s="280"/>
      <c r="GC73" s="280"/>
      <c r="GD73" s="280"/>
      <c r="GE73" s="280"/>
      <c r="GF73" s="280"/>
      <c r="GG73" s="280"/>
      <c r="GH73" s="280"/>
      <c r="GI73" s="280"/>
      <c r="GJ73" s="280"/>
      <c r="GK73" s="280"/>
      <c r="GL73" s="280"/>
      <c r="GM73" s="280"/>
      <c r="GN73" s="280"/>
      <c r="GO73" s="280"/>
      <c r="GP73" s="280"/>
      <c r="GQ73" s="280"/>
      <c r="GR73" s="280"/>
      <c r="GS73" s="280"/>
      <c r="GT73" s="280"/>
      <c r="GU73" s="280"/>
      <c r="GV73" s="280"/>
      <c r="GW73" s="280"/>
      <c r="GX73" s="280"/>
      <c r="GY73" s="280"/>
      <c r="GZ73" s="280"/>
      <c r="HA73" s="280"/>
      <c r="HB73" s="280"/>
      <c r="HC73" s="280"/>
      <c r="HD73" s="280"/>
      <c r="HE73" s="280"/>
      <c r="HF73" s="280"/>
      <c r="HG73" s="280"/>
      <c r="HH73" s="280"/>
      <c r="HI73" s="280"/>
      <c r="HJ73" s="280"/>
      <c r="HK73" s="280"/>
      <c r="HL73" s="280"/>
      <c r="HM73" s="280"/>
      <c r="HN73" s="280"/>
      <c r="HO73" s="280"/>
      <c r="HP73" s="280"/>
      <c r="HQ73" s="280"/>
      <c r="HR73" s="280"/>
      <c r="HS73" s="280"/>
      <c r="HT73" s="280"/>
      <c r="HU73" s="280"/>
      <c r="HV73" s="280"/>
      <c r="HW73" s="280"/>
      <c r="HX73" s="280"/>
      <c r="HY73" s="280"/>
      <c r="HZ73" s="280"/>
      <c r="IA73" s="280"/>
      <c r="IB73" s="280"/>
      <c r="IC73" s="280"/>
      <c r="ID73" s="280"/>
      <c r="IE73" s="280"/>
      <c r="IF73" s="280"/>
      <c r="IG73" s="280"/>
      <c r="IH73" s="280"/>
      <c r="II73" s="280"/>
      <c r="IJ73" s="280"/>
      <c r="IK73" s="280"/>
      <c r="IL73" s="280"/>
      <c r="IM73" s="280"/>
      <c r="IN73" s="280"/>
      <c r="IO73" s="280"/>
      <c r="IP73" s="280"/>
      <c r="IQ73" s="280"/>
      <c r="IR73" s="280"/>
      <c r="IS73" s="280"/>
      <c r="IT73" s="280"/>
      <c r="IU73" s="280"/>
      <c r="IV73" s="280"/>
    </row>
    <row r="74" spans="1:256" ht="15">
      <c r="A74" s="280"/>
      <c r="B74" s="280"/>
      <c r="C74" s="280"/>
      <c r="D74" s="280"/>
      <c r="E74" s="309"/>
      <c r="F74" s="280"/>
      <c r="G74" s="280"/>
      <c r="H74" s="280"/>
      <c r="I74" s="280"/>
      <c r="J74" s="280"/>
      <c r="K74" s="280"/>
      <c r="L74" s="280"/>
      <c r="M74" s="280"/>
      <c r="N74" s="280"/>
      <c r="O74" s="280"/>
      <c r="P74" s="280"/>
      <c r="Q74" s="280"/>
      <c r="R74" s="280"/>
      <c r="S74" s="281"/>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c r="DM74" s="280"/>
      <c r="DN74" s="280"/>
      <c r="DO74" s="280"/>
      <c r="DP74" s="280"/>
      <c r="DQ74" s="280"/>
      <c r="DR74" s="280"/>
      <c r="DS74" s="280"/>
      <c r="DT74" s="280"/>
      <c r="DU74" s="280"/>
      <c r="DV74" s="280"/>
      <c r="DW74" s="280"/>
      <c r="DX74" s="280"/>
      <c r="DY74" s="280"/>
      <c r="DZ74" s="280"/>
      <c r="EA74" s="280"/>
      <c r="EB74" s="280"/>
      <c r="EC74" s="280"/>
      <c r="ED74" s="280"/>
      <c r="EE74" s="280"/>
      <c r="EF74" s="280"/>
      <c r="EG74" s="280"/>
      <c r="EH74" s="280"/>
      <c r="EI74" s="280"/>
      <c r="EJ74" s="280"/>
      <c r="EK74" s="280"/>
      <c r="EL74" s="280"/>
      <c r="EM74" s="280"/>
      <c r="EN74" s="280"/>
      <c r="EO74" s="280"/>
      <c r="EP74" s="280"/>
      <c r="EQ74" s="280"/>
      <c r="ER74" s="280"/>
      <c r="ES74" s="280"/>
      <c r="ET74" s="280"/>
      <c r="EU74" s="280"/>
      <c r="EV74" s="280"/>
      <c r="EW74" s="280"/>
      <c r="EX74" s="280"/>
      <c r="EY74" s="280"/>
      <c r="EZ74" s="280"/>
      <c r="FA74" s="280"/>
      <c r="FB74" s="280"/>
      <c r="FC74" s="280"/>
      <c r="FD74" s="280"/>
      <c r="FE74" s="280"/>
      <c r="FF74" s="280"/>
      <c r="FG74" s="280"/>
      <c r="FH74" s="280"/>
      <c r="FI74" s="280"/>
      <c r="FJ74" s="280"/>
      <c r="FK74" s="280"/>
      <c r="FL74" s="280"/>
      <c r="FM74" s="280"/>
      <c r="FN74" s="280"/>
      <c r="FO74" s="280"/>
      <c r="FP74" s="280"/>
      <c r="FQ74" s="280"/>
      <c r="FR74" s="280"/>
      <c r="FS74" s="280"/>
      <c r="FT74" s="280"/>
      <c r="FU74" s="280"/>
      <c r="FV74" s="280"/>
      <c r="FW74" s="280"/>
      <c r="FX74" s="280"/>
      <c r="FY74" s="280"/>
      <c r="FZ74" s="280"/>
      <c r="GA74" s="280"/>
      <c r="GB74" s="280"/>
      <c r="GC74" s="280"/>
      <c r="GD74" s="280"/>
      <c r="GE74" s="280"/>
      <c r="GF74" s="280"/>
      <c r="GG74" s="280"/>
      <c r="GH74" s="280"/>
      <c r="GI74" s="280"/>
      <c r="GJ74" s="280"/>
      <c r="GK74" s="280"/>
      <c r="GL74" s="280"/>
      <c r="GM74" s="280"/>
      <c r="GN74" s="280"/>
      <c r="GO74" s="280"/>
      <c r="GP74" s="280"/>
      <c r="GQ74" s="280"/>
      <c r="GR74" s="280"/>
      <c r="GS74" s="280"/>
      <c r="GT74" s="280"/>
      <c r="GU74" s="280"/>
      <c r="GV74" s="280"/>
      <c r="GW74" s="280"/>
      <c r="GX74" s="280"/>
      <c r="GY74" s="280"/>
      <c r="GZ74" s="280"/>
      <c r="HA74" s="280"/>
      <c r="HB74" s="280"/>
      <c r="HC74" s="280"/>
      <c r="HD74" s="280"/>
      <c r="HE74" s="280"/>
      <c r="HF74" s="280"/>
      <c r="HG74" s="280"/>
      <c r="HH74" s="280"/>
      <c r="HI74" s="280"/>
      <c r="HJ74" s="280"/>
      <c r="HK74" s="280"/>
      <c r="HL74" s="280"/>
      <c r="HM74" s="280"/>
      <c r="HN74" s="280"/>
      <c r="HO74" s="280"/>
      <c r="HP74" s="280"/>
      <c r="HQ74" s="280"/>
      <c r="HR74" s="280"/>
      <c r="HS74" s="280"/>
      <c r="HT74" s="280"/>
      <c r="HU74" s="280"/>
      <c r="HV74" s="280"/>
      <c r="HW74" s="280"/>
      <c r="HX74" s="280"/>
      <c r="HY74" s="280"/>
      <c r="HZ74" s="280"/>
      <c r="IA74" s="280"/>
      <c r="IB74" s="280"/>
      <c r="IC74" s="280"/>
      <c r="ID74" s="280"/>
      <c r="IE74" s="280"/>
      <c r="IF74" s="280"/>
      <c r="IG74" s="280"/>
      <c r="IH74" s="280"/>
      <c r="II74" s="280"/>
      <c r="IJ74" s="280"/>
      <c r="IK74" s="280"/>
      <c r="IL74" s="280"/>
      <c r="IM74" s="280"/>
      <c r="IN74" s="280"/>
      <c r="IO74" s="280"/>
      <c r="IP74" s="280"/>
      <c r="IQ74" s="280"/>
      <c r="IR74" s="280"/>
      <c r="IS74" s="280"/>
      <c r="IT74" s="280"/>
      <c r="IU74" s="280"/>
      <c r="IV74" s="280"/>
    </row>
    <row r="75" spans="1:256" ht="15">
      <c r="A75" s="280"/>
      <c r="B75" s="280"/>
      <c r="C75" s="280"/>
      <c r="D75" s="280"/>
      <c r="E75" s="309"/>
      <c r="F75" s="280"/>
      <c r="G75" s="280"/>
      <c r="H75" s="280"/>
      <c r="I75" s="280"/>
      <c r="J75" s="280"/>
      <c r="K75" s="280"/>
      <c r="L75" s="280"/>
      <c r="M75" s="280"/>
      <c r="N75" s="280"/>
      <c r="O75" s="280"/>
      <c r="P75" s="280"/>
      <c r="Q75" s="280"/>
      <c r="R75" s="280"/>
      <c r="S75" s="281"/>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c r="DM75" s="280"/>
      <c r="DN75" s="280"/>
      <c r="DO75" s="280"/>
      <c r="DP75" s="280"/>
      <c r="DQ75" s="280"/>
      <c r="DR75" s="280"/>
      <c r="DS75" s="280"/>
      <c r="DT75" s="280"/>
      <c r="DU75" s="280"/>
      <c r="DV75" s="280"/>
      <c r="DW75" s="280"/>
      <c r="DX75" s="280"/>
      <c r="DY75" s="280"/>
      <c r="DZ75" s="280"/>
      <c r="EA75" s="280"/>
      <c r="EB75" s="280"/>
      <c r="EC75" s="280"/>
      <c r="ED75" s="280"/>
      <c r="EE75" s="280"/>
      <c r="EF75" s="280"/>
      <c r="EG75" s="280"/>
      <c r="EH75" s="280"/>
      <c r="EI75" s="280"/>
      <c r="EJ75" s="280"/>
      <c r="EK75" s="280"/>
      <c r="EL75" s="280"/>
      <c r="EM75" s="280"/>
      <c r="EN75" s="280"/>
      <c r="EO75" s="280"/>
      <c r="EP75" s="280"/>
      <c r="EQ75" s="280"/>
      <c r="ER75" s="280"/>
      <c r="ES75" s="280"/>
      <c r="ET75" s="280"/>
      <c r="EU75" s="280"/>
      <c r="EV75" s="280"/>
      <c r="EW75" s="280"/>
      <c r="EX75" s="280"/>
      <c r="EY75" s="280"/>
      <c r="EZ75" s="280"/>
      <c r="FA75" s="280"/>
      <c r="FB75" s="280"/>
      <c r="FC75" s="280"/>
      <c r="FD75" s="280"/>
      <c r="FE75" s="280"/>
      <c r="FF75" s="280"/>
      <c r="FG75" s="280"/>
      <c r="FH75" s="280"/>
      <c r="FI75" s="280"/>
      <c r="FJ75" s="280"/>
      <c r="FK75" s="280"/>
      <c r="FL75" s="280"/>
      <c r="FM75" s="280"/>
      <c r="FN75" s="280"/>
      <c r="FO75" s="280"/>
      <c r="FP75" s="280"/>
      <c r="FQ75" s="280"/>
      <c r="FR75" s="280"/>
      <c r="FS75" s="280"/>
      <c r="FT75" s="280"/>
      <c r="FU75" s="280"/>
      <c r="FV75" s="280"/>
      <c r="FW75" s="280"/>
      <c r="FX75" s="280"/>
      <c r="FY75" s="280"/>
      <c r="FZ75" s="280"/>
      <c r="GA75" s="280"/>
      <c r="GB75" s="280"/>
      <c r="GC75" s="280"/>
      <c r="GD75" s="280"/>
      <c r="GE75" s="280"/>
      <c r="GF75" s="280"/>
      <c r="GG75" s="280"/>
      <c r="GH75" s="280"/>
      <c r="GI75" s="280"/>
      <c r="GJ75" s="280"/>
      <c r="GK75" s="280"/>
      <c r="GL75" s="280"/>
      <c r="GM75" s="280"/>
      <c r="GN75" s="280"/>
      <c r="GO75" s="280"/>
      <c r="GP75" s="280"/>
      <c r="GQ75" s="280"/>
      <c r="GR75" s="280"/>
      <c r="GS75" s="280"/>
      <c r="GT75" s="280"/>
      <c r="GU75" s="280"/>
      <c r="GV75" s="280"/>
      <c r="GW75" s="280"/>
      <c r="GX75" s="280"/>
      <c r="GY75" s="280"/>
      <c r="GZ75" s="280"/>
      <c r="HA75" s="280"/>
      <c r="HB75" s="280"/>
      <c r="HC75" s="280"/>
      <c r="HD75" s="280"/>
      <c r="HE75" s="280"/>
      <c r="HF75" s="280"/>
      <c r="HG75" s="280"/>
      <c r="HH75" s="280"/>
      <c r="HI75" s="280"/>
      <c r="HJ75" s="280"/>
      <c r="HK75" s="280"/>
      <c r="HL75" s="280"/>
      <c r="HM75" s="280"/>
      <c r="HN75" s="280"/>
      <c r="HO75" s="280"/>
      <c r="HP75" s="280"/>
      <c r="HQ75" s="280"/>
      <c r="HR75" s="280"/>
      <c r="HS75" s="280"/>
      <c r="HT75" s="280"/>
      <c r="HU75" s="280"/>
      <c r="HV75" s="280"/>
      <c r="HW75" s="280"/>
      <c r="HX75" s="280"/>
      <c r="HY75" s="280"/>
      <c r="HZ75" s="280"/>
      <c r="IA75" s="280"/>
      <c r="IB75" s="280"/>
      <c r="IC75" s="280"/>
      <c r="ID75" s="280"/>
      <c r="IE75" s="280"/>
      <c r="IF75" s="280"/>
      <c r="IG75" s="280"/>
      <c r="IH75" s="280"/>
      <c r="II75" s="280"/>
      <c r="IJ75" s="280"/>
      <c r="IK75" s="280"/>
      <c r="IL75" s="280"/>
      <c r="IM75" s="280"/>
      <c r="IN75" s="280"/>
      <c r="IO75" s="280"/>
      <c r="IP75" s="280"/>
      <c r="IQ75" s="280"/>
      <c r="IR75" s="280"/>
      <c r="IS75" s="280"/>
      <c r="IT75" s="280"/>
      <c r="IU75" s="280"/>
      <c r="IV75" s="280"/>
    </row>
    <row r="76" spans="1:256" ht="15">
      <c r="A76" s="280"/>
      <c r="B76" s="280"/>
      <c r="C76" s="280"/>
      <c r="D76" s="280"/>
      <c r="E76" s="309"/>
      <c r="F76" s="280"/>
      <c r="G76" s="280"/>
      <c r="H76" s="280"/>
      <c r="I76" s="280"/>
      <c r="J76" s="280"/>
      <c r="K76" s="280"/>
      <c r="L76" s="280"/>
      <c r="M76" s="280"/>
      <c r="N76" s="280"/>
      <c r="O76" s="280"/>
      <c r="P76" s="280"/>
      <c r="Q76" s="280"/>
      <c r="R76" s="280"/>
      <c r="S76" s="281"/>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c r="DM76" s="280"/>
      <c r="DN76" s="280"/>
      <c r="DO76" s="280"/>
      <c r="DP76" s="280"/>
      <c r="DQ76" s="280"/>
      <c r="DR76" s="280"/>
      <c r="DS76" s="280"/>
      <c r="DT76" s="280"/>
      <c r="DU76" s="280"/>
      <c r="DV76" s="280"/>
      <c r="DW76" s="280"/>
      <c r="DX76" s="280"/>
      <c r="DY76" s="280"/>
      <c r="DZ76" s="280"/>
      <c r="EA76" s="280"/>
      <c r="EB76" s="280"/>
      <c r="EC76" s="280"/>
      <c r="ED76" s="280"/>
      <c r="EE76" s="280"/>
      <c r="EF76" s="280"/>
      <c r="EG76" s="280"/>
      <c r="EH76" s="280"/>
      <c r="EI76" s="280"/>
      <c r="EJ76" s="280"/>
      <c r="EK76" s="280"/>
      <c r="EL76" s="280"/>
      <c r="EM76" s="280"/>
      <c r="EN76" s="280"/>
      <c r="EO76" s="280"/>
      <c r="EP76" s="280"/>
      <c r="EQ76" s="280"/>
      <c r="ER76" s="280"/>
      <c r="ES76" s="280"/>
      <c r="ET76" s="280"/>
      <c r="EU76" s="280"/>
      <c r="EV76" s="280"/>
      <c r="EW76" s="280"/>
      <c r="EX76" s="280"/>
      <c r="EY76" s="280"/>
      <c r="EZ76" s="280"/>
      <c r="FA76" s="280"/>
      <c r="FB76" s="280"/>
      <c r="FC76" s="280"/>
      <c r="FD76" s="280"/>
      <c r="FE76" s="280"/>
      <c r="FF76" s="280"/>
      <c r="FG76" s="280"/>
      <c r="FH76" s="280"/>
      <c r="FI76" s="280"/>
      <c r="FJ76" s="280"/>
      <c r="FK76" s="280"/>
      <c r="FL76" s="280"/>
      <c r="FM76" s="280"/>
      <c r="FN76" s="280"/>
      <c r="FO76" s="280"/>
      <c r="FP76" s="280"/>
      <c r="FQ76" s="280"/>
      <c r="FR76" s="280"/>
      <c r="FS76" s="280"/>
      <c r="FT76" s="280"/>
      <c r="FU76" s="280"/>
      <c r="FV76" s="280"/>
      <c r="FW76" s="280"/>
      <c r="FX76" s="280"/>
      <c r="FY76" s="280"/>
      <c r="FZ76" s="280"/>
      <c r="GA76" s="280"/>
      <c r="GB76" s="280"/>
      <c r="GC76" s="280"/>
      <c r="GD76" s="280"/>
      <c r="GE76" s="280"/>
      <c r="GF76" s="280"/>
      <c r="GG76" s="280"/>
      <c r="GH76" s="280"/>
      <c r="GI76" s="280"/>
      <c r="GJ76" s="280"/>
      <c r="GK76" s="280"/>
      <c r="GL76" s="280"/>
      <c r="GM76" s="280"/>
      <c r="GN76" s="280"/>
      <c r="GO76" s="280"/>
      <c r="GP76" s="280"/>
      <c r="GQ76" s="280"/>
      <c r="GR76" s="280"/>
      <c r="GS76" s="280"/>
      <c r="GT76" s="280"/>
      <c r="GU76" s="280"/>
      <c r="GV76" s="280"/>
      <c r="GW76" s="280"/>
      <c r="GX76" s="280"/>
      <c r="GY76" s="280"/>
      <c r="GZ76" s="280"/>
      <c r="HA76" s="280"/>
      <c r="HB76" s="280"/>
      <c r="HC76" s="280"/>
      <c r="HD76" s="280"/>
      <c r="HE76" s="280"/>
      <c r="HF76" s="280"/>
      <c r="HG76" s="280"/>
      <c r="HH76" s="280"/>
      <c r="HI76" s="280"/>
      <c r="HJ76" s="280"/>
      <c r="HK76" s="280"/>
      <c r="HL76" s="280"/>
      <c r="HM76" s="280"/>
      <c r="HN76" s="280"/>
      <c r="HO76" s="280"/>
      <c r="HP76" s="280"/>
      <c r="HQ76" s="280"/>
      <c r="HR76" s="280"/>
      <c r="HS76" s="280"/>
      <c r="HT76" s="280"/>
      <c r="HU76" s="280"/>
      <c r="HV76" s="280"/>
      <c r="HW76" s="280"/>
      <c r="HX76" s="280"/>
      <c r="HY76" s="280"/>
      <c r="HZ76" s="280"/>
      <c r="IA76" s="280"/>
      <c r="IB76" s="280"/>
      <c r="IC76" s="280"/>
      <c r="ID76" s="280"/>
      <c r="IE76" s="280"/>
      <c r="IF76" s="280"/>
      <c r="IG76" s="280"/>
      <c r="IH76" s="280"/>
      <c r="II76" s="280"/>
      <c r="IJ76" s="280"/>
      <c r="IK76" s="280"/>
      <c r="IL76" s="280"/>
      <c r="IM76" s="280"/>
      <c r="IN76" s="280"/>
      <c r="IO76" s="280"/>
      <c r="IP76" s="280"/>
      <c r="IQ76" s="280"/>
      <c r="IR76" s="280"/>
      <c r="IS76" s="280"/>
      <c r="IT76" s="280"/>
      <c r="IU76" s="280"/>
      <c r="IV76" s="280"/>
    </row>
    <row r="77" spans="1:256" ht="15">
      <c r="A77" s="280"/>
      <c r="B77" s="280"/>
      <c r="C77" s="280"/>
      <c r="D77" s="280"/>
      <c r="E77" s="309"/>
      <c r="F77" s="280"/>
      <c r="G77" s="280"/>
      <c r="H77" s="280"/>
      <c r="I77" s="280"/>
      <c r="J77" s="280"/>
      <c r="K77" s="280"/>
      <c r="L77" s="280"/>
      <c r="M77" s="280"/>
      <c r="N77" s="280"/>
      <c r="O77" s="280"/>
      <c r="P77" s="280"/>
      <c r="Q77" s="280"/>
      <c r="R77" s="280"/>
      <c r="S77" s="281"/>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c r="DM77" s="280"/>
      <c r="DN77" s="280"/>
      <c r="DO77" s="280"/>
      <c r="DP77" s="280"/>
      <c r="DQ77" s="280"/>
      <c r="DR77" s="280"/>
      <c r="DS77" s="280"/>
      <c r="DT77" s="280"/>
      <c r="DU77" s="280"/>
      <c r="DV77" s="280"/>
      <c r="DW77" s="280"/>
      <c r="DX77" s="280"/>
      <c r="DY77" s="280"/>
      <c r="DZ77" s="280"/>
      <c r="EA77" s="280"/>
      <c r="EB77" s="280"/>
      <c r="EC77" s="280"/>
      <c r="ED77" s="280"/>
      <c r="EE77" s="280"/>
      <c r="EF77" s="280"/>
      <c r="EG77" s="280"/>
      <c r="EH77" s="280"/>
      <c r="EI77" s="280"/>
      <c r="EJ77" s="280"/>
      <c r="EK77" s="280"/>
      <c r="EL77" s="280"/>
      <c r="EM77" s="280"/>
      <c r="EN77" s="280"/>
      <c r="EO77" s="280"/>
      <c r="EP77" s="280"/>
      <c r="EQ77" s="280"/>
      <c r="ER77" s="280"/>
      <c r="ES77" s="280"/>
      <c r="ET77" s="280"/>
      <c r="EU77" s="280"/>
      <c r="EV77" s="280"/>
      <c r="EW77" s="280"/>
      <c r="EX77" s="280"/>
      <c r="EY77" s="280"/>
      <c r="EZ77" s="280"/>
      <c r="FA77" s="280"/>
      <c r="FB77" s="280"/>
      <c r="FC77" s="280"/>
      <c r="FD77" s="280"/>
      <c r="FE77" s="280"/>
      <c r="FF77" s="280"/>
      <c r="FG77" s="280"/>
      <c r="FH77" s="280"/>
      <c r="FI77" s="280"/>
      <c r="FJ77" s="280"/>
      <c r="FK77" s="280"/>
      <c r="FL77" s="280"/>
      <c r="FM77" s="280"/>
      <c r="FN77" s="280"/>
      <c r="FO77" s="280"/>
      <c r="FP77" s="280"/>
      <c r="FQ77" s="280"/>
      <c r="FR77" s="280"/>
      <c r="FS77" s="280"/>
      <c r="FT77" s="280"/>
      <c r="FU77" s="280"/>
      <c r="FV77" s="280"/>
      <c r="FW77" s="280"/>
      <c r="FX77" s="280"/>
      <c r="FY77" s="280"/>
      <c r="FZ77" s="280"/>
      <c r="GA77" s="280"/>
      <c r="GB77" s="280"/>
      <c r="GC77" s="280"/>
      <c r="GD77" s="280"/>
      <c r="GE77" s="280"/>
      <c r="GF77" s="280"/>
      <c r="GG77" s="280"/>
      <c r="GH77" s="280"/>
      <c r="GI77" s="280"/>
      <c r="GJ77" s="280"/>
      <c r="GK77" s="280"/>
      <c r="GL77" s="280"/>
      <c r="GM77" s="280"/>
      <c r="GN77" s="280"/>
      <c r="GO77" s="280"/>
      <c r="GP77" s="280"/>
      <c r="GQ77" s="280"/>
      <c r="GR77" s="280"/>
      <c r="GS77" s="280"/>
      <c r="GT77" s="280"/>
      <c r="GU77" s="280"/>
      <c r="GV77" s="280"/>
      <c r="GW77" s="280"/>
      <c r="GX77" s="280"/>
      <c r="GY77" s="280"/>
      <c r="GZ77" s="280"/>
      <c r="HA77" s="280"/>
      <c r="HB77" s="280"/>
      <c r="HC77" s="280"/>
      <c r="HD77" s="280"/>
      <c r="HE77" s="280"/>
      <c r="HF77" s="280"/>
      <c r="HG77" s="280"/>
      <c r="HH77" s="280"/>
      <c r="HI77" s="280"/>
      <c r="HJ77" s="280"/>
      <c r="HK77" s="280"/>
      <c r="HL77" s="280"/>
      <c r="HM77" s="280"/>
      <c r="HN77" s="280"/>
      <c r="HO77" s="280"/>
      <c r="HP77" s="280"/>
      <c r="HQ77" s="280"/>
      <c r="HR77" s="280"/>
      <c r="HS77" s="280"/>
      <c r="HT77" s="280"/>
      <c r="HU77" s="280"/>
      <c r="HV77" s="280"/>
      <c r="HW77" s="280"/>
      <c r="HX77" s="280"/>
      <c r="HY77" s="280"/>
      <c r="HZ77" s="280"/>
      <c r="IA77" s="280"/>
      <c r="IB77" s="280"/>
      <c r="IC77" s="280"/>
      <c r="ID77" s="280"/>
      <c r="IE77" s="280"/>
      <c r="IF77" s="280"/>
      <c r="IG77" s="280"/>
      <c r="IH77" s="280"/>
      <c r="II77" s="280"/>
      <c r="IJ77" s="280"/>
      <c r="IK77" s="280"/>
      <c r="IL77" s="280"/>
      <c r="IM77" s="280"/>
      <c r="IN77" s="280"/>
      <c r="IO77" s="280"/>
      <c r="IP77" s="280"/>
      <c r="IQ77" s="280"/>
      <c r="IR77" s="280"/>
      <c r="IS77" s="280"/>
      <c r="IT77" s="280"/>
      <c r="IU77" s="280"/>
      <c r="IV77" s="280"/>
    </row>
    <row r="78" spans="1:256" ht="15">
      <c r="A78" s="280"/>
      <c r="B78" s="280"/>
      <c r="C78" s="280"/>
      <c r="D78" s="280"/>
      <c r="E78" s="309"/>
      <c r="F78" s="280"/>
      <c r="G78" s="280"/>
      <c r="H78" s="280"/>
      <c r="I78" s="280"/>
      <c r="J78" s="280"/>
      <c r="K78" s="280"/>
      <c r="L78" s="280"/>
      <c r="M78" s="280"/>
      <c r="N78" s="280"/>
      <c r="O78" s="280"/>
      <c r="P78" s="280"/>
      <c r="Q78" s="280"/>
      <c r="R78" s="280"/>
      <c r="S78" s="281"/>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c r="DM78" s="280"/>
      <c r="DN78" s="280"/>
      <c r="DO78" s="280"/>
      <c r="DP78" s="280"/>
      <c r="DQ78" s="280"/>
      <c r="DR78" s="280"/>
      <c r="DS78" s="280"/>
      <c r="DT78" s="280"/>
      <c r="DU78" s="280"/>
      <c r="DV78" s="280"/>
      <c r="DW78" s="280"/>
      <c r="DX78" s="280"/>
      <c r="DY78" s="280"/>
      <c r="DZ78" s="280"/>
      <c r="EA78" s="280"/>
      <c r="EB78" s="280"/>
      <c r="EC78" s="280"/>
      <c r="ED78" s="280"/>
      <c r="EE78" s="280"/>
      <c r="EF78" s="280"/>
      <c r="EG78" s="280"/>
      <c r="EH78" s="280"/>
      <c r="EI78" s="280"/>
      <c r="EJ78" s="280"/>
      <c r="EK78" s="280"/>
      <c r="EL78" s="280"/>
      <c r="EM78" s="280"/>
      <c r="EN78" s="280"/>
      <c r="EO78" s="280"/>
      <c r="EP78" s="280"/>
      <c r="EQ78" s="280"/>
      <c r="ER78" s="280"/>
      <c r="ES78" s="280"/>
      <c r="ET78" s="280"/>
      <c r="EU78" s="280"/>
      <c r="EV78" s="280"/>
      <c r="EW78" s="280"/>
      <c r="EX78" s="280"/>
      <c r="EY78" s="280"/>
      <c r="EZ78" s="280"/>
      <c r="FA78" s="280"/>
      <c r="FB78" s="280"/>
      <c r="FC78" s="280"/>
      <c r="FD78" s="280"/>
      <c r="FE78" s="280"/>
      <c r="FF78" s="280"/>
      <c r="FG78" s="280"/>
      <c r="FH78" s="280"/>
      <c r="FI78" s="280"/>
      <c r="FJ78" s="280"/>
      <c r="FK78" s="280"/>
      <c r="FL78" s="280"/>
      <c r="FM78" s="280"/>
      <c r="FN78" s="280"/>
      <c r="FO78" s="280"/>
      <c r="FP78" s="280"/>
      <c r="FQ78" s="280"/>
      <c r="FR78" s="280"/>
      <c r="FS78" s="280"/>
      <c r="FT78" s="280"/>
      <c r="FU78" s="280"/>
      <c r="FV78" s="280"/>
      <c r="FW78" s="280"/>
      <c r="FX78" s="280"/>
      <c r="FY78" s="280"/>
      <c r="FZ78" s="280"/>
      <c r="GA78" s="280"/>
      <c r="GB78" s="280"/>
      <c r="GC78" s="280"/>
      <c r="GD78" s="280"/>
      <c r="GE78" s="280"/>
      <c r="GF78" s="280"/>
      <c r="GG78" s="280"/>
      <c r="GH78" s="280"/>
      <c r="GI78" s="280"/>
      <c r="GJ78" s="280"/>
      <c r="GK78" s="280"/>
      <c r="GL78" s="280"/>
      <c r="GM78" s="280"/>
      <c r="GN78" s="280"/>
      <c r="GO78" s="280"/>
      <c r="GP78" s="280"/>
      <c r="GQ78" s="280"/>
      <c r="GR78" s="280"/>
      <c r="GS78" s="280"/>
      <c r="GT78" s="280"/>
      <c r="GU78" s="280"/>
      <c r="GV78" s="280"/>
      <c r="GW78" s="280"/>
      <c r="GX78" s="280"/>
      <c r="GY78" s="280"/>
      <c r="GZ78" s="280"/>
      <c r="HA78" s="280"/>
      <c r="HB78" s="280"/>
      <c r="HC78" s="280"/>
      <c r="HD78" s="280"/>
      <c r="HE78" s="280"/>
      <c r="HF78" s="280"/>
      <c r="HG78" s="280"/>
      <c r="HH78" s="280"/>
      <c r="HI78" s="280"/>
      <c r="HJ78" s="280"/>
      <c r="HK78" s="280"/>
      <c r="HL78" s="280"/>
      <c r="HM78" s="280"/>
      <c r="HN78" s="280"/>
      <c r="HO78" s="280"/>
      <c r="HP78" s="280"/>
      <c r="HQ78" s="280"/>
      <c r="HR78" s="280"/>
      <c r="HS78" s="280"/>
      <c r="HT78" s="280"/>
      <c r="HU78" s="280"/>
      <c r="HV78" s="280"/>
      <c r="HW78" s="280"/>
      <c r="HX78" s="280"/>
      <c r="HY78" s="280"/>
      <c r="HZ78" s="280"/>
      <c r="IA78" s="280"/>
      <c r="IB78" s="280"/>
      <c r="IC78" s="280"/>
      <c r="ID78" s="280"/>
      <c r="IE78" s="280"/>
      <c r="IF78" s="280"/>
      <c r="IG78" s="280"/>
      <c r="IH78" s="280"/>
      <c r="II78" s="280"/>
      <c r="IJ78" s="280"/>
      <c r="IK78" s="280"/>
      <c r="IL78" s="280"/>
      <c r="IM78" s="280"/>
      <c r="IN78" s="280"/>
      <c r="IO78" s="280"/>
      <c r="IP78" s="280"/>
      <c r="IQ78" s="280"/>
      <c r="IR78" s="280"/>
      <c r="IS78" s="280"/>
      <c r="IT78" s="280"/>
      <c r="IU78" s="280"/>
      <c r="IV78" s="280"/>
    </row>
    <row r="79" spans="1:256" ht="15">
      <c r="A79" s="280"/>
      <c r="B79" s="280"/>
      <c r="C79" s="280"/>
      <c r="D79" s="280"/>
      <c r="E79" s="309"/>
      <c r="F79" s="280"/>
      <c r="G79" s="280"/>
      <c r="H79" s="280"/>
      <c r="I79" s="280"/>
      <c r="J79" s="280"/>
      <c r="K79" s="280"/>
      <c r="L79" s="280"/>
      <c r="M79" s="280"/>
      <c r="N79" s="280"/>
      <c r="O79" s="280"/>
      <c r="P79" s="280"/>
      <c r="Q79" s="280"/>
      <c r="R79" s="280"/>
      <c r="S79" s="281"/>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c r="DM79" s="280"/>
      <c r="DN79" s="280"/>
      <c r="DO79" s="280"/>
      <c r="DP79" s="280"/>
      <c r="DQ79" s="280"/>
      <c r="DR79" s="280"/>
      <c r="DS79" s="280"/>
      <c r="DT79" s="280"/>
      <c r="DU79" s="280"/>
      <c r="DV79" s="280"/>
      <c r="DW79" s="280"/>
      <c r="DX79" s="280"/>
      <c r="DY79" s="280"/>
      <c r="DZ79" s="280"/>
      <c r="EA79" s="280"/>
      <c r="EB79" s="280"/>
      <c r="EC79" s="280"/>
      <c r="ED79" s="280"/>
      <c r="EE79" s="280"/>
      <c r="EF79" s="280"/>
      <c r="EG79" s="280"/>
      <c r="EH79" s="280"/>
      <c r="EI79" s="280"/>
      <c r="EJ79" s="280"/>
      <c r="EK79" s="280"/>
      <c r="EL79" s="280"/>
      <c r="EM79" s="280"/>
      <c r="EN79" s="280"/>
      <c r="EO79" s="280"/>
      <c r="EP79" s="280"/>
      <c r="EQ79" s="280"/>
      <c r="ER79" s="280"/>
      <c r="ES79" s="280"/>
      <c r="ET79" s="280"/>
      <c r="EU79" s="280"/>
      <c r="EV79" s="280"/>
      <c r="EW79" s="280"/>
      <c r="EX79" s="280"/>
      <c r="EY79" s="280"/>
      <c r="EZ79" s="280"/>
      <c r="FA79" s="280"/>
      <c r="FB79" s="280"/>
      <c r="FC79" s="280"/>
      <c r="FD79" s="280"/>
      <c r="FE79" s="280"/>
      <c r="FF79" s="280"/>
      <c r="FG79" s="280"/>
      <c r="FH79" s="280"/>
      <c r="FI79" s="280"/>
      <c r="FJ79" s="280"/>
      <c r="FK79" s="280"/>
      <c r="FL79" s="280"/>
      <c r="FM79" s="280"/>
      <c r="FN79" s="280"/>
      <c r="FO79" s="280"/>
      <c r="FP79" s="280"/>
      <c r="FQ79" s="280"/>
      <c r="FR79" s="280"/>
      <c r="FS79" s="280"/>
      <c r="FT79" s="280"/>
      <c r="FU79" s="280"/>
      <c r="FV79" s="280"/>
      <c r="FW79" s="280"/>
      <c r="FX79" s="280"/>
      <c r="FY79" s="280"/>
      <c r="FZ79" s="280"/>
      <c r="GA79" s="280"/>
      <c r="GB79" s="280"/>
      <c r="GC79" s="280"/>
      <c r="GD79" s="280"/>
      <c r="GE79" s="280"/>
      <c r="GF79" s="280"/>
      <c r="GG79" s="280"/>
      <c r="GH79" s="280"/>
      <c r="GI79" s="280"/>
      <c r="GJ79" s="280"/>
      <c r="GK79" s="280"/>
      <c r="GL79" s="280"/>
      <c r="GM79" s="280"/>
      <c r="GN79" s="280"/>
      <c r="GO79" s="280"/>
      <c r="GP79" s="280"/>
      <c r="GQ79" s="280"/>
      <c r="GR79" s="280"/>
      <c r="GS79" s="280"/>
      <c r="GT79" s="280"/>
      <c r="GU79" s="280"/>
      <c r="GV79" s="280"/>
      <c r="GW79" s="280"/>
      <c r="GX79" s="280"/>
      <c r="GY79" s="280"/>
      <c r="GZ79" s="280"/>
      <c r="HA79" s="280"/>
      <c r="HB79" s="280"/>
      <c r="HC79" s="280"/>
      <c r="HD79" s="280"/>
      <c r="HE79" s="280"/>
      <c r="HF79" s="280"/>
      <c r="HG79" s="280"/>
      <c r="HH79" s="280"/>
      <c r="HI79" s="280"/>
      <c r="HJ79" s="280"/>
      <c r="HK79" s="280"/>
      <c r="HL79" s="280"/>
      <c r="HM79" s="280"/>
      <c r="HN79" s="280"/>
      <c r="HO79" s="280"/>
      <c r="HP79" s="280"/>
      <c r="HQ79" s="280"/>
      <c r="HR79" s="280"/>
      <c r="HS79" s="280"/>
      <c r="HT79" s="280"/>
      <c r="HU79" s="280"/>
      <c r="HV79" s="280"/>
      <c r="HW79" s="280"/>
      <c r="HX79" s="280"/>
      <c r="HY79" s="280"/>
      <c r="HZ79" s="280"/>
      <c r="IA79" s="280"/>
      <c r="IB79" s="280"/>
      <c r="IC79" s="280"/>
      <c r="ID79" s="280"/>
      <c r="IE79" s="280"/>
      <c r="IF79" s="280"/>
      <c r="IG79" s="280"/>
      <c r="IH79" s="280"/>
      <c r="II79" s="280"/>
      <c r="IJ79" s="280"/>
      <c r="IK79" s="280"/>
      <c r="IL79" s="280"/>
      <c r="IM79" s="280"/>
      <c r="IN79" s="280"/>
      <c r="IO79" s="280"/>
      <c r="IP79" s="280"/>
      <c r="IQ79" s="280"/>
      <c r="IR79" s="280"/>
      <c r="IS79" s="280"/>
      <c r="IT79" s="280"/>
      <c r="IU79" s="280"/>
      <c r="IV79" s="280"/>
    </row>
    <row r="80" spans="1:256" ht="15">
      <c r="A80" s="280"/>
      <c r="B80" s="280"/>
      <c r="C80" s="280"/>
      <c r="D80" s="280"/>
      <c r="E80" s="309"/>
      <c r="F80" s="280"/>
      <c r="G80" s="280"/>
      <c r="H80" s="280"/>
      <c r="I80" s="280"/>
      <c r="J80" s="280"/>
      <c r="K80" s="280"/>
      <c r="L80" s="280"/>
      <c r="M80" s="280"/>
      <c r="N80" s="280"/>
      <c r="O80" s="280"/>
      <c r="P80" s="280"/>
      <c r="Q80" s="280"/>
      <c r="R80" s="280"/>
      <c r="S80" s="281"/>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c r="DM80" s="280"/>
      <c r="DN80" s="280"/>
      <c r="DO80" s="280"/>
      <c r="DP80" s="280"/>
      <c r="DQ80" s="280"/>
      <c r="DR80" s="280"/>
      <c r="DS80" s="280"/>
      <c r="DT80" s="280"/>
      <c r="DU80" s="280"/>
      <c r="DV80" s="280"/>
      <c r="DW80" s="280"/>
      <c r="DX80" s="280"/>
      <c r="DY80" s="280"/>
      <c r="DZ80" s="280"/>
      <c r="EA80" s="280"/>
      <c r="EB80" s="280"/>
      <c r="EC80" s="280"/>
      <c r="ED80" s="280"/>
      <c r="EE80" s="280"/>
      <c r="EF80" s="280"/>
      <c r="EG80" s="280"/>
      <c r="EH80" s="280"/>
      <c r="EI80" s="280"/>
      <c r="EJ80" s="280"/>
      <c r="EK80" s="280"/>
      <c r="EL80" s="280"/>
      <c r="EM80" s="280"/>
      <c r="EN80" s="280"/>
      <c r="EO80" s="280"/>
      <c r="EP80" s="280"/>
      <c r="EQ80" s="280"/>
      <c r="ER80" s="280"/>
      <c r="ES80" s="280"/>
      <c r="ET80" s="280"/>
      <c r="EU80" s="280"/>
      <c r="EV80" s="280"/>
      <c r="EW80" s="280"/>
      <c r="EX80" s="280"/>
      <c r="EY80" s="280"/>
      <c r="EZ80" s="280"/>
      <c r="FA80" s="280"/>
      <c r="FB80" s="280"/>
      <c r="FC80" s="280"/>
      <c r="FD80" s="280"/>
      <c r="FE80" s="280"/>
      <c r="FF80" s="280"/>
      <c r="FG80" s="280"/>
      <c r="FH80" s="280"/>
      <c r="FI80" s="280"/>
      <c r="FJ80" s="280"/>
      <c r="FK80" s="280"/>
      <c r="FL80" s="280"/>
      <c r="FM80" s="280"/>
      <c r="FN80" s="280"/>
      <c r="FO80" s="280"/>
      <c r="FP80" s="280"/>
      <c r="FQ80" s="280"/>
      <c r="FR80" s="280"/>
      <c r="FS80" s="280"/>
      <c r="FT80" s="280"/>
      <c r="FU80" s="280"/>
      <c r="FV80" s="280"/>
      <c r="FW80" s="280"/>
      <c r="FX80" s="280"/>
      <c r="FY80" s="280"/>
      <c r="FZ80" s="280"/>
      <c r="GA80" s="280"/>
      <c r="GB80" s="280"/>
      <c r="GC80" s="280"/>
      <c r="GD80" s="280"/>
      <c r="GE80" s="280"/>
      <c r="GF80" s="280"/>
      <c r="GG80" s="280"/>
      <c r="GH80" s="280"/>
      <c r="GI80" s="280"/>
      <c r="GJ80" s="280"/>
      <c r="GK80" s="280"/>
      <c r="GL80" s="280"/>
      <c r="GM80" s="280"/>
      <c r="GN80" s="280"/>
      <c r="GO80" s="280"/>
      <c r="GP80" s="280"/>
      <c r="GQ80" s="280"/>
      <c r="GR80" s="280"/>
      <c r="GS80" s="280"/>
      <c r="GT80" s="280"/>
      <c r="GU80" s="280"/>
      <c r="GV80" s="280"/>
      <c r="GW80" s="280"/>
      <c r="GX80" s="280"/>
      <c r="GY80" s="280"/>
      <c r="GZ80" s="280"/>
      <c r="HA80" s="280"/>
      <c r="HB80" s="280"/>
      <c r="HC80" s="280"/>
      <c r="HD80" s="280"/>
      <c r="HE80" s="280"/>
      <c r="HF80" s="280"/>
      <c r="HG80" s="280"/>
      <c r="HH80" s="280"/>
      <c r="HI80" s="280"/>
      <c r="HJ80" s="280"/>
      <c r="HK80" s="280"/>
      <c r="HL80" s="280"/>
      <c r="HM80" s="280"/>
      <c r="HN80" s="280"/>
      <c r="HO80" s="280"/>
      <c r="HP80" s="280"/>
      <c r="HQ80" s="280"/>
      <c r="HR80" s="280"/>
      <c r="HS80" s="280"/>
      <c r="HT80" s="280"/>
      <c r="HU80" s="280"/>
      <c r="HV80" s="280"/>
      <c r="HW80" s="280"/>
      <c r="HX80" s="280"/>
      <c r="HY80" s="280"/>
      <c r="HZ80" s="280"/>
      <c r="IA80" s="280"/>
      <c r="IB80" s="280"/>
      <c r="IC80" s="280"/>
      <c r="ID80" s="280"/>
      <c r="IE80" s="280"/>
      <c r="IF80" s="280"/>
      <c r="IG80" s="280"/>
      <c r="IH80" s="280"/>
      <c r="II80" s="280"/>
      <c r="IJ80" s="280"/>
      <c r="IK80" s="280"/>
      <c r="IL80" s="280"/>
      <c r="IM80" s="280"/>
      <c r="IN80" s="280"/>
      <c r="IO80" s="280"/>
      <c r="IP80" s="280"/>
      <c r="IQ80" s="280"/>
      <c r="IR80" s="280"/>
      <c r="IS80" s="280"/>
      <c r="IT80" s="280"/>
      <c r="IU80" s="280"/>
      <c r="IV80" s="280"/>
    </row>
    <row r="81" spans="1:256" ht="15">
      <c r="A81" s="280"/>
      <c r="B81" s="280"/>
      <c r="C81" s="280"/>
      <c r="D81" s="280"/>
      <c r="E81" s="309"/>
      <c r="F81" s="280"/>
      <c r="G81" s="280"/>
      <c r="H81" s="280"/>
      <c r="I81" s="280"/>
      <c r="J81" s="280"/>
      <c r="K81" s="280"/>
      <c r="L81" s="280"/>
      <c r="M81" s="280"/>
      <c r="N81" s="280"/>
      <c r="O81" s="280"/>
      <c r="P81" s="280"/>
      <c r="Q81" s="280"/>
      <c r="R81" s="280"/>
      <c r="S81" s="281"/>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c r="DM81" s="280"/>
      <c r="DN81" s="280"/>
      <c r="DO81" s="280"/>
      <c r="DP81" s="280"/>
      <c r="DQ81" s="280"/>
      <c r="DR81" s="280"/>
      <c r="DS81" s="280"/>
      <c r="DT81" s="280"/>
      <c r="DU81" s="280"/>
      <c r="DV81" s="280"/>
      <c r="DW81" s="280"/>
      <c r="DX81" s="280"/>
      <c r="DY81" s="280"/>
      <c r="DZ81" s="280"/>
      <c r="EA81" s="280"/>
      <c r="EB81" s="280"/>
      <c r="EC81" s="280"/>
      <c r="ED81" s="280"/>
      <c r="EE81" s="280"/>
      <c r="EF81" s="280"/>
      <c r="EG81" s="280"/>
      <c r="EH81" s="280"/>
      <c r="EI81" s="280"/>
      <c r="EJ81" s="280"/>
      <c r="EK81" s="280"/>
      <c r="EL81" s="280"/>
      <c r="EM81" s="280"/>
      <c r="EN81" s="280"/>
      <c r="EO81" s="280"/>
      <c r="EP81" s="280"/>
      <c r="EQ81" s="280"/>
      <c r="ER81" s="280"/>
      <c r="ES81" s="280"/>
      <c r="ET81" s="280"/>
      <c r="EU81" s="280"/>
      <c r="EV81" s="280"/>
      <c r="EW81" s="280"/>
      <c r="EX81" s="280"/>
      <c r="EY81" s="280"/>
      <c r="EZ81" s="280"/>
      <c r="FA81" s="280"/>
      <c r="FB81" s="280"/>
      <c r="FC81" s="280"/>
      <c r="FD81" s="280"/>
      <c r="FE81" s="280"/>
      <c r="FF81" s="280"/>
      <c r="FG81" s="280"/>
      <c r="FH81" s="280"/>
      <c r="FI81" s="280"/>
      <c r="FJ81" s="280"/>
      <c r="FK81" s="280"/>
      <c r="FL81" s="280"/>
      <c r="FM81" s="280"/>
      <c r="FN81" s="280"/>
      <c r="FO81" s="280"/>
      <c r="FP81" s="280"/>
      <c r="FQ81" s="280"/>
      <c r="FR81" s="280"/>
      <c r="FS81" s="280"/>
      <c r="FT81" s="280"/>
      <c r="FU81" s="280"/>
      <c r="FV81" s="280"/>
      <c r="FW81" s="280"/>
      <c r="FX81" s="280"/>
      <c r="FY81" s="280"/>
      <c r="FZ81" s="280"/>
      <c r="GA81" s="280"/>
      <c r="GB81" s="280"/>
      <c r="GC81" s="280"/>
      <c r="GD81" s="280"/>
      <c r="GE81" s="280"/>
      <c r="GF81" s="280"/>
      <c r="GG81" s="280"/>
      <c r="GH81" s="280"/>
      <c r="GI81" s="280"/>
      <c r="GJ81" s="280"/>
      <c r="GK81" s="280"/>
      <c r="GL81" s="280"/>
      <c r="GM81" s="280"/>
      <c r="GN81" s="280"/>
      <c r="GO81" s="280"/>
      <c r="GP81" s="280"/>
      <c r="GQ81" s="280"/>
      <c r="GR81" s="280"/>
      <c r="GS81" s="280"/>
      <c r="GT81" s="280"/>
      <c r="GU81" s="280"/>
      <c r="GV81" s="280"/>
      <c r="GW81" s="280"/>
      <c r="GX81" s="280"/>
      <c r="GY81" s="280"/>
      <c r="GZ81" s="280"/>
      <c r="HA81" s="280"/>
      <c r="HB81" s="280"/>
      <c r="HC81" s="280"/>
      <c r="HD81" s="280"/>
      <c r="HE81" s="280"/>
      <c r="HF81" s="280"/>
      <c r="HG81" s="280"/>
      <c r="HH81" s="280"/>
      <c r="HI81" s="280"/>
      <c r="HJ81" s="280"/>
      <c r="HK81" s="280"/>
      <c r="HL81" s="280"/>
      <c r="HM81" s="280"/>
      <c r="HN81" s="280"/>
      <c r="HO81" s="280"/>
      <c r="HP81" s="280"/>
      <c r="HQ81" s="280"/>
      <c r="HR81" s="280"/>
      <c r="HS81" s="280"/>
      <c r="HT81" s="280"/>
      <c r="HU81" s="280"/>
      <c r="HV81" s="280"/>
      <c r="HW81" s="280"/>
      <c r="HX81" s="280"/>
      <c r="HY81" s="280"/>
      <c r="HZ81" s="280"/>
      <c r="IA81" s="280"/>
      <c r="IB81" s="280"/>
      <c r="IC81" s="280"/>
      <c r="ID81" s="280"/>
      <c r="IE81" s="280"/>
      <c r="IF81" s="280"/>
      <c r="IG81" s="280"/>
      <c r="IH81" s="280"/>
      <c r="II81" s="280"/>
      <c r="IJ81" s="280"/>
      <c r="IK81" s="280"/>
      <c r="IL81" s="280"/>
      <c r="IM81" s="280"/>
      <c r="IN81" s="280"/>
      <c r="IO81" s="280"/>
      <c r="IP81" s="280"/>
      <c r="IQ81" s="280"/>
      <c r="IR81" s="280"/>
      <c r="IS81" s="280"/>
      <c r="IT81" s="280"/>
      <c r="IU81" s="280"/>
      <c r="IV81" s="280"/>
    </row>
    <row r="82" spans="1:256" ht="15">
      <c r="A82" s="280"/>
      <c r="B82" s="280"/>
      <c r="C82" s="280"/>
      <c r="D82" s="280"/>
      <c r="E82" s="309"/>
      <c r="F82" s="280"/>
      <c r="G82" s="280"/>
      <c r="H82" s="280"/>
      <c r="I82" s="280"/>
      <c r="J82" s="280"/>
      <c r="K82" s="280"/>
      <c r="L82" s="280"/>
      <c r="M82" s="280"/>
      <c r="N82" s="280"/>
      <c r="O82" s="280"/>
      <c r="P82" s="280"/>
      <c r="Q82" s="280"/>
      <c r="R82" s="280"/>
      <c r="S82" s="281"/>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c r="DM82" s="280"/>
      <c r="DN82" s="280"/>
      <c r="DO82" s="280"/>
      <c r="DP82" s="280"/>
      <c r="DQ82" s="280"/>
      <c r="DR82" s="280"/>
      <c r="DS82" s="280"/>
      <c r="DT82" s="280"/>
      <c r="DU82" s="280"/>
      <c r="DV82" s="280"/>
      <c r="DW82" s="280"/>
      <c r="DX82" s="280"/>
      <c r="DY82" s="280"/>
      <c r="DZ82" s="280"/>
      <c r="EA82" s="280"/>
      <c r="EB82" s="280"/>
      <c r="EC82" s="280"/>
      <c r="ED82" s="280"/>
      <c r="EE82" s="280"/>
      <c r="EF82" s="280"/>
      <c r="EG82" s="280"/>
      <c r="EH82" s="280"/>
      <c r="EI82" s="280"/>
      <c r="EJ82" s="280"/>
      <c r="EK82" s="280"/>
      <c r="EL82" s="280"/>
      <c r="EM82" s="280"/>
      <c r="EN82" s="280"/>
      <c r="EO82" s="280"/>
      <c r="EP82" s="280"/>
      <c r="EQ82" s="280"/>
      <c r="ER82" s="280"/>
      <c r="ES82" s="280"/>
      <c r="ET82" s="280"/>
      <c r="EU82" s="280"/>
      <c r="EV82" s="280"/>
      <c r="EW82" s="280"/>
      <c r="EX82" s="280"/>
      <c r="EY82" s="280"/>
      <c r="EZ82" s="280"/>
      <c r="FA82" s="280"/>
      <c r="FB82" s="280"/>
      <c r="FC82" s="280"/>
      <c r="FD82" s="280"/>
      <c r="FE82" s="280"/>
      <c r="FF82" s="280"/>
      <c r="FG82" s="280"/>
      <c r="FH82" s="280"/>
      <c r="FI82" s="280"/>
      <c r="FJ82" s="280"/>
      <c r="FK82" s="280"/>
      <c r="FL82" s="280"/>
      <c r="FM82" s="280"/>
      <c r="FN82" s="280"/>
      <c r="FO82" s="280"/>
      <c r="FP82" s="280"/>
      <c r="FQ82" s="280"/>
      <c r="FR82" s="280"/>
      <c r="FS82" s="280"/>
      <c r="FT82" s="280"/>
      <c r="FU82" s="280"/>
      <c r="FV82" s="280"/>
      <c r="FW82" s="280"/>
      <c r="FX82" s="280"/>
      <c r="FY82" s="280"/>
      <c r="FZ82" s="280"/>
      <c r="GA82" s="280"/>
      <c r="GB82" s="280"/>
      <c r="GC82" s="280"/>
      <c r="GD82" s="280"/>
      <c r="GE82" s="280"/>
      <c r="GF82" s="280"/>
      <c r="GG82" s="280"/>
      <c r="GH82" s="280"/>
      <c r="GI82" s="280"/>
      <c r="GJ82" s="280"/>
      <c r="GK82" s="280"/>
      <c r="GL82" s="280"/>
      <c r="GM82" s="280"/>
      <c r="GN82" s="280"/>
      <c r="GO82" s="280"/>
      <c r="GP82" s="280"/>
      <c r="GQ82" s="280"/>
      <c r="GR82" s="280"/>
      <c r="GS82" s="280"/>
      <c r="GT82" s="280"/>
      <c r="GU82" s="280"/>
      <c r="GV82" s="280"/>
      <c r="GW82" s="280"/>
      <c r="GX82" s="280"/>
      <c r="GY82" s="280"/>
      <c r="GZ82" s="280"/>
      <c r="HA82" s="280"/>
      <c r="HB82" s="280"/>
      <c r="HC82" s="280"/>
      <c r="HD82" s="280"/>
      <c r="HE82" s="280"/>
      <c r="HF82" s="280"/>
      <c r="HG82" s="280"/>
      <c r="HH82" s="280"/>
      <c r="HI82" s="280"/>
      <c r="HJ82" s="280"/>
      <c r="HK82" s="280"/>
      <c r="HL82" s="280"/>
      <c r="HM82" s="280"/>
      <c r="HN82" s="280"/>
      <c r="HO82" s="280"/>
      <c r="HP82" s="280"/>
      <c r="HQ82" s="280"/>
      <c r="HR82" s="280"/>
      <c r="HS82" s="280"/>
      <c r="HT82" s="280"/>
      <c r="HU82" s="280"/>
      <c r="HV82" s="280"/>
      <c r="HW82" s="280"/>
      <c r="HX82" s="280"/>
      <c r="HY82" s="280"/>
      <c r="HZ82" s="280"/>
      <c r="IA82" s="280"/>
      <c r="IB82" s="280"/>
      <c r="IC82" s="280"/>
      <c r="ID82" s="280"/>
      <c r="IE82" s="280"/>
      <c r="IF82" s="280"/>
      <c r="IG82" s="280"/>
      <c r="IH82" s="280"/>
      <c r="II82" s="280"/>
      <c r="IJ82" s="280"/>
      <c r="IK82" s="280"/>
      <c r="IL82" s="280"/>
      <c r="IM82" s="280"/>
      <c r="IN82" s="280"/>
      <c r="IO82" s="280"/>
      <c r="IP82" s="280"/>
      <c r="IQ82" s="280"/>
      <c r="IR82" s="280"/>
      <c r="IS82" s="280"/>
      <c r="IT82" s="280"/>
      <c r="IU82" s="280"/>
      <c r="IV82" s="280"/>
    </row>
    <row r="83" spans="1:256" ht="15">
      <c r="A83" s="280"/>
      <c r="B83" s="280"/>
      <c r="C83" s="280"/>
      <c r="D83" s="280"/>
      <c r="E83" s="309"/>
      <c r="F83" s="280"/>
      <c r="G83" s="280"/>
      <c r="H83" s="280"/>
      <c r="I83" s="280"/>
      <c r="J83" s="280"/>
      <c r="K83" s="280"/>
      <c r="L83" s="280"/>
      <c r="M83" s="280"/>
      <c r="N83" s="280"/>
      <c r="O83" s="280"/>
      <c r="P83" s="280"/>
      <c r="Q83" s="280"/>
      <c r="R83" s="280"/>
      <c r="S83" s="281"/>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c r="DM83" s="280"/>
      <c r="DN83" s="280"/>
      <c r="DO83" s="280"/>
      <c r="DP83" s="280"/>
      <c r="DQ83" s="280"/>
      <c r="DR83" s="280"/>
      <c r="DS83" s="280"/>
      <c r="DT83" s="280"/>
      <c r="DU83" s="280"/>
      <c r="DV83" s="280"/>
      <c r="DW83" s="280"/>
      <c r="DX83" s="280"/>
      <c r="DY83" s="280"/>
      <c r="DZ83" s="280"/>
      <c r="EA83" s="280"/>
      <c r="EB83" s="280"/>
      <c r="EC83" s="280"/>
      <c r="ED83" s="280"/>
      <c r="EE83" s="280"/>
      <c r="EF83" s="280"/>
      <c r="EG83" s="280"/>
      <c r="EH83" s="280"/>
      <c r="EI83" s="280"/>
      <c r="EJ83" s="280"/>
      <c r="EK83" s="280"/>
      <c r="EL83" s="280"/>
      <c r="EM83" s="280"/>
      <c r="EN83" s="280"/>
      <c r="EO83" s="280"/>
      <c r="EP83" s="280"/>
      <c r="EQ83" s="280"/>
      <c r="ER83" s="280"/>
      <c r="ES83" s="280"/>
      <c r="ET83" s="280"/>
      <c r="EU83" s="280"/>
      <c r="EV83" s="280"/>
      <c r="EW83" s="280"/>
      <c r="EX83" s="280"/>
      <c r="EY83" s="280"/>
      <c r="EZ83" s="280"/>
      <c r="FA83" s="280"/>
      <c r="FB83" s="280"/>
      <c r="FC83" s="280"/>
      <c r="FD83" s="280"/>
      <c r="FE83" s="280"/>
      <c r="FF83" s="280"/>
      <c r="FG83" s="280"/>
      <c r="FH83" s="280"/>
      <c r="FI83" s="280"/>
      <c r="FJ83" s="280"/>
      <c r="FK83" s="280"/>
      <c r="FL83" s="280"/>
      <c r="FM83" s="280"/>
      <c r="FN83" s="280"/>
      <c r="FO83" s="280"/>
      <c r="FP83" s="280"/>
      <c r="FQ83" s="280"/>
      <c r="FR83" s="280"/>
      <c r="FS83" s="280"/>
      <c r="FT83" s="280"/>
      <c r="FU83" s="280"/>
      <c r="FV83" s="280"/>
      <c r="FW83" s="280"/>
      <c r="FX83" s="280"/>
      <c r="FY83" s="280"/>
      <c r="FZ83" s="280"/>
      <c r="GA83" s="280"/>
      <c r="GB83" s="280"/>
      <c r="GC83" s="280"/>
      <c r="GD83" s="280"/>
      <c r="GE83" s="280"/>
      <c r="GF83" s="280"/>
      <c r="GG83" s="280"/>
      <c r="GH83" s="280"/>
      <c r="GI83" s="280"/>
      <c r="GJ83" s="280"/>
      <c r="GK83" s="280"/>
      <c r="GL83" s="280"/>
      <c r="GM83" s="280"/>
      <c r="GN83" s="280"/>
      <c r="GO83" s="280"/>
      <c r="GP83" s="280"/>
      <c r="GQ83" s="280"/>
      <c r="GR83" s="280"/>
      <c r="GS83" s="280"/>
      <c r="GT83" s="280"/>
      <c r="GU83" s="280"/>
      <c r="GV83" s="280"/>
      <c r="GW83" s="280"/>
      <c r="GX83" s="280"/>
      <c r="GY83" s="280"/>
      <c r="GZ83" s="280"/>
      <c r="HA83" s="280"/>
      <c r="HB83" s="280"/>
      <c r="HC83" s="280"/>
      <c r="HD83" s="280"/>
      <c r="HE83" s="280"/>
      <c r="HF83" s="280"/>
      <c r="HG83" s="280"/>
      <c r="HH83" s="280"/>
      <c r="HI83" s="280"/>
      <c r="HJ83" s="280"/>
      <c r="HK83" s="280"/>
      <c r="HL83" s="280"/>
      <c r="HM83" s="280"/>
      <c r="HN83" s="280"/>
      <c r="HO83" s="280"/>
      <c r="HP83" s="280"/>
      <c r="HQ83" s="280"/>
      <c r="HR83" s="280"/>
      <c r="HS83" s="280"/>
      <c r="HT83" s="280"/>
      <c r="HU83" s="280"/>
      <c r="HV83" s="280"/>
      <c r="HW83" s="280"/>
      <c r="HX83" s="280"/>
      <c r="HY83" s="280"/>
      <c r="HZ83" s="280"/>
      <c r="IA83" s="280"/>
      <c r="IB83" s="280"/>
      <c r="IC83" s="280"/>
      <c r="ID83" s="280"/>
      <c r="IE83" s="280"/>
      <c r="IF83" s="280"/>
      <c r="IG83" s="280"/>
      <c r="IH83" s="280"/>
      <c r="II83" s="280"/>
      <c r="IJ83" s="280"/>
      <c r="IK83" s="280"/>
      <c r="IL83" s="280"/>
      <c r="IM83" s="280"/>
      <c r="IN83" s="280"/>
      <c r="IO83" s="280"/>
      <c r="IP83" s="280"/>
      <c r="IQ83" s="280"/>
      <c r="IR83" s="280"/>
      <c r="IS83" s="280"/>
      <c r="IT83" s="280"/>
      <c r="IU83" s="280"/>
      <c r="IV83" s="280"/>
    </row>
  </sheetData>
  <sheetProtection/>
  <mergeCells count="6">
    <mergeCell ref="A1:L1"/>
    <mergeCell ref="D3:F3"/>
    <mergeCell ref="G3:I3"/>
    <mergeCell ref="J3:L3"/>
    <mergeCell ref="A4:C4"/>
    <mergeCell ref="B64:L65"/>
  </mergeCells>
  <printOptions/>
  <pageMargins left="0.45" right="0.45" top="0.5" bottom="0.5" header="0.3" footer="0.3"/>
  <pageSetup fitToHeight="1" fitToWidth="1" horizontalDpi="600" verticalDpi="600" orientation="portrait" scale="69" r:id="rId1"/>
</worksheet>
</file>

<file path=xl/worksheets/sheet10.xml><?xml version="1.0" encoding="utf-8"?>
<worksheet xmlns="http://schemas.openxmlformats.org/spreadsheetml/2006/main" xmlns:r="http://schemas.openxmlformats.org/officeDocument/2006/relationships">
  <sheetPr>
    <pageSetUpPr fitToPage="1"/>
  </sheetPr>
  <dimension ref="A1:I53"/>
  <sheetViews>
    <sheetView zoomScalePageLayoutView="0" workbookViewId="0" topLeftCell="A1">
      <selection activeCell="F25" sqref="F25"/>
    </sheetView>
  </sheetViews>
  <sheetFormatPr defaultColWidth="9.140625" defaultRowHeight="12.75"/>
  <cols>
    <col min="1" max="1" width="62.28125" style="0" bestFit="1" customWidth="1"/>
    <col min="3" max="3" width="11.28125" style="0" bestFit="1" customWidth="1"/>
    <col min="4" max="4" width="12.57421875" style="0" bestFit="1" customWidth="1"/>
    <col min="5" max="5" width="2.7109375" style="0" customWidth="1"/>
    <col min="6" max="6" width="12.7109375" style="0" bestFit="1" customWidth="1"/>
    <col min="7" max="7" width="12.140625" style="0" bestFit="1" customWidth="1"/>
  </cols>
  <sheetData>
    <row r="1" spans="1:5" ht="23.25">
      <c r="A1" s="22" t="s">
        <v>12</v>
      </c>
      <c r="B1" s="22"/>
      <c r="C1" s="12"/>
      <c r="D1" s="12"/>
      <c r="E1" s="23"/>
    </row>
    <row r="2" spans="1:5" ht="15.75">
      <c r="A2" s="24" t="s">
        <v>129</v>
      </c>
      <c r="B2" s="24"/>
      <c r="C2" s="25"/>
      <c r="D2" s="26"/>
      <c r="E2" s="23"/>
    </row>
    <row r="3" spans="1:7" ht="15.75">
      <c r="A3" s="24"/>
      <c r="B3" s="24"/>
      <c r="C3" s="25"/>
      <c r="D3" s="147"/>
      <c r="E3" s="148"/>
      <c r="F3" s="149"/>
      <c r="G3" s="149"/>
    </row>
    <row r="4" spans="1:7" ht="15">
      <c r="A4" s="27"/>
      <c r="B4" s="27"/>
      <c r="C4" s="25"/>
      <c r="D4" s="147"/>
      <c r="E4" s="148"/>
      <c r="F4" s="149"/>
      <c r="G4" s="149"/>
    </row>
    <row r="5" spans="1:7" ht="15">
      <c r="A5" s="28"/>
      <c r="B5" s="28"/>
      <c r="C5" s="25"/>
      <c r="D5" s="150" t="s">
        <v>13</v>
      </c>
      <c r="E5" s="148"/>
      <c r="F5" s="151"/>
      <c r="G5" s="151" t="s">
        <v>14</v>
      </c>
    </row>
    <row r="6" spans="1:7" ht="17.25">
      <c r="A6" s="12"/>
      <c r="B6" s="12"/>
      <c r="C6" s="25"/>
      <c r="D6" s="152" t="s">
        <v>15</v>
      </c>
      <c r="E6" s="148"/>
      <c r="F6" s="153" t="s">
        <v>16</v>
      </c>
      <c r="G6" s="153" t="s">
        <v>17</v>
      </c>
    </row>
    <row r="7" spans="1:7" ht="15">
      <c r="A7" s="29" t="s">
        <v>18</v>
      </c>
      <c r="B7" s="29"/>
      <c r="C7" s="25"/>
      <c r="D7" s="154"/>
      <c r="E7" s="148"/>
      <c r="F7" s="149"/>
      <c r="G7" s="149"/>
    </row>
    <row r="8" spans="1:7" ht="17.25">
      <c r="A8" s="155" t="s">
        <v>130</v>
      </c>
      <c r="B8" s="12"/>
      <c r="C8" s="25"/>
      <c r="D8" s="156">
        <f>+'[1]Budget vs. Actual'!G9</f>
        <v>37531.916666666664</v>
      </c>
      <c r="E8" s="148"/>
      <c r="F8" s="157">
        <f>+'[1]Customer Counts'!F32</f>
        <v>20642.666666666668</v>
      </c>
      <c r="G8" s="157">
        <f>+D8-F8</f>
        <v>16889.249999999996</v>
      </c>
    </row>
    <row r="9" spans="1:7" ht="15">
      <c r="A9" s="12"/>
      <c r="B9" s="12"/>
      <c r="C9" s="25"/>
      <c r="D9" s="158"/>
      <c r="E9" s="148"/>
      <c r="F9" s="159">
        <f>+F8/D8</f>
        <v>0.5500029974488381</v>
      </c>
      <c r="G9" s="159">
        <f>+G8/D8</f>
        <v>0.44999700255116193</v>
      </c>
    </row>
    <row r="10" spans="1:7" ht="15">
      <c r="A10" s="12"/>
      <c r="B10" s="12"/>
      <c r="C10" s="25"/>
      <c r="D10" s="158"/>
      <c r="E10" s="148"/>
      <c r="F10" s="149"/>
      <c r="G10" s="149"/>
    </row>
    <row r="11" spans="1:7" ht="15">
      <c r="A11" s="29" t="s">
        <v>20</v>
      </c>
      <c r="B11" s="29"/>
      <c r="C11" s="25"/>
      <c r="D11" s="158"/>
      <c r="E11" s="148"/>
      <c r="F11" s="149"/>
      <c r="G11" s="149"/>
    </row>
    <row r="12" spans="1:7" ht="17.25">
      <c r="A12" s="30" t="s">
        <v>21</v>
      </c>
      <c r="B12" s="30"/>
      <c r="C12" s="25"/>
      <c r="D12" s="160">
        <f>+'[1]Budget vs. Actual'!G13</f>
        <v>28835.890000000003</v>
      </c>
      <c r="E12" s="148"/>
      <c r="F12" s="161">
        <f>+D12*F9</f>
        <v>15859.825934104976</v>
      </c>
      <c r="G12" s="161">
        <f>+D12*G9</f>
        <v>12976.064065895027</v>
      </c>
    </row>
    <row r="13" spans="1:7" ht="15">
      <c r="A13" s="31"/>
      <c r="B13" s="31"/>
      <c r="C13" s="25"/>
      <c r="D13" s="158"/>
      <c r="E13" s="148"/>
      <c r="F13" s="159">
        <f>+F12/D12</f>
        <v>0.5500029974488381</v>
      </c>
      <c r="G13" s="159">
        <f>+G12/D12</f>
        <v>0.449997002551162</v>
      </c>
    </row>
    <row r="14" spans="1:7" ht="15">
      <c r="A14" s="31"/>
      <c r="B14" s="31"/>
      <c r="C14" s="25"/>
      <c r="D14" s="158"/>
      <c r="E14" s="148"/>
      <c r="F14" s="149"/>
      <c r="G14" s="149"/>
    </row>
    <row r="15" spans="1:7" ht="21">
      <c r="A15" s="32" t="s">
        <v>22</v>
      </c>
      <c r="B15" s="32"/>
      <c r="C15" s="25"/>
      <c r="D15" s="154"/>
      <c r="E15" s="148"/>
      <c r="F15" s="149"/>
      <c r="G15" s="149"/>
    </row>
    <row r="16" spans="1:7" ht="32.25">
      <c r="A16" s="33" t="s">
        <v>23</v>
      </c>
      <c r="B16" s="33"/>
      <c r="C16" s="34"/>
      <c r="D16" s="162">
        <f>+'[1]Budget vs. Actual'!G17</f>
        <v>2122179.807110357</v>
      </c>
      <c r="E16" s="148"/>
      <c r="F16" s="163">
        <f>+D16*F13</f>
        <v>1167205.2550360933</v>
      </c>
      <c r="G16" s="163">
        <f>+D16*G13</f>
        <v>954974.5520742638</v>
      </c>
    </row>
    <row r="17" spans="1:7" ht="15">
      <c r="A17" s="33"/>
      <c r="B17" s="33"/>
      <c r="C17" s="34"/>
      <c r="D17" s="164"/>
      <c r="E17" s="148"/>
      <c r="F17" s="159">
        <f>+F16/D16</f>
        <v>0.5500029974488381</v>
      </c>
      <c r="G17" s="159">
        <f>+G16/D16</f>
        <v>0.449997002551162</v>
      </c>
    </row>
    <row r="18" spans="1:7" ht="21">
      <c r="A18" s="32" t="s">
        <v>24</v>
      </c>
      <c r="B18" s="33"/>
      <c r="C18" s="34"/>
      <c r="D18" s="164"/>
      <c r="E18" s="148"/>
      <c r="F18" s="159"/>
      <c r="G18" s="159"/>
    </row>
    <row r="19" spans="1:7" ht="15">
      <c r="A19" s="33" t="s">
        <v>25</v>
      </c>
      <c r="B19" s="33"/>
      <c r="C19" s="73">
        <v>0.5</v>
      </c>
      <c r="D19" s="165">
        <f>ROUND(+D16*C19,-2)</f>
        <v>1061100</v>
      </c>
      <c r="E19" s="166"/>
      <c r="F19" s="167">
        <f>ROUND(+D19*F17,-1)</f>
        <v>583610</v>
      </c>
      <c r="G19" s="168">
        <f>ROUND(+D19*G17,-1)</f>
        <v>477490</v>
      </c>
    </row>
    <row r="20" spans="1:7" ht="15">
      <c r="A20" s="33" t="s">
        <v>113</v>
      </c>
      <c r="B20" s="33"/>
      <c r="C20" s="73"/>
      <c r="D20" s="165">
        <f>-'[1]Budget vs. Actual'!G41</f>
        <v>-47000</v>
      </c>
      <c r="E20" s="166"/>
      <c r="F20" s="167">
        <f>ROUND(+$F$17*D20,-3)</f>
        <v>-26000</v>
      </c>
      <c r="G20" s="168">
        <f>ROUND(+$G$17*D20,-3)</f>
        <v>-21000</v>
      </c>
    </row>
    <row r="21" spans="1:7" ht="17.25">
      <c r="A21" s="33" t="s">
        <v>131</v>
      </c>
      <c r="B21" s="33"/>
      <c r="C21" s="73"/>
      <c r="D21" s="169">
        <f>ROUND(-'[1]Budget vs. Actual'!G45,-2)</f>
        <v>24800</v>
      </c>
      <c r="E21" s="170"/>
      <c r="F21" s="171">
        <f>+D21*F17</f>
        <v>13640.074336731184</v>
      </c>
      <c r="G21" s="172">
        <f>+D21*G17</f>
        <v>11159.925663268818</v>
      </c>
    </row>
    <row r="22" spans="1:7" ht="17.25">
      <c r="A22" s="33"/>
      <c r="B22" s="33"/>
      <c r="C22" s="73"/>
      <c r="D22" s="173">
        <f>SUM(D19:D21)</f>
        <v>1038900</v>
      </c>
      <c r="E22" s="173"/>
      <c r="F22" s="173">
        <f>SUM(F19:F21)</f>
        <v>571250.0743367312</v>
      </c>
      <c r="G22" s="173">
        <f>SUM(G19:G21)</f>
        <v>467649.92566326883</v>
      </c>
    </row>
    <row r="23" spans="1:7" ht="17.25">
      <c r="A23" s="36"/>
      <c r="B23" s="36"/>
      <c r="C23" s="25"/>
      <c r="D23" s="174"/>
      <c r="E23" s="148"/>
      <c r="F23" s="149"/>
      <c r="G23" s="149"/>
    </row>
    <row r="24" spans="1:7" ht="18.75">
      <c r="A24" s="37" t="s">
        <v>26</v>
      </c>
      <c r="B24" s="37"/>
      <c r="C24" s="25"/>
      <c r="D24" s="154"/>
      <c r="E24" s="148"/>
      <c r="F24" s="175"/>
      <c r="G24" s="149"/>
    </row>
    <row r="25" spans="1:7" ht="17.25">
      <c r="A25" s="38" t="s">
        <v>27</v>
      </c>
      <c r="B25" s="38"/>
      <c r="C25" s="25"/>
      <c r="D25" s="176">
        <f>+D51</f>
        <v>302800</v>
      </c>
      <c r="E25" s="148"/>
      <c r="F25" s="177">
        <f>ROUND(+$F$17*D25,-3)</f>
        <v>167000</v>
      </c>
      <c r="G25" s="178">
        <f>ROUND(+$G$17*D25,-3)</f>
        <v>136000</v>
      </c>
    </row>
    <row r="26" spans="1:7" ht="15">
      <c r="A26" s="38"/>
      <c r="B26" s="38"/>
      <c r="C26" s="39"/>
      <c r="D26" s="150"/>
      <c r="E26" s="148"/>
      <c r="F26" s="175"/>
      <c r="G26" s="168"/>
    </row>
    <row r="27" spans="1:7" ht="15">
      <c r="A27" s="40" t="s">
        <v>28</v>
      </c>
      <c r="B27" s="40"/>
      <c r="C27" s="41"/>
      <c r="D27" s="179"/>
      <c r="E27" s="148"/>
      <c r="F27" s="175"/>
      <c r="G27" s="168"/>
    </row>
    <row r="28" spans="1:7" ht="15">
      <c r="A28" s="45" t="s">
        <v>106</v>
      </c>
      <c r="B28" s="45"/>
      <c r="C28" s="44"/>
      <c r="D28" s="180">
        <v>403100</v>
      </c>
      <c r="E28" s="181"/>
      <c r="F28" s="175">
        <f>ROUND(+$F$17*D28,-3)</f>
        <v>222000</v>
      </c>
      <c r="G28" s="168">
        <f>ROUND(+$G$17*D28,-3)</f>
        <v>181000</v>
      </c>
    </row>
    <row r="29" spans="1:8" ht="15">
      <c r="A29" s="45" t="s">
        <v>107</v>
      </c>
      <c r="B29" s="45"/>
      <c r="C29" s="47"/>
      <c r="D29" s="180">
        <v>214000</v>
      </c>
      <c r="E29" s="148"/>
      <c r="F29" s="175">
        <f>ROUND(+$F$17*D29,-3)</f>
        <v>118000</v>
      </c>
      <c r="G29" s="168">
        <f>ROUND(+$G$17*D29,-3)</f>
        <v>96000</v>
      </c>
      <c r="H29" s="11"/>
    </row>
    <row r="30" spans="1:7" ht="17.25">
      <c r="A30" s="45" t="s">
        <v>132</v>
      </c>
      <c r="B30" s="45"/>
      <c r="C30" s="47"/>
      <c r="D30" s="182">
        <f>+'[1]CRC Upgrades'!C15</f>
        <v>70000</v>
      </c>
      <c r="E30" s="183"/>
      <c r="F30" s="184">
        <f>ROUND(+$F$17*D30,-3)</f>
        <v>39000</v>
      </c>
      <c r="G30" s="172">
        <f>ROUND(+$G$17*D30,-3)</f>
        <v>31000</v>
      </c>
    </row>
    <row r="31" spans="1:7" ht="15">
      <c r="A31" s="38" t="s">
        <v>29</v>
      </c>
      <c r="B31" s="38"/>
      <c r="C31" s="48"/>
      <c r="D31" s="179">
        <f>SUM(D28:D30)</f>
        <v>687100</v>
      </c>
      <c r="E31" s="179"/>
      <c r="F31" s="179">
        <f>SUM(F28:F30)</f>
        <v>379000</v>
      </c>
      <c r="G31" s="179">
        <f>SUM(G28:G30)</f>
        <v>308000</v>
      </c>
    </row>
    <row r="32" spans="1:7" ht="15">
      <c r="A32" s="38"/>
      <c r="B32" s="38"/>
      <c r="C32" s="48"/>
      <c r="D32" s="149"/>
      <c r="E32" s="149"/>
      <c r="F32" s="149"/>
      <c r="G32" s="149"/>
    </row>
    <row r="33" spans="1:7" ht="17.25">
      <c r="A33" s="38" t="s">
        <v>30</v>
      </c>
      <c r="B33" s="38"/>
      <c r="C33" s="48"/>
      <c r="D33" s="185">
        <f>+D31+D25</f>
        <v>989900</v>
      </c>
      <c r="E33" s="185"/>
      <c r="F33" s="185">
        <f>+F31+F25</f>
        <v>546000</v>
      </c>
      <c r="G33" s="185">
        <f>+G31+G25</f>
        <v>444000</v>
      </c>
    </row>
    <row r="34" spans="1:7" ht="15">
      <c r="A34" s="38"/>
      <c r="B34" s="38"/>
      <c r="C34" s="48"/>
      <c r="D34" s="149"/>
      <c r="E34" s="149"/>
      <c r="F34" s="149"/>
      <c r="G34" s="149"/>
    </row>
    <row r="35" spans="1:7" ht="17.25">
      <c r="A35" s="38" t="s">
        <v>31</v>
      </c>
      <c r="B35" s="38"/>
      <c r="C35" s="48"/>
      <c r="D35" s="186">
        <f>ROUND(+D33*0.05,-3)</f>
        <v>49000</v>
      </c>
      <c r="E35" s="186"/>
      <c r="F35" s="186">
        <f>ROUND(+F33*0.05,-3)</f>
        <v>27000</v>
      </c>
      <c r="G35" s="186">
        <f>ROUND(+G33*0.05,-3)</f>
        <v>22000</v>
      </c>
    </row>
    <row r="36" spans="1:7" ht="15">
      <c r="A36" s="38"/>
      <c r="B36" s="38"/>
      <c r="C36" s="48"/>
      <c r="D36" s="187"/>
      <c r="E36" s="187"/>
      <c r="F36" s="187"/>
      <c r="G36" s="187"/>
    </row>
    <row r="37" spans="1:7" ht="15">
      <c r="A37" s="38" t="s">
        <v>32</v>
      </c>
      <c r="B37" s="38"/>
      <c r="C37" s="49"/>
      <c r="D37" s="187">
        <f>+D35+D33</f>
        <v>1038900</v>
      </c>
      <c r="E37" s="187"/>
      <c r="F37" s="187">
        <f>+F35+F33</f>
        <v>573000</v>
      </c>
      <c r="G37" s="187">
        <f>+G35+G33</f>
        <v>466000</v>
      </c>
    </row>
    <row r="38" spans="1:7" ht="15">
      <c r="A38" s="28"/>
      <c r="B38" s="28"/>
      <c r="C38" s="50"/>
      <c r="D38" s="188"/>
      <c r="E38" s="181"/>
      <c r="F38" s="149"/>
      <c r="G38" s="149"/>
    </row>
    <row r="39" spans="1:7" ht="15">
      <c r="A39" s="38" t="s">
        <v>33</v>
      </c>
      <c r="B39" s="38"/>
      <c r="C39" s="50"/>
      <c r="D39" s="189">
        <f>+D12*2000/D8/24</f>
        <v>64.02526294287308</v>
      </c>
      <c r="E39" s="148"/>
      <c r="F39" s="149"/>
      <c r="G39" s="149"/>
    </row>
    <row r="40" spans="3:7" ht="15">
      <c r="C40" s="50"/>
      <c r="D40" s="189"/>
      <c r="E40" s="148"/>
      <c r="F40" s="149"/>
      <c r="G40" s="149"/>
    </row>
    <row r="41" spans="1:7" ht="15">
      <c r="A41" s="38" t="s">
        <v>34</v>
      </c>
      <c r="B41" s="38"/>
      <c r="C41" s="50"/>
      <c r="D41" s="190">
        <f>+D16/D12</f>
        <v>73.59508609272531</v>
      </c>
      <c r="E41" s="148"/>
      <c r="F41" s="149"/>
      <c r="G41" s="149"/>
    </row>
    <row r="42" spans="1:5" ht="15.75" thickBot="1">
      <c r="A42" s="28"/>
      <c r="B42" s="28"/>
      <c r="C42" s="50"/>
      <c r="D42" s="51"/>
      <c r="E42" s="23"/>
    </row>
    <row r="43" spans="1:5" ht="12.75">
      <c r="A43" s="52"/>
      <c r="B43" s="53"/>
      <c r="C43" s="54"/>
      <c r="D43" s="55"/>
      <c r="E43" s="23"/>
    </row>
    <row r="44" spans="1:5" ht="30">
      <c r="A44" s="56" t="s">
        <v>35</v>
      </c>
      <c r="B44" s="57" t="s">
        <v>36</v>
      </c>
      <c r="C44" s="58" t="s">
        <v>37</v>
      </c>
      <c r="D44" s="59" t="s">
        <v>38</v>
      </c>
      <c r="E44" s="23"/>
    </row>
    <row r="45" spans="1:5" ht="15">
      <c r="A45" s="60" t="s">
        <v>39</v>
      </c>
      <c r="B45" s="61">
        <v>384</v>
      </c>
      <c r="C45" s="62">
        <v>80</v>
      </c>
      <c r="D45" s="63">
        <f aca="true" t="shared" si="0" ref="D45:D50">ROUND(B45*C45,-2)</f>
        <v>30700</v>
      </c>
      <c r="E45" s="23"/>
    </row>
    <row r="46" spans="1:5" ht="15">
      <c r="A46" s="60" t="s">
        <v>40</v>
      </c>
      <c r="B46" s="61">
        <v>180</v>
      </c>
      <c r="C46" s="62">
        <v>140</v>
      </c>
      <c r="D46" s="63">
        <f t="shared" si="0"/>
        <v>25200</v>
      </c>
      <c r="E46" s="23"/>
    </row>
    <row r="47" spans="1:9" ht="15">
      <c r="A47" s="191" t="s">
        <v>133</v>
      </c>
      <c r="B47" s="61">
        <v>1875</v>
      </c>
      <c r="C47" s="62">
        <v>80</v>
      </c>
      <c r="D47" s="63">
        <f t="shared" si="0"/>
        <v>150000</v>
      </c>
      <c r="E47" s="23"/>
      <c r="I47" s="94"/>
    </row>
    <row r="48" spans="1:5" ht="15">
      <c r="A48" s="60" t="s">
        <v>41</v>
      </c>
      <c r="B48" s="61">
        <v>400</v>
      </c>
      <c r="C48" s="62">
        <v>110</v>
      </c>
      <c r="D48" s="63">
        <f t="shared" si="0"/>
        <v>44000</v>
      </c>
      <c r="E48" s="23"/>
    </row>
    <row r="49" spans="1:5" ht="15">
      <c r="A49" s="60" t="s">
        <v>42</v>
      </c>
      <c r="B49" s="61">
        <v>400</v>
      </c>
      <c r="C49" s="62">
        <v>80</v>
      </c>
      <c r="D49" s="63">
        <f t="shared" si="0"/>
        <v>32000</v>
      </c>
      <c r="E49" s="23"/>
    </row>
    <row r="50" spans="1:5" ht="17.25">
      <c r="A50" s="191" t="s">
        <v>134</v>
      </c>
      <c r="B50" s="64">
        <v>190</v>
      </c>
      <c r="C50" s="62">
        <v>110</v>
      </c>
      <c r="D50" s="65">
        <f t="shared" si="0"/>
        <v>20900</v>
      </c>
      <c r="E50" s="23"/>
    </row>
    <row r="51" spans="1:5" ht="17.25">
      <c r="A51" s="66" t="s">
        <v>43</v>
      </c>
      <c r="B51" s="67">
        <f>SUM(B45:B50)</f>
        <v>3429</v>
      </c>
      <c r="C51" s="62"/>
      <c r="D51" s="68">
        <f>SUM(D45:D50)</f>
        <v>302800</v>
      </c>
      <c r="E51" s="23"/>
    </row>
    <row r="52" spans="1:5" ht="13.5" thickBot="1">
      <c r="A52" s="69"/>
      <c r="B52" s="70"/>
      <c r="C52" s="71"/>
      <c r="D52" s="72"/>
      <c r="E52" s="23"/>
    </row>
    <row r="53" spans="1:5" ht="12.75">
      <c r="A53" s="42"/>
      <c r="B53" s="42"/>
      <c r="C53" s="43"/>
      <c r="D53" s="43"/>
      <c r="E53" s="23"/>
    </row>
  </sheetData>
  <sheetProtection/>
  <printOptions/>
  <pageMargins left="0.7" right="0.7" top="0.75" bottom="0.75" header="0.3" footer="0.3"/>
  <pageSetup fitToHeight="1" fitToWidth="1" horizontalDpi="600" verticalDpi="600" orientation="portrait" scale="75" r:id="rId1"/>
</worksheet>
</file>

<file path=xl/worksheets/sheet11.xml><?xml version="1.0" encoding="utf-8"?>
<worksheet xmlns="http://schemas.openxmlformats.org/spreadsheetml/2006/main" xmlns:r="http://schemas.openxmlformats.org/officeDocument/2006/relationships">
  <sheetPr>
    <pageSetUpPr fitToPage="1"/>
  </sheetPr>
  <dimension ref="A1:E56"/>
  <sheetViews>
    <sheetView tabSelected="1" zoomScalePageLayoutView="0" workbookViewId="0" topLeftCell="A1">
      <selection activeCell="H13" sqref="H13"/>
    </sheetView>
  </sheetViews>
  <sheetFormatPr defaultColWidth="9.140625" defaultRowHeight="12.75"/>
  <cols>
    <col min="1" max="1" width="72.57421875" style="0" bestFit="1" customWidth="1"/>
    <col min="3" max="3" width="11.28125" style="0" bestFit="1" customWidth="1"/>
    <col min="4" max="4" width="12.7109375" style="0" bestFit="1" customWidth="1"/>
    <col min="5" max="5" width="10.28125" style="0" bestFit="1" customWidth="1"/>
  </cols>
  <sheetData>
    <row r="1" spans="1:4" ht="23.25">
      <c r="A1" s="22" t="s">
        <v>44</v>
      </c>
      <c r="B1" s="22"/>
      <c r="C1" s="12"/>
      <c r="D1" s="12"/>
    </row>
    <row r="2" spans="1:4" ht="15.75">
      <c r="A2" s="24" t="s">
        <v>129</v>
      </c>
      <c r="B2" s="24"/>
      <c r="C2" s="25"/>
      <c r="D2" s="147"/>
    </row>
    <row r="3" spans="1:4" ht="15">
      <c r="A3" s="28"/>
      <c r="B3" s="28"/>
      <c r="C3" s="25"/>
      <c r="D3" s="150" t="s">
        <v>45</v>
      </c>
    </row>
    <row r="4" spans="1:4" ht="15">
      <c r="A4" s="28"/>
      <c r="B4" s="28"/>
      <c r="C4" s="25"/>
      <c r="D4" s="150" t="s">
        <v>15</v>
      </c>
    </row>
    <row r="5" spans="1:4" ht="17.25">
      <c r="A5" s="12"/>
      <c r="B5" s="12"/>
      <c r="C5" s="25"/>
      <c r="D5" s="152" t="s">
        <v>135</v>
      </c>
    </row>
    <row r="6" spans="1:4" ht="15">
      <c r="A6" s="29" t="s">
        <v>18</v>
      </c>
      <c r="B6" s="29"/>
      <c r="C6" s="25"/>
      <c r="D6" s="154"/>
    </row>
    <row r="7" spans="1:4" ht="17.25">
      <c r="A7" s="12" t="s">
        <v>19</v>
      </c>
      <c r="B7" s="12"/>
      <c r="C7" s="25"/>
      <c r="D7" s="156">
        <f>+'[1]2016-2017 Recy. Tons &amp; Revenue'!O60/24</f>
        <v>93928.79166666667</v>
      </c>
    </row>
    <row r="8" spans="1:4" ht="15">
      <c r="A8" s="12"/>
      <c r="B8" s="12"/>
      <c r="C8" s="25"/>
      <c r="D8" s="158"/>
    </row>
    <row r="9" spans="1:4" ht="15">
      <c r="A9" s="12"/>
      <c r="B9" s="12"/>
      <c r="C9" s="25"/>
      <c r="D9" s="158"/>
    </row>
    <row r="10" spans="1:4" ht="15">
      <c r="A10" s="29" t="s">
        <v>20</v>
      </c>
      <c r="B10" s="29"/>
      <c r="C10" s="25"/>
      <c r="D10" s="158"/>
    </row>
    <row r="11" spans="1:4" ht="17.25">
      <c r="A11" s="30" t="s">
        <v>21</v>
      </c>
      <c r="B11" s="30"/>
      <c r="C11" s="25"/>
      <c r="D11" s="160">
        <f>+'[1]2016-2017 Recy. Tons &amp; Revenue'!D60</f>
        <v>69303.51000000001</v>
      </c>
    </row>
    <row r="12" spans="1:4" ht="15">
      <c r="A12" s="31"/>
      <c r="B12" s="31"/>
      <c r="C12" s="25"/>
      <c r="D12" s="158"/>
    </row>
    <row r="13" spans="1:4" ht="15">
      <c r="A13" s="31"/>
      <c r="B13" s="31"/>
      <c r="C13" s="25"/>
      <c r="D13" s="158"/>
    </row>
    <row r="14" spans="1:4" ht="21">
      <c r="A14" s="32" t="s">
        <v>22</v>
      </c>
      <c r="B14" s="32"/>
      <c r="C14" s="25"/>
      <c r="D14" s="154"/>
    </row>
    <row r="15" spans="1:4" ht="32.25">
      <c r="A15" s="33" t="s">
        <v>23</v>
      </c>
      <c r="B15" s="33"/>
      <c r="C15" s="34"/>
      <c r="D15" s="162">
        <f>+'[1]Budget vs. Actual'!H17</f>
        <v>5106063.886518807</v>
      </c>
    </row>
    <row r="16" spans="1:4" ht="15">
      <c r="A16" s="33"/>
      <c r="B16" s="33"/>
      <c r="C16" s="34"/>
      <c r="D16" s="164"/>
    </row>
    <row r="17" spans="1:4" ht="21">
      <c r="A17" s="32" t="s">
        <v>24</v>
      </c>
      <c r="B17" s="33"/>
      <c r="C17" s="34"/>
      <c r="D17" s="164"/>
    </row>
    <row r="18" spans="1:4" ht="15">
      <c r="A18" s="33" t="s">
        <v>25</v>
      </c>
      <c r="B18" s="33"/>
      <c r="C18" s="73">
        <v>0.425</v>
      </c>
      <c r="D18" s="165">
        <f>ROUND(+D15*C18,-3)</f>
        <v>2170000</v>
      </c>
    </row>
    <row r="19" spans="1:4" ht="17.25">
      <c r="A19" s="33" t="s">
        <v>113</v>
      </c>
      <c r="B19" s="33"/>
      <c r="C19" s="73"/>
      <c r="D19" s="169">
        <f>-'[1]Budget vs. Actual'!H41</f>
        <v>-97000</v>
      </c>
    </row>
    <row r="20" spans="1:4" ht="17.25">
      <c r="A20" s="33"/>
      <c r="B20" s="33"/>
      <c r="C20" s="73"/>
      <c r="D20" s="173">
        <f>+D19+D18</f>
        <v>2073000</v>
      </c>
    </row>
    <row r="21" spans="1:4" ht="15">
      <c r="A21" s="12"/>
      <c r="B21" s="12"/>
      <c r="C21" s="25"/>
      <c r="D21" s="192"/>
    </row>
    <row r="22" spans="1:4" ht="18.75">
      <c r="A22" s="37" t="s">
        <v>26</v>
      </c>
      <c r="B22" s="37"/>
      <c r="C22" s="25"/>
      <c r="D22" s="154"/>
    </row>
    <row r="23" spans="1:4" ht="17.25">
      <c r="A23" s="38" t="s">
        <v>27</v>
      </c>
      <c r="B23" s="38"/>
      <c r="C23" s="25"/>
      <c r="D23" s="185">
        <f>+D54</f>
        <v>302800</v>
      </c>
    </row>
    <row r="24" spans="1:4" ht="17.25">
      <c r="A24" s="38"/>
      <c r="B24" s="38"/>
      <c r="C24" s="39"/>
      <c r="D24" s="193"/>
    </row>
    <row r="25" spans="1:4" ht="17.25">
      <c r="A25" s="40" t="s">
        <v>28</v>
      </c>
      <c r="B25" s="40"/>
      <c r="C25" s="41"/>
      <c r="D25" s="193"/>
    </row>
    <row r="26" spans="1:4" ht="15">
      <c r="A26" s="45" t="s">
        <v>136</v>
      </c>
      <c r="B26" s="45"/>
      <c r="C26" s="44"/>
      <c r="D26" s="180">
        <v>150000</v>
      </c>
    </row>
    <row r="27" spans="1:4" ht="15">
      <c r="A27" s="45" t="s">
        <v>137</v>
      </c>
      <c r="B27" s="45"/>
      <c r="C27" s="43"/>
      <c r="D27" s="180">
        <v>220000</v>
      </c>
    </row>
    <row r="28" spans="1:4" ht="15">
      <c r="A28" s="45" t="s">
        <v>138</v>
      </c>
      <c r="B28" s="45"/>
      <c r="C28" s="34"/>
      <c r="D28" s="180">
        <v>220000</v>
      </c>
    </row>
    <row r="29" spans="1:4" ht="15">
      <c r="A29" s="45" t="s">
        <v>139</v>
      </c>
      <c r="B29" s="45"/>
      <c r="C29" s="46"/>
      <c r="D29" s="180">
        <v>75000</v>
      </c>
    </row>
    <row r="30" spans="1:4" ht="15">
      <c r="A30" s="45" t="s">
        <v>140</v>
      </c>
      <c r="B30" s="45"/>
      <c r="C30" s="47"/>
      <c r="D30" s="180">
        <v>200000</v>
      </c>
    </row>
    <row r="31" spans="1:4" ht="15">
      <c r="A31" s="45" t="s">
        <v>141</v>
      </c>
      <c r="B31" s="45"/>
      <c r="C31" s="47"/>
      <c r="D31" s="180">
        <v>200000</v>
      </c>
    </row>
    <row r="32" spans="1:4" ht="15">
      <c r="A32" s="45" t="s">
        <v>142</v>
      </c>
      <c r="B32" s="45"/>
      <c r="C32" s="47"/>
      <c r="D32" s="180">
        <v>438200</v>
      </c>
    </row>
    <row r="33" spans="1:4" ht="17.25">
      <c r="A33" s="45" t="s">
        <v>143</v>
      </c>
      <c r="B33" s="45"/>
      <c r="C33" s="47"/>
      <c r="D33" s="182">
        <f>+'[1]CRC Upgrades'!D15</f>
        <v>168000</v>
      </c>
    </row>
    <row r="34" spans="1:4" ht="17.25">
      <c r="A34" s="38" t="s">
        <v>29</v>
      </c>
      <c r="B34" s="38"/>
      <c r="C34" s="34"/>
      <c r="D34" s="186">
        <f>SUM(D26:D33)</f>
        <v>1671200</v>
      </c>
    </row>
    <row r="35" spans="1:4" ht="15">
      <c r="A35" s="38"/>
      <c r="B35" s="38"/>
      <c r="C35" s="48"/>
      <c r="D35" s="194"/>
    </row>
    <row r="36" spans="1:4" ht="17.25">
      <c r="A36" s="38" t="s">
        <v>30</v>
      </c>
      <c r="B36" s="38"/>
      <c r="C36" s="48"/>
      <c r="D36" s="185">
        <f>+D34+D23</f>
        <v>1974000</v>
      </c>
    </row>
    <row r="37" spans="1:4" ht="17.25">
      <c r="A37" s="38"/>
      <c r="B37" s="38"/>
      <c r="C37" s="48"/>
      <c r="D37" s="185"/>
    </row>
    <row r="38" spans="1:4" ht="17.25">
      <c r="A38" s="38" t="s">
        <v>31</v>
      </c>
      <c r="B38" s="38"/>
      <c r="C38" s="48"/>
      <c r="D38" s="186">
        <f>ROUND(+D36*0.05,-3)</f>
        <v>99000</v>
      </c>
    </row>
    <row r="39" spans="1:4" ht="15">
      <c r="A39" s="38"/>
      <c r="B39" s="38"/>
      <c r="C39" s="48"/>
      <c r="D39" s="187"/>
    </row>
    <row r="40" spans="1:4" ht="15">
      <c r="A40" s="38" t="s">
        <v>32</v>
      </c>
      <c r="B40" s="38"/>
      <c r="C40" s="49"/>
      <c r="D40" s="187">
        <f>+D38+D36</f>
        <v>2073000</v>
      </c>
    </row>
    <row r="41" spans="1:5" ht="15">
      <c r="A41" s="28"/>
      <c r="B41" s="28"/>
      <c r="C41" s="50"/>
      <c r="D41" s="195"/>
      <c r="E41" s="35"/>
    </row>
    <row r="42" spans="1:4" ht="15">
      <c r="A42" s="38" t="s">
        <v>33</v>
      </c>
      <c r="B42" s="38"/>
      <c r="C42" s="50"/>
      <c r="D42" s="189">
        <f>+D11*2000/D7/24</f>
        <v>61.48585963391596</v>
      </c>
    </row>
    <row r="43" spans="3:4" ht="15">
      <c r="C43" s="50"/>
      <c r="D43" s="189"/>
    </row>
    <row r="44" spans="1:4" ht="15">
      <c r="A44" s="38" t="s">
        <v>34</v>
      </c>
      <c r="B44" s="38"/>
      <c r="C44" s="50"/>
      <c r="D44" s="190">
        <f>+D15/D11</f>
        <v>73.6768438787416</v>
      </c>
    </row>
    <row r="45" spans="1:4" ht="13.5" thickBot="1">
      <c r="A45" s="42"/>
      <c r="B45" s="42"/>
      <c r="C45" s="43"/>
      <c r="D45" s="43"/>
    </row>
    <row r="46" spans="1:4" ht="12.75">
      <c r="A46" s="52"/>
      <c r="B46" s="53"/>
      <c r="C46" s="54"/>
      <c r="D46" s="55"/>
    </row>
    <row r="47" spans="1:4" ht="30">
      <c r="A47" s="56" t="s">
        <v>35</v>
      </c>
      <c r="B47" s="57" t="s">
        <v>36</v>
      </c>
      <c r="C47" s="58" t="s">
        <v>37</v>
      </c>
      <c r="D47" s="59" t="s">
        <v>38</v>
      </c>
    </row>
    <row r="48" spans="1:4" ht="15">
      <c r="A48" s="60" t="s">
        <v>39</v>
      </c>
      <c r="B48" s="61">
        <v>384</v>
      </c>
      <c r="C48" s="62">
        <v>80</v>
      </c>
      <c r="D48" s="63">
        <f aca="true" t="shared" si="0" ref="D48:D53">ROUND(B48*C48,-2)</f>
        <v>30700</v>
      </c>
    </row>
    <row r="49" spans="1:4" ht="15">
      <c r="A49" s="60" t="s">
        <v>40</v>
      </c>
      <c r="B49" s="61">
        <v>180</v>
      </c>
      <c r="C49" s="62">
        <v>140</v>
      </c>
      <c r="D49" s="63">
        <f t="shared" si="0"/>
        <v>25200</v>
      </c>
    </row>
    <row r="50" spans="1:4" ht="15">
      <c r="A50" s="191" t="s">
        <v>133</v>
      </c>
      <c r="B50" s="61">
        <v>1875</v>
      </c>
      <c r="C50" s="62">
        <v>80</v>
      </c>
      <c r="D50" s="63">
        <f t="shared" si="0"/>
        <v>150000</v>
      </c>
    </row>
    <row r="51" spans="1:4" ht="15">
      <c r="A51" s="60" t="s">
        <v>41</v>
      </c>
      <c r="B51" s="61">
        <v>400</v>
      </c>
      <c r="C51" s="62">
        <v>110</v>
      </c>
      <c r="D51" s="63">
        <f t="shared" si="0"/>
        <v>44000</v>
      </c>
    </row>
    <row r="52" spans="1:4" ht="15">
      <c r="A52" s="60" t="s">
        <v>42</v>
      </c>
      <c r="B52" s="61">
        <v>400</v>
      </c>
      <c r="C52" s="62">
        <v>80</v>
      </c>
      <c r="D52" s="63">
        <f t="shared" si="0"/>
        <v>32000</v>
      </c>
    </row>
    <row r="53" spans="1:4" ht="17.25">
      <c r="A53" s="191" t="s">
        <v>134</v>
      </c>
      <c r="B53" s="64">
        <v>190</v>
      </c>
      <c r="C53" s="62">
        <v>110</v>
      </c>
      <c r="D53" s="65">
        <f t="shared" si="0"/>
        <v>20900</v>
      </c>
    </row>
    <row r="54" spans="1:4" ht="17.25">
      <c r="A54" s="66" t="s">
        <v>43</v>
      </c>
      <c r="B54" s="67">
        <f>SUM(B48:B53)</f>
        <v>3429</v>
      </c>
      <c r="C54" s="62"/>
      <c r="D54" s="68">
        <f>SUM(D48:D53)</f>
        <v>302800</v>
      </c>
    </row>
    <row r="55" spans="1:4" ht="13.5" thickBot="1">
      <c r="A55" s="69"/>
      <c r="B55" s="70"/>
      <c r="C55" s="71"/>
      <c r="D55" s="72"/>
    </row>
    <row r="56" spans="1:4" ht="12.75">
      <c r="A56" s="42"/>
      <c r="B56" s="42"/>
      <c r="C56" s="43"/>
      <c r="D56" s="43"/>
    </row>
  </sheetData>
  <sheetProtection/>
  <printOptions/>
  <pageMargins left="0.7" right="0.7" top="0.75" bottom="0.75" header="0.3" footer="0.3"/>
  <pageSetup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Q109"/>
  <sheetViews>
    <sheetView zoomScalePageLayoutView="0" workbookViewId="0" topLeftCell="A31">
      <selection activeCell="A9" sqref="A9"/>
    </sheetView>
  </sheetViews>
  <sheetFormatPr defaultColWidth="9.140625" defaultRowHeight="12.75"/>
  <cols>
    <col min="1" max="1" width="73.140625" style="0" bestFit="1" customWidth="1"/>
    <col min="3" max="3" width="13.421875" style="0" bestFit="1" customWidth="1"/>
    <col min="5" max="5" width="14.28125" style="0" bestFit="1" customWidth="1"/>
    <col min="6" max="6" width="15.57421875" style="0" bestFit="1" customWidth="1"/>
    <col min="7" max="7" width="14.28125" style="0" bestFit="1" customWidth="1"/>
    <col min="8" max="8" width="7.7109375" style="0" customWidth="1"/>
    <col min="9" max="9" width="8.421875" style="0" bestFit="1" customWidth="1"/>
    <col min="10" max="10" width="63.421875" style="0" customWidth="1"/>
    <col min="11" max="11" width="13.421875" style="0" bestFit="1" customWidth="1"/>
    <col min="12" max="12" width="6.7109375" style="0" customWidth="1"/>
    <col min="13" max="13" width="13.421875" style="0" customWidth="1"/>
    <col min="14" max="15" width="14.28125" style="0" bestFit="1" customWidth="1"/>
    <col min="16" max="16" width="8.421875" style="0" bestFit="1" customWidth="1"/>
    <col min="17" max="17" width="17.7109375" style="0" customWidth="1"/>
    <col min="18" max="18" width="3.28125" style="0" customWidth="1"/>
    <col min="19" max="19" width="13.421875" style="0" bestFit="1" customWidth="1"/>
    <col min="20" max="20" width="13.421875" style="0" customWidth="1"/>
    <col min="21" max="21" width="14.00390625" style="0" bestFit="1" customWidth="1"/>
    <col min="22" max="22" width="12.28125" style="0" bestFit="1" customWidth="1"/>
    <col min="23" max="23" width="11.57421875" style="0" bestFit="1" customWidth="1"/>
  </cols>
  <sheetData>
    <row r="1" spans="1:17" ht="23.25">
      <c r="A1" s="485" t="s">
        <v>298</v>
      </c>
      <c r="B1" s="486"/>
      <c r="C1" s="487"/>
      <c r="D1" s="487"/>
      <c r="E1" s="487"/>
      <c r="F1" s="487"/>
      <c r="G1" s="488"/>
      <c r="I1" s="485" t="s">
        <v>298</v>
      </c>
      <c r="J1" s="486"/>
      <c r="K1" s="487"/>
      <c r="L1" s="487"/>
      <c r="M1" s="487"/>
      <c r="N1" s="487"/>
      <c r="O1" s="488"/>
      <c r="Q1" s="533" t="s">
        <v>314</v>
      </c>
    </row>
    <row r="2" spans="1:15" ht="15.75">
      <c r="A2" s="489" t="s">
        <v>284</v>
      </c>
      <c r="B2" s="490"/>
      <c r="C2" s="491"/>
      <c r="D2" s="491"/>
      <c r="E2" s="492"/>
      <c r="F2" s="492"/>
      <c r="G2" s="493"/>
      <c r="I2" s="489" t="s">
        <v>315</v>
      </c>
      <c r="J2" s="490"/>
      <c r="K2" s="491"/>
      <c r="L2" s="491"/>
      <c r="M2" s="492"/>
      <c r="N2" s="492"/>
      <c r="O2" s="493"/>
    </row>
    <row r="3" spans="1:15" ht="15.75">
      <c r="A3" s="494"/>
      <c r="B3" s="495"/>
      <c r="C3" s="492"/>
      <c r="D3" s="492"/>
      <c r="E3" s="492"/>
      <c r="F3" s="492"/>
      <c r="G3" s="493"/>
      <c r="I3" s="494"/>
      <c r="J3" s="495"/>
      <c r="K3" s="492"/>
      <c r="L3" s="492"/>
      <c r="M3" s="492"/>
      <c r="N3" s="492"/>
      <c r="O3" s="493"/>
    </row>
    <row r="4" spans="1:15" ht="15">
      <c r="A4" s="545" t="s">
        <v>19</v>
      </c>
      <c r="B4" s="546"/>
      <c r="C4" s="546"/>
      <c r="D4" s="546"/>
      <c r="E4" s="546"/>
      <c r="F4" s="546"/>
      <c r="G4" s="547"/>
      <c r="I4" s="545" t="s">
        <v>19</v>
      </c>
      <c r="J4" s="546"/>
      <c r="K4" s="546"/>
      <c r="L4" s="546"/>
      <c r="M4" s="546"/>
      <c r="N4" s="546"/>
      <c r="O4" s="547"/>
    </row>
    <row r="5" spans="1:15" ht="15">
      <c r="A5" s="496"/>
      <c r="B5" s="492"/>
      <c r="C5" s="492"/>
      <c r="D5" s="492"/>
      <c r="E5" s="492"/>
      <c r="F5" s="492"/>
      <c r="G5" s="493"/>
      <c r="I5" s="496"/>
      <c r="J5" s="492"/>
      <c r="K5" s="492"/>
      <c r="L5" s="492"/>
      <c r="M5" s="492"/>
      <c r="N5" s="492"/>
      <c r="O5" s="493"/>
    </row>
    <row r="6" spans="1:15" ht="15.75">
      <c r="A6" s="496"/>
      <c r="B6" s="492"/>
      <c r="C6" s="497"/>
      <c r="D6" s="497"/>
      <c r="E6" s="497" t="s">
        <v>285</v>
      </c>
      <c r="F6" s="497" t="s">
        <v>85</v>
      </c>
      <c r="G6" s="493"/>
      <c r="I6" s="496"/>
      <c r="J6" s="492"/>
      <c r="K6" s="497"/>
      <c r="L6" s="497"/>
      <c r="M6" s="497" t="s">
        <v>285</v>
      </c>
      <c r="N6" s="497" t="s">
        <v>85</v>
      </c>
      <c r="O6" s="493"/>
    </row>
    <row r="7" spans="1:15" ht="15.75">
      <c r="A7" s="496"/>
      <c r="B7" s="492"/>
      <c r="C7" s="498" t="s">
        <v>99</v>
      </c>
      <c r="D7" s="498"/>
      <c r="E7" s="498" t="s">
        <v>286</v>
      </c>
      <c r="F7" s="498" t="s">
        <v>206</v>
      </c>
      <c r="G7" s="493"/>
      <c r="I7" s="496"/>
      <c r="J7" s="492"/>
      <c r="K7" s="498" t="s">
        <v>99</v>
      </c>
      <c r="L7" s="498"/>
      <c r="M7" s="498" t="s">
        <v>286</v>
      </c>
      <c r="N7" s="498" t="s">
        <v>206</v>
      </c>
      <c r="O7" s="493"/>
    </row>
    <row r="8" spans="1:15" ht="15.75">
      <c r="A8" s="499" t="s">
        <v>294</v>
      </c>
      <c r="B8" s="490"/>
      <c r="C8" s="500"/>
      <c r="D8" s="500"/>
      <c r="E8" s="500"/>
      <c r="F8" s="500"/>
      <c r="G8" s="493"/>
      <c r="I8" s="499" t="s">
        <v>312</v>
      </c>
      <c r="J8" s="490"/>
      <c r="K8" s="500"/>
      <c r="L8" s="500"/>
      <c r="M8" s="500"/>
      <c r="N8" s="500"/>
      <c r="O8" s="493"/>
    </row>
    <row r="9" spans="1:15" ht="15.75">
      <c r="A9" s="496" t="s">
        <v>295</v>
      </c>
      <c r="B9" s="492"/>
      <c r="C9" s="501">
        <f>SUM('Customer Counts'!G6:H8)</f>
        <v>291373</v>
      </c>
      <c r="D9" s="501"/>
      <c r="E9" s="502">
        <f>+'NS(SC) - Old Method'!X60</f>
        <v>1.79</v>
      </c>
      <c r="F9" s="503">
        <f>C9*E9</f>
        <v>521557.67</v>
      </c>
      <c r="G9" s="493"/>
      <c r="I9" s="496" t="s">
        <v>295</v>
      </c>
      <c r="J9" s="492"/>
      <c r="K9" s="501">
        <v>282721</v>
      </c>
      <c r="L9" s="501"/>
      <c r="M9" s="502">
        <v>2.38</v>
      </c>
      <c r="N9" s="503">
        <f>K9*M9</f>
        <v>672875.98</v>
      </c>
      <c r="O9" s="493"/>
    </row>
    <row r="10" spans="1:15" ht="17.25">
      <c r="A10" s="504" t="s">
        <v>296</v>
      </c>
      <c r="B10" s="505"/>
      <c r="C10" s="506">
        <f>SUM('Customer Counts'!G9:H17)</f>
        <v>885244</v>
      </c>
      <c r="D10" s="506"/>
      <c r="E10" s="502">
        <f>+'NS(SC) - Old Method'!Y60</f>
        <v>2.45</v>
      </c>
      <c r="F10" s="507">
        <f>C10*E10</f>
        <v>2168847.8000000003</v>
      </c>
      <c r="G10" s="493"/>
      <c r="I10" s="504" t="s">
        <v>296</v>
      </c>
      <c r="J10" s="505"/>
      <c r="K10" s="506">
        <v>860742</v>
      </c>
      <c r="L10" s="506"/>
      <c r="M10" s="502">
        <v>1.79</v>
      </c>
      <c r="N10" s="507">
        <f>K10*M10</f>
        <v>1540728.18</v>
      </c>
      <c r="O10" s="493"/>
    </row>
    <row r="11" spans="1:15" ht="17.25">
      <c r="A11" s="496" t="s">
        <v>85</v>
      </c>
      <c r="B11" s="492"/>
      <c r="C11" s="501">
        <f>SUM(C9:C10)</f>
        <v>1176617</v>
      </c>
      <c r="D11" s="506"/>
      <c r="E11" s="492"/>
      <c r="F11" s="503">
        <f>SUM(F9:F10)</f>
        <v>2690405.47</v>
      </c>
      <c r="G11" s="493"/>
      <c r="I11" s="496" t="s">
        <v>85</v>
      </c>
      <c r="J11" s="492"/>
      <c r="K11" s="501">
        <f>SUM(K9:K10)</f>
        <v>1143463</v>
      </c>
      <c r="L11" s="506"/>
      <c r="M11" s="492"/>
      <c r="N11" s="503">
        <f>SUM(N9:N10)</f>
        <v>2213604.16</v>
      </c>
      <c r="O11" s="493"/>
    </row>
    <row r="12" spans="1:15" ht="15">
      <c r="A12" s="496"/>
      <c r="B12" s="492"/>
      <c r="C12" s="492"/>
      <c r="D12" s="492"/>
      <c r="E12" s="492"/>
      <c r="F12" s="492"/>
      <c r="G12" s="493"/>
      <c r="I12" s="496"/>
      <c r="J12" s="492"/>
      <c r="K12" s="492"/>
      <c r="L12" s="492"/>
      <c r="M12" s="492"/>
      <c r="N12" s="492"/>
      <c r="O12" s="493"/>
    </row>
    <row r="13" spans="1:15" ht="15.75">
      <c r="A13" s="489" t="s">
        <v>305</v>
      </c>
      <c r="B13" s="492"/>
      <c r="C13" s="492"/>
      <c r="D13" s="492"/>
      <c r="E13" s="492"/>
      <c r="F13" s="503">
        <f>+'2018-2019 Recy. Tons &amp; Revenue'!O112</f>
        <v>1226081.8611473758</v>
      </c>
      <c r="G13" s="493"/>
      <c r="I13" s="489" t="s">
        <v>305</v>
      </c>
      <c r="J13" s="492"/>
      <c r="K13" s="492"/>
      <c r="L13" s="492"/>
      <c r="M13" s="492"/>
      <c r="N13" s="503">
        <v>2753500</v>
      </c>
      <c r="O13" s="493"/>
    </row>
    <row r="14" spans="1:15" ht="15">
      <c r="A14" s="496"/>
      <c r="B14" s="492"/>
      <c r="C14" s="492"/>
      <c r="D14" s="492"/>
      <c r="E14" s="492"/>
      <c r="F14" s="503"/>
      <c r="G14" s="493"/>
      <c r="I14" s="496"/>
      <c r="J14" s="492"/>
      <c r="K14" s="492"/>
      <c r="L14" s="492"/>
      <c r="M14" s="492"/>
      <c r="N14" s="503"/>
      <c r="O14" s="493"/>
    </row>
    <row r="15" spans="1:15" ht="15">
      <c r="A15" s="496" t="s">
        <v>287</v>
      </c>
      <c r="B15" s="492"/>
      <c r="C15" s="492"/>
      <c r="D15" s="492"/>
      <c r="E15" s="492"/>
      <c r="F15" s="501">
        <f>F13-F11</f>
        <v>-1464323.6088526244</v>
      </c>
      <c r="G15" s="493"/>
      <c r="I15" s="496" t="s">
        <v>287</v>
      </c>
      <c r="J15" s="492"/>
      <c r="K15" s="492"/>
      <c r="L15" s="492"/>
      <c r="M15" s="492"/>
      <c r="N15" s="501">
        <f>N13-N11</f>
        <v>539895.8399999999</v>
      </c>
      <c r="O15" s="493"/>
    </row>
    <row r="16" spans="1:15" ht="17.25">
      <c r="A16" s="496"/>
      <c r="B16" s="492"/>
      <c r="C16" s="508"/>
      <c r="D16" s="492"/>
      <c r="E16" s="492"/>
      <c r="F16" s="509"/>
      <c r="G16" s="493"/>
      <c r="I16" s="496"/>
      <c r="J16" s="492"/>
      <c r="K16" s="508"/>
      <c r="L16" s="492"/>
      <c r="M16" s="492"/>
      <c r="N16" s="509"/>
      <c r="O16" s="493"/>
    </row>
    <row r="17" spans="1:15" ht="15">
      <c r="A17" s="496" t="s">
        <v>288</v>
      </c>
      <c r="B17" s="492"/>
      <c r="C17" s="492"/>
      <c r="D17" s="492"/>
      <c r="E17" s="492"/>
      <c r="F17" s="501">
        <f>+C11</f>
        <v>1176617</v>
      </c>
      <c r="G17" s="493"/>
      <c r="I17" s="496" t="s">
        <v>288</v>
      </c>
      <c r="J17" s="492"/>
      <c r="K17" s="492"/>
      <c r="L17" s="492"/>
      <c r="M17" s="492"/>
      <c r="N17" s="501">
        <f>+K11</f>
        <v>1143463</v>
      </c>
      <c r="O17" s="493"/>
    </row>
    <row r="18" spans="1:15" ht="15">
      <c r="A18" s="496"/>
      <c r="B18" s="492"/>
      <c r="C18" s="492"/>
      <c r="D18" s="492"/>
      <c r="E18" s="492"/>
      <c r="F18" s="492"/>
      <c r="G18" s="493"/>
      <c r="I18" s="496"/>
      <c r="J18" s="492"/>
      <c r="K18" s="492"/>
      <c r="L18" s="492"/>
      <c r="M18" s="492"/>
      <c r="N18" s="492"/>
      <c r="O18" s="493"/>
    </row>
    <row r="19" spans="1:15" ht="15">
      <c r="A19" s="496" t="s">
        <v>289</v>
      </c>
      <c r="B19" s="492"/>
      <c r="C19" s="492"/>
      <c r="D19" s="492"/>
      <c r="E19" s="492"/>
      <c r="F19" s="510"/>
      <c r="G19" s="511">
        <f>ROUND(F15/F17,2)</f>
        <v>-1.24</v>
      </c>
      <c r="I19" s="496" t="s">
        <v>289</v>
      </c>
      <c r="J19" s="492"/>
      <c r="K19" s="492"/>
      <c r="L19" s="492"/>
      <c r="M19" s="492"/>
      <c r="N19" s="510"/>
      <c r="O19" s="511">
        <f>ROUND(N15/N17,2)</f>
        <v>0.47</v>
      </c>
    </row>
    <row r="20" spans="1:15" ht="15">
      <c r="A20" s="496"/>
      <c r="B20" s="492"/>
      <c r="C20" s="492"/>
      <c r="D20" s="492"/>
      <c r="E20" s="492"/>
      <c r="F20" s="492"/>
      <c r="G20" s="511"/>
      <c r="I20" s="496"/>
      <c r="J20" s="492"/>
      <c r="K20" s="492"/>
      <c r="L20" s="492"/>
      <c r="M20" s="492"/>
      <c r="N20" s="492"/>
      <c r="O20" s="511"/>
    </row>
    <row r="21" spans="1:15" ht="15">
      <c r="A21" s="496"/>
      <c r="B21" s="492"/>
      <c r="C21" s="492"/>
      <c r="D21" s="492"/>
      <c r="E21" s="492"/>
      <c r="F21" s="492"/>
      <c r="G21" s="511"/>
      <c r="I21" s="496"/>
      <c r="J21" s="492"/>
      <c r="K21" s="492"/>
      <c r="L21" s="492"/>
      <c r="M21" s="492"/>
      <c r="N21" s="492"/>
      <c r="O21" s="511"/>
    </row>
    <row r="22" spans="1:15" ht="15">
      <c r="A22" s="496"/>
      <c r="B22" s="492"/>
      <c r="C22" s="492"/>
      <c r="D22" s="492"/>
      <c r="E22" s="492"/>
      <c r="F22" s="492"/>
      <c r="G22" s="511"/>
      <c r="I22" s="496"/>
      <c r="J22" s="492"/>
      <c r="K22" s="492"/>
      <c r="L22" s="492"/>
      <c r="M22" s="492"/>
      <c r="N22" s="492"/>
      <c r="O22" s="511"/>
    </row>
    <row r="23" spans="1:15" ht="15.75">
      <c r="A23" s="512" t="s">
        <v>297</v>
      </c>
      <c r="B23" s="490"/>
      <c r="C23" s="492"/>
      <c r="D23" s="492"/>
      <c r="E23" s="492"/>
      <c r="F23" s="523">
        <f>SUM('2018-2019 Recy. Tons &amp; Revenue'!O94:O99)</f>
        <v>431654.02733140066</v>
      </c>
      <c r="G23" s="511"/>
      <c r="I23" s="512" t="s">
        <v>313</v>
      </c>
      <c r="J23" s="490"/>
      <c r="K23" s="492"/>
      <c r="L23" s="492"/>
      <c r="M23" s="492"/>
      <c r="N23" s="523">
        <v>2801484</v>
      </c>
      <c r="O23" s="511"/>
    </row>
    <row r="24" spans="1:15" ht="17.25">
      <c r="A24" s="496" t="s">
        <v>288</v>
      </c>
      <c r="B24" s="492"/>
      <c r="C24" s="492"/>
      <c r="D24" s="492"/>
      <c r="E24" s="492"/>
      <c r="F24" s="524">
        <f>SUM('Customer Counts'!G12:H17)</f>
        <v>593074</v>
      </c>
      <c r="G24" s="511"/>
      <c r="I24" s="496" t="s">
        <v>288</v>
      </c>
      <c r="J24" s="492"/>
      <c r="K24" s="492"/>
      <c r="L24" s="492"/>
      <c r="M24" s="492"/>
      <c r="N24" s="524">
        <f>+N17</f>
        <v>1143463</v>
      </c>
      <c r="O24" s="511"/>
    </row>
    <row r="25" spans="1:15" ht="17.25">
      <c r="A25" s="496" t="s">
        <v>290</v>
      </c>
      <c r="B25" s="492"/>
      <c r="C25" s="492"/>
      <c r="D25" s="492"/>
      <c r="E25" s="492"/>
      <c r="F25" s="492"/>
      <c r="G25" s="513">
        <f>ROUND(+F23/F24,2)</f>
        <v>0.73</v>
      </c>
      <c r="I25" s="496" t="s">
        <v>290</v>
      </c>
      <c r="J25" s="492"/>
      <c r="K25" s="492"/>
      <c r="L25" s="492"/>
      <c r="M25" s="492"/>
      <c r="N25" s="492"/>
      <c r="O25" s="513">
        <f>ROUND(+N23/N24,2)</f>
        <v>2.45</v>
      </c>
    </row>
    <row r="26" spans="1:15" ht="15">
      <c r="A26" s="496"/>
      <c r="B26" s="492"/>
      <c r="C26" s="492"/>
      <c r="D26" s="492"/>
      <c r="E26" s="492"/>
      <c r="F26" s="492"/>
      <c r="G26" s="511"/>
      <c r="I26" s="496"/>
      <c r="J26" s="492"/>
      <c r="K26" s="492"/>
      <c r="L26" s="492"/>
      <c r="M26" s="492"/>
      <c r="N26" s="492"/>
      <c r="O26" s="511"/>
    </row>
    <row r="27" spans="1:15" ht="15.75">
      <c r="A27" s="489" t="s">
        <v>291</v>
      </c>
      <c r="B27" s="490"/>
      <c r="C27" s="492"/>
      <c r="D27" s="492"/>
      <c r="E27" s="492"/>
      <c r="F27" s="492"/>
      <c r="G27" s="515">
        <f>SUM(G19:G25)</f>
        <v>-0.51</v>
      </c>
      <c r="H27" s="514"/>
      <c r="I27" s="489" t="s">
        <v>291</v>
      </c>
      <c r="J27" s="490"/>
      <c r="K27" s="492"/>
      <c r="L27" s="492"/>
      <c r="M27" s="492"/>
      <c r="N27" s="492"/>
      <c r="O27" s="515">
        <f>SUM(O19:O25)</f>
        <v>2.92</v>
      </c>
    </row>
    <row r="28" spans="1:15" ht="15.75">
      <c r="A28" s="489"/>
      <c r="B28" s="490"/>
      <c r="C28" s="492"/>
      <c r="D28" s="492"/>
      <c r="E28" s="492"/>
      <c r="F28" s="492"/>
      <c r="G28" s="515"/>
      <c r="H28" s="514"/>
      <c r="I28" s="489"/>
      <c r="J28" s="490"/>
      <c r="K28" s="492"/>
      <c r="L28" s="492"/>
      <c r="M28" s="492"/>
      <c r="N28" s="492"/>
      <c r="O28" s="515"/>
    </row>
    <row r="29" spans="1:15" ht="15.75">
      <c r="A29" s="504" t="s">
        <v>304</v>
      </c>
      <c r="B29" s="490"/>
      <c r="C29" s="492"/>
      <c r="D29" s="492"/>
      <c r="E29" s="531">
        <f>+C11/12*0.5</f>
        <v>49025.708333333336</v>
      </c>
      <c r="F29" s="492"/>
      <c r="G29" s="530">
        <f>ROUND(-E29/C11*2,2)</f>
        <v>-0.08</v>
      </c>
      <c r="I29" s="504"/>
      <c r="J29" s="490"/>
      <c r="K29" s="492"/>
      <c r="L29" s="492"/>
      <c r="M29" s="531"/>
      <c r="N29" s="492"/>
      <c r="O29" s="530"/>
    </row>
    <row r="30" spans="1:15" ht="15.75">
      <c r="A30" s="504"/>
      <c r="B30" s="490"/>
      <c r="C30" s="492"/>
      <c r="D30" s="492"/>
      <c r="E30" s="492"/>
      <c r="F30" s="492"/>
      <c r="G30" s="515"/>
      <c r="I30" s="504"/>
      <c r="J30" s="490"/>
      <c r="K30" s="492"/>
      <c r="L30" s="492"/>
      <c r="M30" s="492"/>
      <c r="N30" s="492"/>
      <c r="O30" s="515"/>
    </row>
    <row r="31" spans="1:15" ht="17.25">
      <c r="A31" s="504" t="s">
        <v>293</v>
      </c>
      <c r="B31" s="492"/>
      <c r="C31" s="492"/>
      <c r="D31" s="492"/>
      <c r="E31" s="525">
        <f>+'SC 2018-2019 Budget'!C18</f>
        <v>0.425</v>
      </c>
      <c r="F31" s="492"/>
      <c r="G31" s="517">
        <f>-E31*G25</f>
        <v>-0.31024999999999997</v>
      </c>
      <c r="H31" s="518"/>
      <c r="I31" s="504" t="s">
        <v>293</v>
      </c>
      <c r="J31" s="492"/>
      <c r="K31" s="492"/>
      <c r="L31" s="492"/>
      <c r="M31" s="525">
        <v>0.425</v>
      </c>
      <c r="N31" s="492"/>
      <c r="O31" s="517">
        <f>-M31*O25</f>
        <v>-1.04125</v>
      </c>
    </row>
    <row r="32" spans="1:15" ht="17.25">
      <c r="A32" s="504"/>
      <c r="B32" s="492"/>
      <c r="C32" s="492"/>
      <c r="D32" s="492"/>
      <c r="E32" s="516"/>
      <c r="F32" s="492"/>
      <c r="G32" s="517"/>
      <c r="H32" s="518"/>
      <c r="I32" s="504"/>
      <c r="J32" s="492"/>
      <c r="K32" s="492"/>
      <c r="L32" s="492"/>
      <c r="M32" s="516"/>
      <c r="N32" s="492"/>
      <c r="O32" s="517"/>
    </row>
    <row r="33" spans="1:17" ht="17.25">
      <c r="A33" s="489" t="s">
        <v>306</v>
      </c>
      <c r="B33" s="492"/>
      <c r="C33" s="492"/>
      <c r="D33" s="492"/>
      <c r="E33" s="516"/>
      <c r="F33" s="492"/>
      <c r="G33" s="519">
        <f>+G27+G31+G29</f>
        <v>-0.9002499999999999</v>
      </c>
      <c r="H33" s="514"/>
      <c r="I33" s="489" t="s">
        <v>306</v>
      </c>
      <c r="J33" s="492"/>
      <c r="K33" s="492"/>
      <c r="L33" s="492"/>
      <c r="M33" s="516"/>
      <c r="N33" s="492"/>
      <c r="O33" s="519">
        <f>+O27+O31+O29</f>
        <v>1.87875</v>
      </c>
      <c r="P33" s="532"/>
      <c r="Q33" s="534">
        <v>1.9</v>
      </c>
    </row>
    <row r="34" spans="1:15" ht="17.25">
      <c r="A34" s="489"/>
      <c r="B34" s="492"/>
      <c r="C34" s="492"/>
      <c r="D34" s="492"/>
      <c r="E34" s="516"/>
      <c r="F34" s="492"/>
      <c r="G34" s="519"/>
      <c r="H34" s="514"/>
      <c r="I34" s="489"/>
      <c r="J34" s="492"/>
      <c r="K34" s="492"/>
      <c r="L34" s="492"/>
      <c r="M34" s="516"/>
      <c r="N34" s="492"/>
      <c r="O34" s="519"/>
    </row>
    <row r="35" spans="1:17" ht="17.25">
      <c r="A35" s="489" t="s">
        <v>307</v>
      </c>
      <c r="B35" s="492"/>
      <c r="C35" s="492"/>
      <c r="D35" s="492"/>
      <c r="E35" s="516"/>
      <c r="F35" s="492"/>
      <c r="G35" s="519">
        <f>+G27+G29</f>
        <v>-0.59</v>
      </c>
      <c r="H35" s="514"/>
      <c r="I35" s="489" t="s">
        <v>307</v>
      </c>
      <c r="J35" s="492"/>
      <c r="K35" s="492"/>
      <c r="L35" s="492"/>
      <c r="M35" s="516"/>
      <c r="N35" s="492"/>
      <c r="O35" s="519">
        <f>+O27+O29</f>
        <v>2.92</v>
      </c>
      <c r="Q35" s="534">
        <v>2.72</v>
      </c>
    </row>
    <row r="36" spans="1:15" ht="13.5" thickBot="1">
      <c r="A36" s="520"/>
      <c r="B36" s="521"/>
      <c r="C36" s="521"/>
      <c r="D36" s="521"/>
      <c r="E36" s="521"/>
      <c r="F36" s="521"/>
      <c r="G36" s="522"/>
      <c r="I36" s="520"/>
      <c r="J36" s="521"/>
      <c r="K36" s="521"/>
      <c r="L36" s="521"/>
      <c r="M36" s="521"/>
      <c r="N36" s="521"/>
      <c r="O36" s="522"/>
    </row>
    <row r="39" ht="13.5" thickBot="1"/>
    <row r="40" spans="1:15" ht="23.25">
      <c r="A40" s="485" t="s">
        <v>299</v>
      </c>
      <c r="B40" s="486"/>
      <c r="C40" s="487"/>
      <c r="D40" s="487"/>
      <c r="E40" s="487"/>
      <c r="F40" s="487"/>
      <c r="G40" s="488"/>
      <c r="I40" s="485" t="s">
        <v>299</v>
      </c>
      <c r="J40" s="486"/>
      <c r="K40" s="487"/>
      <c r="L40" s="487"/>
      <c r="M40" s="487"/>
      <c r="N40" s="487"/>
      <c r="O40" s="488"/>
    </row>
    <row r="41" spans="1:15" ht="15.75">
      <c r="A41" s="489" t="s">
        <v>284</v>
      </c>
      <c r="B41" s="490"/>
      <c r="C41" s="491"/>
      <c r="D41" s="491"/>
      <c r="E41" s="492"/>
      <c r="F41" s="492"/>
      <c r="G41" s="493"/>
      <c r="I41" s="489" t="s">
        <v>284</v>
      </c>
      <c r="J41" s="490"/>
      <c r="K41" s="491"/>
      <c r="L41" s="491"/>
      <c r="M41" s="492"/>
      <c r="N41" s="492"/>
      <c r="O41" s="493"/>
    </row>
    <row r="42" spans="1:15" ht="15.75">
      <c r="A42" s="494"/>
      <c r="B42" s="495"/>
      <c r="C42" s="492"/>
      <c r="D42" s="492"/>
      <c r="E42" s="492"/>
      <c r="F42" s="492"/>
      <c r="G42" s="493"/>
      <c r="I42" s="494"/>
      <c r="J42" s="495"/>
      <c r="K42" s="492"/>
      <c r="L42" s="492"/>
      <c r="M42" s="492"/>
      <c r="N42" s="492"/>
      <c r="O42" s="493"/>
    </row>
    <row r="43" spans="1:15" ht="15">
      <c r="A43" s="545" t="s">
        <v>19</v>
      </c>
      <c r="B43" s="546"/>
      <c r="C43" s="546"/>
      <c r="D43" s="546"/>
      <c r="E43" s="546"/>
      <c r="F43" s="546"/>
      <c r="G43" s="547"/>
      <c r="I43" s="545" t="s">
        <v>19</v>
      </c>
      <c r="J43" s="546"/>
      <c r="K43" s="546"/>
      <c r="L43" s="546"/>
      <c r="M43" s="546"/>
      <c r="N43" s="546"/>
      <c r="O43" s="547"/>
    </row>
    <row r="44" spans="1:15" ht="15">
      <c r="A44" s="496"/>
      <c r="B44" s="492"/>
      <c r="C44" s="492"/>
      <c r="D44" s="492"/>
      <c r="E44" s="492"/>
      <c r="F44" s="492"/>
      <c r="G44" s="493"/>
      <c r="I44" s="496"/>
      <c r="J44" s="492"/>
      <c r="K44" s="492"/>
      <c r="L44" s="492"/>
      <c r="M44" s="492"/>
      <c r="N44" s="492"/>
      <c r="O44" s="493"/>
    </row>
    <row r="45" spans="1:15" ht="15.75">
      <c r="A45" s="496"/>
      <c r="B45" s="492"/>
      <c r="C45" s="497"/>
      <c r="D45" s="497"/>
      <c r="E45" s="497" t="s">
        <v>285</v>
      </c>
      <c r="F45" s="497" t="s">
        <v>85</v>
      </c>
      <c r="G45" s="493"/>
      <c r="I45" s="496"/>
      <c r="J45" s="492"/>
      <c r="K45" s="497"/>
      <c r="L45" s="497"/>
      <c r="M45" s="497" t="s">
        <v>285</v>
      </c>
      <c r="N45" s="497" t="s">
        <v>85</v>
      </c>
      <c r="O45" s="493"/>
    </row>
    <row r="46" spans="1:15" ht="15.75">
      <c r="A46" s="496"/>
      <c r="B46" s="492"/>
      <c r="C46" s="498" t="s">
        <v>99</v>
      </c>
      <c r="D46" s="498"/>
      <c r="E46" s="498" t="s">
        <v>286</v>
      </c>
      <c r="F46" s="498" t="s">
        <v>206</v>
      </c>
      <c r="G46" s="493"/>
      <c r="I46" s="496"/>
      <c r="J46" s="492"/>
      <c r="K46" s="498" t="s">
        <v>99</v>
      </c>
      <c r="L46" s="498"/>
      <c r="M46" s="498" t="s">
        <v>286</v>
      </c>
      <c r="N46" s="498" t="s">
        <v>206</v>
      </c>
      <c r="O46" s="493"/>
    </row>
    <row r="47" spans="1:15" ht="15.75">
      <c r="A47" s="499" t="s">
        <v>294</v>
      </c>
      <c r="B47" s="490"/>
      <c r="C47" s="500"/>
      <c r="D47" s="500"/>
      <c r="E47" s="500"/>
      <c r="F47" s="500"/>
      <c r="G47" s="493"/>
      <c r="I47" s="499" t="s">
        <v>312</v>
      </c>
      <c r="J47" s="490"/>
      <c r="K47" s="500"/>
      <c r="L47" s="500"/>
      <c r="M47" s="500"/>
      <c r="N47" s="500"/>
      <c r="O47" s="493"/>
    </row>
    <row r="48" spans="1:15" ht="15.75">
      <c r="A48" s="496" t="s">
        <v>295</v>
      </c>
      <c r="B48" s="492"/>
      <c r="C48" s="501">
        <f>SUM('Customer Counts'!F6:F8)</f>
        <v>62533</v>
      </c>
      <c r="D48" s="501"/>
      <c r="E48" s="502">
        <f>+'NS(KC) - Old Method'!X56</f>
        <v>1.94</v>
      </c>
      <c r="F48" s="503">
        <f>C48*E48</f>
        <v>121314.01999999999</v>
      </c>
      <c r="G48" s="493"/>
      <c r="I48" s="496" t="s">
        <v>295</v>
      </c>
      <c r="J48" s="492"/>
      <c r="K48" s="501">
        <v>61907</v>
      </c>
      <c r="L48" s="501"/>
      <c r="M48" s="502">
        <v>2.62</v>
      </c>
      <c r="N48" s="503">
        <f>K48*M48</f>
        <v>162196.34</v>
      </c>
      <c r="O48" s="493"/>
    </row>
    <row r="49" spans="1:15" ht="17.25">
      <c r="A49" s="504" t="s">
        <v>296</v>
      </c>
      <c r="B49" s="505"/>
      <c r="C49" s="506">
        <f>SUM('Customer Counts'!F9:F17)</f>
        <v>188839</v>
      </c>
      <c r="D49" s="506"/>
      <c r="E49" s="502">
        <f>+'NS(KC) - Old Method'!Y56</f>
        <v>2.7</v>
      </c>
      <c r="F49" s="507">
        <f>C49*E49</f>
        <v>509865.30000000005</v>
      </c>
      <c r="G49" s="493"/>
      <c r="I49" s="504" t="s">
        <v>296</v>
      </c>
      <c r="J49" s="505"/>
      <c r="K49" s="506">
        <v>186659</v>
      </c>
      <c r="L49" s="506"/>
      <c r="M49" s="502">
        <v>1.94</v>
      </c>
      <c r="N49" s="507">
        <f>K49*M49</f>
        <v>362118.45999999996</v>
      </c>
      <c r="O49" s="493"/>
    </row>
    <row r="50" spans="1:15" ht="17.25">
      <c r="A50" s="496" t="s">
        <v>85</v>
      </c>
      <c r="B50" s="492"/>
      <c r="C50" s="501">
        <f>SUM(C48:C49)</f>
        <v>251372</v>
      </c>
      <c r="D50" s="506"/>
      <c r="E50" s="492"/>
      <c r="F50" s="503">
        <f>SUM(F48:F49)</f>
        <v>631179.3200000001</v>
      </c>
      <c r="G50" s="493"/>
      <c r="I50" s="496" t="s">
        <v>85</v>
      </c>
      <c r="J50" s="492"/>
      <c r="K50" s="501">
        <f>SUM(K48:K49)</f>
        <v>248566</v>
      </c>
      <c r="L50" s="506"/>
      <c r="M50" s="492"/>
      <c r="N50" s="503">
        <f>SUM(N48:N49)</f>
        <v>524314.7999999999</v>
      </c>
      <c r="O50" s="493"/>
    </row>
    <row r="51" spans="1:15" ht="15">
      <c r="A51" s="496"/>
      <c r="B51" s="492"/>
      <c r="C51" s="492"/>
      <c r="D51" s="492"/>
      <c r="E51" s="492"/>
      <c r="F51" s="492"/>
      <c r="G51" s="493"/>
      <c r="I51" s="496"/>
      <c r="J51" s="492"/>
      <c r="K51" s="492"/>
      <c r="L51" s="492"/>
      <c r="M51" s="492"/>
      <c r="N51" s="492"/>
      <c r="O51" s="493"/>
    </row>
    <row r="52" spans="1:15" ht="15.75">
      <c r="A52" s="489" t="s">
        <v>305</v>
      </c>
      <c r="B52" s="492"/>
      <c r="C52" s="492"/>
      <c r="D52" s="492"/>
      <c r="E52" s="492"/>
      <c r="F52" s="503">
        <f>SUM('2018-2019 Recy. Tons &amp; Revenue'!J112)</f>
        <v>269162.0520468683</v>
      </c>
      <c r="G52" s="493"/>
      <c r="I52" s="489" t="s">
        <v>305</v>
      </c>
      <c r="J52" s="492"/>
      <c r="K52" s="492"/>
      <c r="L52" s="492"/>
      <c r="M52" s="492"/>
      <c r="N52" s="503">
        <v>671011</v>
      </c>
      <c r="O52" s="493"/>
    </row>
    <row r="53" spans="1:15" ht="15">
      <c r="A53" s="496"/>
      <c r="B53" s="492"/>
      <c r="C53" s="492"/>
      <c r="D53" s="492"/>
      <c r="E53" s="492"/>
      <c r="F53" s="503"/>
      <c r="G53" s="493"/>
      <c r="I53" s="496"/>
      <c r="J53" s="492"/>
      <c r="K53" s="492"/>
      <c r="L53" s="492"/>
      <c r="M53" s="492"/>
      <c r="N53" s="503"/>
      <c r="O53" s="493"/>
    </row>
    <row r="54" spans="1:15" ht="15">
      <c r="A54" s="496" t="s">
        <v>287</v>
      </c>
      <c r="B54" s="492"/>
      <c r="C54" s="492"/>
      <c r="D54" s="492"/>
      <c r="E54" s="492"/>
      <c r="F54" s="501">
        <f>F52-F50</f>
        <v>-362017.26795313176</v>
      </c>
      <c r="G54" s="493"/>
      <c r="I54" s="496" t="s">
        <v>287</v>
      </c>
      <c r="J54" s="492"/>
      <c r="K54" s="492"/>
      <c r="L54" s="492"/>
      <c r="M54" s="492"/>
      <c r="N54" s="501">
        <f>N52-N50</f>
        <v>146696.20000000007</v>
      </c>
      <c r="O54" s="493"/>
    </row>
    <row r="55" spans="1:15" ht="17.25">
      <c r="A55" s="496"/>
      <c r="B55" s="492"/>
      <c r="C55" s="508"/>
      <c r="D55" s="492"/>
      <c r="E55" s="492"/>
      <c r="F55" s="509"/>
      <c r="G55" s="493"/>
      <c r="I55" s="496"/>
      <c r="J55" s="492"/>
      <c r="K55" s="508"/>
      <c r="L55" s="492"/>
      <c r="M55" s="492"/>
      <c r="N55" s="509"/>
      <c r="O55" s="493"/>
    </row>
    <row r="56" spans="1:15" ht="15">
      <c r="A56" s="496" t="s">
        <v>288</v>
      </c>
      <c r="B56" s="492"/>
      <c r="C56" s="492"/>
      <c r="D56" s="492"/>
      <c r="E56" s="492"/>
      <c r="F56" s="501">
        <f>+C50</f>
        <v>251372</v>
      </c>
      <c r="G56" s="493"/>
      <c r="I56" s="496" t="s">
        <v>288</v>
      </c>
      <c r="J56" s="492"/>
      <c r="K56" s="492"/>
      <c r="L56" s="492"/>
      <c r="M56" s="492"/>
      <c r="N56" s="501">
        <f>+K50</f>
        <v>248566</v>
      </c>
      <c r="O56" s="493"/>
    </row>
    <row r="57" spans="1:15" ht="15">
      <c r="A57" s="496"/>
      <c r="B57" s="492"/>
      <c r="C57" s="492"/>
      <c r="D57" s="492"/>
      <c r="E57" s="492"/>
      <c r="F57" s="492"/>
      <c r="G57" s="493"/>
      <c r="I57" s="496"/>
      <c r="J57" s="492"/>
      <c r="K57" s="492"/>
      <c r="L57" s="492"/>
      <c r="M57" s="492"/>
      <c r="N57" s="492"/>
      <c r="O57" s="493"/>
    </row>
    <row r="58" spans="1:15" ht="15">
      <c r="A58" s="496" t="s">
        <v>289</v>
      </c>
      <c r="B58" s="492"/>
      <c r="C58" s="492"/>
      <c r="D58" s="492"/>
      <c r="E58" s="492"/>
      <c r="F58" s="510"/>
      <c r="G58" s="511">
        <f>ROUND(F54/F56,2)</f>
        <v>-1.44</v>
      </c>
      <c r="I58" s="496" t="s">
        <v>289</v>
      </c>
      <c r="J58" s="492"/>
      <c r="K58" s="492"/>
      <c r="L58" s="492"/>
      <c r="M58" s="492"/>
      <c r="N58" s="510"/>
      <c r="O58" s="511">
        <f>ROUND(N54/N56,2)</f>
        <v>0.59</v>
      </c>
    </row>
    <row r="59" spans="1:15" ht="15">
      <c r="A59" s="496"/>
      <c r="B59" s="492"/>
      <c r="C59" s="492"/>
      <c r="D59" s="492"/>
      <c r="E59" s="492"/>
      <c r="F59" s="492"/>
      <c r="G59" s="511"/>
      <c r="I59" s="496"/>
      <c r="J59" s="492"/>
      <c r="K59" s="492"/>
      <c r="L59" s="492"/>
      <c r="M59" s="492"/>
      <c r="N59" s="492"/>
      <c r="O59" s="511"/>
    </row>
    <row r="60" spans="1:15" ht="15">
      <c r="A60" s="496"/>
      <c r="B60" s="492"/>
      <c r="C60" s="492"/>
      <c r="D60" s="492"/>
      <c r="E60" s="492"/>
      <c r="F60" s="492"/>
      <c r="G60" s="511"/>
      <c r="I60" s="496"/>
      <c r="J60" s="492"/>
      <c r="K60" s="492"/>
      <c r="L60" s="492"/>
      <c r="M60" s="492"/>
      <c r="N60" s="492"/>
      <c r="O60" s="511"/>
    </row>
    <row r="61" spans="1:15" ht="15">
      <c r="A61" s="496"/>
      <c r="B61" s="492"/>
      <c r="C61" s="492"/>
      <c r="D61" s="492"/>
      <c r="E61" s="492"/>
      <c r="F61" s="492"/>
      <c r="G61" s="511"/>
      <c r="I61" s="496"/>
      <c r="J61" s="492"/>
      <c r="K61" s="492"/>
      <c r="L61" s="492"/>
      <c r="M61" s="492"/>
      <c r="N61" s="492"/>
      <c r="O61" s="511"/>
    </row>
    <row r="62" spans="1:15" ht="15.75">
      <c r="A62" s="512" t="s">
        <v>297</v>
      </c>
      <c r="B62" s="490"/>
      <c r="C62" s="492"/>
      <c r="D62" s="492"/>
      <c r="E62" s="492"/>
      <c r="F62" s="523">
        <f>SUM('2018-2019 Recy. Tons &amp; Revenue'!J94:J99)</f>
        <v>91522.43543369578</v>
      </c>
      <c r="G62" s="511"/>
      <c r="I62" s="512" t="s">
        <v>294</v>
      </c>
      <c r="J62" s="490"/>
      <c r="K62" s="492"/>
      <c r="L62" s="492"/>
      <c r="M62" s="492"/>
      <c r="N62" s="523">
        <v>671128</v>
      </c>
      <c r="O62" s="511"/>
    </row>
    <row r="63" spans="1:15" ht="17.25">
      <c r="A63" s="496" t="s">
        <v>288</v>
      </c>
      <c r="B63" s="492"/>
      <c r="C63" s="492"/>
      <c r="D63" s="492"/>
      <c r="E63" s="492"/>
      <c r="F63" s="524">
        <f>SUM('Customer Counts'!F12:F17)</f>
        <v>126406</v>
      </c>
      <c r="G63" s="511"/>
      <c r="I63" s="496" t="s">
        <v>288</v>
      </c>
      <c r="J63" s="492"/>
      <c r="K63" s="492"/>
      <c r="L63" s="492"/>
      <c r="M63" s="492"/>
      <c r="N63" s="524">
        <f>+N56</f>
        <v>248566</v>
      </c>
      <c r="O63" s="511"/>
    </row>
    <row r="64" spans="1:15" ht="17.25">
      <c r="A64" s="496" t="s">
        <v>290</v>
      </c>
      <c r="B64" s="492"/>
      <c r="C64" s="492"/>
      <c r="D64" s="492"/>
      <c r="E64" s="492"/>
      <c r="F64" s="492"/>
      <c r="G64" s="513">
        <f>ROUND(+F62/F63,2)</f>
        <v>0.72</v>
      </c>
      <c r="I64" s="496" t="s">
        <v>290</v>
      </c>
      <c r="J64" s="492"/>
      <c r="K64" s="492"/>
      <c r="L64" s="492"/>
      <c r="M64" s="492"/>
      <c r="N64" s="492"/>
      <c r="O64" s="513">
        <f>ROUND(+N62/N63,2)</f>
        <v>2.7</v>
      </c>
    </row>
    <row r="65" spans="1:15" ht="15">
      <c r="A65" s="496"/>
      <c r="B65" s="492"/>
      <c r="C65" s="492"/>
      <c r="D65" s="492"/>
      <c r="E65" s="492"/>
      <c r="F65" s="492"/>
      <c r="G65" s="511"/>
      <c r="I65" s="496"/>
      <c r="J65" s="492"/>
      <c r="K65" s="492"/>
      <c r="L65" s="492"/>
      <c r="M65" s="492"/>
      <c r="N65" s="492"/>
      <c r="O65" s="511"/>
    </row>
    <row r="66" spans="1:15" ht="15.75">
      <c r="A66" s="489" t="s">
        <v>291</v>
      </c>
      <c r="B66" s="490"/>
      <c r="C66" s="492"/>
      <c r="D66" s="492"/>
      <c r="E66" s="492"/>
      <c r="F66" s="492"/>
      <c r="G66" s="515">
        <f>SUM(G58:G64)</f>
        <v>-0.72</v>
      </c>
      <c r="I66" s="489" t="s">
        <v>291</v>
      </c>
      <c r="J66" s="490"/>
      <c r="K66" s="492"/>
      <c r="L66" s="492"/>
      <c r="M66" s="492"/>
      <c r="N66" s="492"/>
      <c r="O66" s="515">
        <f>SUM(O58:O64)</f>
        <v>3.29</v>
      </c>
    </row>
    <row r="67" spans="1:15" ht="15.75">
      <c r="A67" s="489"/>
      <c r="B67" s="490"/>
      <c r="C67" s="492"/>
      <c r="D67" s="492"/>
      <c r="E67" s="492"/>
      <c r="F67" s="492"/>
      <c r="G67" s="515"/>
      <c r="I67" s="489"/>
      <c r="J67" s="490"/>
      <c r="K67" s="492"/>
      <c r="L67" s="492"/>
      <c r="M67" s="492"/>
      <c r="N67" s="492"/>
      <c r="O67" s="515"/>
    </row>
    <row r="68" spans="1:15" ht="15.75">
      <c r="A68" s="504" t="s">
        <v>304</v>
      </c>
      <c r="B68" s="490"/>
      <c r="C68" s="492"/>
      <c r="D68" s="492"/>
      <c r="E68" s="531">
        <f>+C50/12*0.5</f>
        <v>10473.833333333334</v>
      </c>
      <c r="F68" s="492"/>
      <c r="G68" s="530">
        <f>ROUND(-E68/C50*2,2)</f>
        <v>-0.08</v>
      </c>
      <c r="I68" s="504" t="s">
        <v>304</v>
      </c>
      <c r="J68" s="490"/>
      <c r="K68" s="492"/>
      <c r="L68" s="492"/>
      <c r="M68" s="531"/>
      <c r="N68" s="492"/>
      <c r="O68" s="530"/>
    </row>
    <row r="69" spans="1:15" ht="15.75">
      <c r="A69" s="489"/>
      <c r="B69" s="490"/>
      <c r="C69" s="492"/>
      <c r="D69" s="492"/>
      <c r="E69" s="492"/>
      <c r="F69" s="492"/>
      <c r="G69" s="515"/>
      <c r="I69" s="489"/>
      <c r="J69" s="490"/>
      <c r="K69" s="492"/>
      <c r="L69" s="492"/>
      <c r="M69" s="492"/>
      <c r="N69" s="492"/>
      <c r="O69" s="515"/>
    </row>
    <row r="70" spans="1:15" ht="17.25">
      <c r="A70" s="504" t="s">
        <v>293</v>
      </c>
      <c r="B70" s="492"/>
      <c r="C70" s="492"/>
      <c r="D70" s="492"/>
      <c r="E70" s="525">
        <f>+'KC 2018-2019 Budget'!C19</f>
        <v>0.5</v>
      </c>
      <c r="F70" s="492"/>
      <c r="G70" s="517">
        <f>-E70*G64</f>
        <v>-0.36</v>
      </c>
      <c r="I70" s="504" t="s">
        <v>293</v>
      </c>
      <c r="J70" s="492"/>
      <c r="K70" s="492"/>
      <c r="L70" s="492"/>
      <c r="M70" s="525">
        <v>0.5</v>
      </c>
      <c r="N70" s="492"/>
      <c r="O70" s="517">
        <f>-M70*O64</f>
        <v>-1.35</v>
      </c>
    </row>
    <row r="71" spans="1:15" ht="17.25">
      <c r="A71" s="504"/>
      <c r="B71" s="492"/>
      <c r="C71" s="492"/>
      <c r="D71" s="492"/>
      <c r="E71" s="516"/>
      <c r="F71" s="492"/>
      <c r="G71" s="517"/>
      <c r="I71" s="504"/>
      <c r="J71" s="492"/>
      <c r="K71" s="492"/>
      <c r="L71" s="492"/>
      <c r="M71" s="516"/>
      <c r="N71" s="492"/>
      <c r="O71" s="517"/>
    </row>
    <row r="72" spans="1:17" ht="17.25">
      <c r="A72" s="489" t="s">
        <v>292</v>
      </c>
      <c r="B72" s="492"/>
      <c r="C72" s="492"/>
      <c r="D72" s="492"/>
      <c r="E72" s="516"/>
      <c r="F72" s="492"/>
      <c r="G72" s="519">
        <f>+G66+G70+G68</f>
        <v>-1.1600000000000001</v>
      </c>
      <c r="I72" s="489" t="s">
        <v>292</v>
      </c>
      <c r="J72" s="492"/>
      <c r="K72" s="492"/>
      <c r="L72" s="492"/>
      <c r="M72" s="516"/>
      <c r="N72" s="492"/>
      <c r="O72" s="519">
        <f>+O66+O70+O68</f>
        <v>1.94</v>
      </c>
      <c r="Q72" s="534">
        <f>+'[1]NS(KC) Deferred Acct.'!$Z$65</f>
        <v>1.62</v>
      </c>
    </row>
    <row r="73" spans="1:15" ht="13.5" thickBot="1">
      <c r="A73" s="520"/>
      <c r="B73" s="521"/>
      <c r="C73" s="521"/>
      <c r="D73" s="521"/>
      <c r="E73" s="521"/>
      <c r="F73" s="521"/>
      <c r="G73" s="522"/>
      <c r="I73" s="520"/>
      <c r="J73" s="521"/>
      <c r="K73" s="521"/>
      <c r="L73" s="521"/>
      <c r="M73" s="521"/>
      <c r="N73" s="521"/>
      <c r="O73" s="522"/>
    </row>
    <row r="75" ht="13.5" thickBot="1"/>
    <row r="76" spans="1:15" ht="23.25">
      <c r="A76" s="485" t="s">
        <v>300</v>
      </c>
      <c r="B76" s="486"/>
      <c r="C76" s="487"/>
      <c r="D76" s="487"/>
      <c r="E76" s="487"/>
      <c r="F76" s="487"/>
      <c r="G76" s="488"/>
      <c r="I76" s="485" t="s">
        <v>300</v>
      </c>
      <c r="J76" s="486"/>
      <c r="K76" s="487"/>
      <c r="L76" s="487"/>
      <c r="M76" s="487"/>
      <c r="N76" s="487"/>
      <c r="O76" s="488"/>
    </row>
    <row r="77" spans="1:15" ht="15.75">
      <c r="A77" s="489" t="s">
        <v>284</v>
      </c>
      <c r="B77" s="490"/>
      <c r="C77" s="491"/>
      <c r="D77" s="491"/>
      <c r="E77" s="492"/>
      <c r="F77" s="492"/>
      <c r="G77" s="493"/>
      <c r="I77" s="489" t="s">
        <v>284</v>
      </c>
      <c r="J77" s="490"/>
      <c r="K77" s="491"/>
      <c r="L77" s="491"/>
      <c r="M77" s="492"/>
      <c r="N77" s="492"/>
      <c r="O77" s="493"/>
    </row>
    <row r="78" spans="1:15" ht="15.75">
      <c r="A78" s="494"/>
      <c r="B78" s="495"/>
      <c r="C78" s="492"/>
      <c r="D78" s="492"/>
      <c r="E78" s="492"/>
      <c r="F78" s="492"/>
      <c r="G78" s="493"/>
      <c r="I78" s="494"/>
      <c r="J78" s="495"/>
      <c r="K78" s="492"/>
      <c r="L78" s="492"/>
      <c r="M78" s="492"/>
      <c r="N78" s="492"/>
      <c r="O78" s="493"/>
    </row>
    <row r="79" spans="1:15" ht="15">
      <c r="A79" s="545" t="s">
        <v>19</v>
      </c>
      <c r="B79" s="546"/>
      <c r="C79" s="546"/>
      <c r="D79" s="546"/>
      <c r="E79" s="546"/>
      <c r="F79" s="546"/>
      <c r="G79" s="547"/>
      <c r="I79" s="545" t="s">
        <v>19</v>
      </c>
      <c r="J79" s="546"/>
      <c r="K79" s="546"/>
      <c r="L79" s="546"/>
      <c r="M79" s="546"/>
      <c r="N79" s="546"/>
      <c r="O79" s="547"/>
    </row>
    <row r="80" spans="1:15" ht="15">
      <c r="A80" s="496"/>
      <c r="B80" s="492"/>
      <c r="C80" s="492"/>
      <c r="D80" s="492"/>
      <c r="E80" s="492"/>
      <c r="F80" s="492"/>
      <c r="G80" s="493"/>
      <c r="I80" s="496"/>
      <c r="J80" s="492"/>
      <c r="K80" s="492"/>
      <c r="L80" s="492"/>
      <c r="M80" s="492"/>
      <c r="N80" s="492"/>
      <c r="O80" s="493"/>
    </row>
    <row r="81" spans="1:15" ht="15.75">
      <c r="A81" s="496"/>
      <c r="B81" s="492"/>
      <c r="C81" s="497"/>
      <c r="D81" s="497"/>
      <c r="E81" s="497" t="s">
        <v>285</v>
      </c>
      <c r="F81" s="497" t="s">
        <v>85</v>
      </c>
      <c r="G81" s="493"/>
      <c r="I81" s="496"/>
      <c r="J81" s="492"/>
      <c r="K81" s="497"/>
      <c r="L81" s="497"/>
      <c r="M81" s="497" t="s">
        <v>285</v>
      </c>
      <c r="N81" s="497" t="s">
        <v>85</v>
      </c>
      <c r="O81" s="493"/>
    </row>
    <row r="82" spans="1:15" ht="15.75">
      <c r="A82" s="496"/>
      <c r="B82" s="492"/>
      <c r="C82" s="498" t="s">
        <v>99</v>
      </c>
      <c r="D82" s="498"/>
      <c r="E82" s="498" t="s">
        <v>286</v>
      </c>
      <c r="F82" s="498" t="s">
        <v>206</v>
      </c>
      <c r="G82" s="493"/>
      <c r="I82" s="496"/>
      <c r="J82" s="492"/>
      <c r="K82" s="498" t="s">
        <v>99</v>
      </c>
      <c r="L82" s="498"/>
      <c r="M82" s="498" t="s">
        <v>286</v>
      </c>
      <c r="N82" s="498" t="s">
        <v>206</v>
      </c>
      <c r="O82" s="493"/>
    </row>
    <row r="83" spans="1:15" ht="15.75">
      <c r="A83" s="499" t="s">
        <v>294</v>
      </c>
      <c r="B83" s="490"/>
      <c r="C83" s="500"/>
      <c r="D83" s="500"/>
      <c r="E83" s="500"/>
      <c r="F83" s="500"/>
      <c r="G83" s="493"/>
      <c r="I83" s="499" t="s">
        <v>312</v>
      </c>
      <c r="J83" s="490"/>
      <c r="K83" s="500"/>
      <c r="L83" s="500"/>
      <c r="M83" s="500"/>
      <c r="N83" s="500"/>
      <c r="O83" s="493"/>
    </row>
    <row r="84" spans="1:15" ht="15.75">
      <c r="A84" s="496" t="s">
        <v>295</v>
      </c>
      <c r="B84" s="492"/>
      <c r="C84" s="501">
        <f>SUM('Customer Counts'!D6:D8)</f>
        <v>51847</v>
      </c>
      <c r="D84" s="501"/>
      <c r="E84" s="502">
        <f>+'Sea_SS - Old Method'!X56</f>
        <v>1.67</v>
      </c>
      <c r="F84" s="503">
        <f>C84*E84</f>
        <v>86584.48999999999</v>
      </c>
      <c r="G84" s="493"/>
      <c r="I84" s="496" t="s">
        <v>295</v>
      </c>
      <c r="J84" s="492"/>
      <c r="K84" s="501">
        <v>50683</v>
      </c>
      <c r="L84" s="501"/>
      <c r="M84" s="502">
        <v>2.26</v>
      </c>
      <c r="N84" s="503">
        <f>K84*M84</f>
        <v>114543.57999999999</v>
      </c>
      <c r="O84" s="493"/>
    </row>
    <row r="85" spans="1:15" ht="17.25">
      <c r="A85" s="504" t="s">
        <v>296</v>
      </c>
      <c r="B85" s="505"/>
      <c r="C85" s="506">
        <f>SUM('Customer Counts'!D9:D17)</f>
        <v>157300</v>
      </c>
      <c r="D85" s="506"/>
      <c r="E85" s="502">
        <f>+'Sea_SS - Old Method'!Y56</f>
        <v>2.33</v>
      </c>
      <c r="F85" s="507">
        <f>C85*E85</f>
        <v>366509</v>
      </c>
      <c r="G85" s="493"/>
      <c r="I85" s="504" t="s">
        <v>296</v>
      </c>
      <c r="J85" s="505"/>
      <c r="K85" s="506">
        <v>153989</v>
      </c>
      <c r="L85" s="506"/>
      <c r="M85" s="502">
        <v>1.67</v>
      </c>
      <c r="N85" s="507">
        <f>K85*M85</f>
        <v>257161.62999999998</v>
      </c>
      <c r="O85" s="493"/>
    </row>
    <row r="86" spans="1:15" ht="17.25">
      <c r="A86" s="496" t="s">
        <v>85</v>
      </c>
      <c r="B86" s="492"/>
      <c r="C86" s="501">
        <f>SUM(C84:C85)</f>
        <v>209147</v>
      </c>
      <c r="D86" s="506"/>
      <c r="E86" s="492"/>
      <c r="F86" s="503">
        <f>SUM(F84:F85)</f>
        <v>453093.49</v>
      </c>
      <c r="G86" s="493"/>
      <c r="I86" s="496" t="s">
        <v>85</v>
      </c>
      <c r="J86" s="492"/>
      <c r="K86" s="501">
        <f>SUM(K84:K85)</f>
        <v>204672</v>
      </c>
      <c r="L86" s="506"/>
      <c r="M86" s="492"/>
      <c r="N86" s="503">
        <f>SUM(N84:N85)</f>
        <v>371705.20999999996</v>
      </c>
      <c r="O86" s="493"/>
    </row>
    <row r="87" spans="1:15" ht="15">
      <c r="A87" s="496"/>
      <c r="B87" s="492"/>
      <c r="C87" s="492"/>
      <c r="D87" s="492"/>
      <c r="E87" s="492"/>
      <c r="F87" s="492"/>
      <c r="G87" s="493"/>
      <c r="I87" s="496"/>
      <c r="J87" s="492"/>
      <c r="K87" s="492"/>
      <c r="L87" s="492"/>
      <c r="M87" s="492"/>
      <c r="N87" s="492"/>
      <c r="O87" s="493"/>
    </row>
    <row r="88" spans="1:15" ht="15.75">
      <c r="A88" s="489" t="s">
        <v>305</v>
      </c>
      <c r="B88" s="492"/>
      <c r="C88" s="492"/>
      <c r="D88" s="492"/>
      <c r="E88" s="492"/>
      <c r="F88" s="503">
        <f>SUM('2018-2019 Recy. Tons &amp; Revenue'!L112)</f>
        <v>223797.66625913404</v>
      </c>
      <c r="G88" s="493"/>
      <c r="I88" s="489" t="s">
        <v>305</v>
      </c>
      <c r="J88" s="492"/>
      <c r="K88" s="492"/>
      <c r="L88" s="492"/>
      <c r="M88" s="492"/>
      <c r="N88" s="503">
        <v>477597</v>
      </c>
      <c r="O88" s="493"/>
    </row>
    <row r="89" spans="1:15" ht="15">
      <c r="A89" s="496"/>
      <c r="B89" s="492"/>
      <c r="C89" s="492"/>
      <c r="D89" s="492"/>
      <c r="E89" s="492"/>
      <c r="F89" s="503"/>
      <c r="G89" s="493"/>
      <c r="I89" s="496"/>
      <c r="J89" s="492"/>
      <c r="K89" s="492"/>
      <c r="L89" s="492"/>
      <c r="M89" s="492"/>
      <c r="N89" s="503"/>
      <c r="O89" s="493"/>
    </row>
    <row r="90" spans="1:15" ht="15">
      <c r="A90" s="496" t="s">
        <v>287</v>
      </c>
      <c r="B90" s="492"/>
      <c r="C90" s="492"/>
      <c r="D90" s="492"/>
      <c r="E90" s="492"/>
      <c r="F90" s="501">
        <f>F88-F86</f>
        <v>-229295.82374086595</v>
      </c>
      <c r="G90" s="493"/>
      <c r="I90" s="496" t="s">
        <v>287</v>
      </c>
      <c r="J90" s="492"/>
      <c r="K90" s="492"/>
      <c r="L90" s="492"/>
      <c r="M90" s="492"/>
      <c r="N90" s="501">
        <f>N88-N86</f>
        <v>105891.79000000004</v>
      </c>
      <c r="O90" s="493"/>
    </row>
    <row r="91" spans="1:15" ht="17.25">
      <c r="A91" s="496"/>
      <c r="B91" s="492"/>
      <c r="C91" s="508"/>
      <c r="D91" s="492"/>
      <c r="E91" s="492"/>
      <c r="F91" s="509"/>
      <c r="G91" s="493"/>
      <c r="I91" s="496"/>
      <c r="J91" s="492"/>
      <c r="K91" s="508"/>
      <c r="L91" s="492"/>
      <c r="M91" s="492"/>
      <c r="N91" s="509"/>
      <c r="O91" s="493"/>
    </row>
    <row r="92" spans="1:15" ht="15">
      <c r="A92" s="496" t="s">
        <v>288</v>
      </c>
      <c r="B92" s="492"/>
      <c r="C92" s="492"/>
      <c r="D92" s="492"/>
      <c r="E92" s="492"/>
      <c r="F92" s="501">
        <f>+C86</f>
        <v>209147</v>
      </c>
      <c r="G92" s="493"/>
      <c r="I92" s="496" t="s">
        <v>288</v>
      </c>
      <c r="J92" s="492"/>
      <c r="K92" s="492"/>
      <c r="L92" s="492"/>
      <c r="M92" s="492"/>
      <c r="N92" s="501">
        <f>+K86</f>
        <v>204672</v>
      </c>
      <c r="O92" s="493"/>
    </row>
    <row r="93" spans="1:15" ht="15">
      <c r="A93" s="496"/>
      <c r="B93" s="492"/>
      <c r="C93" s="492"/>
      <c r="D93" s="492"/>
      <c r="E93" s="492"/>
      <c r="F93" s="492"/>
      <c r="G93" s="493"/>
      <c r="I93" s="496"/>
      <c r="J93" s="492"/>
      <c r="K93" s="492"/>
      <c r="L93" s="492"/>
      <c r="M93" s="492"/>
      <c r="N93" s="492"/>
      <c r="O93" s="493"/>
    </row>
    <row r="94" spans="1:15" ht="15">
      <c r="A94" s="496" t="s">
        <v>289</v>
      </c>
      <c r="B94" s="492"/>
      <c r="C94" s="492"/>
      <c r="D94" s="492"/>
      <c r="E94" s="492"/>
      <c r="F94" s="510"/>
      <c r="G94" s="511">
        <f>ROUND(F90/F92,2)</f>
        <v>-1.1</v>
      </c>
      <c r="I94" s="496" t="s">
        <v>289</v>
      </c>
      <c r="J94" s="492"/>
      <c r="K94" s="492"/>
      <c r="L94" s="492"/>
      <c r="M94" s="492"/>
      <c r="N94" s="510"/>
      <c r="O94" s="511">
        <f>ROUND(N90/N92,2)</f>
        <v>0.52</v>
      </c>
    </row>
    <row r="95" spans="1:15" ht="15">
      <c r="A95" s="496"/>
      <c r="B95" s="492"/>
      <c r="C95" s="492"/>
      <c r="D95" s="492"/>
      <c r="E95" s="492"/>
      <c r="F95" s="492"/>
      <c r="G95" s="511"/>
      <c r="I95" s="496"/>
      <c r="J95" s="492"/>
      <c r="K95" s="492"/>
      <c r="L95" s="492"/>
      <c r="M95" s="492"/>
      <c r="N95" s="492"/>
      <c r="O95" s="511"/>
    </row>
    <row r="96" spans="1:15" ht="15">
      <c r="A96" s="496"/>
      <c r="B96" s="492"/>
      <c r="C96" s="492"/>
      <c r="D96" s="492"/>
      <c r="E96" s="492"/>
      <c r="F96" s="492"/>
      <c r="G96" s="511"/>
      <c r="I96" s="496"/>
      <c r="J96" s="492"/>
      <c r="K96" s="492"/>
      <c r="L96" s="492"/>
      <c r="M96" s="492"/>
      <c r="N96" s="492"/>
      <c r="O96" s="511"/>
    </row>
    <row r="97" spans="1:15" ht="15">
      <c r="A97" s="496"/>
      <c r="B97" s="492"/>
      <c r="C97" s="492"/>
      <c r="D97" s="492"/>
      <c r="E97" s="492"/>
      <c r="F97" s="492"/>
      <c r="G97" s="511"/>
      <c r="I97" s="496"/>
      <c r="J97" s="492"/>
      <c r="K97" s="492"/>
      <c r="L97" s="492"/>
      <c r="M97" s="492"/>
      <c r="N97" s="492"/>
      <c r="O97" s="511"/>
    </row>
    <row r="98" spans="1:15" ht="15.75">
      <c r="A98" s="512" t="s">
        <v>297</v>
      </c>
      <c r="B98" s="490"/>
      <c r="C98" s="492"/>
      <c r="D98" s="492"/>
      <c r="E98" s="492"/>
      <c r="F98" s="523">
        <f>SUM('2018-2019 Recy. Tons &amp; Revenue'!L94:L99)</f>
        <v>85284.72050281717</v>
      </c>
      <c r="G98" s="511"/>
      <c r="I98" s="512" t="s">
        <v>294</v>
      </c>
      <c r="J98" s="490"/>
      <c r="K98" s="492"/>
      <c r="L98" s="492"/>
      <c r="M98" s="492"/>
      <c r="N98" s="523">
        <v>476886</v>
      </c>
      <c r="O98" s="511"/>
    </row>
    <row r="99" spans="1:15" ht="17.25">
      <c r="A99" s="496" t="s">
        <v>288</v>
      </c>
      <c r="B99" s="492"/>
      <c r="C99" s="492"/>
      <c r="D99" s="492"/>
      <c r="E99" s="492"/>
      <c r="F99" s="524">
        <f>SUM('Customer Counts'!D12:D17)</f>
        <v>105335</v>
      </c>
      <c r="G99" s="511"/>
      <c r="I99" s="496" t="s">
        <v>288</v>
      </c>
      <c r="J99" s="492"/>
      <c r="K99" s="492"/>
      <c r="L99" s="492"/>
      <c r="M99" s="492"/>
      <c r="N99" s="524">
        <f>+N92</f>
        <v>204672</v>
      </c>
      <c r="O99" s="511"/>
    </row>
    <row r="100" spans="1:15" ht="17.25">
      <c r="A100" s="496" t="s">
        <v>290</v>
      </c>
      <c r="B100" s="492"/>
      <c r="C100" s="492"/>
      <c r="D100" s="492"/>
      <c r="E100" s="492"/>
      <c r="F100" s="492"/>
      <c r="G100" s="513">
        <f>ROUND(+F98/F99,2)</f>
        <v>0.81</v>
      </c>
      <c r="I100" s="496" t="s">
        <v>290</v>
      </c>
      <c r="J100" s="492"/>
      <c r="K100" s="492"/>
      <c r="L100" s="492"/>
      <c r="M100" s="492"/>
      <c r="N100" s="492"/>
      <c r="O100" s="513">
        <f>ROUND(+N98/N99,2)</f>
        <v>2.33</v>
      </c>
    </row>
    <row r="101" spans="1:15" ht="15">
      <c r="A101" s="496"/>
      <c r="B101" s="492"/>
      <c r="C101" s="492"/>
      <c r="D101" s="492"/>
      <c r="E101" s="492"/>
      <c r="F101" s="492"/>
      <c r="G101" s="511"/>
      <c r="I101" s="496"/>
      <c r="J101" s="492"/>
      <c r="K101" s="492"/>
      <c r="L101" s="492"/>
      <c r="M101" s="492"/>
      <c r="N101" s="492"/>
      <c r="O101" s="511"/>
    </row>
    <row r="102" spans="1:15" ht="15.75">
      <c r="A102" s="489" t="s">
        <v>291</v>
      </c>
      <c r="B102" s="490"/>
      <c r="C102" s="492"/>
      <c r="D102" s="492"/>
      <c r="E102" s="492"/>
      <c r="F102" s="492"/>
      <c r="G102" s="515">
        <f>SUM(G94:G100)</f>
        <v>-0.29000000000000004</v>
      </c>
      <c r="I102" s="489" t="s">
        <v>291</v>
      </c>
      <c r="J102" s="490"/>
      <c r="K102" s="492"/>
      <c r="L102" s="492"/>
      <c r="M102" s="492"/>
      <c r="N102" s="492"/>
      <c r="O102" s="515">
        <f>SUM(O94:O100)</f>
        <v>2.85</v>
      </c>
    </row>
    <row r="103" spans="1:15" ht="15.75">
      <c r="A103" s="489"/>
      <c r="B103" s="490"/>
      <c r="C103" s="492"/>
      <c r="D103" s="492"/>
      <c r="E103" s="492"/>
      <c r="F103" s="492"/>
      <c r="G103" s="515"/>
      <c r="I103" s="489"/>
      <c r="J103" s="490"/>
      <c r="K103" s="492"/>
      <c r="L103" s="492"/>
      <c r="M103" s="492"/>
      <c r="N103" s="492"/>
      <c r="O103" s="515"/>
    </row>
    <row r="104" spans="1:15" ht="15.75">
      <c r="A104" s="504" t="s">
        <v>304</v>
      </c>
      <c r="B104" s="490"/>
      <c r="C104" s="492"/>
      <c r="D104" s="492"/>
      <c r="E104" s="531">
        <f>+C86/12*0.5</f>
        <v>8714.458333333334</v>
      </c>
      <c r="F104" s="492"/>
      <c r="G104" s="530">
        <f>ROUND(-E104/C86*2,2)</f>
        <v>-0.08</v>
      </c>
      <c r="I104" s="504" t="s">
        <v>304</v>
      </c>
      <c r="J104" s="490"/>
      <c r="K104" s="492"/>
      <c r="L104" s="492"/>
      <c r="M104" s="531"/>
      <c r="N104" s="492"/>
      <c r="O104" s="530"/>
    </row>
    <row r="105" spans="1:15" ht="15.75">
      <c r="A105" s="489"/>
      <c r="B105" s="490"/>
      <c r="C105" s="492"/>
      <c r="D105" s="492"/>
      <c r="E105" s="492"/>
      <c r="F105" s="492"/>
      <c r="G105" s="515"/>
      <c r="I105" s="489"/>
      <c r="J105" s="490"/>
      <c r="K105" s="492"/>
      <c r="L105" s="492"/>
      <c r="M105" s="492"/>
      <c r="N105" s="492"/>
      <c r="O105" s="515"/>
    </row>
    <row r="106" spans="1:15" ht="20.25">
      <c r="A106" s="504" t="s">
        <v>293</v>
      </c>
      <c r="B106" s="492"/>
      <c r="C106" s="492"/>
      <c r="D106" s="492"/>
      <c r="E106" s="525">
        <f>+'KC 2018-2019 Budget'!C19</f>
        <v>0.5</v>
      </c>
      <c r="F106" s="492"/>
      <c r="G106" s="517">
        <f>-E106*G100</f>
        <v>-0.405</v>
      </c>
      <c r="I106" s="504" t="s">
        <v>293</v>
      </c>
      <c r="J106" s="492"/>
      <c r="K106" s="492"/>
      <c r="L106" s="492"/>
      <c r="M106" s="525">
        <v>0.5</v>
      </c>
      <c r="N106" s="492"/>
      <c r="O106" s="517">
        <f>-M106*O100</f>
        <v>-1.165</v>
      </c>
    </row>
    <row r="107" spans="1:15" ht="20.25">
      <c r="A107" s="504"/>
      <c r="B107" s="492"/>
      <c r="C107" s="492"/>
      <c r="D107" s="492"/>
      <c r="E107" s="516"/>
      <c r="F107" s="492"/>
      <c r="G107" s="517"/>
      <c r="I107" s="504"/>
      <c r="J107" s="492"/>
      <c r="K107" s="492"/>
      <c r="L107" s="492"/>
      <c r="M107" s="516"/>
      <c r="N107" s="492"/>
      <c r="O107" s="517"/>
    </row>
    <row r="108" spans="1:17" ht="18">
      <c r="A108" s="489" t="s">
        <v>292</v>
      </c>
      <c r="B108" s="492"/>
      <c r="C108" s="492"/>
      <c r="D108" s="492"/>
      <c r="E108" s="516"/>
      <c r="F108" s="492"/>
      <c r="G108" s="519">
        <f>+G102+G106+G104</f>
        <v>-0.775</v>
      </c>
      <c r="I108" s="489" t="s">
        <v>292</v>
      </c>
      <c r="J108" s="492"/>
      <c r="K108" s="492"/>
      <c r="L108" s="492"/>
      <c r="M108" s="516"/>
      <c r="N108" s="492"/>
      <c r="O108" s="519">
        <f>+O102+O106+O104</f>
        <v>1.685</v>
      </c>
      <c r="Q108" s="535">
        <f>+'[1]Sea_SS Deferred Acct.'!$Z$65</f>
        <v>1.42</v>
      </c>
    </row>
    <row r="109" spans="1:15" ht="13.5" thickBot="1">
      <c r="A109" s="520"/>
      <c r="B109" s="521"/>
      <c r="C109" s="521"/>
      <c r="D109" s="521"/>
      <c r="E109" s="521"/>
      <c r="F109" s="521"/>
      <c r="G109" s="522"/>
      <c r="I109" s="520"/>
      <c r="J109" s="521"/>
      <c r="K109" s="521"/>
      <c r="L109" s="521"/>
      <c r="M109" s="521"/>
      <c r="N109" s="521"/>
      <c r="O109" s="522"/>
    </row>
  </sheetData>
  <sheetProtection/>
  <mergeCells count="6">
    <mergeCell ref="A43:G43"/>
    <mergeCell ref="A79:G79"/>
    <mergeCell ref="A4:G4"/>
    <mergeCell ref="I4:O4"/>
    <mergeCell ref="I43:O43"/>
    <mergeCell ref="I79:O79"/>
  </mergeCells>
  <printOptions/>
  <pageMargins left="0.7" right="0.7" top="0.5" bottom="0.5" header="0.3" footer="0"/>
  <pageSetup fitToHeight="3" fitToWidth="1" horizontalDpi="600" verticalDpi="600" orientation="portrait" scale="62"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W147"/>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G2" sqref="G2"/>
    </sheetView>
  </sheetViews>
  <sheetFormatPr defaultColWidth="9.140625" defaultRowHeight="12.75"/>
  <cols>
    <col min="2" max="2" width="19.57421875" style="0" customWidth="1"/>
    <col min="3" max="3" width="12.8515625" style="0" bestFit="1" customWidth="1"/>
    <col min="4" max="4" width="12.28125" style="0" bestFit="1" customWidth="1"/>
    <col min="5" max="5" width="12.8515625" style="0" bestFit="1" customWidth="1"/>
    <col min="6" max="6" width="5.28125" style="0" customWidth="1"/>
    <col min="7" max="7" width="12.8515625" style="0" bestFit="1" customWidth="1"/>
    <col min="8" max="8" width="11.8515625" style="0" bestFit="1" customWidth="1"/>
    <col min="9" max="9" width="3.7109375" style="0" customWidth="1"/>
    <col min="10" max="10" width="12.8515625" style="0" bestFit="1" customWidth="1"/>
    <col min="11" max="11" width="3.7109375" style="0" customWidth="1"/>
    <col min="12" max="12" width="12.7109375" style="0" bestFit="1" customWidth="1"/>
    <col min="13" max="13" width="2.57421875" style="0" customWidth="1"/>
    <col min="14" max="14" width="10.421875" style="0" bestFit="1" customWidth="1"/>
    <col min="15" max="15" width="11.140625" style="0" bestFit="1" customWidth="1"/>
    <col min="16" max="16" width="10.421875" style="0" bestFit="1" customWidth="1"/>
    <col min="17" max="17" width="2.57421875" style="0" customWidth="1"/>
    <col min="18" max="20" width="12.8515625" style="0" bestFit="1" customWidth="1"/>
    <col min="21" max="21" width="9.00390625" style="0" customWidth="1"/>
    <col min="22" max="22" width="8.421875" style="0" customWidth="1"/>
    <col min="23" max="23" width="8.7109375" style="0" customWidth="1"/>
    <col min="24" max="24" width="8.28125" style="0" customWidth="1"/>
  </cols>
  <sheetData>
    <row r="1" spans="1:10" ht="20.25">
      <c r="A1" s="100" t="s">
        <v>92</v>
      </c>
      <c r="B1" s="87"/>
      <c r="C1" s="87"/>
      <c r="D1" s="87"/>
      <c r="E1" s="87"/>
      <c r="F1" s="87"/>
      <c r="G1" s="87"/>
      <c r="H1" s="87"/>
      <c r="I1" s="87"/>
      <c r="J1" s="87"/>
    </row>
    <row r="2" spans="1:10" ht="15.75">
      <c r="A2" s="101"/>
      <c r="B2" s="87"/>
      <c r="C2" s="87"/>
      <c r="D2" s="87"/>
      <c r="E2" s="87"/>
      <c r="F2" s="87"/>
      <c r="G2" s="87"/>
      <c r="H2" s="87"/>
      <c r="I2" s="87"/>
      <c r="J2" s="87"/>
    </row>
    <row r="3" spans="1:19" ht="15">
      <c r="A3" s="88" t="s">
        <v>93</v>
      </c>
      <c r="B3" s="87"/>
      <c r="C3" s="87"/>
      <c r="D3" s="87"/>
      <c r="E3" s="87"/>
      <c r="F3" s="87"/>
      <c r="G3" s="87"/>
      <c r="H3" s="87"/>
      <c r="I3" s="87"/>
      <c r="J3" s="87"/>
      <c r="R3" s="13" t="s">
        <v>94</v>
      </c>
      <c r="S3" s="13" t="s">
        <v>45</v>
      </c>
    </row>
    <row r="4" spans="1:19" ht="15">
      <c r="A4" s="87"/>
      <c r="B4" s="87"/>
      <c r="C4" s="548" t="s">
        <v>95</v>
      </c>
      <c r="D4" s="548"/>
      <c r="E4" s="548"/>
      <c r="F4" s="87"/>
      <c r="G4" s="548" t="s">
        <v>96</v>
      </c>
      <c r="H4" s="548"/>
      <c r="I4" s="548"/>
      <c r="J4" s="548"/>
      <c r="L4" s="13" t="s">
        <v>57</v>
      </c>
      <c r="N4" s="13" t="s">
        <v>94</v>
      </c>
      <c r="O4" s="13" t="s">
        <v>45</v>
      </c>
      <c r="R4" s="13" t="s">
        <v>15</v>
      </c>
      <c r="S4" s="13" t="s">
        <v>15</v>
      </c>
    </row>
    <row r="5" spans="1:20" ht="15">
      <c r="A5" s="87"/>
      <c r="B5" s="87"/>
      <c r="C5" s="13" t="s">
        <v>94</v>
      </c>
      <c r="D5" s="13" t="s">
        <v>45</v>
      </c>
      <c r="E5" s="87"/>
      <c r="F5" s="87"/>
      <c r="G5" s="13" t="s">
        <v>94</v>
      </c>
      <c r="H5" s="13" t="s">
        <v>45</v>
      </c>
      <c r="I5" s="13"/>
      <c r="J5" s="87"/>
      <c r="L5" s="13" t="s">
        <v>97</v>
      </c>
      <c r="N5" s="13" t="s">
        <v>15</v>
      </c>
      <c r="O5" s="13" t="s">
        <v>15</v>
      </c>
      <c r="P5" s="13" t="s">
        <v>85</v>
      </c>
      <c r="R5" s="13" t="s">
        <v>57</v>
      </c>
      <c r="S5" s="13" t="s">
        <v>57</v>
      </c>
      <c r="T5" s="13" t="s">
        <v>57</v>
      </c>
    </row>
    <row r="6" spans="1:20" ht="15">
      <c r="A6" s="88"/>
      <c r="B6" s="88"/>
      <c r="C6" s="14" t="s">
        <v>15</v>
      </c>
      <c r="D6" s="14" t="s">
        <v>15</v>
      </c>
      <c r="E6" s="14" t="s">
        <v>85</v>
      </c>
      <c r="F6" s="88"/>
      <c r="G6" s="14" t="s">
        <v>15</v>
      </c>
      <c r="H6" s="14" t="s">
        <v>15</v>
      </c>
      <c r="I6" s="14"/>
      <c r="J6" s="14" t="s">
        <v>85</v>
      </c>
      <c r="L6" s="14" t="s">
        <v>98</v>
      </c>
      <c r="M6" s="14"/>
      <c r="N6" s="14" t="s">
        <v>99</v>
      </c>
      <c r="O6" s="14" t="s">
        <v>99</v>
      </c>
      <c r="P6" s="14" t="s">
        <v>99</v>
      </c>
      <c r="R6" s="88" t="s">
        <v>100</v>
      </c>
      <c r="S6" s="88" t="s">
        <v>100</v>
      </c>
      <c r="T6" s="88" t="s">
        <v>100</v>
      </c>
    </row>
    <row r="7" spans="1:23" ht="12.75">
      <c r="A7" s="11" t="s">
        <v>126</v>
      </c>
      <c r="C7" s="122">
        <v>4069.73</v>
      </c>
      <c r="D7" s="122">
        <v>3829.61</v>
      </c>
      <c r="E7" s="122">
        <f>+D7+C7</f>
        <v>7899.34</v>
      </c>
      <c r="F7" s="11"/>
      <c r="G7" s="208">
        <f>+'Prices &amp; Revenue'!M35</f>
        <v>187061.50021049826</v>
      </c>
      <c r="H7" s="208">
        <f>+'Prices &amp; Revenue'!M132</f>
        <v>176024.5991309316</v>
      </c>
      <c r="I7" s="208"/>
      <c r="J7" s="208">
        <f>+H7+G7</f>
        <v>363086.0993414299</v>
      </c>
      <c r="K7" s="11"/>
      <c r="L7" s="209">
        <f aca="true" t="shared" si="0" ref="L7:L18">+J7/E7</f>
        <v>45.964105778638455</v>
      </c>
      <c r="M7" s="11"/>
      <c r="N7" s="89">
        <f>+'Customer Counts'!D6+'Customer Counts'!F6+'Customer Counts'!M6+'Customer Counts'!O6</f>
        <v>121248</v>
      </c>
      <c r="O7" s="202">
        <f>+'Customer Counts'!G6+'Customer Counts'!H6+'Customer Counts'!P6+'Customer Counts'!Q6</f>
        <v>130728</v>
      </c>
      <c r="P7" s="89">
        <f>+O7+N7</f>
        <v>251976</v>
      </c>
      <c r="Q7" s="11"/>
      <c r="R7" s="122">
        <f aca="true" t="shared" si="1" ref="R7:T10">+C7*2000/N7</f>
        <v>67.13067432040116</v>
      </c>
      <c r="S7" s="122">
        <f t="shared" si="1"/>
        <v>58.58897864267793</v>
      </c>
      <c r="T7" s="122">
        <f t="shared" si="1"/>
        <v>62.699145950407974</v>
      </c>
      <c r="V7" s="122"/>
      <c r="W7" s="122"/>
    </row>
    <row r="8" spans="1:23" ht="12.75">
      <c r="A8" t="s">
        <v>61</v>
      </c>
      <c r="C8" s="122">
        <v>4314.06</v>
      </c>
      <c r="D8" s="122">
        <v>4044.18</v>
      </c>
      <c r="E8" s="122">
        <f aca="true" t="shared" si="2" ref="E8:E30">+D8+C8</f>
        <v>8358.24</v>
      </c>
      <c r="F8" s="11"/>
      <c r="G8" s="208">
        <f>+'Prices &amp; Revenue'!M39</f>
        <v>250501.6400101603</v>
      </c>
      <c r="H8" s="208">
        <f>+'Prices &amp; Revenue'!M136</f>
        <v>234830.69834362296</v>
      </c>
      <c r="I8" s="208"/>
      <c r="J8" s="208">
        <f aca="true" t="shared" si="3" ref="J8:J30">+H8+G8</f>
        <v>485332.33835378324</v>
      </c>
      <c r="K8" s="11"/>
      <c r="L8" s="209">
        <f t="shared" si="0"/>
        <v>58.06633194952325</v>
      </c>
      <c r="M8" s="11"/>
      <c r="N8" s="89">
        <f>+'Customer Counts'!D7+'Customer Counts'!F7+'Customer Counts'!M7+'Customer Counts'!O7</f>
        <v>121345</v>
      </c>
      <c r="O8" s="202">
        <f>+'Customer Counts'!G7+'Customer Counts'!H7+'Customer Counts'!P7+'Customer Counts'!Q7</f>
        <v>130714</v>
      </c>
      <c r="P8" s="89">
        <f aca="true" t="shared" si="4" ref="P8:P29">+O8+N8</f>
        <v>252059</v>
      </c>
      <c r="Q8" s="11"/>
      <c r="R8" s="122">
        <f t="shared" si="1"/>
        <v>71.1040421937451</v>
      </c>
      <c r="S8" s="122">
        <f t="shared" si="1"/>
        <v>61.878299187539206</v>
      </c>
      <c r="T8" s="122">
        <f t="shared" si="1"/>
        <v>66.31971086134595</v>
      </c>
      <c r="V8" s="122"/>
      <c r="W8" s="122"/>
    </row>
    <row r="9" spans="1:23" ht="12.75">
      <c r="A9" t="s">
        <v>78</v>
      </c>
      <c r="C9" s="122">
        <v>4319.19</v>
      </c>
      <c r="D9" s="122">
        <v>4259.68</v>
      </c>
      <c r="E9" s="122">
        <f t="shared" si="2"/>
        <v>8578.869999999999</v>
      </c>
      <c r="F9" s="11"/>
      <c r="G9" s="208">
        <f>+'Prices &amp; Revenue'!M43</f>
        <v>298194.23937615065</v>
      </c>
      <c r="H9" s="208">
        <f>+'Prices &amp; Revenue'!M140</f>
        <v>294085.7053257212</v>
      </c>
      <c r="I9" s="208"/>
      <c r="J9" s="208">
        <f t="shared" si="3"/>
        <v>592279.9447018718</v>
      </c>
      <c r="K9" s="11"/>
      <c r="L9" s="209">
        <f t="shared" si="0"/>
        <v>69.03938918550718</v>
      </c>
      <c r="M9" s="11"/>
      <c r="N9" s="89">
        <f>+'Customer Counts'!D8+'Customer Counts'!F8+'Customer Counts'!M8+'Customer Counts'!O8</f>
        <v>121357</v>
      </c>
      <c r="O9" s="202">
        <f>+'Customer Counts'!G8+'Customer Counts'!H8+'Customer Counts'!P8+'Customer Counts'!Q8</f>
        <v>130667</v>
      </c>
      <c r="P9" s="89">
        <f t="shared" si="4"/>
        <v>252024</v>
      </c>
      <c r="Q9" s="11"/>
      <c r="R9" s="122">
        <f t="shared" si="1"/>
        <v>71.1815552460921</v>
      </c>
      <c r="S9" s="122">
        <f t="shared" si="1"/>
        <v>65.19901734944554</v>
      </c>
      <c r="T9" s="122">
        <f t="shared" si="1"/>
        <v>68.079786052122</v>
      </c>
      <c r="V9" s="122"/>
      <c r="W9" s="122"/>
    </row>
    <row r="10" spans="1:23" ht="12.75">
      <c r="A10" s="11" t="s">
        <v>127</v>
      </c>
      <c r="C10" s="122">
        <v>4786.07</v>
      </c>
      <c r="D10" s="122">
        <v>4416.05</v>
      </c>
      <c r="E10" s="122">
        <f t="shared" si="2"/>
        <v>9202.119999999999</v>
      </c>
      <c r="F10" s="11"/>
      <c r="G10" s="208">
        <f>+'Prices &amp; Revenue'!M47</f>
        <v>252837.80982604172</v>
      </c>
      <c r="H10" s="208">
        <f>+'Prices &amp; Revenue'!M144</f>
        <v>233290.44708545675</v>
      </c>
      <c r="I10" s="208"/>
      <c r="J10" s="208">
        <f t="shared" si="3"/>
        <v>486128.2569114985</v>
      </c>
      <c r="K10" s="11"/>
      <c r="L10" s="209">
        <f t="shared" si="0"/>
        <v>52.827854549983975</v>
      </c>
      <c r="M10" s="11"/>
      <c r="N10" s="89">
        <f>+'Customer Counts'!D9+'Customer Counts'!F9+'Customer Counts'!M9+'Customer Counts'!O9</f>
        <v>121406</v>
      </c>
      <c r="O10" s="202">
        <f>+'Customer Counts'!G9+'Customer Counts'!H9+'Customer Counts'!P9+'Customer Counts'!Q9</f>
        <v>130671</v>
      </c>
      <c r="P10" s="89">
        <f t="shared" si="4"/>
        <v>252077</v>
      </c>
      <c r="Q10" s="11"/>
      <c r="R10" s="122">
        <f t="shared" si="1"/>
        <v>78.84404395169926</v>
      </c>
      <c r="S10" s="122">
        <f t="shared" si="1"/>
        <v>67.59036052375814</v>
      </c>
      <c r="T10" s="122">
        <f t="shared" si="1"/>
        <v>73.01038968251763</v>
      </c>
      <c r="V10" s="122"/>
      <c r="W10" s="122"/>
    </row>
    <row r="11" spans="1:23" ht="12.75">
      <c r="A11" t="s">
        <v>89</v>
      </c>
      <c r="C11" s="122">
        <v>3286.95</v>
      </c>
      <c r="D11" s="122">
        <v>3229.15</v>
      </c>
      <c r="E11" s="122">
        <f t="shared" si="2"/>
        <v>6516.1</v>
      </c>
      <c r="F11" s="11"/>
      <c r="G11" s="208">
        <f>+'Prices &amp; Revenue'!M51</f>
        <v>154243.65838857624</v>
      </c>
      <c r="H11" s="208">
        <f>+'Prices &amp; Revenue'!M148</f>
        <v>151531.33132097262</v>
      </c>
      <c r="I11" s="208"/>
      <c r="J11" s="208">
        <f t="shared" si="3"/>
        <v>305774.9897095489</v>
      </c>
      <c r="K11" s="11"/>
      <c r="L11" s="209">
        <f t="shared" si="0"/>
        <v>46.9260738339726</v>
      </c>
      <c r="M11" s="11"/>
      <c r="N11" s="89">
        <f>+'Customer Counts'!D10+'Customer Counts'!F10+'Customer Counts'!M10+'Customer Counts'!O10</f>
        <v>121472</v>
      </c>
      <c r="O11" s="202">
        <f>+'Customer Counts'!G10+'Customer Counts'!H10+'Customer Counts'!P10+'Customer Counts'!Q10</f>
        <v>130794</v>
      </c>
      <c r="P11" s="89">
        <f t="shared" si="4"/>
        <v>252266</v>
      </c>
      <c r="Q11" s="11"/>
      <c r="R11" s="122">
        <f aca="true" t="shared" si="5" ref="R11:T12">+C11*2000/N11</f>
        <v>54.11864462592202</v>
      </c>
      <c r="S11" s="122">
        <f t="shared" si="5"/>
        <v>49.37764729268927</v>
      </c>
      <c r="T11" s="122">
        <f t="shared" si="5"/>
        <v>51.66054878580546</v>
      </c>
      <c r="V11" s="122"/>
      <c r="W11" s="122"/>
    </row>
    <row r="12" spans="1:23" ht="12.75">
      <c r="A12" t="s">
        <v>90</v>
      </c>
      <c r="C12" s="122">
        <v>3845.38</v>
      </c>
      <c r="D12" s="122">
        <v>3543.87</v>
      </c>
      <c r="E12" s="122">
        <f t="shared" si="2"/>
        <v>7389.25</v>
      </c>
      <c r="F12" s="11"/>
      <c r="G12" s="208">
        <f>+'Prices &amp; Revenue'!M55</f>
        <v>132388.2247180834</v>
      </c>
      <c r="H12" s="208">
        <f>+'Prices &amp; Revenue'!M152</f>
        <v>122007.87904749965</v>
      </c>
      <c r="I12" s="208"/>
      <c r="J12" s="208">
        <f t="shared" si="3"/>
        <v>254396.10376558304</v>
      </c>
      <c r="K12" s="11"/>
      <c r="L12" s="209">
        <f t="shared" si="0"/>
        <v>34.4278653132027</v>
      </c>
      <c r="M12" s="11"/>
      <c r="N12" s="89">
        <f>+'Customer Counts'!D11+'Customer Counts'!F11+'Customer Counts'!M11+'Customer Counts'!O11</f>
        <v>121654</v>
      </c>
      <c r="O12" s="202">
        <f>+'Customer Counts'!G11+'Customer Counts'!H11+'Customer Counts'!P11+'Customer Counts'!Q11</f>
        <v>131397</v>
      </c>
      <c r="P12" s="89">
        <f t="shared" si="4"/>
        <v>253051</v>
      </c>
      <c r="Q12" s="11"/>
      <c r="R12" s="122">
        <f t="shared" si="5"/>
        <v>63.21830765942756</v>
      </c>
      <c r="S12" s="122">
        <f t="shared" si="5"/>
        <v>53.94141418753853</v>
      </c>
      <c r="T12" s="122">
        <f t="shared" si="5"/>
        <v>58.40127089005774</v>
      </c>
      <c r="V12" s="122"/>
      <c r="W12" s="122"/>
    </row>
    <row r="13" spans="1:23" ht="12.75">
      <c r="A13" t="s">
        <v>91</v>
      </c>
      <c r="C13" s="122">
        <v>3820.85</v>
      </c>
      <c r="D13" s="122">
        <v>3575.63</v>
      </c>
      <c r="E13" s="122">
        <f t="shared" si="2"/>
        <v>7396.48</v>
      </c>
      <c r="F13" s="11"/>
      <c r="G13" s="208">
        <f>+'Prices &amp; Revenue'!M59</f>
        <v>164137.20631734616</v>
      </c>
      <c r="H13" s="208">
        <f>+'Prices &amp; Revenue'!M156</f>
        <v>153602.9729051108</v>
      </c>
      <c r="I13" s="208"/>
      <c r="J13" s="208">
        <f t="shared" si="3"/>
        <v>317740.179222457</v>
      </c>
      <c r="K13" s="11"/>
      <c r="L13" s="209">
        <f t="shared" si="0"/>
        <v>42.95829627369465</v>
      </c>
      <c r="M13" s="11"/>
      <c r="N13" s="89">
        <f>+'Customer Counts'!D12+'Customer Counts'!F12+'Customer Counts'!M12+'Customer Counts'!O12</f>
        <v>122152</v>
      </c>
      <c r="O13" s="202">
        <f>+'Customer Counts'!G12+'Customer Counts'!H12+'Customer Counts'!P12+'Customer Counts'!Q12</f>
        <v>131822</v>
      </c>
      <c r="P13" s="89">
        <f t="shared" si="4"/>
        <v>253974</v>
      </c>
      <c r="Q13" s="11"/>
      <c r="R13" s="122">
        <f aca="true" t="shared" si="6" ref="R13:T14">+C13*2000/N13</f>
        <v>62.55894295631672</v>
      </c>
      <c r="S13" s="122">
        <f t="shared" si="6"/>
        <v>54.249366570071764</v>
      </c>
      <c r="T13" s="122">
        <f t="shared" si="6"/>
        <v>58.24596218510556</v>
      </c>
      <c r="V13" s="122"/>
      <c r="W13" s="122"/>
    </row>
    <row r="14" spans="1:23" ht="12.75">
      <c r="A14" t="s">
        <v>66</v>
      </c>
      <c r="C14" s="122">
        <v>3554.52</v>
      </c>
      <c r="D14" s="122">
        <v>3342.67</v>
      </c>
      <c r="E14" s="122">
        <f t="shared" si="2"/>
        <v>6897.1900000000005</v>
      </c>
      <c r="F14" s="11"/>
      <c r="G14" s="208">
        <f>+'Prices &amp; Revenue'!M63</f>
        <v>167936.18813241957</v>
      </c>
      <c r="H14" s="208">
        <f>+'Prices &amp; Revenue'!M160</f>
        <v>157927.16259427287</v>
      </c>
      <c r="I14" s="208"/>
      <c r="J14" s="208">
        <f t="shared" si="3"/>
        <v>325863.3507266925</v>
      </c>
      <c r="K14" s="11"/>
      <c r="L14" s="209">
        <f t="shared" si="0"/>
        <v>47.245813255353625</v>
      </c>
      <c r="M14" s="11"/>
      <c r="N14" s="89">
        <f>+'Customer Counts'!D13+'Customer Counts'!F13+'Customer Counts'!M13+'Customer Counts'!O13</f>
        <v>122470</v>
      </c>
      <c r="O14" s="202">
        <f>+'Customer Counts'!G13+'Customer Counts'!H13+'Customer Counts'!P13+'Customer Counts'!Q13</f>
        <v>132271</v>
      </c>
      <c r="P14" s="89">
        <f t="shared" si="4"/>
        <v>254741</v>
      </c>
      <c r="Q14" s="11"/>
      <c r="R14" s="122">
        <f t="shared" si="6"/>
        <v>58.04719523148526</v>
      </c>
      <c r="S14" s="122">
        <f t="shared" si="6"/>
        <v>50.54274935548987</v>
      </c>
      <c r="T14" s="122">
        <f t="shared" si="6"/>
        <v>54.15060787230953</v>
      </c>
      <c r="V14" s="122"/>
      <c r="W14" s="122"/>
    </row>
    <row r="15" spans="1:23" ht="12.75">
      <c r="A15" t="s">
        <v>73</v>
      </c>
      <c r="C15" s="122">
        <v>3856.72</v>
      </c>
      <c r="D15" s="122">
        <v>3751.25</v>
      </c>
      <c r="E15" s="122">
        <f t="shared" si="2"/>
        <v>7607.969999999999</v>
      </c>
      <c r="F15" s="11"/>
      <c r="G15" s="208">
        <f>+'Prices &amp; Revenue'!M67</f>
        <v>80789.41854772806</v>
      </c>
      <c r="H15" s="208">
        <f>+'Prices &amp; Revenue'!M164</f>
        <v>78580.06449189075</v>
      </c>
      <c r="I15" s="208"/>
      <c r="J15" s="208">
        <f t="shared" si="3"/>
        <v>159369.48303961882</v>
      </c>
      <c r="K15" s="11"/>
      <c r="L15" s="209">
        <f t="shared" si="0"/>
        <v>20.947701297405068</v>
      </c>
      <c r="M15" s="11"/>
      <c r="N15" s="89">
        <f>+'Customer Counts'!D14+'Customer Counts'!F14+'Customer Counts'!M14+'Customer Counts'!O14</f>
        <v>122556</v>
      </c>
      <c r="O15" s="202">
        <f>+'Customer Counts'!G14+'Customer Counts'!H14+'Customer Counts'!P14+'Customer Counts'!Q14</f>
        <v>132503</v>
      </c>
      <c r="P15" s="89">
        <f t="shared" si="4"/>
        <v>255059</v>
      </c>
      <c r="Q15" s="11"/>
      <c r="R15" s="122">
        <f aca="true" t="shared" si="7" ref="R15:T16">+C15*2000/N15</f>
        <v>62.938085446652956</v>
      </c>
      <c r="S15" s="122">
        <f t="shared" si="7"/>
        <v>56.62135951638831</v>
      </c>
      <c r="T15" s="122">
        <f t="shared" si="7"/>
        <v>59.65655005312495</v>
      </c>
      <c r="V15" s="122"/>
      <c r="W15" s="122"/>
    </row>
    <row r="16" spans="1:23" ht="12.75">
      <c r="A16" t="s">
        <v>74</v>
      </c>
      <c r="C16" s="122">
        <v>3878.63</v>
      </c>
      <c r="D16" s="122">
        <v>3750.24</v>
      </c>
      <c r="E16" s="122">
        <f t="shared" si="2"/>
        <v>7628.87</v>
      </c>
      <c r="F16" s="11"/>
      <c r="G16" s="208">
        <f>+'Prices &amp; Revenue'!M71</f>
        <v>97456.09318026679</v>
      </c>
      <c r="H16" s="208">
        <f>+'Prices &amp; Revenue'!M168</f>
        <v>94230.11189217932</v>
      </c>
      <c r="I16" s="208"/>
      <c r="J16" s="208">
        <f t="shared" si="3"/>
        <v>191686.20507244612</v>
      </c>
      <c r="K16" s="11"/>
      <c r="L16" s="209">
        <f t="shared" si="0"/>
        <v>25.12642174692269</v>
      </c>
      <c r="M16" s="11"/>
      <c r="N16" s="89">
        <f>+'Customer Counts'!D15+'Customer Counts'!F15+'Customer Counts'!M15+'Customer Counts'!O15</f>
        <v>124763</v>
      </c>
      <c r="O16" s="202">
        <f>+'Customer Counts'!G15+'Customer Counts'!H15+'Customer Counts'!P15+'Customer Counts'!Q15</f>
        <v>132753</v>
      </c>
      <c r="P16" s="89">
        <f t="shared" si="4"/>
        <v>257516</v>
      </c>
      <c r="Q16" s="11"/>
      <c r="R16" s="122">
        <f t="shared" si="7"/>
        <v>62.17596563083607</v>
      </c>
      <c r="S16" s="122">
        <f t="shared" si="7"/>
        <v>56.49951413527378</v>
      </c>
      <c r="T16" s="122">
        <f t="shared" si="7"/>
        <v>59.249677689929946</v>
      </c>
      <c r="V16" s="122"/>
      <c r="W16" s="122"/>
    </row>
    <row r="17" spans="1:23" ht="12.75">
      <c r="A17" t="s">
        <v>75</v>
      </c>
      <c r="C17" s="122">
        <v>4136.64</v>
      </c>
      <c r="D17" s="122">
        <v>3905.49</v>
      </c>
      <c r="E17" s="122">
        <f t="shared" si="2"/>
        <v>8042.13</v>
      </c>
      <c r="F17" s="11"/>
      <c r="G17" s="208">
        <f>+'Prices &amp; Revenue'!M75</f>
        <v>126271.31403686681</v>
      </c>
      <c r="H17" s="208">
        <f>+'Prices &amp; Revenue'!M172</f>
        <v>119215.4391626641</v>
      </c>
      <c r="I17" s="208"/>
      <c r="J17" s="208">
        <f t="shared" si="3"/>
        <v>245486.7531995309</v>
      </c>
      <c r="K17" s="11"/>
      <c r="L17" s="209">
        <f t="shared" si="0"/>
        <v>30.52509138742235</v>
      </c>
      <c r="M17" s="11"/>
      <c r="N17" s="89">
        <f>+'Customer Counts'!D16+'Customer Counts'!F16+'Customer Counts'!M16+'Customer Counts'!O16</f>
        <v>123227</v>
      </c>
      <c r="O17" s="202">
        <f>+'Customer Counts'!G16+'Customer Counts'!H16+'Customer Counts'!P16+'Customer Counts'!Q16</f>
        <v>134873</v>
      </c>
      <c r="P17" s="89">
        <f t="shared" si="4"/>
        <v>258100</v>
      </c>
      <c r="Q17" s="11"/>
      <c r="R17" s="122">
        <f aca="true" t="shared" si="8" ref="R17:T18">+C17*2000/N17</f>
        <v>67.13853295138242</v>
      </c>
      <c r="S17" s="122">
        <f t="shared" si="8"/>
        <v>57.913592787288785</v>
      </c>
      <c r="T17" s="122">
        <f t="shared" si="8"/>
        <v>62.31793878341728</v>
      </c>
      <c r="V17" s="122"/>
      <c r="W17" s="122"/>
    </row>
    <row r="18" spans="1:23" ht="12.75">
      <c r="A18" t="s">
        <v>76</v>
      </c>
      <c r="C18" s="122">
        <v>3643.4</v>
      </c>
      <c r="D18" s="122">
        <v>3442</v>
      </c>
      <c r="E18" s="122">
        <f t="shared" si="2"/>
        <v>7085.4</v>
      </c>
      <c r="F18" s="11"/>
      <c r="G18" s="208">
        <f>+'Prices &amp; Revenue'!M79</f>
        <v>126433.5872016256</v>
      </c>
      <c r="H18" s="208">
        <f>+'Prices &amp; Revenue'!M176</f>
        <v>119444.58669045268</v>
      </c>
      <c r="I18" s="208"/>
      <c r="J18" s="208">
        <f t="shared" si="3"/>
        <v>245878.17389207828</v>
      </c>
      <c r="K18" s="11"/>
      <c r="L18" s="209">
        <f t="shared" si="0"/>
        <v>34.702087940282595</v>
      </c>
      <c r="M18" s="11"/>
      <c r="N18" s="89">
        <f>+'Customer Counts'!D17+'Customer Counts'!F17+'Customer Counts'!M17+'Customer Counts'!O17</f>
        <v>123280</v>
      </c>
      <c r="O18" s="202">
        <f>+'Customer Counts'!G17+'Customer Counts'!H17+'Customer Counts'!P17+'Customer Counts'!Q17</f>
        <v>134848</v>
      </c>
      <c r="P18" s="89">
        <f t="shared" si="4"/>
        <v>258128</v>
      </c>
      <c r="Q18" s="11"/>
      <c r="R18" s="122">
        <f t="shared" si="8"/>
        <v>59.107722258273846</v>
      </c>
      <c r="S18" s="122">
        <f t="shared" si="8"/>
        <v>51.05007119126721</v>
      </c>
      <c r="T18" s="122">
        <f t="shared" si="8"/>
        <v>54.89834500712825</v>
      </c>
      <c r="V18" s="122"/>
      <c r="W18" s="122"/>
    </row>
    <row r="19" spans="1:20" ht="15" hidden="1">
      <c r="A19" t="s">
        <v>60</v>
      </c>
      <c r="C19" s="122"/>
      <c r="D19" s="122"/>
      <c r="E19" s="122">
        <f t="shared" si="2"/>
        <v>0</v>
      </c>
      <c r="F19" s="210"/>
      <c r="G19" s="208"/>
      <c r="H19" s="208"/>
      <c r="I19" s="211"/>
      <c r="J19" s="208">
        <f t="shared" si="3"/>
        <v>0</v>
      </c>
      <c r="K19" s="11"/>
      <c r="L19" s="209"/>
      <c r="M19" s="11"/>
      <c r="N19" s="89">
        <f>+'Customer Counts'!D18+'Customer Counts'!F18+'Customer Counts'!M18+'Customer Counts'!O18</f>
        <v>0</v>
      </c>
      <c r="O19" s="202">
        <f>+'Customer Counts'!G18+'Customer Counts'!H18+'Customer Counts'!P18+'Customer Counts'!Q18</f>
        <v>0</v>
      </c>
      <c r="P19" s="89">
        <f t="shared" si="4"/>
        <v>0</v>
      </c>
      <c r="Q19" s="11"/>
      <c r="R19" s="122"/>
      <c r="S19" s="122"/>
      <c r="T19" s="122"/>
    </row>
    <row r="20" spans="1:20" ht="15" hidden="1">
      <c r="A20" t="s">
        <v>61</v>
      </c>
      <c r="C20" s="122"/>
      <c r="D20" s="122"/>
      <c r="E20" s="122">
        <f t="shared" si="2"/>
        <v>0</v>
      </c>
      <c r="F20" s="210"/>
      <c r="G20" s="208"/>
      <c r="H20" s="208"/>
      <c r="I20" s="211"/>
      <c r="J20" s="208">
        <f t="shared" si="3"/>
        <v>0</v>
      </c>
      <c r="K20" s="11"/>
      <c r="L20" s="209"/>
      <c r="M20" s="11"/>
      <c r="N20" s="89">
        <f>+'Customer Counts'!D19+'Customer Counts'!F19+'Customer Counts'!M19+'Customer Counts'!O19</f>
        <v>0</v>
      </c>
      <c r="O20" s="202">
        <f>+'Customer Counts'!G19+'Customer Counts'!H19+'Customer Counts'!P19+'Customer Counts'!Q19</f>
        <v>0</v>
      </c>
      <c r="P20" s="89">
        <f t="shared" si="4"/>
        <v>0</v>
      </c>
      <c r="Q20" s="11"/>
      <c r="R20" s="122"/>
      <c r="S20" s="122"/>
      <c r="T20" s="122"/>
    </row>
    <row r="21" spans="1:20" ht="12.75" hidden="1">
      <c r="A21" t="s">
        <v>78</v>
      </c>
      <c r="C21" s="122"/>
      <c r="D21" s="122"/>
      <c r="E21" s="122">
        <f t="shared" si="2"/>
        <v>0</v>
      </c>
      <c r="F21" s="11"/>
      <c r="G21" s="208"/>
      <c r="H21" s="208"/>
      <c r="I21" s="208"/>
      <c r="J21" s="208">
        <f t="shared" si="3"/>
        <v>0</v>
      </c>
      <c r="K21" s="11"/>
      <c r="L21" s="209"/>
      <c r="M21" s="11"/>
      <c r="N21" s="89">
        <f>+'Customer Counts'!D20+'Customer Counts'!F20+'Customer Counts'!M20+'Customer Counts'!O20</f>
        <v>0</v>
      </c>
      <c r="O21" s="202">
        <f>+'Customer Counts'!G20+'Customer Counts'!H20+'Customer Counts'!P20+'Customer Counts'!Q20</f>
        <v>0</v>
      </c>
      <c r="P21" s="89">
        <f t="shared" si="4"/>
        <v>0</v>
      </c>
      <c r="Q21" s="11"/>
      <c r="R21" s="122"/>
      <c r="S21" s="122"/>
      <c r="T21" s="122"/>
    </row>
    <row r="22" spans="1:20" ht="15" hidden="1">
      <c r="A22" s="11" t="s">
        <v>128</v>
      </c>
      <c r="C22" s="122"/>
      <c r="D22" s="122"/>
      <c r="E22" s="122">
        <f t="shared" si="2"/>
        <v>0</v>
      </c>
      <c r="F22" s="210"/>
      <c r="G22" s="208"/>
      <c r="H22" s="208"/>
      <c r="I22" s="211"/>
      <c r="J22" s="208">
        <f t="shared" si="3"/>
        <v>0</v>
      </c>
      <c r="K22" s="11"/>
      <c r="L22" s="209"/>
      <c r="M22" s="11"/>
      <c r="N22" s="89">
        <f>+'Customer Counts'!D21+'Customer Counts'!F21+'Customer Counts'!M21+'Customer Counts'!O21</f>
        <v>0</v>
      </c>
      <c r="O22" s="202">
        <f>+'Customer Counts'!G21+'Customer Counts'!H21+'Customer Counts'!P21+'Customer Counts'!Q21</f>
        <v>0</v>
      </c>
      <c r="P22" s="89">
        <f t="shared" si="4"/>
        <v>0</v>
      </c>
      <c r="Q22" s="11"/>
      <c r="R22" s="122"/>
      <c r="S22" s="122"/>
      <c r="T22" s="122"/>
    </row>
    <row r="23" spans="1:20" ht="15" hidden="1">
      <c r="A23" t="s">
        <v>89</v>
      </c>
      <c r="C23" s="122"/>
      <c r="D23" s="122"/>
      <c r="E23" s="122">
        <f t="shared" si="2"/>
        <v>0</v>
      </c>
      <c r="F23" s="210"/>
      <c r="G23" s="208"/>
      <c r="H23" s="208"/>
      <c r="I23" s="211"/>
      <c r="J23" s="208">
        <f t="shared" si="3"/>
        <v>0</v>
      </c>
      <c r="K23" s="11"/>
      <c r="L23" s="209"/>
      <c r="M23" s="11"/>
      <c r="N23" s="89">
        <f>+'Customer Counts'!D22+'Customer Counts'!F22+'Customer Counts'!M22+'Customer Counts'!O22</f>
        <v>0</v>
      </c>
      <c r="O23" s="202">
        <f>+'Customer Counts'!G22+'Customer Counts'!H22+'Customer Counts'!P22+'Customer Counts'!Q22</f>
        <v>0</v>
      </c>
      <c r="P23" s="89">
        <f t="shared" si="4"/>
        <v>0</v>
      </c>
      <c r="Q23" s="11"/>
      <c r="R23" s="122"/>
      <c r="S23" s="122"/>
      <c r="T23" s="122"/>
    </row>
    <row r="24" spans="1:20" ht="12.75" hidden="1">
      <c r="A24" t="s">
        <v>90</v>
      </c>
      <c r="C24" s="122"/>
      <c r="D24" s="122"/>
      <c r="E24" s="122">
        <f t="shared" si="2"/>
        <v>0</v>
      </c>
      <c r="F24" s="11"/>
      <c r="G24" s="208"/>
      <c r="H24" s="208"/>
      <c r="I24" s="208"/>
      <c r="J24" s="208">
        <f t="shared" si="3"/>
        <v>0</v>
      </c>
      <c r="K24" s="11"/>
      <c r="L24" s="209"/>
      <c r="M24" s="11"/>
      <c r="N24" s="89">
        <f>+'Customer Counts'!D23+'Customer Counts'!F23+'Customer Counts'!M23+'Customer Counts'!O23</f>
        <v>0</v>
      </c>
      <c r="O24" s="202">
        <f>+'Customer Counts'!G23+'Customer Counts'!H23+'Customer Counts'!P23+'Customer Counts'!Q23</f>
        <v>0</v>
      </c>
      <c r="P24" s="89">
        <f t="shared" si="4"/>
        <v>0</v>
      </c>
      <c r="Q24" s="11"/>
      <c r="R24" s="122"/>
      <c r="S24" s="122"/>
      <c r="T24" s="122"/>
    </row>
    <row r="25" spans="1:20" ht="12.75" hidden="1">
      <c r="A25" t="s">
        <v>91</v>
      </c>
      <c r="C25" s="122"/>
      <c r="D25" s="122"/>
      <c r="E25" s="122">
        <f t="shared" si="2"/>
        <v>0</v>
      </c>
      <c r="F25" s="11"/>
      <c r="G25" s="208"/>
      <c r="H25" s="208"/>
      <c r="I25" s="208"/>
      <c r="J25" s="208">
        <f t="shared" si="3"/>
        <v>0</v>
      </c>
      <c r="K25" s="11"/>
      <c r="L25" s="209"/>
      <c r="M25" s="11"/>
      <c r="N25" s="89">
        <f>+'Customer Counts'!D24+'Customer Counts'!F24+'Customer Counts'!M24+'Customer Counts'!O24</f>
        <v>0</v>
      </c>
      <c r="O25" s="202">
        <f>+'Customer Counts'!G24+'Customer Counts'!H24+'Customer Counts'!P24+'Customer Counts'!Q24</f>
        <v>0</v>
      </c>
      <c r="P25" s="89">
        <f t="shared" si="4"/>
        <v>0</v>
      </c>
      <c r="Q25" s="11"/>
      <c r="R25" s="122"/>
      <c r="S25" s="122"/>
      <c r="T25" s="122"/>
    </row>
    <row r="26" spans="1:20" ht="12.75" hidden="1">
      <c r="A26" t="s">
        <v>66</v>
      </c>
      <c r="C26" s="122"/>
      <c r="D26" s="122"/>
      <c r="E26" s="122">
        <f t="shared" si="2"/>
        <v>0</v>
      </c>
      <c r="F26" s="11"/>
      <c r="G26" s="208"/>
      <c r="H26" s="208"/>
      <c r="I26" s="208"/>
      <c r="J26" s="208">
        <f t="shared" si="3"/>
        <v>0</v>
      </c>
      <c r="K26" s="11"/>
      <c r="L26" s="209"/>
      <c r="M26" s="11"/>
      <c r="N26" s="89">
        <f>+'Customer Counts'!D25+'Customer Counts'!F25+'Customer Counts'!M25+'Customer Counts'!O25</f>
        <v>0</v>
      </c>
      <c r="O26" s="202">
        <f>+'Customer Counts'!G25+'Customer Counts'!H25+'Customer Counts'!P25+'Customer Counts'!Q25</f>
        <v>0</v>
      </c>
      <c r="P26" s="89">
        <f t="shared" si="4"/>
        <v>0</v>
      </c>
      <c r="Q26" s="11"/>
      <c r="R26" s="122"/>
      <c r="S26" s="122"/>
      <c r="T26" s="122"/>
    </row>
    <row r="27" spans="1:20" ht="12.75" hidden="1">
      <c r="A27" t="s">
        <v>73</v>
      </c>
      <c r="C27" s="122"/>
      <c r="D27" s="122"/>
      <c r="E27" s="122">
        <f t="shared" si="2"/>
        <v>0</v>
      </c>
      <c r="F27" s="11"/>
      <c r="G27" s="208"/>
      <c r="H27" s="208"/>
      <c r="I27" s="208"/>
      <c r="J27" s="208">
        <f t="shared" si="3"/>
        <v>0</v>
      </c>
      <c r="K27" s="11"/>
      <c r="L27" s="209"/>
      <c r="M27" s="11"/>
      <c r="N27" s="89">
        <f>+'Customer Counts'!D26+'Customer Counts'!F26+'Customer Counts'!M26+'Customer Counts'!O26</f>
        <v>0</v>
      </c>
      <c r="O27" s="202">
        <f>+'Customer Counts'!G26+'Customer Counts'!H26+'Customer Counts'!P26+'Customer Counts'!Q26</f>
        <v>0</v>
      </c>
      <c r="P27" s="89">
        <f t="shared" si="4"/>
        <v>0</v>
      </c>
      <c r="Q27" s="11"/>
      <c r="R27" s="122"/>
      <c r="S27" s="122"/>
      <c r="T27" s="122"/>
    </row>
    <row r="28" spans="1:20" ht="12.75" hidden="1">
      <c r="A28" t="s">
        <v>74</v>
      </c>
      <c r="C28" s="122"/>
      <c r="D28" s="122"/>
      <c r="E28" s="122">
        <f t="shared" si="2"/>
        <v>0</v>
      </c>
      <c r="F28" s="11"/>
      <c r="G28" s="208"/>
      <c r="H28" s="208"/>
      <c r="I28" s="208"/>
      <c r="J28" s="208">
        <f t="shared" si="3"/>
        <v>0</v>
      </c>
      <c r="K28" s="11"/>
      <c r="L28" s="209"/>
      <c r="M28" s="11"/>
      <c r="N28" s="89">
        <f>+'Customer Counts'!D27+'Customer Counts'!F27+'Customer Counts'!M27+'Customer Counts'!O27</f>
        <v>0</v>
      </c>
      <c r="O28" s="202">
        <f>+'Customer Counts'!G27+'Customer Counts'!H27+'Customer Counts'!P27+'Customer Counts'!Q27</f>
        <v>0</v>
      </c>
      <c r="P28" s="89">
        <f t="shared" si="4"/>
        <v>0</v>
      </c>
      <c r="Q28" s="11"/>
      <c r="R28" s="122"/>
      <c r="S28" s="122"/>
      <c r="T28" s="122"/>
    </row>
    <row r="29" spans="1:20" ht="12.75" hidden="1">
      <c r="A29" t="s">
        <v>75</v>
      </c>
      <c r="C29" s="122"/>
      <c r="D29" s="122"/>
      <c r="E29" s="122">
        <f t="shared" si="2"/>
        <v>0</v>
      </c>
      <c r="F29" s="11"/>
      <c r="G29" s="208"/>
      <c r="H29" s="208"/>
      <c r="I29" s="208"/>
      <c r="J29" s="208">
        <f t="shared" si="3"/>
        <v>0</v>
      </c>
      <c r="K29" s="11"/>
      <c r="L29" s="209"/>
      <c r="M29" s="11"/>
      <c r="N29" s="89">
        <f>+'Customer Counts'!D28+'Customer Counts'!F28+'Customer Counts'!M28+'Customer Counts'!O28</f>
        <v>0</v>
      </c>
      <c r="O29" s="202">
        <f>+'Customer Counts'!G28+'Customer Counts'!H28+'Customer Counts'!P28+'Customer Counts'!Q28</f>
        <v>0</v>
      </c>
      <c r="P29" s="89">
        <f t="shared" si="4"/>
        <v>0</v>
      </c>
      <c r="Q29" s="11"/>
      <c r="R29" s="122"/>
      <c r="S29" s="122"/>
      <c r="T29" s="122"/>
    </row>
    <row r="30" spans="1:20" s="86" customFormat="1" ht="16.5" hidden="1">
      <c r="A30" s="109" t="s">
        <v>76</v>
      </c>
      <c r="C30" s="107"/>
      <c r="D30" s="107"/>
      <c r="E30" s="212">
        <f t="shared" si="2"/>
        <v>0</v>
      </c>
      <c r="F30" s="213"/>
      <c r="G30" s="211"/>
      <c r="H30" s="211"/>
      <c r="I30" s="213"/>
      <c r="J30" s="211">
        <f t="shared" si="3"/>
        <v>0</v>
      </c>
      <c r="K30" s="213"/>
      <c r="L30" s="214"/>
      <c r="M30" s="210"/>
      <c r="N30" s="215">
        <f>+'Customer Counts'!D29+'Customer Counts'!F29+'Customer Counts'!M29+'Customer Counts'!O29</f>
        <v>0</v>
      </c>
      <c r="O30" s="145">
        <f>+'Customer Counts'!G29+'Customer Counts'!H29+'Customer Counts'!P29+'Customer Counts'!Q29</f>
        <v>0</v>
      </c>
      <c r="P30" s="215">
        <f>+O30+N30</f>
        <v>0</v>
      </c>
      <c r="Q30" s="210"/>
      <c r="R30" s="107"/>
      <c r="S30" s="107"/>
      <c r="T30" s="212"/>
    </row>
    <row r="31" spans="3:20" ht="15">
      <c r="C31" s="216">
        <f>SUM(C7:C30)</f>
        <v>47512.14</v>
      </c>
      <c r="D31" s="216">
        <f>SUM(D7:D30)</f>
        <v>45089.82</v>
      </c>
      <c r="E31" s="216">
        <f>SUM(E7:E30)</f>
        <v>92601.95999999999</v>
      </c>
      <c r="F31" s="216"/>
      <c r="G31" s="217">
        <f>SUM(G7:G30)</f>
        <v>2038250.8799457632</v>
      </c>
      <c r="H31" s="217">
        <f>SUM(H7:H30)</f>
        <v>1934770.9979907754</v>
      </c>
      <c r="I31" s="217"/>
      <c r="J31" s="217">
        <f>SUM(J7:J30)</f>
        <v>3973021.8779365397</v>
      </c>
      <c r="K31" s="11"/>
      <c r="L31" s="218">
        <f>+J31/E31</f>
        <v>42.904295739923214</v>
      </c>
      <c r="M31" s="11"/>
      <c r="N31" s="219">
        <f>SUM(N7:N30)</f>
        <v>1466930</v>
      </c>
      <c r="O31" s="219">
        <f>SUM(O7:O30)</f>
        <v>1584041</v>
      </c>
      <c r="P31" s="219">
        <f>SUM(P7:P30)</f>
        <v>3050971</v>
      </c>
      <c r="Q31" s="11"/>
      <c r="R31" s="216">
        <f>+C31*2000/N31</f>
        <v>64.7776512853374</v>
      </c>
      <c r="S31" s="216">
        <f>+D31*2000/O31</f>
        <v>56.93011733913453</v>
      </c>
      <c r="T31" s="216">
        <f>+E31*2000/P31</f>
        <v>60.7032711880906</v>
      </c>
    </row>
    <row r="32" spans="3:20" ht="12.75">
      <c r="C32" s="11"/>
      <c r="D32" s="11"/>
      <c r="E32" s="11"/>
      <c r="F32" s="11"/>
      <c r="G32" s="11"/>
      <c r="H32" s="11"/>
      <c r="I32" s="11"/>
      <c r="J32" s="11"/>
      <c r="K32" s="11"/>
      <c r="L32" s="11"/>
      <c r="M32" s="11"/>
      <c r="N32" s="11"/>
      <c r="O32" s="11"/>
      <c r="P32" s="11"/>
      <c r="Q32" s="11"/>
      <c r="R32" s="11"/>
      <c r="S32" s="11"/>
      <c r="T32" s="11"/>
    </row>
    <row r="33" spans="3:20" ht="12.75">
      <c r="C33" s="11"/>
      <c r="D33" s="11"/>
      <c r="E33" s="11"/>
      <c r="F33" s="11"/>
      <c r="G33" s="11"/>
      <c r="H33" s="11"/>
      <c r="I33" s="11"/>
      <c r="J33" s="11"/>
      <c r="K33" s="11"/>
      <c r="L33" s="11"/>
      <c r="M33" s="11"/>
      <c r="N33" s="11"/>
      <c r="O33" s="11"/>
      <c r="P33" s="11"/>
      <c r="Q33" s="11"/>
      <c r="R33" s="11"/>
      <c r="S33" s="11"/>
      <c r="T33" s="11"/>
    </row>
    <row r="34" spans="1:20" ht="15">
      <c r="A34" s="88" t="s">
        <v>101</v>
      </c>
      <c r="C34" s="11"/>
      <c r="D34" s="11"/>
      <c r="E34" s="11"/>
      <c r="F34" s="11"/>
      <c r="G34" s="11"/>
      <c r="H34" s="11"/>
      <c r="I34" s="11"/>
      <c r="J34" s="11"/>
      <c r="K34" s="11"/>
      <c r="L34" s="11"/>
      <c r="M34" s="11"/>
      <c r="N34" s="11"/>
      <c r="O34" s="11"/>
      <c r="P34" s="11"/>
      <c r="Q34" s="11"/>
      <c r="R34" s="11"/>
      <c r="S34" s="11"/>
      <c r="T34" s="11"/>
    </row>
    <row r="35" spans="1:23" ht="12.75">
      <c r="A35" t="str">
        <f>+A7</f>
        <v>Oct., 2017</v>
      </c>
      <c r="C35" s="122">
        <v>1187.88</v>
      </c>
      <c r="D35" s="122">
        <v>2732.14</v>
      </c>
      <c r="E35" s="122">
        <f>+D35+C35</f>
        <v>3920.02</v>
      </c>
      <c r="F35" s="11"/>
      <c r="G35" s="208">
        <f aca="true" t="shared" si="9" ref="G35:H39">+C35/C7*G7</f>
        <v>54599.84197232905</v>
      </c>
      <c r="H35" s="208">
        <f t="shared" si="9"/>
        <v>125580.37196204926</v>
      </c>
      <c r="I35" s="208"/>
      <c r="J35" s="208">
        <f>+H35+G35</f>
        <v>180180.21393437832</v>
      </c>
      <c r="K35" s="11"/>
      <c r="L35" s="209">
        <f aca="true" t="shared" si="10" ref="L35:L46">+J35/E35</f>
        <v>45.964105778638455</v>
      </c>
      <c r="M35" s="11"/>
      <c r="N35" s="89">
        <f>+'Customer Counts'!D6+'Customer Counts'!F6</f>
        <v>38142</v>
      </c>
      <c r="O35" s="202">
        <f>+'Customer Counts'!G6+'Customer Counts'!H6</f>
        <v>97111</v>
      </c>
      <c r="P35" s="89">
        <f>+O35+N35</f>
        <v>135253</v>
      </c>
      <c r="Q35" s="11"/>
      <c r="R35" s="122">
        <f aca="true" t="shared" si="11" ref="R35:T37">+C35*2000/N35</f>
        <v>62.2872424099418</v>
      </c>
      <c r="S35" s="122">
        <f t="shared" si="11"/>
        <v>56.268393899764185</v>
      </c>
      <c r="T35" s="122">
        <f t="shared" si="11"/>
        <v>57.965738283069506</v>
      </c>
      <c r="V35" s="122"/>
      <c r="W35" s="122"/>
    </row>
    <row r="36" spans="1:23" ht="12.75">
      <c r="A36" t="str">
        <f aca="true" t="shared" si="12" ref="A36:A58">+A8</f>
        <v>Nov</v>
      </c>
      <c r="C36" s="122">
        <v>1257.89</v>
      </c>
      <c r="D36" s="122">
        <v>2931.23</v>
      </c>
      <c r="E36" s="122">
        <f aca="true" t="shared" si="13" ref="E36:E58">+D36+C36</f>
        <v>4189.12</v>
      </c>
      <c r="F36" s="11"/>
      <c r="G36" s="208">
        <f t="shared" si="9"/>
        <v>73041.0582959858</v>
      </c>
      <c r="H36" s="208">
        <f t="shared" si="9"/>
        <v>170205.77420040107</v>
      </c>
      <c r="I36" s="208"/>
      <c r="J36" s="208">
        <f aca="true" t="shared" si="14" ref="J36:J58">+H36+G36</f>
        <v>243246.83249638687</v>
      </c>
      <c r="K36" s="11"/>
      <c r="L36" s="209">
        <f t="shared" si="10"/>
        <v>58.06633194952326</v>
      </c>
      <c r="M36" s="11"/>
      <c r="N36" s="89">
        <f>+'Customer Counts'!D7+'Customer Counts'!F7</f>
        <v>38131</v>
      </c>
      <c r="O36" s="202">
        <f>+'Customer Counts'!G7+'Customer Counts'!H7</f>
        <v>97143</v>
      </c>
      <c r="P36" s="89">
        <f aca="true" t="shared" si="15" ref="P36:P58">+O36+N36</f>
        <v>135274</v>
      </c>
      <c r="Q36" s="11"/>
      <c r="R36" s="122">
        <f t="shared" si="11"/>
        <v>65.97728882012011</v>
      </c>
      <c r="S36" s="122">
        <f t="shared" si="11"/>
        <v>60.34876419299383</v>
      </c>
      <c r="T36" s="122">
        <f t="shared" si="11"/>
        <v>61.9353312536038</v>
      </c>
      <c r="V36" s="122"/>
      <c r="W36" s="122"/>
    </row>
    <row r="37" spans="1:23" ht="12.75">
      <c r="A37" t="str">
        <f t="shared" si="12"/>
        <v>Dec</v>
      </c>
      <c r="C37" s="122">
        <v>1208.32</v>
      </c>
      <c r="D37" s="122">
        <v>3105.59</v>
      </c>
      <c r="E37" s="122">
        <f t="shared" si="13"/>
        <v>4313.91</v>
      </c>
      <c r="F37" s="11"/>
      <c r="G37" s="208">
        <f t="shared" si="9"/>
        <v>83421.674740632</v>
      </c>
      <c r="H37" s="208">
        <f t="shared" si="9"/>
        <v>214408.03666061923</v>
      </c>
      <c r="I37" s="208"/>
      <c r="J37" s="208">
        <f t="shared" si="14"/>
        <v>297829.71140125126</v>
      </c>
      <c r="K37" s="11"/>
      <c r="L37" s="209">
        <f t="shared" si="10"/>
        <v>69.03938918550718</v>
      </c>
      <c r="M37" s="11"/>
      <c r="N37" s="89">
        <f>+'Customer Counts'!D8+'Customer Counts'!F8</f>
        <v>38107</v>
      </c>
      <c r="O37" s="202">
        <f>+'Customer Counts'!G8+'Customer Counts'!H8</f>
        <v>97119</v>
      </c>
      <c r="P37" s="89">
        <f t="shared" si="15"/>
        <v>135226</v>
      </c>
      <c r="Q37" s="11"/>
      <c r="R37" s="122">
        <f t="shared" si="11"/>
        <v>63.41721993334558</v>
      </c>
      <c r="S37" s="122">
        <f t="shared" si="11"/>
        <v>63.954324076648234</v>
      </c>
      <c r="T37" s="122">
        <f t="shared" si="11"/>
        <v>63.80296688506648</v>
      </c>
      <c r="V37" s="122"/>
      <c r="W37" s="122"/>
    </row>
    <row r="38" spans="1:23" ht="12.75">
      <c r="A38" t="str">
        <f t="shared" si="12"/>
        <v>Jan., 2018</v>
      </c>
      <c r="B38" s="23"/>
      <c r="C38" s="122">
        <v>1266.85</v>
      </c>
      <c r="D38" s="122">
        <v>3115.83</v>
      </c>
      <c r="E38" s="203">
        <f t="shared" si="13"/>
        <v>4382.68</v>
      </c>
      <c r="F38" s="204"/>
      <c r="G38" s="208">
        <f t="shared" si="9"/>
        <v>66924.96753664718</v>
      </c>
      <c r="H38" s="208">
        <f t="shared" si="9"/>
        <v>164602.61404247655</v>
      </c>
      <c r="I38" s="208"/>
      <c r="J38" s="220">
        <f t="shared" si="14"/>
        <v>231527.58157912374</v>
      </c>
      <c r="K38" s="11"/>
      <c r="L38" s="209">
        <f t="shared" si="10"/>
        <v>52.82785454998397</v>
      </c>
      <c r="M38" s="11"/>
      <c r="N38" s="89">
        <f>+'Customer Counts'!D9+'Customer Counts'!F9</f>
        <v>38087</v>
      </c>
      <c r="O38" s="202">
        <f>+'Customer Counts'!G9+'Customer Counts'!H9</f>
        <v>97212</v>
      </c>
      <c r="P38" s="89">
        <f t="shared" si="15"/>
        <v>135299</v>
      </c>
      <c r="Q38" s="11"/>
      <c r="R38" s="122">
        <f aca="true" t="shared" si="16" ref="R38:T39">+C38*2000/N38</f>
        <v>66.52401081733925</v>
      </c>
      <c r="S38" s="122">
        <f t="shared" si="16"/>
        <v>64.10381434390816</v>
      </c>
      <c r="T38" s="122">
        <f t="shared" si="16"/>
        <v>64.78510558097251</v>
      </c>
      <c r="V38" s="122"/>
      <c r="W38" s="122"/>
    </row>
    <row r="39" spans="1:23" ht="12.75">
      <c r="A39" t="str">
        <f t="shared" si="12"/>
        <v>Feb</v>
      </c>
      <c r="B39" s="23"/>
      <c r="C39" s="122">
        <v>790.78</v>
      </c>
      <c r="D39" s="122">
        <v>2290.94</v>
      </c>
      <c r="E39" s="203">
        <f t="shared" si="13"/>
        <v>3081.7200000000003</v>
      </c>
      <c r="F39" s="204"/>
      <c r="G39" s="208">
        <f t="shared" si="9"/>
        <v>37108.20066642886</v>
      </c>
      <c r="H39" s="208">
        <f t="shared" si="9"/>
        <v>107504.81958920117</v>
      </c>
      <c r="I39" s="208"/>
      <c r="J39" s="220">
        <f t="shared" si="14"/>
        <v>144613.02025563002</v>
      </c>
      <c r="K39" s="11"/>
      <c r="L39" s="209">
        <f t="shared" si="10"/>
        <v>46.92607383397259</v>
      </c>
      <c r="M39" s="11"/>
      <c r="N39" s="89">
        <f>+'Customer Counts'!D10+'Customer Counts'!F10</f>
        <v>38101</v>
      </c>
      <c r="O39" s="202">
        <f>+'Customer Counts'!G10+'Customer Counts'!H10</f>
        <v>97326</v>
      </c>
      <c r="P39" s="89">
        <f t="shared" si="15"/>
        <v>135427</v>
      </c>
      <c r="Q39" s="11"/>
      <c r="R39" s="122">
        <f t="shared" si="16"/>
        <v>41.5096716621611</v>
      </c>
      <c r="S39" s="122">
        <f t="shared" si="16"/>
        <v>47.077656535766394</v>
      </c>
      <c r="T39" s="122">
        <f t="shared" si="16"/>
        <v>45.51116099448412</v>
      </c>
      <c r="V39" s="122"/>
      <c r="W39" s="122"/>
    </row>
    <row r="40" spans="1:23" ht="12.75">
      <c r="A40" t="str">
        <f t="shared" si="12"/>
        <v>Mar</v>
      </c>
      <c r="B40" s="23"/>
      <c r="C40" s="122">
        <v>955.77</v>
      </c>
      <c r="D40" s="122">
        <v>2468.64</v>
      </c>
      <c r="E40" s="203">
        <f t="shared" si="13"/>
        <v>3424.41</v>
      </c>
      <c r="F40" s="204"/>
      <c r="G40" s="208">
        <f aca="true" t="shared" si="17" ref="G40:H42">+C40/C12*G12</f>
        <v>32905.12083039974</v>
      </c>
      <c r="H40" s="208">
        <f t="shared" si="17"/>
        <v>84990.0054267847</v>
      </c>
      <c r="I40" s="208"/>
      <c r="J40" s="220">
        <f t="shared" si="14"/>
        <v>117895.12625718444</v>
      </c>
      <c r="K40" s="11"/>
      <c r="L40" s="209">
        <f t="shared" si="10"/>
        <v>34.427865313202695</v>
      </c>
      <c r="M40" s="11"/>
      <c r="N40" s="89">
        <f>+'Customer Counts'!D11+'Customer Counts'!F11</f>
        <v>38210</v>
      </c>
      <c r="O40" s="202">
        <f>+'Customer Counts'!G11+'Customer Counts'!H11</f>
        <v>97632</v>
      </c>
      <c r="P40" s="89">
        <f t="shared" si="15"/>
        <v>135842</v>
      </c>
      <c r="Q40" s="11"/>
      <c r="R40" s="122">
        <f aca="true" t="shared" si="18" ref="R40:T41">+C40*2000/N40</f>
        <v>50.02721800575765</v>
      </c>
      <c r="S40" s="122">
        <f t="shared" si="18"/>
        <v>50.57030481809243</v>
      </c>
      <c r="T40" s="122">
        <f t="shared" si="18"/>
        <v>50.41754391130873</v>
      </c>
      <c r="V40" s="122"/>
      <c r="W40" s="122"/>
    </row>
    <row r="41" spans="1:23" ht="12.75">
      <c r="A41" t="str">
        <f t="shared" si="12"/>
        <v>Apr</v>
      </c>
      <c r="B41" s="23"/>
      <c r="C41" s="122">
        <v>1000.1</v>
      </c>
      <c r="D41" s="122">
        <v>2511.74</v>
      </c>
      <c r="E41" s="203">
        <f t="shared" si="13"/>
        <v>3511.8399999999997</v>
      </c>
      <c r="F41" s="204"/>
      <c r="G41" s="208">
        <f t="shared" si="17"/>
        <v>42962.592103322015</v>
      </c>
      <c r="H41" s="208">
        <f t="shared" si="17"/>
        <v>107900.07108248978</v>
      </c>
      <c r="I41" s="208"/>
      <c r="J41" s="220">
        <f t="shared" si="14"/>
        <v>150862.6631858118</v>
      </c>
      <c r="K41" s="11"/>
      <c r="L41" s="209">
        <f t="shared" si="10"/>
        <v>42.95829627369465</v>
      </c>
      <c r="M41" s="11"/>
      <c r="N41" s="89">
        <f>+'Customer Counts'!D12+'Customer Counts'!F12</f>
        <v>38366</v>
      </c>
      <c r="O41" s="202">
        <f>+'Customer Counts'!G12+'Customer Counts'!H12</f>
        <v>97978</v>
      </c>
      <c r="P41" s="89">
        <f t="shared" si="15"/>
        <v>136344</v>
      </c>
      <c r="Q41" s="11"/>
      <c r="R41" s="122">
        <f t="shared" si="18"/>
        <v>52.13470260126153</v>
      </c>
      <c r="S41" s="122">
        <f t="shared" si="18"/>
        <v>51.27150993080079</v>
      </c>
      <c r="T41" s="122">
        <f t="shared" si="18"/>
        <v>51.51440474094936</v>
      </c>
      <c r="V41" s="122"/>
      <c r="W41" s="203"/>
    </row>
    <row r="42" spans="1:23" ht="12.75">
      <c r="A42" t="str">
        <f t="shared" si="12"/>
        <v>May</v>
      </c>
      <c r="B42" s="23"/>
      <c r="C42" s="122">
        <v>893.26</v>
      </c>
      <c r="D42" s="122">
        <v>2200.78</v>
      </c>
      <c r="E42" s="203">
        <f t="shared" si="13"/>
        <v>3094.04</v>
      </c>
      <c r="F42" s="204"/>
      <c r="G42" s="208">
        <f t="shared" si="17"/>
        <v>42202.795148477184</v>
      </c>
      <c r="H42" s="208">
        <f t="shared" si="17"/>
        <v>103977.64089611713</v>
      </c>
      <c r="I42" s="208"/>
      <c r="J42" s="220">
        <f t="shared" si="14"/>
        <v>146180.4360445943</v>
      </c>
      <c r="K42" s="11"/>
      <c r="L42" s="209">
        <f t="shared" si="10"/>
        <v>47.24581325535362</v>
      </c>
      <c r="M42" s="11"/>
      <c r="N42" s="89">
        <f>+'Customer Counts'!D13+'Customer Counts'!F13</f>
        <v>38508</v>
      </c>
      <c r="O42" s="202">
        <f>+'Customer Counts'!G13+'Customer Counts'!H13</f>
        <v>98355</v>
      </c>
      <c r="P42" s="89">
        <f t="shared" si="15"/>
        <v>136863</v>
      </c>
      <c r="Q42" s="11"/>
      <c r="R42" s="122">
        <f aca="true" t="shared" si="19" ref="R42:T43">+C42*2000/N42</f>
        <v>46.39347668017035</v>
      </c>
      <c r="S42" s="122">
        <f t="shared" si="19"/>
        <v>44.75176655991053</v>
      </c>
      <c r="T42" s="122">
        <f t="shared" si="19"/>
        <v>45.21368083411879</v>
      </c>
      <c r="V42" s="122"/>
      <c r="W42" s="203"/>
    </row>
    <row r="43" spans="1:23" ht="12.75">
      <c r="A43" t="str">
        <f t="shared" si="12"/>
        <v>Jun</v>
      </c>
      <c r="B43" s="23"/>
      <c r="C43" s="122">
        <v>969.52</v>
      </c>
      <c r="D43" s="122">
        <v>2499.18</v>
      </c>
      <c r="E43" s="203">
        <f t="shared" si="13"/>
        <v>3468.7</v>
      </c>
      <c r="F43" s="204"/>
      <c r="G43" s="208">
        <f aca="true" t="shared" si="20" ref="G43:H46">+C43/C15*G15</f>
        <v>20309.21536186016</v>
      </c>
      <c r="H43" s="208">
        <f t="shared" si="20"/>
        <v>52352.07612844878</v>
      </c>
      <c r="I43" s="208"/>
      <c r="J43" s="220">
        <f t="shared" si="14"/>
        <v>72661.29149030894</v>
      </c>
      <c r="K43" s="11"/>
      <c r="L43" s="209">
        <f t="shared" si="10"/>
        <v>20.947701297405064</v>
      </c>
      <c r="M43" s="11"/>
      <c r="N43" s="89">
        <f>+'Customer Counts'!D14+'Customer Counts'!F14</f>
        <v>38588</v>
      </c>
      <c r="O43" s="202">
        <f>+'Customer Counts'!G14+'Customer Counts'!H14</f>
        <v>98530</v>
      </c>
      <c r="P43" s="89">
        <f>+O43+N43</f>
        <v>137118</v>
      </c>
      <c r="Q43" s="11"/>
      <c r="R43" s="122">
        <f t="shared" si="19"/>
        <v>50.24981859645486</v>
      </c>
      <c r="S43" s="122">
        <f t="shared" si="19"/>
        <v>50.72932101897899</v>
      </c>
      <c r="T43" s="122">
        <f t="shared" si="19"/>
        <v>50.59437856444814</v>
      </c>
      <c r="V43" s="203"/>
      <c r="W43" s="203"/>
    </row>
    <row r="44" spans="1:23" ht="15">
      <c r="A44" t="str">
        <f t="shared" si="12"/>
        <v>Jul</v>
      </c>
      <c r="B44" s="23"/>
      <c r="C44" s="122">
        <v>972.67</v>
      </c>
      <c r="D44" s="122">
        <v>2460.91</v>
      </c>
      <c r="E44" s="203">
        <f t="shared" si="13"/>
        <v>3433.58</v>
      </c>
      <c r="F44" s="221"/>
      <c r="G44" s="208">
        <f t="shared" si="20"/>
        <v>24439.716640579303</v>
      </c>
      <c r="H44" s="208">
        <f t="shared" si="20"/>
        <v>61833.8625412195</v>
      </c>
      <c r="I44" s="208"/>
      <c r="J44" s="220">
        <f t="shared" si="14"/>
        <v>86273.5791817988</v>
      </c>
      <c r="K44" s="11"/>
      <c r="L44" s="209">
        <f t="shared" si="10"/>
        <v>25.126421746922688</v>
      </c>
      <c r="M44" s="11"/>
      <c r="N44" s="89">
        <f>+'Customer Counts'!D15+'Customer Counts'!F15</f>
        <v>38700</v>
      </c>
      <c r="O44" s="202">
        <f>+'Customer Counts'!G15+'Customer Counts'!H15</f>
        <v>98771</v>
      </c>
      <c r="P44" s="89">
        <f>+O44+N44</f>
        <v>137471</v>
      </c>
      <c r="Q44" s="11"/>
      <c r="R44" s="122">
        <f aca="true" t="shared" si="21" ref="R44:T45">+C44*2000/N44</f>
        <v>50.2671834625323</v>
      </c>
      <c r="S44" s="122">
        <f t="shared" si="21"/>
        <v>49.8306182988934</v>
      </c>
      <c r="T44" s="122">
        <f t="shared" si="21"/>
        <v>49.953517469138944</v>
      </c>
      <c r="V44" s="203"/>
      <c r="W44" s="203"/>
    </row>
    <row r="45" spans="1:23" ht="15">
      <c r="A45" t="str">
        <f t="shared" si="12"/>
        <v>Aug</v>
      </c>
      <c r="B45" s="23"/>
      <c r="C45" s="122">
        <v>1100.13</v>
      </c>
      <c r="D45" s="122">
        <v>2585.45</v>
      </c>
      <c r="E45" s="203">
        <f t="shared" si="13"/>
        <v>3685.58</v>
      </c>
      <c r="F45" s="221"/>
      <c r="G45" s="208">
        <f t="shared" si="20"/>
        <v>33581.568788044955</v>
      </c>
      <c r="H45" s="208">
        <f t="shared" si="20"/>
        <v>78921.09752761111</v>
      </c>
      <c r="I45" s="208"/>
      <c r="J45" s="220">
        <f t="shared" si="14"/>
        <v>112502.66631565607</v>
      </c>
      <c r="K45" s="11"/>
      <c r="L45" s="209">
        <f t="shared" si="10"/>
        <v>30.52509138742235</v>
      </c>
      <c r="M45" s="11"/>
      <c r="N45" s="89">
        <f>+'Customer Counts'!D16+'Customer Counts'!F16</f>
        <v>38789</v>
      </c>
      <c r="O45" s="202">
        <f>+'Customer Counts'!G16+'Customer Counts'!H16</f>
        <v>99709</v>
      </c>
      <c r="P45" s="89">
        <f t="shared" si="15"/>
        <v>138498</v>
      </c>
      <c r="Q45" s="11"/>
      <c r="R45" s="122">
        <f t="shared" si="21"/>
        <v>56.72381345226739</v>
      </c>
      <c r="S45" s="122">
        <f t="shared" si="21"/>
        <v>51.85991234492373</v>
      </c>
      <c r="T45" s="122">
        <f t="shared" si="21"/>
        <v>53.22214039191902</v>
      </c>
      <c r="V45" s="203"/>
      <c r="W45" s="203"/>
    </row>
    <row r="46" spans="1:23" ht="12.75">
      <c r="A46" t="str">
        <f t="shared" si="12"/>
        <v>Sep</v>
      </c>
      <c r="B46" s="23"/>
      <c r="C46" s="122">
        <v>953.3</v>
      </c>
      <c r="D46" s="122">
        <v>2251.6</v>
      </c>
      <c r="E46" s="203">
        <f t="shared" si="13"/>
        <v>3204.8999999999996</v>
      </c>
      <c r="F46" s="204"/>
      <c r="G46" s="208">
        <f t="shared" si="20"/>
        <v>33081.500433471396</v>
      </c>
      <c r="H46" s="208">
        <f t="shared" si="20"/>
        <v>78135.22120634027</v>
      </c>
      <c r="I46" s="208"/>
      <c r="J46" s="220">
        <f t="shared" si="14"/>
        <v>111216.72163981167</v>
      </c>
      <c r="K46" s="11"/>
      <c r="L46" s="209">
        <f t="shared" si="10"/>
        <v>34.702087940282595</v>
      </c>
      <c r="M46" s="11"/>
      <c r="N46" s="89">
        <f>+'Customer Counts'!D17+'Customer Counts'!F17</f>
        <v>38790</v>
      </c>
      <c r="O46" s="202">
        <f>+'Customer Counts'!G17+'Customer Counts'!H17</f>
        <v>99731</v>
      </c>
      <c r="P46" s="89">
        <f t="shared" si="15"/>
        <v>138521</v>
      </c>
      <c r="Q46" s="11"/>
      <c r="R46" s="122">
        <f>+C46*2000/N46</f>
        <v>49.151843258571795</v>
      </c>
      <c r="S46" s="122">
        <f>+D46*2000/O46</f>
        <v>45.15346281497227</v>
      </c>
      <c r="T46" s="122">
        <f>+E46*2000/P46</f>
        <v>46.27312826214075</v>
      </c>
      <c r="V46" s="203"/>
      <c r="W46" s="203"/>
    </row>
    <row r="47" spans="1:20" ht="15" hidden="1">
      <c r="A47" t="str">
        <f t="shared" si="12"/>
        <v>Oct</v>
      </c>
      <c r="B47" s="23"/>
      <c r="C47" s="203"/>
      <c r="D47" s="203"/>
      <c r="E47" s="203">
        <f t="shared" si="13"/>
        <v>0</v>
      </c>
      <c r="F47" s="221"/>
      <c r="G47" s="208"/>
      <c r="H47" s="208"/>
      <c r="I47" s="211"/>
      <c r="J47" s="220">
        <f t="shared" si="14"/>
        <v>0</v>
      </c>
      <c r="K47" s="11"/>
      <c r="L47" s="209"/>
      <c r="M47" s="11"/>
      <c r="N47" s="89">
        <f>+'Customer Counts'!D18+'Customer Counts'!F18</f>
        <v>0</v>
      </c>
      <c r="O47" s="202">
        <f>+'Customer Counts'!G18+'Customer Counts'!H18</f>
        <v>0</v>
      </c>
      <c r="P47" s="89">
        <f t="shared" si="15"/>
        <v>0</v>
      </c>
      <c r="Q47" s="11"/>
      <c r="R47" s="122"/>
      <c r="S47" s="122"/>
      <c r="T47" s="122"/>
    </row>
    <row r="48" spans="1:20" ht="15" hidden="1">
      <c r="A48" t="str">
        <f t="shared" si="12"/>
        <v>Nov</v>
      </c>
      <c r="B48" s="23"/>
      <c r="C48" s="203"/>
      <c r="D48" s="203"/>
      <c r="E48" s="203">
        <f t="shared" si="13"/>
        <v>0</v>
      </c>
      <c r="F48" s="221"/>
      <c r="G48" s="208"/>
      <c r="H48" s="208"/>
      <c r="I48" s="211"/>
      <c r="J48" s="220">
        <f t="shared" si="14"/>
        <v>0</v>
      </c>
      <c r="K48" s="11"/>
      <c r="L48" s="209"/>
      <c r="M48" s="11"/>
      <c r="N48" s="89">
        <f>+'Customer Counts'!D19+'Customer Counts'!F19</f>
        <v>0</v>
      </c>
      <c r="O48" s="202">
        <f>+'Customer Counts'!G19+'Customer Counts'!H19</f>
        <v>0</v>
      </c>
      <c r="P48" s="89">
        <f t="shared" si="15"/>
        <v>0</v>
      </c>
      <c r="Q48" s="11"/>
      <c r="R48" s="122"/>
      <c r="S48" s="122"/>
      <c r="T48" s="122"/>
    </row>
    <row r="49" spans="1:20" ht="12.75" hidden="1">
      <c r="A49" t="str">
        <f t="shared" si="12"/>
        <v>Dec</v>
      </c>
      <c r="B49" s="23"/>
      <c r="C49" s="203"/>
      <c r="D49" s="203"/>
      <c r="E49" s="203">
        <f t="shared" si="13"/>
        <v>0</v>
      </c>
      <c r="F49" s="204"/>
      <c r="G49" s="208"/>
      <c r="H49" s="208"/>
      <c r="I49" s="208"/>
      <c r="J49" s="220">
        <f t="shared" si="14"/>
        <v>0</v>
      </c>
      <c r="K49" s="11"/>
      <c r="L49" s="209"/>
      <c r="M49" s="11"/>
      <c r="N49" s="89">
        <f>+'Customer Counts'!D20+'Customer Counts'!F20</f>
        <v>0</v>
      </c>
      <c r="O49" s="202">
        <f>+'Customer Counts'!G20+'Customer Counts'!H20</f>
        <v>0</v>
      </c>
      <c r="P49" s="89">
        <f t="shared" si="15"/>
        <v>0</v>
      </c>
      <c r="Q49" s="11"/>
      <c r="R49" s="122"/>
      <c r="S49" s="122"/>
      <c r="T49" s="122"/>
    </row>
    <row r="50" spans="1:20" ht="15" hidden="1">
      <c r="A50" t="str">
        <f t="shared" si="12"/>
        <v>Jan. 2019</v>
      </c>
      <c r="B50" s="23"/>
      <c r="C50" s="122"/>
      <c r="D50" s="203"/>
      <c r="E50" s="203">
        <f t="shared" si="13"/>
        <v>0</v>
      </c>
      <c r="F50" s="221"/>
      <c r="G50" s="208"/>
      <c r="H50" s="208"/>
      <c r="I50" s="211"/>
      <c r="J50" s="220">
        <f t="shared" si="14"/>
        <v>0</v>
      </c>
      <c r="K50" s="11"/>
      <c r="L50" s="209"/>
      <c r="M50" s="11"/>
      <c r="N50" s="89">
        <f>+'Customer Counts'!D21+'Customer Counts'!F21</f>
        <v>0</v>
      </c>
      <c r="O50" s="202">
        <f>+'Customer Counts'!G21+'Customer Counts'!H21</f>
        <v>0</v>
      </c>
      <c r="P50" s="89">
        <f t="shared" si="15"/>
        <v>0</v>
      </c>
      <c r="Q50" s="11"/>
      <c r="R50" s="122"/>
      <c r="S50" s="122"/>
      <c r="T50" s="122"/>
    </row>
    <row r="51" spans="1:20" ht="15" hidden="1">
      <c r="A51" t="str">
        <f t="shared" si="12"/>
        <v>Feb</v>
      </c>
      <c r="B51" s="23"/>
      <c r="C51" s="122"/>
      <c r="D51" s="203"/>
      <c r="E51" s="203">
        <f t="shared" si="13"/>
        <v>0</v>
      </c>
      <c r="F51" s="221"/>
      <c r="G51" s="208"/>
      <c r="H51" s="208"/>
      <c r="I51" s="211"/>
      <c r="J51" s="220">
        <f t="shared" si="14"/>
        <v>0</v>
      </c>
      <c r="K51" s="11"/>
      <c r="L51" s="209"/>
      <c r="M51" s="11"/>
      <c r="N51" s="89">
        <f>+'Customer Counts'!D22+'Customer Counts'!F22</f>
        <v>0</v>
      </c>
      <c r="O51" s="202">
        <f>+'Customer Counts'!G22+'Customer Counts'!H22</f>
        <v>0</v>
      </c>
      <c r="P51" s="89">
        <f t="shared" si="15"/>
        <v>0</v>
      </c>
      <c r="Q51" s="11"/>
      <c r="R51" s="122"/>
      <c r="S51" s="122"/>
      <c r="T51" s="122"/>
    </row>
    <row r="52" spans="1:20" ht="12.75" hidden="1">
      <c r="A52" t="str">
        <f t="shared" si="12"/>
        <v>Mar</v>
      </c>
      <c r="B52" s="23"/>
      <c r="C52" s="122"/>
      <c r="D52" s="203"/>
      <c r="E52" s="203">
        <f t="shared" si="13"/>
        <v>0</v>
      </c>
      <c r="F52" s="204"/>
      <c r="G52" s="208"/>
      <c r="H52" s="208"/>
      <c r="I52" s="208"/>
      <c r="J52" s="220">
        <f t="shared" si="14"/>
        <v>0</v>
      </c>
      <c r="K52" s="11"/>
      <c r="L52" s="209"/>
      <c r="M52" s="11"/>
      <c r="N52" s="89">
        <f>+'Customer Counts'!D23+'Customer Counts'!F23</f>
        <v>0</v>
      </c>
      <c r="O52" s="202">
        <f>+'Customer Counts'!G23+'Customer Counts'!H23</f>
        <v>0</v>
      </c>
      <c r="P52" s="89">
        <f t="shared" si="15"/>
        <v>0</v>
      </c>
      <c r="Q52" s="11"/>
      <c r="R52" s="122"/>
      <c r="S52" s="122"/>
      <c r="T52" s="122"/>
    </row>
    <row r="53" spans="1:20" ht="15" hidden="1">
      <c r="A53" t="str">
        <f t="shared" si="12"/>
        <v>Apr</v>
      </c>
      <c r="B53" s="23"/>
      <c r="C53" s="122"/>
      <c r="D53" s="203"/>
      <c r="E53" s="203">
        <f t="shared" si="13"/>
        <v>0</v>
      </c>
      <c r="F53" s="221"/>
      <c r="G53" s="208"/>
      <c r="H53" s="208"/>
      <c r="I53" s="211"/>
      <c r="J53" s="220">
        <f t="shared" si="14"/>
        <v>0</v>
      </c>
      <c r="K53" s="11"/>
      <c r="L53" s="209"/>
      <c r="M53" s="11"/>
      <c r="N53" s="89">
        <f>+'Customer Counts'!D24+'Customer Counts'!F24</f>
        <v>0</v>
      </c>
      <c r="O53" s="202">
        <f>+'Customer Counts'!G24+'Customer Counts'!H24</f>
        <v>0</v>
      </c>
      <c r="P53" s="89">
        <f t="shared" si="15"/>
        <v>0</v>
      </c>
      <c r="Q53" s="11"/>
      <c r="R53" s="122"/>
      <c r="S53" s="122"/>
      <c r="T53" s="122"/>
    </row>
    <row r="54" spans="1:20" ht="15" hidden="1">
      <c r="A54" t="str">
        <f t="shared" si="12"/>
        <v>May</v>
      </c>
      <c r="B54" s="23"/>
      <c r="C54" s="122"/>
      <c r="D54" s="203"/>
      <c r="E54" s="203">
        <f t="shared" si="13"/>
        <v>0</v>
      </c>
      <c r="F54" s="221"/>
      <c r="G54" s="208"/>
      <c r="H54" s="208"/>
      <c r="I54" s="211"/>
      <c r="J54" s="220">
        <f t="shared" si="14"/>
        <v>0</v>
      </c>
      <c r="K54" s="11"/>
      <c r="L54" s="209"/>
      <c r="M54" s="11"/>
      <c r="N54" s="89">
        <f>+'Customer Counts'!D25+'Customer Counts'!F25</f>
        <v>0</v>
      </c>
      <c r="O54" s="202">
        <f>+'Customer Counts'!G25+'Customer Counts'!H25</f>
        <v>0</v>
      </c>
      <c r="P54" s="89">
        <f t="shared" si="15"/>
        <v>0</v>
      </c>
      <c r="Q54" s="11"/>
      <c r="R54" s="122"/>
      <c r="S54" s="122"/>
      <c r="T54" s="122"/>
    </row>
    <row r="55" spans="1:20" ht="15" hidden="1">
      <c r="A55" t="str">
        <f t="shared" si="12"/>
        <v>Jun</v>
      </c>
      <c r="B55" s="23"/>
      <c r="C55" s="122"/>
      <c r="D55" s="203"/>
      <c r="E55" s="203">
        <f t="shared" si="13"/>
        <v>0</v>
      </c>
      <c r="F55" s="221"/>
      <c r="G55" s="208"/>
      <c r="H55" s="208"/>
      <c r="I55" s="211"/>
      <c r="J55" s="220">
        <f t="shared" si="14"/>
        <v>0</v>
      </c>
      <c r="K55" s="11"/>
      <c r="L55" s="209"/>
      <c r="M55" s="11"/>
      <c r="N55" s="89">
        <f>+'Customer Counts'!D26+'Customer Counts'!F26</f>
        <v>0</v>
      </c>
      <c r="O55" s="202">
        <f>+'Customer Counts'!G26+'Customer Counts'!H26</f>
        <v>0</v>
      </c>
      <c r="P55" s="89">
        <f t="shared" si="15"/>
        <v>0</v>
      </c>
      <c r="Q55" s="11"/>
      <c r="R55" s="122"/>
      <c r="S55" s="122"/>
      <c r="T55" s="122"/>
    </row>
    <row r="56" spans="1:20" ht="15" hidden="1">
      <c r="A56" t="str">
        <f t="shared" si="12"/>
        <v>Jul</v>
      </c>
      <c r="B56" s="23"/>
      <c r="C56" s="122"/>
      <c r="D56" s="203"/>
      <c r="E56" s="203">
        <f t="shared" si="13"/>
        <v>0</v>
      </c>
      <c r="F56" s="221"/>
      <c r="G56" s="208"/>
      <c r="H56" s="208"/>
      <c r="I56" s="211"/>
      <c r="J56" s="220">
        <f t="shared" si="14"/>
        <v>0</v>
      </c>
      <c r="K56" s="11"/>
      <c r="L56" s="209"/>
      <c r="M56" s="11"/>
      <c r="N56" s="89">
        <f>+'Customer Counts'!D27+'Customer Counts'!F27</f>
        <v>0</v>
      </c>
      <c r="O56" s="202">
        <f>+'Customer Counts'!G27+'Customer Counts'!H27</f>
        <v>0</v>
      </c>
      <c r="P56" s="89">
        <f t="shared" si="15"/>
        <v>0</v>
      </c>
      <c r="Q56" s="11"/>
      <c r="R56" s="122"/>
      <c r="S56" s="122"/>
      <c r="T56" s="122"/>
    </row>
    <row r="57" spans="1:20" ht="15" hidden="1">
      <c r="A57" t="str">
        <f t="shared" si="12"/>
        <v>Aug</v>
      </c>
      <c r="B57" s="23"/>
      <c r="C57" s="122"/>
      <c r="D57" s="203"/>
      <c r="E57" s="203">
        <f t="shared" si="13"/>
        <v>0</v>
      </c>
      <c r="F57" s="221"/>
      <c r="G57" s="208"/>
      <c r="H57" s="208"/>
      <c r="I57" s="211"/>
      <c r="J57" s="220">
        <f t="shared" si="14"/>
        <v>0</v>
      </c>
      <c r="K57" s="11"/>
      <c r="L57" s="209"/>
      <c r="M57" s="11"/>
      <c r="N57" s="89">
        <f>+'Customer Counts'!D28+'Customer Counts'!F28</f>
        <v>0</v>
      </c>
      <c r="O57" s="202">
        <f>+'Customer Counts'!G28+'Customer Counts'!H28</f>
        <v>0</v>
      </c>
      <c r="P57" s="89">
        <f t="shared" si="15"/>
        <v>0</v>
      </c>
      <c r="Q57" s="11"/>
      <c r="R57" s="122"/>
      <c r="S57" s="122"/>
      <c r="T57" s="122"/>
    </row>
    <row r="58" spans="1:23" ht="15" hidden="1">
      <c r="A58" t="str">
        <f t="shared" si="12"/>
        <v>Sep</v>
      </c>
      <c r="B58" s="23"/>
      <c r="C58" s="107"/>
      <c r="D58" s="107"/>
      <c r="E58" s="222">
        <f t="shared" si="13"/>
        <v>0</v>
      </c>
      <c r="F58" s="221"/>
      <c r="G58" s="211"/>
      <c r="H58" s="211"/>
      <c r="I58" s="211"/>
      <c r="J58" s="223">
        <f t="shared" si="14"/>
        <v>0</v>
      </c>
      <c r="K58" s="11"/>
      <c r="L58" s="214"/>
      <c r="M58" s="11"/>
      <c r="N58" s="215">
        <f>+'Customer Counts'!D29+'Customer Counts'!F29</f>
        <v>0</v>
      </c>
      <c r="O58" s="145">
        <f>+'Customer Counts'!G29+'Customer Counts'!H29</f>
        <v>0</v>
      </c>
      <c r="P58" s="215">
        <f t="shared" si="15"/>
        <v>0</v>
      </c>
      <c r="Q58" s="11"/>
      <c r="R58" s="107"/>
      <c r="S58" s="107"/>
      <c r="T58" s="107"/>
      <c r="V58" s="146"/>
      <c r="W58" s="146"/>
    </row>
    <row r="59" spans="3:20" ht="15">
      <c r="C59" s="216">
        <f>SUM(C35:C58)</f>
        <v>12556.470000000001</v>
      </c>
      <c r="D59" s="216">
        <f aca="true" t="shared" si="22" ref="D59:P59">SUM(D35:D58)</f>
        <v>31154.03</v>
      </c>
      <c r="E59" s="216">
        <f t="shared" si="22"/>
        <v>43710.50000000001</v>
      </c>
      <c r="F59" s="216"/>
      <c r="G59" s="217">
        <f t="shared" si="22"/>
        <v>544578.2525181776</v>
      </c>
      <c r="H59" s="217">
        <f t="shared" si="22"/>
        <v>1350411.5912637585</v>
      </c>
      <c r="I59" s="216"/>
      <c r="J59" s="217">
        <f t="shared" si="22"/>
        <v>1894989.8437819364</v>
      </c>
      <c r="K59" s="216"/>
      <c r="L59" s="218">
        <f>+J59/E59</f>
        <v>43.35319531421366</v>
      </c>
      <c r="M59" s="216"/>
      <c r="N59" s="219">
        <f t="shared" si="22"/>
        <v>460519</v>
      </c>
      <c r="O59" s="219">
        <f t="shared" si="22"/>
        <v>1176617</v>
      </c>
      <c r="P59" s="219">
        <f t="shared" si="22"/>
        <v>1637136</v>
      </c>
      <c r="Q59" s="11"/>
      <c r="R59" s="216">
        <f>+C59*2000/N59</f>
        <v>54.53182170551053</v>
      </c>
      <c r="S59" s="216">
        <f>+D59*2000/O59</f>
        <v>52.95526071780367</v>
      </c>
      <c r="T59" s="216">
        <f>+E59*2000/P59</f>
        <v>53.39874023905162</v>
      </c>
    </row>
    <row r="60" spans="3:20" ht="12.75">
      <c r="C60" s="11"/>
      <c r="D60" s="11"/>
      <c r="E60" s="11"/>
      <c r="F60" s="11"/>
      <c r="G60" s="11"/>
      <c r="H60" s="11"/>
      <c r="I60" s="11"/>
      <c r="J60" s="11"/>
      <c r="K60" s="11"/>
      <c r="L60" s="11"/>
      <c r="M60" s="11"/>
      <c r="N60" s="11"/>
      <c r="O60" s="11"/>
      <c r="P60" s="11"/>
      <c r="Q60" s="11"/>
      <c r="R60" s="11"/>
      <c r="S60" s="11"/>
      <c r="T60" s="11"/>
    </row>
    <row r="61" spans="1:20" s="86" customFormat="1" ht="16.5">
      <c r="A61" s="102" t="s">
        <v>150</v>
      </c>
      <c r="C61" s="224">
        <f>+C66/24*12</f>
        <v>14417.945000000003</v>
      </c>
      <c r="D61" s="224">
        <f>+D66/24*12</f>
        <v>34651.755000000005</v>
      </c>
      <c r="E61" s="225">
        <f>+D61+C61</f>
        <v>49069.70000000001</v>
      </c>
      <c r="F61" s="124"/>
      <c r="G61" s="226">
        <f>+G66/24*12</f>
        <v>1061089.9035551785</v>
      </c>
      <c r="H61" s="226">
        <f>+H66/24*12</f>
        <v>2553031.9432594036</v>
      </c>
      <c r="I61" s="226"/>
      <c r="J61" s="227">
        <f>+H61+G61</f>
        <v>3614121.846814582</v>
      </c>
      <c r="K61" s="124"/>
      <c r="L61" s="228">
        <f>+J61/E61</f>
        <v>73.65282132995681</v>
      </c>
      <c r="M61" s="124"/>
      <c r="N61" s="229">
        <f>+N66/24*12</f>
        <v>450383</v>
      </c>
      <c r="O61" s="229">
        <f>+O66/24*12</f>
        <v>1127145.5</v>
      </c>
      <c r="P61" s="229">
        <f>+O61+N61</f>
        <v>1577528.5</v>
      </c>
      <c r="Q61" s="124"/>
      <c r="R61" s="225">
        <f>+C61*2000/N61</f>
        <v>64.02526294287308</v>
      </c>
      <c r="S61" s="225">
        <f>+D61*2000/O61</f>
        <v>61.48585963391595</v>
      </c>
      <c r="T61" s="225">
        <f>+E61*2000/P61</f>
        <v>62.21085704632279</v>
      </c>
    </row>
    <row r="62" spans="1:20" ht="12.75">
      <c r="A62" s="103"/>
      <c r="C62" s="11"/>
      <c r="D62" s="11"/>
      <c r="E62" s="11"/>
      <c r="F62" s="11"/>
      <c r="G62" s="11"/>
      <c r="H62" s="11"/>
      <c r="I62" s="11"/>
      <c r="J62" s="11"/>
      <c r="K62" s="11"/>
      <c r="L62" s="11"/>
      <c r="M62" s="11"/>
      <c r="N62" s="11"/>
      <c r="O62" s="11"/>
      <c r="P62" s="11"/>
      <c r="Q62" s="11"/>
      <c r="R62" s="11"/>
      <c r="S62" s="11"/>
      <c r="T62" s="11"/>
    </row>
    <row r="63" spans="1:20" s="87" customFormat="1" ht="16.5">
      <c r="A63" s="87" t="s">
        <v>102</v>
      </c>
      <c r="C63" s="216">
        <f>+C59-C61</f>
        <v>-1861.4750000000022</v>
      </c>
      <c r="D63" s="216">
        <f>+D59-D61</f>
        <v>-3497.725000000006</v>
      </c>
      <c r="E63" s="216">
        <f>+E59-E61</f>
        <v>-5359.200000000004</v>
      </c>
      <c r="F63" s="216"/>
      <c r="G63" s="217">
        <f>+G59-G61</f>
        <v>-516511.65103700093</v>
      </c>
      <c r="H63" s="217">
        <f>+H59-H61</f>
        <v>-1202620.351995645</v>
      </c>
      <c r="I63" s="217"/>
      <c r="J63" s="217">
        <f>+J59-J61</f>
        <v>-1719132.0030326457</v>
      </c>
      <c r="K63" s="216"/>
      <c r="L63" s="216">
        <f>+L59-L61</f>
        <v>-30.29962601574315</v>
      </c>
      <c r="M63" s="216"/>
      <c r="N63" s="219">
        <f>+N59-N61</f>
        <v>10136</v>
      </c>
      <c r="O63" s="219">
        <f>+O59-O61</f>
        <v>49471.5</v>
      </c>
      <c r="P63" s="219">
        <f>+P59-P61</f>
        <v>59607.5</v>
      </c>
      <c r="Q63" s="216"/>
      <c r="R63" s="216">
        <f>+R59-R61</f>
        <v>-9.493441237362553</v>
      </c>
      <c r="S63" s="216">
        <f>+S59-S61</f>
        <v>-8.530598916112282</v>
      </c>
      <c r="T63" s="216">
        <f>+T59-T61</f>
        <v>-8.812116807271174</v>
      </c>
    </row>
    <row r="64" spans="3:20" ht="12.75">
      <c r="C64" s="205">
        <f>+C63/C61</f>
        <v>-0.12910820508747964</v>
      </c>
      <c r="D64" s="205">
        <f>+D63/D61</f>
        <v>-0.10093933193282723</v>
      </c>
      <c r="E64" s="205">
        <f>+E63/E61</f>
        <v>-0.10921607427801684</v>
      </c>
      <c r="F64" s="205"/>
      <c r="G64" s="205">
        <f>+G63/G61</f>
        <v>-0.4867746355011297</v>
      </c>
      <c r="H64" s="205">
        <f>+H63/H61</f>
        <v>-0.47105574028199754</v>
      </c>
      <c r="I64" s="205"/>
      <c r="J64" s="205">
        <f>+J63/J61</f>
        <v>-0.47567073715233366</v>
      </c>
      <c r="K64" s="11"/>
      <c r="L64" s="205">
        <f>+L63/L61</f>
        <v>-0.41138445844462695</v>
      </c>
      <c r="M64" s="205"/>
      <c r="N64" s="205">
        <f>+N63/N61</f>
        <v>0.02250528994211593</v>
      </c>
      <c r="O64" s="205">
        <f>+O63/O61</f>
        <v>0.04389096172588188</v>
      </c>
      <c r="P64" s="205">
        <f>+P63/P61</f>
        <v>0.03778537123101104</v>
      </c>
      <c r="Q64" s="205"/>
      <c r="R64" s="205">
        <f>+R63/R61</f>
        <v>-0.14827648963867798</v>
      </c>
      <c r="S64" s="205">
        <f>+S63/S61</f>
        <v>-0.13874082540120747</v>
      </c>
      <c r="T64" s="205">
        <f>+T63/T61</f>
        <v>-0.14164917870701554</v>
      </c>
    </row>
    <row r="65" spans="3:20" ht="12.75">
      <c r="C65" s="11"/>
      <c r="D65" s="11"/>
      <c r="E65" s="11"/>
      <c r="F65" s="11"/>
      <c r="G65" s="11"/>
      <c r="H65" s="11"/>
      <c r="I65" s="11"/>
      <c r="J65" s="11"/>
      <c r="K65" s="11"/>
      <c r="L65" s="11"/>
      <c r="M65" s="11"/>
      <c r="N65" s="11"/>
      <c r="O65" s="11"/>
      <c r="P65" s="11"/>
      <c r="Q65" s="11"/>
      <c r="R65" s="11"/>
      <c r="S65" s="11"/>
      <c r="T65" s="11"/>
    </row>
    <row r="66" spans="1:20" s="86" customFormat="1" ht="16.5">
      <c r="A66" s="102" t="s">
        <v>151</v>
      </c>
      <c r="C66" s="224">
        <f>+'KC 2018-2019 Budget'!D12</f>
        <v>28835.890000000003</v>
      </c>
      <c r="D66" s="224">
        <f>+'SC 2018-2019 Budget'!D11</f>
        <v>69303.51000000001</v>
      </c>
      <c r="E66" s="225">
        <f>+D66+C66</f>
        <v>98139.40000000001</v>
      </c>
      <c r="F66" s="124"/>
      <c r="G66" s="226">
        <f>+'KC 2018-2019 Budget'!D16</f>
        <v>2122179.807110357</v>
      </c>
      <c r="H66" s="226">
        <f>+'SC 2018-2019 Budget'!D15</f>
        <v>5106063.886518807</v>
      </c>
      <c r="I66" s="226"/>
      <c r="J66" s="227">
        <f>+H66+G66</f>
        <v>7228243.693629164</v>
      </c>
      <c r="K66" s="124"/>
      <c r="L66" s="228">
        <f>+J66/E66</f>
        <v>73.65282132995681</v>
      </c>
      <c r="M66" s="124"/>
      <c r="N66" s="229">
        <f>'KC 2018-2019 Budget'!D8*24</f>
        <v>900766</v>
      </c>
      <c r="O66" s="229">
        <f>'SC 2018-2019 Budget'!D7*24</f>
        <v>2254291</v>
      </c>
      <c r="P66" s="229">
        <f>+O66+N66</f>
        <v>3155057</v>
      </c>
      <c r="Q66" s="124"/>
      <c r="R66" s="225">
        <f>+R61</f>
        <v>64.02526294287308</v>
      </c>
      <c r="S66" s="225">
        <f>+S61</f>
        <v>61.48585963391595</v>
      </c>
      <c r="T66" s="225">
        <f>+T61</f>
        <v>62.21085704632279</v>
      </c>
    </row>
    <row r="67" spans="1:20" s="86" customFormat="1" ht="9.75" customHeight="1">
      <c r="A67" s="102"/>
      <c r="C67" s="224"/>
      <c r="D67" s="224"/>
      <c r="E67" s="225"/>
      <c r="F67" s="124"/>
      <c r="G67" s="226"/>
      <c r="H67" s="226"/>
      <c r="I67" s="226"/>
      <c r="J67" s="227"/>
      <c r="K67" s="124"/>
      <c r="L67" s="228"/>
      <c r="M67" s="124"/>
      <c r="N67" s="229"/>
      <c r="O67" s="229"/>
      <c r="P67" s="229"/>
      <c r="Q67" s="124"/>
      <c r="R67" s="225"/>
      <c r="S67" s="225"/>
      <c r="T67" s="225"/>
    </row>
    <row r="68" spans="1:20" s="86" customFormat="1" ht="16.5">
      <c r="A68" s="111" t="s">
        <v>111</v>
      </c>
      <c r="C68" s="224"/>
      <c r="D68" s="224"/>
      <c r="E68" s="225"/>
      <c r="F68" s="124"/>
      <c r="G68" s="230">
        <f>+G72*G61</f>
        <v>530544.9517775893</v>
      </c>
      <c r="H68" s="230">
        <f>+H72*H61</f>
        <v>1085038.5758852465</v>
      </c>
      <c r="I68" s="226"/>
      <c r="J68" s="231">
        <f>+H68+G68</f>
        <v>1615583.5276628358</v>
      </c>
      <c r="K68" s="124"/>
      <c r="L68" s="228"/>
      <c r="M68" s="124"/>
      <c r="N68" s="229"/>
      <c r="O68" s="229"/>
      <c r="P68" s="229"/>
      <c r="Q68" s="124"/>
      <c r="R68" s="225"/>
      <c r="S68" s="225"/>
      <c r="T68" s="225"/>
    </row>
    <row r="69" spans="1:20" s="86" customFormat="1" ht="9.75" customHeight="1">
      <c r="A69" s="102"/>
      <c r="C69" s="224"/>
      <c r="D69" s="224"/>
      <c r="E69" s="225"/>
      <c r="F69" s="124"/>
      <c r="G69" s="226"/>
      <c r="H69" s="226"/>
      <c r="I69" s="226"/>
      <c r="J69" s="227"/>
      <c r="K69" s="124"/>
      <c r="L69" s="228"/>
      <c r="M69" s="124"/>
      <c r="N69" s="229"/>
      <c r="O69" s="229"/>
      <c r="P69" s="229"/>
      <c r="Q69" s="124"/>
      <c r="R69" s="225"/>
      <c r="S69" s="225"/>
      <c r="T69" s="225"/>
    </row>
    <row r="70" spans="1:20" s="86" customFormat="1" ht="16.5">
      <c r="A70" s="111" t="s">
        <v>109</v>
      </c>
      <c r="C70" s="224"/>
      <c r="D70" s="224"/>
      <c r="E70" s="225"/>
      <c r="F70" s="124"/>
      <c r="G70" s="230">
        <f>+G68*G64</f>
        <v>-258255.82551850047</v>
      </c>
      <c r="H70" s="230">
        <f>+H68*H64</f>
        <v>-511113.6495981492</v>
      </c>
      <c r="I70" s="230"/>
      <c r="J70" s="231">
        <f>+H70+G70</f>
        <v>-769369.4751166496</v>
      </c>
      <c r="K70" s="124"/>
      <c r="L70" s="228"/>
      <c r="M70" s="124"/>
      <c r="N70" s="229"/>
      <c r="O70" s="229"/>
      <c r="P70" s="229"/>
      <c r="Q70" s="124"/>
      <c r="R70" s="225"/>
      <c r="S70" s="225"/>
      <c r="T70" s="225"/>
    </row>
    <row r="71" spans="1:20" s="86" customFormat="1" ht="9.75" customHeight="1">
      <c r="A71" s="102"/>
      <c r="C71" s="224"/>
      <c r="D71" s="224"/>
      <c r="E71" s="225"/>
      <c r="F71" s="124"/>
      <c r="G71" s="226"/>
      <c r="H71" s="226"/>
      <c r="I71" s="226"/>
      <c r="J71" s="227"/>
      <c r="K71" s="124"/>
      <c r="L71" s="228"/>
      <c r="M71" s="124"/>
      <c r="N71" s="229"/>
      <c r="O71" s="229"/>
      <c r="P71" s="229"/>
      <c r="Q71" s="124"/>
      <c r="R71" s="225"/>
      <c r="S71" s="225"/>
      <c r="T71" s="225"/>
    </row>
    <row r="72" spans="1:20" s="86" customFormat="1" ht="16.5">
      <c r="A72" s="111" t="s">
        <v>108</v>
      </c>
      <c r="C72" s="224"/>
      <c r="D72" s="224"/>
      <c r="E72" s="225"/>
      <c r="F72" s="124"/>
      <c r="G72" s="232">
        <f>+'KC 2018-2019 Budget'!C19</f>
        <v>0.5</v>
      </c>
      <c r="H72" s="232">
        <f>+'SC 2018-2019 Budget'!C18</f>
        <v>0.425</v>
      </c>
      <c r="I72" s="226"/>
      <c r="J72" s="227"/>
      <c r="K72" s="124"/>
      <c r="L72" s="228"/>
      <c r="M72" s="124"/>
      <c r="N72" s="229"/>
      <c r="O72" s="229"/>
      <c r="P72" s="229"/>
      <c r="Q72" s="124"/>
      <c r="R72" s="225"/>
      <c r="S72" s="225"/>
      <c r="T72" s="225"/>
    </row>
    <row r="73" spans="1:20" s="86" customFormat="1" ht="9" customHeight="1">
      <c r="A73" s="111"/>
      <c r="C73" s="224"/>
      <c r="D73" s="224"/>
      <c r="E73" s="225"/>
      <c r="F73" s="124"/>
      <c r="G73" s="232"/>
      <c r="H73" s="232"/>
      <c r="I73" s="226"/>
      <c r="J73" s="227"/>
      <c r="K73" s="124"/>
      <c r="L73" s="228"/>
      <c r="M73" s="124"/>
      <c r="N73" s="229"/>
      <c r="O73" s="229"/>
      <c r="P73" s="229"/>
      <c r="Q73" s="124"/>
      <c r="R73" s="225"/>
      <c r="S73" s="225"/>
      <c r="T73" s="225"/>
    </row>
    <row r="74" spans="1:20" s="86" customFormat="1" ht="16.5">
      <c r="A74" s="111" t="s">
        <v>118</v>
      </c>
      <c r="C74" s="224"/>
      <c r="D74" s="224"/>
      <c r="E74" s="225"/>
      <c r="F74" s="124"/>
      <c r="G74" s="233">
        <f>+G72*G66</f>
        <v>1061089.9035551785</v>
      </c>
      <c r="H74" s="233">
        <f>+H72*H66</f>
        <v>2170077.151770493</v>
      </c>
      <c r="I74" s="233"/>
      <c r="J74" s="233">
        <f>+H74+G74</f>
        <v>3231167.0553256716</v>
      </c>
      <c r="K74" s="234"/>
      <c r="L74" s="228"/>
      <c r="M74" s="124"/>
      <c r="N74" s="229"/>
      <c r="O74" s="229"/>
      <c r="P74" s="229"/>
      <c r="Q74" s="124"/>
      <c r="R74" s="225"/>
      <c r="S74" s="225"/>
      <c r="T74" s="225"/>
    </row>
    <row r="75" spans="1:20" s="86" customFormat="1" ht="16.5">
      <c r="A75" s="111" t="s">
        <v>110</v>
      </c>
      <c r="C75" s="224"/>
      <c r="D75" s="224"/>
      <c r="E75" s="225"/>
      <c r="F75" s="124"/>
      <c r="G75" s="235">
        <f>+G74*G64</f>
        <v>-516511.65103700093</v>
      </c>
      <c r="H75" s="235">
        <f>+H74*H64</f>
        <v>-1022227.2991962984</v>
      </c>
      <c r="I75" s="236"/>
      <c r="J75" s="237">
        <f>+H75+G75</f>
        <v>-1538738.9502332993</v>
      </c>
      <c r="K75" s="124"/>
      <c r="L75" s="228"/>
      <c r="M75" s="124"/>
      <c r="N75" s="229"/>
      <c r="O75" s="229"/>
      <c r="P75" s="229"/>
      <c r="Q75" s="124"/>
      <c r="R75" s="225"/>
      <c r="S75" s="225"/>
      <c r="T75" s="225"/>
    </row>
    <row r="76" spans="1:20" s="86" customFormat="1" ht="16.5">
      <c r="A76" s="111"/>
      <c r="B76" s="111" t="s">
        <v>119</v>
      </c>
      <c r="C76" s="224"/>
      <c r="D76" s="224"/>
      <c r="E76" s="225"/>
      <c r="F76" s="124"/>
      <c r="G76" s="230">
        <f>SUM(G74:G75)</f>
        <v>544578.2525181776</v>
      </c>
      <c r="H76" s="230">
        <f>SUM(H74:H75)</f>
        <v>1147849.8525741948</v>
      </c>
      <c r="I76" s="230"/>
      <c r="J76" s="230">
        <f>SUM(J74:J75)</f>
        <v>1692428.1050923723</v>
      </c>
      <c r="K76" s="124"/>
      <c r="L76" s="228"/>
      <c r="M76" s="124"/>
      <c r="N76" s="229"/>
      <c r="O76" s="229"/>
      <c r="P76" s="229"/>
      <c r="Q76" s="124"/>
      <c r="R76" s="225"/>
      <c r="S76" s="225"/>
      <c r="T76" s="225"/>
    </row>
    <row r="77" spans="1:20" s="86" customFormat="1" ht="16.5">
      <c r="A77" s="111"/>
      <c r="C77" s="224"/>
      <c r="D77" s="224"/>
      <c r="E77" s="225"/>
      <c r="F77" s="124"/>
      <c r="G77" s="230"/>
      <c r="H77" s="230"/>
      <c r="I77" s="226"/>
      <c r="J77" s="231"/>
      <c r="K77" s="124"/>
      <c r="L77" s="228"/>
      <c r="M77" s="124"/>
      <c r="N77" s="229"/>
      <c r="O77" s="229"/>
      <c r="P77" s="229"/>
      <c r="Q77" s="124"/>
      <c r="R77" s="225"/>
      <c r="S77" s="225"/>
      <c r="T77" s="225"/>
    </row>
    <row r="78" spans="1:20" s="86" customFormat="1" ht="16.5">
      <c r="A78" s="111" t="s">
        <v>112</v>
      </c>
      <c r="C78" s="224"/>
      <c r="D78" s="224"/>
      <c r="E78" s="225"/>
      <c r="F78" s="124"/>
      <c r="G78" s="233">
        <f>+'KC 2018-2019 Budget'!D22</f>
        <v>1038900</v>
      </c>
      <c r="H78" s="233">
        <f>+'SC 2018-2019 Budget'!D20</f>
        <v>2073000</v>
      </c>
      <c r="I78" s="238"/>
      <c r="J78" s="239">
        <f>+H78+G78</f>
        <v>3111900</v>
      </c>
      <c r="K78" s="124"/>
      <c r="L78" s="228"/>
      <c r="M78" s="124"/>
      <c r="N78" s="229"/>
      <c r="O78" s="229"/>
      <c r="P78" s="229"/>
      <c r="Q78" s="124"/>
      <c r="R78" s="225"/>
      <c r="S78" s="225"/>
      <c r="T78" s="225"/>
    </row>
    <row r="79" spans="1:20" s="86" customFormat="1" ht="16.5">
      <c r="A79" s="111" t="s">
        <v>114</v>
      </c>
      <c r="C79" s="224"/>
      <c r="D79" s="224"/>
      <c r="E79" s="225"/>
      <c r="F79" s="124"/>
      <c r="G79" s="235">
        <f>+G78*G64-G81</f>
        <v>-531100.1607829749</v>
      </c>
      <c r="H79" s="235">
        <f>+H78*H64-H81</f>
        <v>-1028712.9043853151</v>
      </c>
      <c r="I79" s="236"/>
      <c r="J79" s="237">
        <f>+H79+G79</f>
        <v>-1559813.06516829</v>
      </c>
      <c r="K79" s="124"/>
      <c r="L79" s="228"/>
      <c r="M79" s="124"/>
      <c r="N79" s="229"/>
      <c r="O79" s="229"/>
      <c r="P79" s="229"/>
      <c r="Q79" s="124"/>
      <c r="R79" s="225"/>
      <c r="S79" s="225"/>
      <c r="T79" s="225"/>
    </row>
    <row r="80" spans="1:20" s="86" customFormat="1" ht="16.5">
      <c r="A80" s="111" t="s">
        <v>115</v>
      </c>
      <c r="C80" s="224"/>
      <c r="D80" s="224"/>
      <c r="E80" s="225"/>
      <c r="F80" s="124"/>
      <c r="G80" s="233">
        <f>SUM(G78:G79)</f>
        <v>507799.8392170251</v>
      </c>
      <c r="H80" s="233">
        <f>SUM(H78:H79)</f>
        <v>1044287.0956146849</v>
      </c>
      <c r="I80" s="233"/>
      <c r="J80" s="233">
        <f>SUM(J78:J79)</f>
        <v>1552086.93483171</v>
      </c>
      <c r="K80" s="124"/>
      <c r="L80" s="228"/>
      <c r="M80" s="124"/>
      <c r="N80" s="229"/>
      <c r="O80" s="229"/>
      <c r="P80" s="229"/>
      <c r="Q80" s="124"/>
      <c r="R80" s="225"/>
      <c r="S80" s="225"/>
      <c r="T80" s="225"/>
    </row>
    <row r="81" spans="1:20" s="86" customFormat="1" ht="16.5">
      <c r="A81" s="111" t="s">
        <v>116</v>
      </c>
      <c r="C81" s="224"/>
      <c r="D81" s="224"/>
      <c r="E81" s="225"/>
      <c r="F81" s="124"/>
      <c r="G81" s="235">
        <f>+G80*0.05</f>
        <v>25389.991960851257</v>
      </c>
      <c r="H81" s="235">
        <f>+H80*0.05</f>
        <v>52214.35478073425</v>
      </c>
      <c r="I81" s="235"/>
      <c r="J81" s="235">
        <f>+H81+G81</f>
        <v>77604.3467415855</v>
      </c>
      <c r="K81" s="124"/>
      <c r="L81" s="228"/>
      <c r="M81" s="124"/>
      <c r="N81" s="229"/>
      <c r="O81" s="229"/>
      <c r="P81" s="229"/>
      <c r="Q81" s="124"/>
      <c r="R81" s="225"/>
      <c r="S81" s="225"/>
      <c r="T81" s="225"/>
    </row>
    <row r="82" spans="1:20" s="86" customFormat="1" ht="16.5">
      <c r="A82" s="102"/>
      <c r="B82" s="111" t="s">
        <v>117</v>
      </c>
      <c r="C82" s="224"/>
      <c r="D82" s="224"/>
      <c r="E82" s="225"/>
      <c r="F82" s="124"/>
      <c r="G82" s="230">
        <f>+G81+G80</f>
        <v>533189.8311778763</v>
      </c>
      <c r="H82" s="230">
        <f>+H81+H80</f>
        <v>1096501.450395419</v>
      </c>
      <c r="I82" s="230"/>
      <c r="J82" s="230">
        <f>+J81+J80</f>
        <v>1629691.2815732956</v>
      </c>
      <c r="K82" s="124"/>
      <c r="L82" s="228"/>
      <c r="M82" s="124"/>
      <c r="N82" s="229"/>
      <c r="O82" s="229"/>
      <c r="P82" s="229"/>
      <c r="Q82" s="124"/>
      <c r="R82" s="225"/>
      <c r="S82" s="225"/>
      <c r="T82" s="225"/>
    </row>
    <row r="83" spans="1:20" s="86" customFormat="1" ht="16.5">
      <c r="A83" s="102"/>
      <c r="C83" s="224"/>
      <c r="D83" s="224"/>
      <c r="E83" s="225"/>
      <c r="F83" s="124"/>
      <c r="G83" s="230"/>
      <c r="H83" s="230"/>
      <c r="I83" s="230"/>
      <c r="J83" s="230"/>
      <c r="K83" s="124"/>
      <c r="L83" s="228"/>
      <c r="M83" s="124"/>
      <c r="N83" s="229"/>
      <c r="O83" s="229"/>
      <c r="P83" s="229"/>
      <c r="Q83" s="124"/>
      <c r="R83" s="225"/>
      <c r="S83" s="225"/>
      <c r="T83" s="225"/>
    </row>
    <row r="84" spans="1:20" ht="15">
      <c r="A84" s="88" t="s">
        <v>103</v>
      </c>
      <c r="C84" s="11"/>
      <c r="D84" s="11"/>
      <c r="E84" s="11"/>
      <c r="F84" s="11"/>
      <c r="G84" s="11"/>
      <c r="H84" s="206"/>
      <c r="I84" s="11"/>
      <c r="J84" s="11"/>
      <c r="K84" s="11"/>
      <c r="L84" s="11"/>
      <c r="M84" s="11"/>
      <c r="N84" s="11"/>
      <c r="O84" s="11"/>
      <c r="P84" s="11"/>
      <c r="Q84" s="11"/>
      <c r="R84" s="11"/>
      <c r="S84" s="11"/>
      <c r="T84" s="11"/>
    </row>
    <row r="85" spans="1:20" ht="15">
      <c r="A85" s="88"/>
      <c r="C85" s="549" t="s">
        <v>121</v>
      </c>
      <c r="D85" s="549"/>
      <c r="E85" s="549"/>
      <c r="F85" s="11"/>
      <c r="G85" s="550" t="s">
        <v>125</v>
      </c>
      <c r="H85" s="550"/>
      <c r="I85" s="11"/>
      <c r="J85" s="11"/>
      <c r="K85" s="11"/>
      <c r="L85" s="11"/>
      <c r="M85" s="11"/>
      <c r="N85" s="240" t="s">
        <v>85</v>
      </c>
      <c r="O85" s="240" t="s">
        <v>85</v>
      </c>
      <c r="P85" s="240" t="s">
        <v>57</v>
      </c>
      <c r="Q85" s="11"/>
      <c r="R85" s="11"/>
      <c r="S85" s="11"/>
      <c r="T85" s="11"/>
    </row>
    <row r="86" spans="1:20" ht="15">
      <c r="A86" s="88"/>
      <c r="C86" s="141"/>
      <c r="D86" s="240" t="s">
        <v>14</v>
      </c>
      <c r="E86" s="240"/>
      <c r="F86" s="11"/>
      <c r="G86" s="240" t="s">
        <v>124</v>
      </c>
      <c r="H86" s="11"/>
      <c r="I86" s="11"/>
      <c r="J86" s="240" t="s">
        <v>124</v>
      </c>
      <c r="K86" s="11"/>
      <c r="L86" s="240" t="s">
        <v>14</v>
      </c>
      <c r="M86" s="11"/>
      <c r="N86" s="240" t="s">
        <v>94</v>
      </c>
      <c r="O86" s="240" t="s">
        <v>45</v>
      </c>
      <c r="P86" s="240" t="s">
        <v>97</v>
      </c>
      <c r="Q86" s="11"/>
      <c r="R86" s="240"/>
      <c r="S86" s="11"/>
      <c r="T86" s="11"/>
    </row>
    <row r="87" spans="1:20" ht="15">
      <c r="A87" s="88"/>
      <c r="C87" s="241" t="s">
        <v>16</v>
      </c>
      <c r="D87" s="241" t="s">
        <v>17</v>
      </c>
      <c r="E87" s="241" t="s">
        <v>85</v>
      </c>
      <c r="F87" s="11"/>
      <c r="G87" s="241" t="s">
        <v>86</v>
      </c>
      <c r="H87" s="241" t="s">
        <v>85</v>
      </c>
      <c r="I87" s="241"/>
      <c r="J87" s="241" t="s">
        <v>86</v>
      </c>
      <c r="K87" s="11"/>
      <c r="L87" s="241" t="s">
        <v>17</v>
      </c>
      <c r="M87" s="11"/>
      <c r="N87" s="241" t="s">
        <v>15</v>
      </c>
      <c r="O87" s="241" t="s">
        <v>15</v>
      </c>
      <c r="P87" s="241" t="s">
        <v>98</v>
      </c>
      <c r="Q87" s="11"/>
      <c r="R87" s="529"/>
      <c r="S87" s="11"/>
      <c r="T87" s="11"/>
    </row>
    <row r="88" spans="1:20" ht="12.75">
      <c r="A88" t="str">
        <f aca="true" t="shared" si="23" ref="A88:A111">+A35</f>
        <v>Oct., 2017</v>
      </c>
      <c r="C88" s="127">
        <v>626.96</v>
      </c>
      <c r="D88" s="127">
        <v>451.2</v>
      </c>
      <c r="E88" s="122">
        <f>+D88+C88</f>
        <v>1078.16</v>
      </c>
      <c r="F88" s="11"/>
      <c r="G88" s="122">
        <f>+'[2]October'!$V$7</f>
        <v>2515.7171247620136</v>
      </c>
      <c r="H88" s="122">
        <f aca="true" t="shared" si="24" ref="H88:H110">+G88+E88</f>
        <v>3593.8771247620134</v>
      </c>
      <c r="I88" s="122"/>
      <c r="J88" s="208">
        <f aca="true" t="shared" si="25" ref="J88:J93">+C88/E88*N88</f>
        <v>28817.655758975165</v>
      </c>
      <c r="K88" s="11"/>
      <c r="L88" s="208">
        <f aca="true" t="shared" si="26" ref="L88:L93">+N88-J88</f>
        <v>20739.00452732167</v>
      </c>
      <c r="M88" s="11"/>
      <c r="N88" s="208">
        <f aca="true" t="shared" si="27" ref="N88:N93">+E88/C7*G7</f>
        <v>49556.660286296836</v>
      </c>
      <c r="O88" s="208">
        <f aca="true" t="shared" si="28" ref="O88:O93">+G88/D7*H7</f>
        <v>115632.68803169337</v>
      </c>
      <c r="P88" s="209">
        <f aca="true" t="shared" si="29" ref="P88:P93">(O88+N88)/H88</f>
        <v>45.96410577863845</v>
      </c>
      <c r="Q88" s="208"/>
      <c r="R88" s="11"/>
      <c r="S88" s="127"/>
      <c r="T88" s="127"/>
    </row>
    <row r="89" spans="1:20" ht="12.75">
      <c r="A89" t="str">
        <f t="shared" si="23"/>
        <v>Nov</v>
      </c>
      <c r="C89" s="127">
        <v>652.94</v>
      </c>
      <c r="D89" s="127">
        <v>491.97</v>
      </c>
      <c r="E89" s="122">
        <f aca="true" t="shared" si="30" ref="E89:E111">+D89+C89</f>
        <v>1144.91</v>
      </c>
      <c r="F89" s="11"/>
      <c r="G89" s="122">
        <f>+'[3]November'!$V$7</f>
        <v>2704.885891552549</v>
      </c>
      <c r="H89" s="122">
        <f t="shared" si="24"/>
        <v>3849.7958915525487</v>
      </c>
      <c r="I89" s="122"/>
      <c r="J89" s="208">
        <f t="shared" si="25"/>
        <v>37913.83078312171</v>
      </c>
      <c r="K89" s="11"/>
      <c r="L89" s="208">
        <f t="shared" si="26"/>
        <v>28566.893329206956</v>
      </c>
      <c r="M89" s="11"/>
      <c r="N89" s="208">
        <f t="shared" si="27"/>
        <v>66480.72411232867</v>
      </c>
      <c r="O89" s="208">
        <f t="shared" si="28"/>
        <v>157062.80206447246</v>
      </c>
      <c r="P89" s="209">
        <f t="shared" si="29"/>
        <v>58.06633194952325</v>
      </c>
      <c r="Q89" s="208"/>
      <c r="R89" s="11"/>
      <c r="S89" s="127"/>
      <c r="T89" s="127"/>
    </row>
    <row r="90" spans="1:20" ht="12.75">
      <c r="A90" t="str">
        <f t="shared" si="23"/>
        <v>Dec</v>
      </c>
      <c r="C90" s="127">
        <v>670.73</v>
      </c>
      <c r="D90" s="127">
        <v>438.72</v>
      </c>
      <c r="E90" s="122">
        <f t="shared" si="30"/>
        <v>1109.45</v>
      </c>
      <c r="F90" s="11"/>
      <c r="G90" s="122">
        <f>+'[4]December'!$V$7</f>
        <v>2894.70483292453</v>
      </c>
      <c r="H90" s="122">
        <f t="shared" si="24"/>
        <v>4004.1548329245297</v>
      </c>
      <c r="I90" s="122"/>
      <c r="J90" s="208">
        <f t="shared" si="25"/>
        <v>46306.78950839522</v>
      </c>
      <c r="K90" s="11"/>
      <c r="L90" s="208">
        <f t="shared" si="26"/>
        <v>30288.960823465706</v>
      </c>
      <c r="M90" s="11"/>
      <c r="N90" s="208">
        <f t="shared" si="27"/>
        <v>76595.75033186092</v>
      </c>
      <c r="O90" s="208">
        <f t="shared" si="28"/>
        <v>199848.65353744512</v>
      </c>
      <c r="P90" s="209">
        <f t="shared" si="29"/>
        <v>69.03938918550716</v>
      </c>
      <c r="Q90" s="208"/>
      <c r="R90" s="11"/>
      <c r="S90" s="127"/>
      <c r="T90" s="127"/>
    </row>
    <row r="91" spans="1:20" ht="12.75">
      <c r="A91" t="str">
        <f t="shared" si="23"/>
        <v>Jan., 2018</v>
      </c>
      <c r="C91" s="127">
        <v>586.45</v>
      </c>
      <c r="D91" s="127">
        <v>562.21</v>
      </c>
      <c r="E91" s="122">
        <f t="shared" si="30"/>
        <v>1148.66</v>
      </c>
      <c r="F91" s="11"/>
      <c r="G91" s="122">
        <f>+'[5]January'!$V$7</f>
        <v>2811.7099999999996</v>
      </c>
      <c r="H91" s="203">
        <f t="shared" si="24"/>
        <v>3960.37</v>
      </c>
      <c r="I91" s="203"/>
      <c r="J91" s="208">
        <f t="shared" si="25"/>
        <v>30980.895300838096</v>
      </c>
      <c r="K91" s="11"/>
      <c r="L91" s="208">
        <f t="shared" si="26"/>
        <v>29700.348106546484</v>
      </c>
      <c r="M91" s="11"/>
      <c r="N91" s="208">
        <f t="shared" si="27"/>
        <v>60681.24340738458</v>
      </c>
      <c r="O91" s="208">
        <f t="shared" si="28"/>
        <v>148536.6069167354</v>
      </c>
      <c r="P91" s="209">
        <f t="shared" si="29"/>
        <v>52.82785454998397</v>
      </c>
      <c r="Q91" s="220"/>
      <c r="R91" s="11"/>
      <c r="S91" s="127"/>
      <c r="T91" s="127"/>
    </row>
    <row r="92" spans="1:20" ht="12.75">
      <c r="A92" t="str">
        <f t="shared" si="23"/>
        <v>Feb</v>
      </c>
      <c r="C92" s="127">
        <v>370.49</v>
      </c>
      <c r="D92" s="127">
        <v>336.63</v>
      </c>
      <c r="E92" s="122">
        <f t="shared" si="30"/>
        <v>707.12</v>
      </c>
      <c r="F92" s="11"/>
      <c r="G92" s="122">
        <f>+'[6]February'!$V$7</f>
        <v>2065.86</v>
      </c>
      <c r="H92" s="203">
        <f t="shared" si="24"/>
        <v>2772.98</v>
      </c>
      <c r="I92" s="203"/>
      <c r="J92" s="208">
        <f t="shared" si="25"/>
        <v>17385.641094748513</v>
      </c>
      <c r="K92" s="11"/>
      <c r="L92" s="208">
        <f t="shared" si="26"/>
        <v>15796.724234730194</v>
      </c>
      <c r="M92" s="11"/>
      <c r="N92" s="208">
        <f t="shared" si="27"/>
        <v>33182.36532947871</v>
      </c>
      <c r="O92" s="208">
        <f t="shared" si="28"/>
        <v>96942.69889065064</v>
      </c>
      <c r="P92" s="209">
        <f t="shared" si="29"/>
        <v>46.9260738339726</v>
      </c>
      <c r="Q92" s="220"/>
      <c r="R92" s="11"/>
      <c r="S92" s="127"/>
      <c r="T92" s="127"/>
    </row>
    <row r="93" spans="1:20" ht="12.75">
      <c r="A93" t="str">
        <f t="shared" si="23"/>
        <v>Mar</v>
      </c>
      <c r="C93" s="127">
        <v>471.56</v>
      </c>
      <c r="D93" s="127">
        <v>389.83</v>
      </c>
      <c r="E93" s="122">
        <f t="shared" si="30"/>
        <v>861.39</v>
      </c>
      <c r="F93" s="11"/>
      <c r="G93" s="122">
        <f>+'[7]March'!$V$7</f>
        <v>2219.26</v>
      </c>
      <c r="H93" s="203">
        <f t="shared" si="24"/>
        <v>3080.65</v>
      </c>
      <c r="I93" s="203"/>
      <c r="J93" s="208">
        <f t="shared" si="25"/>
        <v>16234.804167093864</v>
      </c>
      <c r="K93" s="11"/>
      <c r="L93" s="208">
        <f t="shared" si="26"/>
        <v>13421.014735045808</v>
      </c>
      <c r="M93" s="11"/>
      <c r="N93" s="208">
        <f t="shared" si="27"/>
        <v>29655.818902139672</v>
      </c>
      <c r="O93" s="208">
        <f t="shared" si="28"/>
        <v>76404.38437497824</v>
      </c>
      <c r="P93" s="209">
        <f t="shared" si="29"/>
        <v>34.4278653132027</v>
      </c>
      <c r="Q93" s="220"/>
      <c r="R93" s="11"/>
      <c r="S93" s="127"/>
      <c r="T93" s="127"/>
    </row>
    <row r="94" spans="1:20" ht="12.75">
      <c r="A94" t="str">
        <f t="shared" si="23"/>
        <v>Apr</v>
      </c>
      <c r="C94" s="127">
        <v>487.15</v>
      </c>
      <c r="D94" s="127">
        <v>401.51</v>
      </c>
      <c r="E94" s="122">
        <f t="shared" si="30"/>
        <v>888.66</v>
      </c>
      <c r="F94" s="11"/>
      <c r="G94" s="122">
        <f>+'[8]April'!$V$7</f>
        <v>2238.21</v>
      </c>
      <c r="H94" s="203">
        <f t="shared" si="24"/>
        <v>3126.87</v>
      </c>
      <c r="I94" s="203"/>
      <c r="J94" s="208">
        <f aca="true" t="shared" si="31" ref="J94:J99">+C94/E94*N94</f>
        <v>20927.134029730343</v>
      </c>
      <c r="K94" s="11"/>
      <c r="L94" s="208">
        <f aca="true" t="shared" si="32" ref="L94:L99">+N94-J94</f>
        <v>17248.185536851135</v>
      </c>
      <c r="M94" s="11"/>
      <c r="N94" s="208">
        <f aca="true" t="shared" si="33" ref="N94:N99">+E94/C13*G13</f>
        <v>38175.31956658148</v>
      </c>
      <c r="O94" s="208">
        <f aca="true" t="shared" si="34" ref="O94:O99">+G94/D13*H13</f>
        <v>96149.68830274612</v>
      </c>
      <c r="P94" s="209">
        <f aca="true" t="shared" si="35" ref="P94:P99">(O94+N94)/H94</f>
        <v>42.95829627369465</v>
      </c>
      <c r="Q94" s="220"/>
      <c r="R94" s="11"/>
      <c r="S94" s="127"/>
      <c r="T94" s="127"/>
    </row>
    <row r="95" spans="1:20" ht="12.75">
      <c r="A95" t="str">
        <f t="shared" si="23"/>
        <v>May</v>
      </c>
      <c r="C95" s="127">
        <v>401.54</v>
      </c>
      <c r="D95" s="127">
        <v>400.88</v>
      </c>
      <c r="E95" s="122">
        <f t="shared" si="30"/>
        <v>802.4200000000001</v>
      </c>
      <c r="F95" s="11"/>
      <c r="G95" s="203">
        <f>+'[9]May'!$V$7</f>
        <v>1961.45</v>
      </c>
      <c r="H95" s="203">
        <f t="shared" si="24"/>
        <v>2763.87</v>
      </c>
      <c r="I95" s="203"/>
      <c r="J95" s="208">
        <f t="shared" si="31"/>
        <v>18971.083854554698</v>
      </c>
      <c r="K95" s="11"/>
      <c r="L95" s="208">
        <f t="shared" si="32"/>
        <v>18939.90161780616</v>
      </c>
      <c r="M95" s="11"/>
      <c r="N95" s="208">
        <f t="shared" si="33"/>
        <v>37910.98547236086</v>
      </c>
      <c r="O95" s="208">
        <f t="shared" si="34"/>
        <v>92670.30040971335</v>
      </c>
      <c r="P95" s="209">
        <f t="shared" si="35"/>
        <v>47.245813255353625</v>
      </c>
      <c r="Q95" s="220"/>
      <c r="R95" s="11"/>
      <c r="S95" s="127"/>
      <c r="T95" s="127"/>
    </row>
    <row r="96" spans="1:20" ht="12.75">
      <c r="A96" t="str">
        <f t="shared" si="23"/>
        <v>Jun</v>
      </c>
      <c r="C96" s="127">
        <v>461.61</v>
      </c>
      <c r="D96" s="127">
        <v>405.4</v>
      </c>
      <c r="E96" s="122">
        <f t="shared" si="30"/>
        <v>867.01</v>
      </c>
      <c r="F96" s="11"/>
      <c r="G96" s="203">
        <f>+'[10]June'!$V$7</f>
        <v>2234.41</v>
      </c>
      <c r="H96" s="203">
        <f t="shared" si="24"/>
        <v>3101.42</v>
      </c>
      <c r="I96" s="203"/>
      <c r="J96" s="208">
        <f t="shared" si="31"/>
        <v>9669.668395895153</v>
      </c>
      <c r="K96" s="11"/>
      <c r="L96" s="208">
        <f t="shared" si="32"/>
        <v>8492.198105968013</v>
      </c>
      <c r="M96" s="11"/>
      <c r="N96" s="208">
        <f t="shared" si="33"/>
        <v>18161.866501863165</v>
      </c>
      <c r="O96" s="208">
        <f t="shared" si="34"/>
        <v>46805.753255934855</v>
      </c>
      <c r="P96" s="209">
        <f t="shared" si="35"/>
        <v>20.947701297405064</v>
      </c>
      <c r="Q96" s="220"/>
      <c r="R96" s="11"/>
      <c r="S96" s="127"/>
      <c r="T96" s="127"/>
    </row>
    <row r="97" spans="1:20" ht="12.75">
      <c r="A97" t="str">
        <f t="shared" si="23"/>
        <v>Jul</v>
      </c>
      <c r="C97" s="127">
        <v>466.89</v>
      </c>
      <c r="D97" s="127">
        <v>412.34</v>
      </c>
      <c r="E97" s="122">
        <f t="shared" si="30"/>
        <v>879.23</v>
      </c>
      <c r="F97" s="11"/>
      <c r="G97" s="203">
        <f>+'[11]July'!$V$7</f>
        <v>2188.8</v>
      </c>
      <c r="H97" s="203">
        <f t="shared" si="24"/>
        <v>3068.03</v>
      </c>
      <c r="I97" s="203"/>
      <c r="J97" s="208">
        <f t="shared" si="31"/>
        <v>11731.27504942074</v>
      </c>
      <c r="K97" s="11"/>
      <c r="L97" s="208">
        <f t="shared" si="32"/>
        <v>10360.628743126108</v>
      </c>
      <c r="M97" s="11"/>
      <c r="N97" s="208">
        <f t="shared" si="33"/>
        <v>22091.903792546847</v>
      </c>
      <c r="O97" s="208">
        <f t="shared" si="34"/>
        <v>54996.71191966438</v>
      </c>
      <c r="P97" s="209">
        <f t="shared" si="35"/>
        <v>25.12642174692269</v>
      </c>
      <c r="Q97" s="220"/>
      <c r="R97" s="11"/>
      <c r="S97" s="127"/>
      <c r="T97" s="127"/>
    </row>
    <row r="98" spans="1:20" ht="12.75">
      <c r="A98" t="str">
        <f t="shared" si="23"/>
        <v>Aug</v>
      </c>
      <c r="C98" s="127">
        <v>496.27</v>
      </c>
      <c r="D98" s="127">
        <v>499.33</v>
      </c>
      <c r="E98" s="122">
        <f t="shared" si="30"/>
        <v>995.5999999999999</v>
      </c>
      <c r="F98" s="11"/>
      <c r="G98" s="203">
        <f>+'[12]August'!$V$7</f>
        <v>2323.09</v>
      </c>
      <c r="H98" s="203">
        <f t="shared" si="24"/>
        <v>3318.69</v>
      </c>
      <c r="I98" s="203"/>
      <c r="J98" s="208">
        <f t="shared" si="31"/>
        <v>15148.687102836091</v>
      </c>
      <c r="K98" s="11"/>
      <c r="L98" s="208">
        <f t="shared" si="32"/>
        <v>15242.0938824816</v>
      </c>
      <c r="M98" s="11"/>
      <c r="N98" s="208">
        <f t="shared" si="33"/>
        <v>30390.78098531769</v>
      </c>
      <c r="O98" s="208">
        <f t="shared" si="34"/>
        <v>70912.53455120698</v>
      </c>
      <c r="P98" s="209">
        <f t="shared" si="35"/>
        <v>30.525091387422346</v>
      </c>
      <c r="Q98" s="220"/>
      <c r="R98" s="11"/>
      <c r="S98" s="127"/>
      <c r="T98" s="127"/>
    </row>
    <row r="99" spans="1:20" ht="12.75">
      <c r="A99" t="str">
        <f t="shared" si="23"/>
        <v>Sep</v>
      </c>
      <c r="C99" s="127">
        <v>434.4</v>
      </c>
      <c r="D99" s="127">
        <v>432.3</v>
      </c>
      <c r="E99" s="122">
        <f t="shared" si="30"/>
        <v>866.7</v>
      </c>
      <c r="F99" s="11"/>
      <c r="G99" s="203">
        <f>+'[13]Snohomish County - Sept'!$T$4</f>
        <v>2020.6</v>
      </c>
      <c r="H99" s="203">
        <f t="shared" si="24"/>
        <v>2887.3</v>
      </c>
      <c r="I99" s="203"/>
      <c r="J99" s="208">
        <f t="shared" si="31"/>
        <v>15074.587001258758</v>
      </c>
      <c r="K99" s="11"/>
      <c r="L99" s="208">
        <f t="shared" si="32"/>
        <v>15001.712616584166</v>
      </c>
      <c r="M99" s="11"/>
      <c r="N99" s="208">
        <f t="shared" si="33"/>
        <v>30076.299617842924</v>
      </c>
      <c r="O99" s="208">
        <f t="shared" si="34"/>
        <v>70119.038892135</v>
      </c>
      <c r="P99" s="209">
        <f t="shared" si="35"/>
        <v>34.70208794028258</v>
      </c>
      <c r="Q99" s="220"/>
      <c r="R99" s="11"/>
      <c r="S99" s="127"/>
      <c r="T99" s="127"/>
    </row>
    <row r="100" spans="1:20" ht="15" hidden="1">
      <c r="A100" t="str">
        <f t="shared" si="23"/>
        <v>Oct</v>
      </c>
      <c r="C100" s="127"/>
      <c r="D100" s="127"/>
      <c r="E100" s="122">
        <f t="shared" si="30"/>
        <v>0</v>
      </c>
      <c r="F100" s="11"/>
      <c r="G100" s="203"/>
      <c r="H100" s="203">
        <f t="shared" si="24"/>
        <v>0</v>
      </c>
      <c r="I100" s="222"/>
      <c r="J100" s="208"/>
      <c r="K100" s="11"/>
      <c r="L100" s="208"/>
      <c r="M100" s="11"/>
      <c r="N100" s="208"/>
      <c r="O100" s="208"/>
      <c r="P100" s="209"/>
      <c r="Q100" s="220"/>
      <c r="R100" s="11"/>
      <c r="S100" s="11"/>
      <c r="T100" s="11"/>
    </row>
    <row r="101" spans="1:20" ht="15" hidden="1">
      <c r="A101" t="str">
        <f t="shared" si="23"/>
        <v>Nov</v>
      </c>
      <c r="C101" s="127"/>
      <c r="D101" s="127"/>
      <c r="E101" s="122">
        <f t="shared" si="30"/>
        <v>0</v>
      </c>
      <c r="F101" s="11"/>
      <c r="G101" s="203"/>
      <c r="H101" s="203">
        <f t="shared" si="24"/>
        <v>0</v>
      </c>
      <c r="I101" s="222"/>
      <c r="J101" s="208"/>
      <c r="K101" s="210"/>
      <c r="L101" s="208"/>
      <c r="M101" s="11"/>
      <c r="N101" s="208"/>
      <c r="O101" s="208"/>
      <c r="P101" s="209"/>
      <c r="Q101" s="220"/>
      <c r="R101" s="11"/>
      <c r="S101" s="11"/>
      <c r="T101" s="11"/>
    </row>
    <row r="102" spans="1:20" ht="12.75" hidden="1">
      <c r="A102" t="str">
        <f t="shared" si="23"/>
        <v>Dec</v>
      </c>
      <c r="C102" s="127"/>
      <c r="D102" s="127"/>
      <c r="E102" s="122">
        <f t="shared" si="30"/>
        <v>0</v>
      </c>
      <c r="F102" s="11"/>
      <c r="G102" s="203"/>
      <c r="H102" s="203">
        <f t="shared" si="24"/>
        <v>0</v>
      </c>
      <c r="I102" s="203"/>
      <c r="J102" s="208"/>
      <c r="K102" s="11"/>
      <c r="L102" s="208"/>
      <c r="M102" s="11"/>
      <c r="N102" s="208"/>
      <c r="O102" s="208"/>
      <c r="P102" s="209"/>
      <c r="Q102" s="220"/>
      <c r="R102" s="11"/>
      <c r="S102" s="11"/>
      <c r="T102" s="11"/>
    </row>
    <row r="103" spans="1:20" ht="15" hidden="1">
      <c r="A103" t="str">
        <f t="shared" si="23"/>
        <v>Jan. 2019</v>
      </c>
      <c r="C103" s="127"/>
      <c r="D103" s="127"/>
      <c r="E103" s="122">
        <f t="shared" si="30"/>
        <v>0</v>
      </c>
      <c r="F103" s="11"/>
      <c r="G103" s="203"/>
      <c r="H103" s="203">
        <f t="shared" si="24"/>
        <v>0</v>
      </c>
      <c r="I103" s="222"/>
      <c r="J103" s="208"/>
      <c r="K103" s="11"/>
      <c r="L103" s="208"/>
      <c r="M103" s="11"/>
      <c r="N103" s="208"/>
      <c r="O103" s="208"/>
      <c r="P103" s="209"/>
      <c r="Q103" s="220"/>
      <c r="R103" s="11"/>
      <c r="S103" s="11"/>
      <c r="T103" s="11"/>
    </row>
    <row r="104" spans="1:20" ht="15" hidden="1">
      <c r="A104" t="str">
        <f t="shared" si="23"/>
        <v>Feb</v>
      </c>
      <c r="C104" s="127"/>
      <c r="D104" s="127"/>
      <c r="E104" s="122">
        <f t="shared" si="30"/>
        <v>0</v>
      </c>
      <c r="F104" s="11"/>
      <c r="G104" s="203"/>
      <c r="H104" s="203">
        <f t="shared" si="24"/>
        <v>0</v>
      </c>
      <c r="I104" s="222"/>
      <c r="J104" s="208"/>
      <c r="K104" s="11"/>
      <c r="L104" s="208"/>
      <c r="M104" s="11"/>
      <c r="N104" s="208"/>
      <c r="O104" s="208"/>
      <c r="P104" s="209"/>
      <c r="Q104" s="220"/>
      <c r="R104" s="11"/>
      <c r="S104" s="11"/>
      <c r="T104" s="11"/>
    </row>
    <row r="105" spans="1:20" ht="12.75" hidden="1">
      <c r="A105" t="str">
        <f t="shared" si="23"/>
        <v>Mar</v>
      </c>
      <c r="C105" s="127"/>
      <c r="D105" s="127"/>
      <c r="E105" s="122">
        <f t="shared" si="30"/>
        <v>0</v>
      </c>
      <c r="F105" s="11"/>
      <c r="G105" s="203"/>
      <c r="H105" s="203">
        <f t="shared" si="24"/>
        <v>0</v>
      </c>
      <c r="I105" s="203"/>
      <c r="J105" s="208"/>
      <c r="K105" s="11"/>
      <c r="L105" s="208"/>
      <c r="M105" s="11"/>
      <c r="N105" s="208"/>
      <c r="O105" s="208"/>
      <c r="P105" s="209"/>
      <c r="Q105" s="220"/>
      <c r="R105" s="11"/>
      <c r="S105" s="11"/>
      <c r="T105" s="11"/>
    </row>
    <row r="106" spans="1:20" ht="12.75" hidden="1">
      <c r="A106" t="str">
        <f t="shared" si="23"/>
        <v>Apr</v>
      </c>
      <c r="C106" s="127"/>
      <c r="D106" s="127"/>
      <c r="E106" s="122">
        <f t="shared" si="30"/>
        <v>0</v>
      </c>
      <c r="F106" s="11"/>
      <c r="G106" s="203"/>
      <c r="H106" s="203">
        <f t="shared" si="24"/>
        <v>0</v>
      </c>
      <c r="I106" s="203"/>
      <c r="J106" s="208"/>
      <c r="K106" s="11"/>
      <c r="L106" s="208"/>
      <c r="M106" s="11"/>
      <c r="N106" s="208"/>
      <c r="O106" s="208"/>
      <c r="P106" s="209"/>
      <c r="Q106" s="220"/>
      <c r="R106" s="11"/>
      <c r="S106" s="11"/>
      <c r="T106" s="11"/>
    </row>
    <row r="107" spans="1:20" ht="12.75" hidden="1">
      <c r="A107" t="str">
        <f t="shared" si="23"/>
        <v>May</v>
      </c>
      <c r="C107" s="127"/>
      <c r="D107" s="127"/>
      <c r="E107" s="122">
        <f t="shared" si="30"/>
        <v>0</v>
      </c>
      <c r="F107" s="11"/>
      <c r="G107" s="203"/>
      <c r="H107" s="203">
        <f t="shared" si="24"/>
        <v>0</v>
      </c>
      <c r="I107" s="203"/>
      <c r="J107" s="208"/>
      <c r="K107" s="11"/>
      <c r="L107" s="208"/>
      <c r="M107" s="11"/>
      <c r="N107" s="208"/>
      <c r="O107" s="208"/>
      <c r="P107" s="209"/>
      <c r="Q107" s="220"/>
      <c r="R107" s="11"/>
      <c r="S107" s="11"/>
      <c r="T107" s="11"/>
    </row>
    <row r="108" spans="1:20" ht="12.75" hidden="1">
      <c r="A108" t="str">
        <f t="shared" si="23"/>
        <v>Jun</v>
      </c>
      <c r="C108" s="127"/>
      <c r="D108" s="127"/>
      <c r="E108" s="122">
        <f t="shared" si="30"/>
        <v>0</v>
      </c>
      <c r="F108" s="11"/>
      <c r="G108" s="203"/>
      <c r="H108" s="203">
        <f t="shared" si="24"/>
        <v>0</v>
      </c>
      <c r="I108" s="203"/>
      <c r="J108" s="208"/>
      <c r="K108" s="11"/>
      <c r="L108" s="208"/>
      <c r="M108" s="11"/>
      <c r="N108" s="208"/>
      <c r="O108" s="208"/>
      <c r="P108" s="209"/>
      <c r="Q108" s="220"/>
      <c r="R108" s="11"/>
      <c r="S108" s="11"/>
      <c r="T108" s="11"/>
    </row>
    <row r="109" spans="1:20" ht="12.75" hidden="1">
      <c r="A109" t="str">
        <f t="shared" si="23"/>
        <v>Jul</v>
      </c>
      <c r="C109" s="127"/>
      <c r="D109" s="127"/>
      <c r="E109" s="122">
        <f t="shared" si="30"/>
        <v>0</v>
      </c>
      <c r="F109" s="11"/>
      <c r="G109" s="203"/>
      <c r="H109" s="203">
        <f t="shared" si="24"/>
        <v>0</v>
      </c>
      <c r="I109" s="203"/>
      <c r="J109" s="208"/>
      <c r="K109" s="11"/>
      <c r="L109" s="208"/>
      <c r="M109" s="11"/>
      <c r="N109" s="208"/>
      <c r="O109" s="208"/>
      <c r="P109" s="209"/>
      <c r="Q109" s="220"/>
      <c r="R109" s="11"/>
      <c r="S109" s="11"/>
      <c r="T109" s="11"/>
    </row>
    <row r="110" spans="1:20" ht="12.75" hidden="1">
      <c r="A110" t="str">
        <f t="shared" si="23"/>
        <v>Aug</v>
      </c>
      <c r="C110" s="127"/>
      <c r="D110" s="127"/>
      <c r="E110" s="122">
        <f t="shared" si="30"/>
        <v>0</v>
      </c>
      <c r="F110" s="11"/>
      <c r="G110" s="203"/>
      <c r="H110" s="203">
        <f t="shared" si="24"/>
        <v>0</v>
      </c>
      <c r="I110" s="203"/>
      <c r="J110" s="208"/>
      <c r="K110" s="11"/>
      <c r="L110" s="208"/>
      <c r="M110" s="11"/>
      <c r="N110" s="208"/>
      <c r="O110" s="208"/>
      <c r="P110" s="209"/>
      <c r="Q110" s="220"/>
      <c r="R110" s="11"/>
      <c r="S110" s="11"/>
      <c r="T110" s="11"/>
    </row>
    <row r="111" spans="1:20" s="86" customFormat="1" ht="16.5" hidden="1">
      <c r="A111" t="str">
        <f t="shared" si="23"/>
        <v>Sep</v>
      </c>
      <c r="C111" s="201"/>
      <c r="D111" s="201"/>
      <c r="E111" s="107">
        <f t="shared" si="30"/>
        <v>0</v>
      </c>
      <c r="F111" s="124"/>
      <c r="G111" s="242"/>
      <c r="H111" s="222"/>
      <c r="I111" s="243"/>
      <c r="J111" s="211"/>
      <c r="K111" s="210"/>
      <c r="L111" s="211"/>
      <c r="M111" s="210"/>
      <c r="N111" s="211"/>
      <c r="O111" s="211"/>
      <c r="P111" s="214"/>
      <c r="Q111" s="244"/>
      <c r="R111" s="124"/>
      <c r="S111" s="124"/>
      <c r="T111" s="124"/>
    </row>
    <row r="112" spans="3:20" ht="15">
      <c r="C112" s="216">
        <f>SUM(C88:C111)</f>
        <v>6126.99</v>
      </c>
      <c r="D112" s="216">
        <f aca="true" t="shared" si="36" ref="D112:O112">SUM(D88:D111)</f>
        <v>5222.32</v>
      </c>
      <c r="E112" s="216">
        <f t="shared" si="36"/>
        <v>11349.310000000001</v>
      </c>
      <c r="F112" s="216"/>
      <c r="G112" s="216">
        <f t="shared" si="36"/>
        <v>28178.69784923909</v>
      </c>
      <c r="H112" s="216">
        <f t="shared" si="36"/>
        <v>39528.0078492391</v>
      </c>
      <c r="I112" s="216"/>
      <c r="J112" s="217">
        <f t="shared" si="36"/>
        <v>269162.0520468683</v>
      </c>
      <c r="K112" s="217"/>
      <c r="L112" s="217">
        <f t="shared" si="36"/>
        <v>223797.66625913404</v>
      </c>
      <c r="M112" s="217"/>
      <c r="N112" s="217">
        <f t="shared" si="36"/>
        <v>492959.7183060024</v>
      </c>
      <c r="O112" s="217">
        <f t="shared" si="36"/>
        <v>1226081.8611473758</v>
      </c>
      <c r="P112" s="218">
        <f>(O112+N112)/H112</f>
        <v>43.48920355434683</v>
      </c>
      <c r="Q112" s="217"/>
      <c r="R112" s="11"/>
      <c r="S112" s="11"/>
      <c r="T112" s="11"/>
    </row>
    <row r="113" spans="2:20" ht="15">
      <c r="B113" s="104" t="s">
        <v>104</v>
      </c>
      <c r="C113" s="11"/>
      <c r="D113" s="11"/>
      <c r="E113" s="205">
        <f>+E112/C59</f>
        <v>0.9038615152188474</v>
      </c>
      <c r="F113" s="11"/>
      <c r="G113" s="205">
        <f>+G112/D59</f>
        <v>0.9044960748012085</v>
      </c>
      <c r="H113" s="205">
        <f>+H112/E59</f>
        <v>0.9043137884315917</v>
      </c>
      <c r="I113" s="205"/>
      <c r="J113" s="11"/>
      <c r="K113" s="11"/>
      <c r="L113" s="11"/>
      <c r="M113" s="11"/>
      <c r="N113" s="205">
        <f>+N112/G59</f>
        <v>0.9052137429772735</v>
      </c>
      <c r="O113" s="205">
        <f>+O112/H59</f>
        <v>0.907931973539985</v>
      </c>
      <c r="P113" s="11"/>
      <c r="Q113" s="205"/>
      <c r="R113" s="11"/>
      <c r="S113" s="11"/>
      <c r="T113" s="11"/>
    </row>
    <row r="114" spans="3:20" ht="12.75">
      <c r="C114" s="11"/>
      <c r="D114" s="11"/>
      <c r="E114" s="11"/>
      <c r="F114" s="11"/>
      <c r="G114" s="11"/>
      <c r="H114" s="11"/>
      <c r="I114" s="11"/>
      <c r="J114" s="11"/>
      <c r="K114" s="11"/>
      <c r="L114" s="11"/>
      <c r="M114" s="11"/>
      <c r="N114" s="11"/>
      <c r="O114" s="11"/>
      <c r="P114" s="11"/>
      <c r="Q114" s="11"/>
      <c r="R114" s="11"/>
      <c r="S114" s="11"/>
      <c r="T114" s="11"/>
    </row>
    <row r="115" spans="3:20" ht="12.75">
      <c r="C115" s="11"/>
      <c r="D115" s="11"/>
      <c r="E115" s="11"/>
      <c r="F115" s="11"/>
      <c r="G115" s="11"/>
      <c r="H115" s="11"/>
      <c r="I115" s="11"/>
      <c r="J115" s="11"/>
      <c r="K115" s="11"/>
      <c r="L115" s="11"/>
      <c r="M115" s="11"/>
      <c r="N115" s="11"/>
      <c r="O115" s="11"/>
      <c r="P115" s="11"/>
      <c r="Q115" s="11"/>
      <c r="R115" s="11"/>
      <c r="S115" s="11"/>
      <c r="T115" s="11"/>
    </row>
    <row r="116" spans="1:20" ht="15">
      <c r="A116" s="88" t="s">
        <v>105</v>
      </c>
      <c r="C116" s="11"/>
      <c r="D116" s="11"/>
      <c r="E116" s="11"/>
      <c r="F116" s="11"/>
      <c r="G116" s="11"/>
      <c r="H116" s="11"/>
      <c r="I116" s="11"/>
      <c r="J116" s="11"/>
      <c r="K116" s="11"/>
      <c r="L116" s="11"/>
      <c r="M116" s="11"/>
      <c r="N116" s="11"/>
      <c r="O116" s="11"/>
      <c r="P116" s="11"/>
      <c r="Q116" s="11"/>
      <c r="R116" s="11"/>
      <c r="S116" s="11"/>
      <c r="T116" s="11"/>
    </row>
    <row r="117" spans="1:20" ht="12.75">
      <c r="A117" t="str">
        <f>+A88</f>
        <v>Oct., 2017</v>
      </c>
      <c r="C117" s="127">
        <v>41.81</v>
      </c>
      <c r="D117" s="127">
        <v>67.91</v>
      </c>
      <c r="E117" s="122">
        <f>+D117+C117</f>
        <v>109.72</v>
      </c>
      <c r="F117" s="11"/>
      <c r="G117" s="122">
        <f aca="true" t="shared" si="37" ref="G117:G140">+D35-G88</f>
        <v>216.42287523798632</v>
      </c>
      <c r="H117" s="122">
        <f aca="true" t="shared" si="38" ref="H117:H139">+G117+E117</f>
        <v>326.14287523798635</v>
      </c>
      <c r="I117" s="122"/>
      <c r="J117" s="208">
        <f aca="true" t="shared" si="39" ref="J117:J122">+C117/E117*N117</f>
        <v>1921.759262604875</v>
      </c>
      <c r="K117" s="11"/>
      <c r="L117" s="208">
        <f aca="true" t="shared" si="40" ref="L117:L122">+N117-J117</f>
        <v>3121.4224234273393</v>
      </c>
      <c r="M117" s="11"/>
      <c r="N117" s="208">
        <f aca="true" t="shared" si="41" ref="N117:O119">+G35-N88</f>
        <v>5043.181686032214</v>
      </c>
      <c r="O117" s="208">
        <f t="shared" si="41"/>
        <v>9947.683930355895</v>
      </c>
      <c r="P117" s="209">
        <f aca="true" t="shared" si="42" ref="P117:P122">(O117+N117)/H117</f>
        <v>45.96410577863852</v>
      </c>
      <c r="Q117" s="202"/>
      <c r="R117" s="11"/>
      <c r="S117" s="127"/>
      <c r="T117" s="127"/>
    </row>
    <row r="118" spans="1:20" ht="12.75">
      <c r="A118" t="str">
        <f aca="true" t="shared" si="43" ref="A118:A140">+A89</f>
        <v>Nov</v>
      </c>
      <c r="C118" s="127">
        <v>40.73</v>
      </c>
      <c r="D118" s="127">
        <v>72.25</v>
      </c>
      <c r="E118" s="122">
        <f aca="true" t="shared" si="44" ref="E118:E140">+D118+C118</f>
        <v>112.97999999999999</v>
      </c>
      <c r="F118" s="11"/>
      <c r="G118" s="122">
        <f t="shared" si="37"/>
        <v>226.34410844745116</v>
      </c>
      <c r="H118" s="122">
        <f t="shared" si="38"/>
        <v>339.3241084474512</v>
      </c>
      <c r="I118" s="122"/>
      <c r="J118" s="208">
        <f t="shared" si="39"/>
        <v>2365.041700304081</v>
      </c>
      <c r="K118" s="11"/>
      <c r="L118" s="208">
        <f t="shared" si="40"/>
        <v>4195.292483353053</v>
      </c>
      <c r="M118" s="11"/>
      <c r="N118" s="208">
        <f t="shared" si="41"/>
        <v>6560.334183657134</v>
      </c>
      <c r="O118" s="208">
        <f t="shared" si="41"/>
        <v>13142.972135928605</v>
      </c>
      <c r="P118" s="209">
        <f t="shared" si="42"/>
        <v>58.06633194952329</v>
      </c>
      <c r="Q118" s="202"/>
      <c r="R118" s="11"/>
      <c r="S118" s="127"/>
      <c r="T118" s="127"/>
    </row>
    <row r="119" spans="1:20" ht="12.75">
      <c r="A119" t="str">
        <f t="shared" si="43"/>
        <v>Dec</v>
      </c>
      <c r="C119" s="127">
        <v>33.45</v>
      </c>
      <c r="D119" s="127">
        <v>65.42</v>
      </c>
      <c r="E119" s="122">
        <f t="shared" si="44"/>
        <v>98.87</v>
      </c>
      <c r="F119" s="11"/>
      <c r="G119" s="122">
        <f t="shared" si="37"/>
        <v>210.88516707547024</v>
      </c>
      <c r="H119" s="122">
        <f t="shared" si="38"/>
        <v>309.75516707547024</v>
      </c>
      <c r="I119" s="122"/>
      <c r="J119" s="208">
        <f t="shared" si="39"/>
        <v>2309.367568255211</v>
      </c>
      <c r="K119" s="11"/>
      <c r="L119" s="208">
        <f t="shared" si="40"/>
        <v>4516.556840515872</v>
      </c>
      <c r="M119" s="11"/>
      <c r="N119" s="208">
        <f t="shared" si="41"/>
        <v>6825.924408771083</v>
      </c>
      <c r="O119" s="208">
        <f t="shared" si="41"/>
        <v>14559.383123174106</v>
      </c>
      <c r="P119" s="209">
        <f t="shared" si="42"/>
        <v>69.03938918550718</v>
      </c>
      <c r="Q119" s="202"/>
      <c r="R119" s="11"/>
      <c r="S119" s="127"/>
      <c r="T119" s="127"/>
    </row>
    <row r="120" spans="1:20" ht="12.75">
      <c r="A120" t="str">
        <f t="shared" si="43"/>
        <v>Jan., 2018</v>
      </c>
      <c r="C120" s="127">
        <v>33.93</v>
      </c>
      <c r="D120" s="127">
        <v>84.26</v>
      </c>
      <c r="E120" s="122">
        <f t="shared" si="44"/>
        <v>118.19</v>
      </c>
      <c r="F120" s="11"/>
      <c r="G120" s="122">
        <f t="shared" si="37"/>
        <v>304.12000000000035</v>
      </c>
      <c r="H120" s="203">
        <f t="shared" si="38"/>
        <v>422.31000000000034</v>
      </c>
      <c r="I120" s="203"/>
      <c r="J120" s="208">
        <f t="shared" si="39"/>
        <v>1792.4491048809543</v>
      </c>
      <c r="K120" s="11"/>
      <c r="L120" s="208">
        <f t="shared" si="40"/>
        <v>4451.2750243816445</v>
      </c>
      <c r="M120" s="11"/>
      <c r="N120" s="208">
        <f aca="true" t="shared" si="45" ref="N120:O122">+G38-N91</f>
        <v>6243.724129262599</v>
      </c>
      <c r="O120" s="208">
        <f t="shared" si="45"/>
        <v>16066.007125741133</v>
      </c>
      <c r="P120" s="209">
        <f t="shared" si="42"/>
        <v>52.82785454998393</v>
      </c>
      <c r="Q120" s="207"/>
      <c r="R120" s="11"/>
      <c r="S120" s="127"/>
      <c r="T120" s="127"/>
    </row>
    <row r="121" spans="1:20" ht="12.75">
      <c r="A121" t="str">
        <f t="shared" si="43"/>
        <v>Feb</v>
      </c>
      <c r="C121" s="127">
        <v>26.6</v>
      </c>
      <c r="D121" s="127">
        <v>57.06</v>
      </c>
      <c r="E121" s="122">
        <f t="shared" si="44"/>
        <v>83.66</v>
      </c>
      <c r="F121" s="11"/>
      <c r="G121" s="122">
        <f t="shared" si="37"/>
        <v>225.07999999999993</v>
      </c>
      <c r="H121" s="203">
        <f t="shared" si="38"/>
        <v>308.7399999999999</v>
      </c>
      <c r="I121" s="203"/>
      <c r="J121" s="208">
        <f t="shared" si="39"/>
        <v>1248.2335639836717</v>
      </c>
      <c r="K121" s="11"/>
      <c r="L121" s="208">
        <f t="shared" si="40"/>
        <v>2677.6017729664773</v>
      </c>
      <c r="M121" s="11"/>
      <c r="N121" s="208">
        <f t="shared" si="45"/>
        <v>3925.835336950149</v>
      </c>
      <c r="O121" s="208">
        <f t="shared" si="45"/>
        <v>10562.120698550527</v>
      </c>
      <c r="P121" s="209">
        <f t="shared" si="42"/>
        <v>46.92607383397254</v>
      </c>
      <c r="Q121" s="207"/>
      <c r="R121" s="11"/>
      <c r="S121" s="127"/>
      <c r="T121" s="127"/>
    </row>
    <row r="122" spans="1:20" ht="12.75">
      <c r="A122" t="str">
        <f t="shared" si="43"/>
        <v>Mar</v>
      </c>
      <c r="C122" s="127">
        <v>31.1</v>
      </c>
      <c r="D122" s="127">
        <v>56.55</v>
      </c>
      <c r="E122" s="122">
        <f t="shared" si="44"/>
        <v>87.65</v>
      </c>
      <c r="F122" s="11"/>
      <c r="G122" s="122">
        <f t="shared" si="37"/>
        <v>249.37999999999965</v>
      </c>
      <c r="H122" s="203">
        <f t="shared" si="38"/>
        <v>337.02999999999963</v>
      </c>
      <c r="I122" s="203"/>
      <c r="J122" s="208">
        <f t="shared" si="39"/>
        <v>1152.9183111111026</v>
      </c>
      <c r="K122" s="11"/>
      <c r="L122" s="208">
        <f t="shared" si="40"/>
        <v>2096.3836171489666</v>
      </c>
      <c r="M122" s="11"/>
      <c r="N122" s="208">
        <f t="shared" si="45"/>
        <v>3249.301928260069</v>
      </c>
      <c r="O122" s="208">
        <f t="shared" si="45"/>
        <v>8585.621051806462</v>
      </c>
      <c r="P122" s="209">
        <f t="shared" si="42"/>
        <v>35.115339821578324</v>
      </c>
      <c r="Q122" s="207"/>
      <c r="R122" s="11"/>
      <c r="S122" s="127"/>
      <c r="T122" s="127"/>
    </row>
    <row r="123" spans="1:20" ht="12.75">
      <c r="A123" t="str">
        <f t="shared" si="43"/>
        <v>Apr</v>
      </c>
      <c r="C123" s="127">
        <v>33.65</v>
      </c>
      <c r="D123" s="127">
        <v>77.79</v>
      </c>
      <c r="E123" s="122">
        <f t="shared" si="44"/>
        <v>111.44</v>
      </c>
      <c r="F123" s="11"/>
      <c r="G123" s="122">
        <f t="shared" si="37"/>
        <v>273.52999999999975</v>
      </c>
      <c r="H123" s="203">
        <f t="shared" si="38"/>
        <v>384.96999999999974</v>
      </c>
      <c r="I123" s="203"/>
      <c r="J123" s="208">
        <f aca="true" t="shared" si="46" ref="J123:J128">+C123/E123*N123</f>
        <v>1445.5466696098263</v>
      </c>
      <c r="K123" s="11"/>
      <c r="L123" s="208">
        <f aca="true" t="shared" si="47" ref="L123:L128">+N123-J123</f>
        <v>3341.72586713071</v>
      </c>
      <c r="M123" s="11"/>
      <c r="N123" s="208">
        <f aca="true" t="shared" si="48" ref="N123:O125">+G41-N94</f>
        <v>4787.272536740536</v>
      </c>
      <c r="O123" s="208">
        <f t="shared" si="48"/>
        <v>11750.382779743668</v>
      </c>
      <c r="P123" s="209">
        <f aca="true" t="shared" si="49" ref="P123:P128">(O123+N123)/H123</f>
        <v>42.958296273694614</v>
      </c>
      <c r="Q123" s="207"/>
      <c r="R123" s="11"/>
      <c r="S123" s="127"/>
      <c r="T123" s="127"/>
    </row>
    <row r="124" spans="1:20" ht="12.75">
      <c r="A124" t="str">
        <f t="shared" si="43"/>
        <v>May</v>
      </c>
      <c r="C124" s="127">
        <v>29.73</v>
      </c>
      <c r="D124" s="127">
        <v>61.11</v>
      </c>
      <c r="E124" s="122">
        <f t="shared" si="44"/>
        <v>90.84</v>
      </c>
      <c r="F124" s="11"/>
      <c r="G124" s="122">
        <f t="shared" si="37"/>
        <v>239.33000000000015</v>
      </c>
      <c r="H124" s="203">
        <f t="shared" si="38"/>
        <v>330.1700000000002</v>
      </c>
      <c r="I124" s="203"/>
      <c r="J124" s="208">
        <f t="shared" si="46"/>
        <v>1404.6180280816639</v>
      </c>
      <c r="K124" s="11"/>
      <c r="L124" s="208">
        <f t="shared" si="47"/>
        <v>2887.1916480346613</v>
      </c>
      <c r="M124" s="11"/>
      <c r="N124" s="208">
        <f t="shared" si="48"/>
        <v>4291.809676116325</v>
      </c>
      <c r="O124" s="208">
        <f t="shared" si="48"/>
        <v>11307.340486403773</v>
      </c>
      <c r="P124" s="209">
        <f t="shared" si="49"/>
        <v>47.245813255353575</v>
      </c>
      <c r="Q124" s="207"/>
      <c r="R124" s="11"/>
      <c r="S124" s="127"/>
      <c r="T124" s="127"/>
    </row>
    <row r="125" spans="1:20" ht="12.75">
      <c r="A125" t="str">
        <f t="shared" si="43"/>
        <v>Jun</v>
      </c>
      <c r="C125" s="127">
        <v>33.15</v>
      </c>
      <c r="D125" s="127">
        <v>69.36</v>
      </c>
      <c r="E125" s="122">
        <f t="shared" si="44"/>
        <v>102.50999999999999</v>
      </c>
      <c r="F125" s="11"/>
      <c r="G125" s="122">
        <f t="shared" si="37"/>
        <v>264.77</v>
      </c>
      <c r="H125" s="203">
        <f t="shared" si="38"/>
        <v>367.28</v>
      </c>
      <c r="I125" s="203"/>
      <c r="J125" s="208">
        <f t="shared" si="46"/>
        <v>694.416298008978</v>
      </c>
      <c r="K125" s="11"/>
      <c r="L125" s="208">
        <f t="shared" si="47"/>
        <v>1452.9325619880153</v>
      </c>
      <c r="M125" s="11"/>
      <c r="N125" s="208">
        <f t="shared" si="48"/>
        <v>2147.3488599969933</v>
      </c>
      <c r="O125" s="208">
        <f t="shared" si="48"/>
        <v>5546.322872513927</v>
      </c>
      <c r="P125" s="209">
        <f t="shared" si="49"/>
        <v>20.947701297405033</v>
      </c>
      <c r="Q125" s="207"/>
      <c r="R125" s="11"/>
      <c r="S125" s="127"/>
      <c r="T125" s="127"/>
    </row>
    <row r="126" spans="1:20" ht="12.75">
      <c r="A126" t="str">
        <f t="shared" si="43"/>
        <v>Jul</v>
      </c>
      <c r="C126" s="127">
        <v>30.61</v>
      </c>
      <c r="D126" s="127">
        <v>62.83</v>
      </c>
      <c r="E126" s="122">
        <f t="shared" si="44"/>
        <v>93.44</v>
      </c>
      <c r="F126" s="11"/>
      <c r="G126" s="122">
        <f t="shared" si="37"/>
        <v>272.1099999999997</v>
      </c>
      <c r="H126" s="203">
        <f t="shared" si="38"/>
        <v>365.54999999999967</v>
      </c>
      <c r="I126" s="203"/>
      <c r="J126" s="208">
        <f t="shared" si="46"/>
        <v>769.1197696733035</v>
      </c>
      <c r="K126" s="11"/>
      <c r="L126" s="208">
        <f t="shared" si="47"/>
        <v>1578.6930783591524</v>
      </c>
      <c r="M126" s="11"/>
      <c r="N126" s="208">
        <f aca="true" t="shared" si="50" ref="N126:O128">+G44-N97</f>
        <v>2347.812848032456</v>
      </c>
      <c r="O126" s="208">
        <f t="shared" si="50"/>
        <v>6837.15062155512</v>
      </c>
      <c r="P126" s="209">
        <f t="shared" si="49"/>
        <v>25.126421746922674</v>
      </c>
      <c r="Q126" s="207"/>
      <c r="R126" s="11"/>
      <c r="S126" s="127"/>
      <c r="T126" s="127"/>
    </row>
    <row r="127" spans="1:20" ht="12.75">
      <c r="A127" t="str">
        <f t="shared" si="43"/>
        <v>Aug</v>
      </c>
      <c r="C127" s="127">
        <v>32.8</v>
      </c>
      <c r="D127" s="127">
        <v>71.73</v>
      </c>
      <c r="E127" s="122">
        <f t="shared" si="44"/>
        <v>104.53</v>
      </c>
      <c r="F127" s="11"/>
      <c r="G127" s="122">
        <f t="shared" si="37"/>
        <v>262.3599999999997</v>
      </c>
      <c r="H127" s="203">
        <f t="shared" si="38"/>
        <v>366.88999999999965</v>
      </c>
      <c r="I127" s="203"/>
      <c r="J127" s="208">
        <f t="shared" si="46"/>
        <v>1001.2229975074546</v>
      </c>
      <c r="K127" s="11"/>
      <c r="L127" s="208">
        <f t="shared" si="47"/>
        <v>2189.564805219809</v>
      </c>
      <c r="M127" s="11"/>
      <c r="N127" s="208">
        <f t="shared" si="50"/>
        <v>3190.7878027272636</v>
      </c>
      <c r="O127" s="208">
        <f t="shared" si="50"/>
        <v>8008.562976404137</v>
      </c>
      <c r="P127" s="209">
        <f t="shared" si="49"/>
        <v>30.525091387422417</v>
      </c>
      <c r="Q127" s="207"/>
      <c r="R127" s="11"/>
      <c r="S127" s="127"/>
      <c r="T127" s="127"/>
    </row>
    <row r="128" spans="1:20" ht="12.75">
      <c r="A128" t="str">
        <f t="shared" si="43"/>
        <v>Sep</v>
      </c>
      <c r="C128" s="127">
        <v>30</v>
      </c>
      <c r="D128" s="127">
        <v>56.6</v>
      </c>
      <c r="E128" s="122">
        <f t="shared" si="44"/>
        <v>86.6</v>
      </c>
      <c r="F128" s="11"/>
      <c r="G128" s="122">
        <f t="shared" si="37"/>
        <v>231</v>
      </c>
      <c r="H128" s="203">
        <f t="shared" si="38"/>
        <v>317.6</v>
      </c>
      <c r="I128" s="203"/>
      <c r="J128" s="208">
        <f t="shared" si="46"/>
        <v>1041.0626382084777</v>
      </c>
      <c r="K128" s="11"/>
      <c r="L128" s="208">
        <f t="shared" si="47"/>
        <v>1964.1381774199942</v>
      </c>
      <c r="M128" s="11"/>
      <c r="N128" s="208">
        <f t="shared" si="50"/>
        <v>3005.200815628472</v>
      </c>
      <c r="O128" s="208">
        <f t="shared" si="50"/>
        <v>8016.182314205274</v>
      </c>
      <c r="P128" s="209">
        <f t="shared" si="49"/>
        <v>34.702087940282574</v>
      </c>
      <c r="Q128" s="207"/>
      <c r="R128" s="11"/>
      <c r="S128" s="127"/>
      <c r="T128" s="127"/>
    </row>
    <row r="129" spans="1:20" ht="12.75" hidden="1">
      <c r="A129" t="str">
        <f t="shared" si="43"/>
        <v>Oct</v>
      </c>
      <c r="C129" s="127"/>
      <c r="D129" s="127"/>
      <c r="E129" s="122">
        <f t="shared" si="44"/>
        <v>0</v>
      </c>
      <c r="F129" s="11"/>
      <c r="G129" s="122">
        <f t="shared" si="37"/>
        <v>0</v>
      </c>
      <c r="H129" s="203">
        <f t="shared" si="38"/>
        <v>0</v>
      </c>
      <c r="I129" s="203"/>
      <c r="J129" s="208"/>
      <c r="K129" s="11"/>
      <c r="L129" s="208"/>
      <c r="M129" s="11"/>
      <c r="N129" s="208"/>
      <c r="O129" s="208"/>
      <c r="P129" s="209"/>
      <c r="Q129" s="207"/>
      <c r="R129" s="11"/>
      <c r="S129" s="11"/>
      <c r="T129" s="11"/>
    </row>
    <row r="130" spans="1:20" ht="12.75" hidden="1">
      <c r="A130" t="str">
        <f t="shared" si="43"/>
        <v>Nov</v>
      </c>
      <c r="C130" s="127"/>
      <c r="D130" s="127"/>
      <c r="E130" s="122">
        <f t="shared" si="44"/>
        <v>0</v>
      </c>
      <c r="F130" s="11"/>
      <c r="G130" s="122">
        <f t="shared" si="37"/>
        <v>0</v>
      </c>
      <c r="H130" s="203">
        <f t="shared" si="38"/>
        <v>0</v>
      </c>
      <c r="I130" s="203"/>
      <c r="J130" s="208"/>
      <c r="K130" s="11"/>
      <c r="L130" s="208"/>
      <c r="M130" s="11"/>
      <c r="N130" s="208"/>
      <c r="O130" s="208"/>
      <c r="P130" s="209"/>
      <c r="Q130" s="207"/>
      <c r="R130" s="11"/>
      <c r="S130" s="11"/>
      <c r="T130" s="11"/>
    </row>
    <row r="131" spans="1:20" ht="12.75" hidden="1">
      <c r="A131" t="str">
        <f t="shared" si="43"/>
        <v>Dec</v>
      </c>
      <c r="C131" s="127"/>
      <c r="D131" s="127"/>
      <c r="E131" s="122">
        <f t="shared" si="44"/>
        <v>0</v>
      </c>
      <c r="F131" s="11"/>
      <c r="G131" s="122">
        <f t="shared" si="37"/>
        <v>0</v>
      </c>
      <c r="H131" s="203">
        <f t="shared" si="38"/>
        <v>0</v>
      </c>
      <c r="I131" s="203"/>
      <c r="J131" s="208"/>
      <c r="K131" s="11"/>
      <c r="L131" s="208"/>
      <c r="M131" s="11"/>
      <c r="N131" s="208"/>
      <c r="O131" s="208"/>
      <c r="P131" s="209"/>
      <c r="Q131" s="207"/>
      <c r="R131" s="11"/>
      <c r="S131" s="11"/>
      <c r="T131" s="11"/>
    </row>
    <row r="132" spans="1:20" ht="12.75" hidden="1">
      <c r="A132" t="str">
        <f t="shared" si="43"/>
        <v>Jan. 2019</v>
      </c>
      <c r="C132" s="127"/>
      <c r="D132" s="127"/>
      <c r="E132" s="122">
        <f t="shared" si="44"/>
        <v>0</v>
      </c>
      <c r="F132" s="11"/>
      <c r="G132" s="122">
        <f t="shared" si="37"/>
        <v>0</v>
      </c>
      <c r="H132" s="203">
        <f t="shared" si="38"/>
        <v>0</v>
      </c>
      <c r="I132" s="203"/>
      <c r="J132" s="208"/>
      <c r="K132" s="11"/>
      <c r="L132" s="208"/>
      <c r="M132" s="11"/>
      <c r="N132" s="208"/>
      <c r="O132" s="208"/>
      <c r="P132" s="209"/>
      <c r="Q132" s="207"/>
      <c r="R132" s="11"/>
      <c r="S132" s="11"/>
      <c r="T132" s="11"/>
    </row>
    <row r="133" spans="1:20" ht="12.75" hidden="1">
      <c r="A133" t="str">
        <f t="shared" si="43"/>
        <v>Feb</v>
      </c>
      <c r="C133" s="127"/>
      <c r="D133" s="127"/>
      <c r="E133" s="122">
        <f t="shared" si="44"/>
        <v>0</v>
      </c>
      <c r="F133" s="11"/>
      <c r="G133" s="122">
        <f t="shared" si="37"/>
        <v>0</v>
      </c>
      <c r="H133" s="203">
        <f t="shared" si="38"/>
        <v>0</v>
      </c>
      <c r="I133" s="203"/>
      <c r="J133" s="208"/>
      <c r="K133" s="11"/>
      <c r="L133" s="208"/>
      <c r="M133" s="11"/>
      <c r="N133" s="208"/>
      <c r="O133" s="208"/>
      <c r="P133" s="209"/>
      <c r="Q133" s="207"/>
      <c r="R133" s="11"/>
      <c r="S133" s="11"/>
      <c r="T133" s="11"/>
    </row>
    <row r="134" spans="1:20" ht="12.75" hidden="1">
      <c r="A134" t="str">
        <f t="shared" si="43"/>
        <v>Mar</v>
      </c>
      <c r="C134" s="127"/>
      <c r="D134" s="127"/>
      <c r="E134" s="122">
        <f t="shared" si="44"/>
        <v>0</v>
      </c>
      <c r="F134" s="11"/>
      <c r="G134" s="122">
        <f t="shared" si="37"/>
        <v>0</v>
      </c>
      <c r="H134" s="203">
        <f t="shared" si="38"/>
        <v>0</v>
      </c>
      <c r="I134" s="203"/>
      <c r="J134" s="208"/>
      <c r="K134" s="11"/>
      <c r="L134" s="208"/>
      <c r="M134" s="11"/>
      <c r="N134" s="208"/>
      <c r="O134" s="208"/>
      <c r="P134" s="209"/>
      <c r="Q134" s="207"/>
      <c r="R134" s="11"/>
      <c r="S134" s="11"/>
      <c r="T134" s="11"/>
    </row>
    <row r="135" spans="1:20" ht="12.75" hidden="1">
      <c r="A135" t="str">
        <f t="shared" si="43"/>
        <v>Apr</v>
      </c>
      <c r="C135" s="127"/>
      <c r="D135" s="127"/>
      <c r="E135" s="122">
        <f t="shared" si="44"/>
        <v>0</v>
      </c>
      <c r="F135" s="11"/>
      <c r="G135" s="122">
        <f t="shared" si="37"/>
        <v>0</v>
      </c>
      <c r="H135" s="203">
        <f t="shared" si="38"/>
        <v>0</v>
      </c>
      <c r="I135" s="203"/>
      <c r="J135" s="208"/>
      <c r="K135" s="11"/>
      <c r="L135" s="208"/>
      <c r="M135" s="11"/>
      <c r="N135" s="208"/>
      <c r="O135" s="208"/>
      <c r="P135" s="209"/>
      <c r="Q135" s="207"/>
      <c r="R135" s="11"/>
      <c r="S135" s="11"/>
      <c r="T135" s="11"/>
    </row>
    <row r="136" spans="1:20" ht="12.75" hidden="1">
      <c r="A136" t="str">
        <f t="shared" si="43"/>
        <v>May</v>
      </c>
      <c r="C136" s="127"/>
      <c r="D136" s="127"/>
      <c r="E136" s="122">
        <f t="shared" si="44"/>
        <v>0</v>
      </c>
      <c r="F136" s="11"/>
      <c r="G136" s="122">
        <f t="shared" si="37"/>
        <v>0</v>
      </c>
      <c r="H136" s="203">
        <f t="shared" si="38"/>
        <v>0</v>
      </c>
      <c r="I136" s="203"/>
      <c r="J136" s="208"/>
      <c r="K136" s="11"/>
      <c r="L136" s="208"/>
      <c r="M136" s="11"/>
      <c r="N136" s="208"/>
      <c r="O136" s="208"/>
      <c r="P136" s="209"/>
      <c r="Q136" s="207"/>
      <c r="R136" s="11"/>
      <c r="S136" s="11"/>
      <c r="T136" s="11"/>
    </row>
    <row r="137" spans="1:20" ht="12.75" hidden="1">
      <c r="A137" t="str">
        <f t="shared" si="43"/>
        <v>Jun</v>
      </c>
      <c r="C137" s="127"/>
      <c r="D137" s="127"/>
      <c r="E137" s="122">
        <f t="shared" si="44"/>
        <v>0</v>
      </c>
      <c r="F137" s="11"/>
      <c r="G137" s="122">
        <f t="shared" si="37"/>
        <v>0</v>
      </c>
      <c r="H137" s="203">
        <f t="shared" si="38"/>
        <v>0</v>
      </c>
      <c r="I137" s="203"/>
      <c r="J137" s="208"/>
      <c r="K137" s="11"/>
      <c r="L137" s="208"/>
      <c r="M137" s="11"/>
      <c r="N137" s="208"/>
      <c r="O137" s="208"/>
      <c r="P137" s="209"/>
      <c r="Q137" s="207"/>
      <c r="R137" s="11"/>
      <c r="S137" s="11"/>
      <c r="T137" s="11"/>
    </row>
    <row r="138" spans="1:20" ht="12.75" hidden="1">
      <c r="A138" t="str">
        <f t="shared" si="43"/>
        <v>Jul</v>
      </c>
      <c r="C138" s="127"/>
      <c r="D138" s="127"/>
      <c r="E138" s="122">
        <f t="shared" si="44"/>
        <v>0</v>
      </c>
      <c r="F138" s="11"/>
      <c r="G138" s="122">
        <f t="shared" si="37"/>
        <v>0</v>
      </c>
      <c r="H138" s="203">
        <f t="shared" si="38"/>
        <v>0</v>
      </c>
      <c r="I138" s="203"/>
      <c r="J138" s="208"/>
      <c r="K138" s="11"/>
      <c r="L138" s="208"/>
      <c r="M138" s="11"/>
      <c r="N138" s="208"/>
      <c r="O138" s="208"/>
      <c r="P138" s="209"/>
      <c r="Q138" s="207"/>
      <c r="R138" s="11"/>
      <c r="S138" s="11"/>
      <c r="T138" s="11"/>
    </row>
    <row r="139" spans="1:20" ht="12.75" hidden="1">
      <c r="A139" t="str">
        <f t="shared" si="43"/>
        <v>Aug</v>
      </c>
      <c r="C139" s="127"/>
      <c r="D139" s="127"/>
      <c r="E139" s="122">
        <f t="shared" si="44"/>
        <v>0</v>
      </c>
      <c r="F139" s="11"/>
      <c r="G139" s="122">
        <f t="shared" si="37"/>
        <v>0</v>
      </c>
      <c r="H139" s="203">
        <f t="shared" si="38"/>
        <v>0</v>
      </c>
      <c r="I139" s="203"/>
      <c r="J139" s="208"/>
      <c r="K139" s="11"/>
      <c r="L139" s="208"/>
      <c r="M139" s="11"/>
      <c r="N139" s="208"/>
      <c r="O139" s="208"/>
      <c r="P139" s="209"/>
      <c r="Q139" s="207"/>
      <c r="R139" s="11"/>
      <c r="S139" s="11"/>
      <c r="T139" s="11"/>
    </row>
    <row r="140" spans="1:20" ht="15" hidden="1">
      <c r="A140" t="str">
        <f t="shared" si="43"/>
        <v>Sep</v>
      </c>
      <c r="C140" s="201"/>
      <c r="D140" s="201"/>
      <c r="E140" s="107">
        <f t="shared" si="44"/>
        <v>0</v>
      </c>
      <c r="F140" s="11"/>
      <c r="G140" s="212">
        <f t="shared" si="37"/>
        <v>0</v>
      </c>
      <c r="H140" s="222">
        <f>+G140+E140</f>
        <v>0</v>
      </c>
      <c r="I140" s="203"/>
      <c r="J140" s="211"/>
      <c r="K140" s="210"/>
      <c r="L140" s="211"/>
      <c r="M140" s="210"/>
      <c r="N140" s="211"/>
      <c r="O140" s="211"/>
      <c r="P140" s="214"/>
      <c r="Q140" s="207"/>
      <c r="R140" s="11"/>
      <c r="S140" s="11"/>
      <c r="T140" s="11"/>
    </row>
    <row r="141" spans="3:20" ht="15">
      <c r="C141" s="216">
        <f>SUM(C117:C140)</f>
        <v>397.56</v>
      </c>
      <c r="D141" s="216">
        <f aca="true" t="shared" si="51" ref="D141:O141">SUM(D117:D140)</f>
        <v>802.8700000000001</v>
      </c>
      <c r="E141" s="216">
        <f t="shared" si="51"/>
        <v>1200.4299999999998</v>
      </c>
      <c r="F141" s="216"/>
      <c r="G141" s="216">
        <f t="shared" si="51"/>
        <v>2975.332150760907</v>
      </c>
      <c r="H141" s="216">
        <f t="shared" si="51"/>
        <v>4175.762150760907</v>
      </c>
      <c r="I141" s="216"/>
      <c r="J141" s="218">
        <f t="shared" si="51"/>
        <v>17145.7559122296</v>
      </c>
      <c r="K141" s="218"/>
      <c r="L141" s="217">
        <f t="shared" si="51"/>
        <v>34472.7782999457</v>
      </c>
      <c r="M141" s="217"/>
      <c r="N141" s="217">
        <f t="shared" si="51"/>
        <v>51618.53421217529</v>
      </c>
      <c r="O141" s="217">
        <f t="shared" si="51"/>
        <v>124329.73011638262</v>
      </c>
      <c r="P141" s="218">
        <f>(O141+N141)/H141</f>
        <v>42.13560494495517</v>
      </c>
      <c r="Q141" s="219"/>
      <c r="R141" s="11"/>
      <c r="S141" s="11"/>
      <c r="T141" s="11"/>
    </row>
    <row r="142" spans="2:20" ht="16.5">
      <c r="B142" s="104" t="s">
        <v>104</v>
      </c>
      <c r="C142" s="245">
        <f>+C141/E141</f>
        <v>0.331181326691269</v>
      </c>
      <c r="D142" s="246">
        <f>+D141/E141</f>
        <v>0.6688186733087312</v>
      </c>
      <c r="E142" s="205">
        <f>+E141/C59</f>
        <v>0.09560250611835967</v>
      </c>
      <c r="F142" s="11"/>
      <c r="G142" s="205">
        <f>+G141/D59</f>
        <v>0.09550392519879153</v>
      </c>
      <c r="H142" s="205">
        <f>+H141/E59</f>
        <v>0.09553224398624831</v>
      </c>
      <c r="I142" s="205"/>
      <c r="J142" s="11"/>
      <c r="K142" s="11"/>
      <c r="L142" s="11"/>
      <c r="M142" s="11"/>
      <c r="N142" s="205">
        <f>+N141/G59</f>
        <v>0.0947862570227266</v>
      </c>
      <c r="O142" s="205">
        <f>+O141/H59</f>
        <v>0.09206802646001495</v>
      </c>
      <c r="P142" s="11"/>
      <c r="Q142" s="205"/>
      <c r="R142" s="126"/>
      <c r="S142" s="11"/>
      <c r="T142" s="11"/>
    </row>
    <row r="143" spans="3:20" ht="12.75">
      <c r="C143" s="11"/>
      <c r="D143" s="11"/>
      <c r="E143" s="11"/>
      <c r="F143" s="11"/>
      <c r="G143" s="11"/>
      <c r="H143" s="11"/>
      <c r="I143" s="11"/>
      <c r="J143" s="11"/>
      <c r="K143" s="11"/>
      <c r="L143" s="11"/>
      <c r="M143" s="11"/>
      <c r="N143" s="11"/>
      <c r="O143" s="11"/>
      <c r="P143" s="11"/>
      <c r="Q143" s="11"/>
      <c r="R143" s="11"/>
      <c r="S143" s="11"/>
      <c r="T143" s="11"/>
    </row>
    <row r="144" spans="3:20" ht="12.75">
      <c r="C144" s="11"/>
      <c r="D144" s="11"/>
      <c r="E144" s="11"/>
      <c r="F144" s="11"/>
      <c r="G144" s="11"/>
      <c r="H144" s="11"/>
      <c r="I144" s="11"/>
      <c r="J144" s="11"/>
      <c r="K144" s="11"/>
      <c r="L144" s="11"/>
      <c r="M144" s="11"/>
      <c r="N144" s="11"/>
      <c r="O144" s="11"/>
      <c r="P144" s="11"/>
      <c r="Q144" s="11"/>
      <c r="R144" s="11"/>
      <c r="S144" s="11"/>
      <c r="T144" s="11"/>
    </row>
    <row r="145" spans="1:20" ht="16.5">
      <c r="A145" s="102"/>
      <c r="C145" s="224"/>
      <c r="D145" s="224"/>
      <c r="E145" s="225"/>
      <c r="F145" s="11"/>
      <c r="G145" s="226"/>
      <c r="H145" s="226"/>
      <c r="I145" s="11"/>
      <c r="J145" s="11"/>
      <c r="K145" s="11"/>
      <c r="L145" s="11"/>
      <c r="M145" s="11"/>
      <c r="N145" s="229"/>
      <c r="O145" s="229"/>
      <c r="P145" s="229"/>
      <c r="Q145" s="11"/>
      <c r="R145" s="11"/>
      <c r="S145" s="11"/>
      <c r="T145" s="11"/>
    </row>
    <row r="146" spans="3:20" ht="12.75">
      <c r="C146" s="11"/>
      <c r="D146" s="11"/>
      <c r="E146" s="11"/>
      <c r="F146" s="11"/>
      <c r="G146" s="11"/>
      <c r="H146" s="11"/>
      <c r="I146" s="11"/>
      <c r="J146" s="11"/>
      <c r="K146" s="11"/>
      <c r="L146" s="11"/>
      <c r="M146" s="11"/>
      <c r="N146" s="11"/>
      <c r="O146" s="11"/>
      <c r="P146" s="11"/>
      <c r="Q146" s="11"/>
      <c r="R146" s="11"/>
      <c r="S146" s="11"/>
      <c r="T146" s="11"/>
    </row>
    <row r="147" spans="3:20" ht="12.75">
      <c r="C147" s="11"/>
      <c r="D147" s="11"/>
      <c r="E147" s="11"/>
      <c r="F147" s="11"/>
      <c r="G147" s="11"/>
      <c r="H147" s="11"/>
      <c r="I147" s="11"/>
      <c r="J147" s="11"/>
      <c r="K147" s="11"/>
      <c r="L147" s="11"/>
      <c r="M147" s="11"/>
      <c r="N147" s="11"/>
      <c r="O147" s="11"/>
      <c r="P147" s="11"/>
      <c r="Q147" s="11"/>
      <c r="R147" s="11"/>
      <c r="S147" s="11"/>
      <c r="T147" s="11"/>
    </row>
  </sheetData>
  <sheetProtection/>
  <mergeCells count="4">
    <mergeCell ref="C4:E4"/>
    <mergeCell ref="G4:J4"/>
    <mergeCell ref="C85:E85"/>
    <mergeCell ref="G85:H85"/>
  </mergeCells>
  <printOptions/>
  <pageMargins left="0.45" right="0.2" top="0.5" bottom="0.75" header="0.3" footer="0.3"/>
  <pageSetup fitToHeight="3" fitToWidth="1" horizontalDpi="600" verticalDpi="600" orientation="landscape" scale="65" r:id="rId1"/>
</worksheet>
</file>

<file path=xl/worksheets/sheet4.xml><?xml version="1.0" encoding="utf-8"?>
<worksheet xmlns="http://schemas.openxmlformats.org/spreadsheetml/2006/main" xmlns:r="http://schemas.openxmlformats.org/officeDocument/2006/relationships">
  <sheetPr>
    <pageSetUpPr fitToPage="1"/>
  </sheetPr>
  <dimension ref="A3:BB32"/>
  <sheetViews>
    <sheetView zoomScalePageLayoutView="0" workbookViewId="0" topLeftCell="A1">
      <pane xSplit="1" topLeftCell="B1" activePane="topRight" state="frozen"/>
      <selection pane="topLeft" activeCell="A1" sqref="A1"/>
      <selection pane="topRight" activeCell="C16" sqref="C16"/>
    </sheetView>
  </sheetViews>
  <sheetFormatPr defaultColWidth="9.140625" defaultRowHeight="12.75"/>
  <cols>
    <col min="1" max="1" width="10.140625" style="0" bestFit="1" customWidth="1"/>
    <col min="2" max="2" width="9.28125" style="0" bestFit="1" customWidth="1"/>
    <col min="3" max="3" width="7.00390625" style="0" bestFit="1" customWidth="1"/>
    <col min="4" max="4" width="9.28125" style="0" bestFit="1" customWidth="1"/>
    <col min="5" max="5" width="7.00390625" style="0" bestFit="1" customWidth="1"/>
    <col min="6" max="6" width="9.28125" style="0" bestFit="1" customWidth="1"/>
    <col min="7" max="7" width="6.28125" style="0" bestFit="1" customWidth="1"/>
    <col min="8" max="8" width="9.28125" style="0" bestFit="1" customWidth="1"/>
    <col min="9" max="9" width="6.28125" style="0" bestFit="1" customWidth="1"/>
    <col min="10" max="10" width="9.28125" style="0" bestFit="1" customWidth="1"/>
    <col min="11" max="11" width="6.28125" style="0" bestFit="1" customWidth="1"/>
    <col min="12" max="12" width="9.28125" style="0" bestFit="1" customWidth="1"/>
    <col min="13" max="13" width="7.00390625" style="0" bestFit="1" customWidth="1"/>
    <col min="14" max="14" width="9.28125" style="0" bestFit="1" customWidth="1"/>
    <col min="15" max="15" width="7.00390625" style="0" bestFit="1" customWidth="1"/>
    <col min="16" max="16" width="9.28125" style="0" bestFit="1" customWidth="1"/>
    <col min="17" max="17" width="7.00390625" style="0" bestFit="1" customWidth="1"/>
    <col min="18" max="18" width="9.28125" style="0" bestFit="1" customWidth="1"/>
    <col min="19" max="19" width="7.00390625" style="0" bestFit="1" customWidth="1"/>
    <col min="20" max="20" width="9.28125" style="0" bestFit="1" customWidth="1"/>
    <col min="21" max="21" width="7.00390625" style="0" bestFit="1" customWidth="1"/>
    <col min="22" max="22" width="9.28125" style="0" bestFit="1" customWidth="1"/>
    <col min="23" max="23" width="7.00390625" style="0" bestFit="1" customWidth="1"/>
    <col min="24" max="24" width="9.28125" style="0" bestFit="1" customWidth="1"/>
    <col min="25" max="25" width="7.00390625" style="0" bestFit="1" customWidth="1"/>
    <col min="26" max="26" width="7.140625" style="0" hidden="1" customWidth="1"/>
    <col min="27" max="27" width="7.28125" style="0" hidden="1" customWidth="1"/>
    <col min="28" max="28" width="7.57421875" style="0" hidden="1" customWidth="1"/>
    <col min="29" max="29" width="7.28125" style="0" hidden="1" customWidth="1"/>
    <col min="30" max="30" width="7.421875" style="0" hidden="1" customWidth="1"/>
    <col min="31" max="33" width="7.28125" style="0" hidden="1" customWidth="1"/>
    <col min="34" max="34" width="7.421875" style="0" hidden="1" customWidth="1"/>
    <col min="35" max="35" width="7.28125" style="0" hidden="1" customWidth="1"/>
    <col min="36" max="36" width="7.57421875" style="0" hidden="1" customWidth="1"/>
    <col min="37" max="37" width="7.28125" style="0" hidden="1" customWidth="1"/>
    <col min="38" max="38" width="7.421875" style="0" hidden="1" customWidth="1"/>
    <col min="39" max="39" width="7.28125" style="0" hidden="1" customWidth="1"/>
    <col min="40" max="40" width="7.8515625" style="0" hidden="1" customWidth="1"/>
    <col min="41" max="41" width="7.28125" style="0" hidden="1" customWidth="1"/>
    <col min="42" max="42" width="7.421875" style="0" hidden="1" customWidth="1"/>
    <col min="43" max="43" width="7.28125" style="0" hidden="1" customWidth="1"/>
    <col min="44" max="44" width="6.8515625" style="0" hidden="1" customWidth="1"/>
    <col min="45" max="45" width="7.28125" style="0" hidden="1" customWidth="1"/>
    <col min="46" max="46" width="7.8515625" style="0" hidden="1" customWidth="1"/>
    <col min="47" max="47" width="7.28125" style="0" hidden="1" customWidth="1"/>
    <col min="48" max="48" width="7.57421875" style="0" hidden="1" customWidth="1"/>
    <col min="49" max="49" width="7.28125" style="0" hidden="1" customWidth="1"/>
    <col min="50" max="50" width="10.28125" style="0" bestFit="1" customWidth="1"/>
    <col min="51" max="51" width="6.28125" style="0" bestFit="1" customWidth="1"/>
    <col min="52" max="52" width="2.421875" style="0" customWidth="1"/>
    <col min="53" max="53" width="12.140625" style="0" bestFit="1" customWidth="1"/>
  </cols>
  <sheetData>
    <row r="3" spans="1:53" ht="15">
      <c r="A3" s="557" t="s">
        <v>301</v>
      </c>
      <c r="B3" s="557"/>
      <c r="BA3" s="13"/>
    </row>
    <row r="4" spans="1:53" ht="15">
      <c r="A4" s="8"/>
      <c r="B4" s="10">
        <v>43013</v>
      </c>
      <c r="C4" s="6"/>
      <c r="D4" s="10">
        <v>43044</v>
      </c>
      <c r="E4" s="6"/>
      <c r="F4" s="10">
        <v>43074</v>
      </c>
      <c r="G4" s="2"/>
      <c r="H4" s="10">
        <v>43111</v>
      </c>
      <c r="I4" s="6"/>
      <c r="J4" s="10">
        <v>43132</v>
      </c>
      <c r="K4" s="6"/>
      <c r="L4" s="10">
        <v>43164</v>
      </c>
      <c r="M4" s="6"/>
      <c r="N4" s="10">
        <v>43195</v>
      </c>
      <c r="O4" s="6"/>
      <c r="P4" s="10">
        <v>43225</v>
      </c>
      <c r="Q4" s="6"/>
      <c r="R4" s="10">
        <v>43256</v>
      </c>
      <c r="S4" s="6"/>
      <c r="T4" s="10">
        <v>43286</v>
      </c>
      <c r="U4" s="6"/>
      <c r="V4" s="10">
        <v>43317</v>
      </c>
      <c r="W4" s="6"/>
      <c r="X4" s="10">
        <v>43348</v>
      </c>
      <c r="Y4" s="6"/>
      <c r="Z4" s="10">
        <v>43378</v>
      </c>
      <c r="AA4" s="6"/>
      <c r="AB4" s="10">
        <v>43409</v>
      </c>
      <c r="AC4" s="6"/>
      <c r="AD4" s="10">
        <v>43439</v>
      </c>
      <c r="AE4" s="6"/>
      <c r="AF4" s="10">
        <v>43470</v>
      </c>
      <c r="AG4" s="6"/>
      <c r="AH4" s="10">
        <v>43501</v>
      </c>
      <c r="AI4" s="6"/>
      <c r="AJ4" s="10">
        <v>43529</v>
      </c>
      <c r="AK4" s="6"/>
      <c r="AL4" s="10">
        <v>43560</v>
      </c>
      <c r="AM4" s="6"/>
      <c r="AN4" s="10">
        <v>43590</v>
      </c>
      <c r="AO4" s="6"/>
      <c r="AP4" s="10">
        <v>43621</v>
      </c>
      <c r="AQ4" s="6"/>
      <c r="AR4" s="10">
        <v>43651</v>
      </c>
      <c r="AS4" s="6"/>
      <c r="AT4" s="10">
        <v>43682</v>
      </c>
      <c r="AU4" s="6"/>
      <c r="AV4" s="10">
        <v>43713</v>
      </c>
      <c r="AW4" s="6"/>
      <c r="AX4" s="10" t="s">
        <v>85</v>
      </c>
      <c r="AY4" s="6"/>
      <c r="BA4" s="13"/>
    </row>
    <row r="5" spans="1:53" ht="15">
      <c r="A5" s="9"/>
      <c r="B5" s="3" t="s">
        <v>7</v>
      </c>
      <c r="C5" s="7"/>
      <c r="D5" s="3" t="s">
        <v>7</v>
      </c>
      <c r="E5" s="7"/>
      <c r="F5" s="3" t="s">
        <v>7</v>
      </c>
      <c r="G5" s="4"/>
      <c r="H5" s="3" t="s">
        <v>7</v>
      </c>
      <c r="I5" s="7"/>
      <c r="J5" s="3" t="s">
        <v>7</v>
      </c>
      <c r="K5" s="7"/>
      <c r="L5" s="3" t="s">
        <v>7</v>
      </c>
      <c r="M5" s="7"/>
      <c r="N5" s="3" t="s">
        <v>7</v>
      </c>
      <c r="O5" s="7"/>
      <c r="P5" s="3" t="s">
        <v>7</v>
      </c>
      <c r="Q5" s="7"/>
      <c r="R5" s="3" t="s">
        <v>7</v>
      </c>
      <c r="S5" s="7"/>
      <c r="T5" s="3" t="s">
        <v>7</v>
      </c>
      <c r="U5" s="7"/>
      <c r="V5" s="3" t="s">
        <v>7</v>
      </c>
      <c r="W5" s="7"/>
      <c r="X5" s="3" t="s">
        <v>7</v>
      </c>
      <c r="Y5" s="7"/>
      <c r="Z5" s="3" t="s">
        <v>7</v>
      </c>
      <c r="AA5" s="7"/>
      <c r="AB5" s="3" t="s">
        <v>7</v>
      </c>
      <c r="AC5" s="7"/>
      <c r="AD5" s="3" t="s">
        <v>7</v>
      </c>
      <c r="AE5" s="7"/>
      <c r="AF5" s="3" t="s">
        <v>7</v>
      </c>
      <c r="AG5" s="7"/>
      <c r="AH5" s="3" t="s">
        <v>7</v>
      </c>
      <c r="AI5" s="7"/>
      <c r="AJ5" s="3" t="s">
        <v>7</v>
      </c>
      <c r="AK5" s="7"/>
      <c r="AL5" s="3" t="s">
        <v>7</v>
      </c>
      <c r="AM5" s="7"/>
      <c r="AN5" s="3" t="s">
        <v>7</v>
      </c>
      <c r="AO5" s="7"/>
      <c r="AP5" s="3" t="s">
        <v>7</v>
      </c>
      <c r="AQ5" s="7"/>
      <c r="AR5" s="3" t="s">
        <v>7</v>
      </c>
      <c r="AS5" s="7"/>
      <c r="AT5" s="3" t="s">
        <v>7</v>
      </c>
      <c r="AU5" s="7"/>
      <c r="AV5" s="3" t="s">
        <v>7</v>
      </c>
      <c r="AW5" s="7"/>
      <c r="AX5" s="3" t="s">
        <v>7</v>
      </c>
      <c r="AY5" s="7"/>
      <c r="BA5" s="13"/>
    </row>
    <row r="6" spans="1:53" ht="15">
      <c r="A6" s="9" t="s">
        <v>3</v>
      </c>
      <c r="B6" s="99">
        <v>1796.75</v>
      </c>
      <c r="C6" s="5">
        <f aca="true" t="shared" si="0" ref="C6:C16">B6/$B$17</f>
        <v>0.2277122695312302</v>
      </c>
      <c r="D6" s="99">
        <v>2135.24</v>
      </c>
      <c r="E6" s="5">
        <f aca="true" t="shared" si="1" ref="E6:E16">D6/D$17</f>
        <v>0.25888726151100416</v>
      </c>
      <c r="F6" s="99">
        <v>1973.36</v>
      </c>
      <c r="G6" s="5">
        <f aca="true" t="shared" si="2" ref="G6:G16">F6/F$17</f>
        <v>0.24176281917773979</v>
      </c>
      <c r="H6" s="99">
        <v>2200.29</v>
      </c>
      <c r="I6" s="5">
        <f aca="true" t="shared" si="3" ref="I6:I16">H6/H$17</f>
        <v>0.24470288088544076</v>
      </c>
      <c r="J6" s="99">
        <v>1558.47</v>
      </c>
      <c r="K6" s="5">
        <f aca="true" t="shared" si="4" ref="K6:Q16">J6/J$17</f>
        <v>0.22868164730257576</v>
      </c>
      <c r="L6" s="99">
        <v>1805.15</v>
      </c>
      <c r="M6" s="5">
        <f t="shared" si="4"/>
        <v>0.23194988756826213</v>
      </c>
      <c r="N6" s="200">
        <v>1976.45</v>
      </c>
      <c r="O6" s="5">
        <f t="shared" si="4"/>
        <v>0.26922270109462604</v>
      </c>
      <c r="P6" s="99">
        <v>2053.72</v>
      </c>
      <c r="Q6" s="5">
        <f t="shared" si="4"/>
        <v>0.2456264987471819</v>
      </c>
      <c r="R6" s="99">
        <v>1973.47</v>
      </c>
      <c r="S6" s="5">
        <f aca="true" t="shared" si="5" ref="S6:S16">R6/R$17</f>
        <v>0.24933196715615735</v>
      </c>
      <c r="T6" s="99">
        <v>2150.37</v>
      </c>
      <c r="U6" s="5">
        <f aca="true" t="shared" si="6" ref="U6:U16">T6/T$17</f>
        <v>0.27026174430851296</v>
      </c>
      <c r="V6" s="99">
        <v>2519.75</v>
      </c>
      <c r="W6" s="5">
        <f aca="true" t="shared" si="7" ref="W6:W16">V6/V$17</f>
        <v>0.30036321329930465</v>
      </c>
      <c r="X6" s="15">
        <v>1859.48</v>
      </c>
      <c r="Y6" s="5">
        <f aca="true" t="shared" si="8" ref="Y6:Y16">X6/X$17</f>
        <v>0.26358553899888865</v>
      </c>
      <c r="Z6" s="130"/>
      <c r="AA6" s="5" t="e">
        <f aca="true" t="shared" si="9" ref="AA6:AA16">Z6/Z$17</f>
        <v>#DIV/0!</v>
      </c>
      <c r="AB6" s="130"/>
      <c r="AC6" s="5" t="e">
        <f aca="true" t="shared" si="10" ref="AC6:AC16">AB6/AB$17</f>
        <v>#DIV/0!</v>
      </c>
      <c r="AD6" s="130"/>
      <c r="AE6" s="138" t="e">
        <f aca="true" t="shared" si="11" ref="AE6:AE16">AD6/AD$17</f>
        <v>#DIV/0!</v>
      </c>
      <c r="AF6" s="77"/>
      <c r="AG6" s="138" t="e">
        <f aca="true" t="shared" si="12" ref="AG6:AG16">AF6/AF$17</f>
        <v>#DIV/0!</v>
      </c>
      <c r="AH6" s="77"/>
      <c r="AI6" s="138" t="e">
        <f aca="true" t="shared" si="13" ref="AI6:AI16">AH6/AH$17</f>
        <v>#DIV/0!</v>
      </c>
      <c r="AJ6" s="99"/>
      <c r="AK6" s="138" t="e">
        <f aca="true" t="shared" si="14" ref="AK6:AK16">AJ6/AJ$17</f>
        <v>#DIV/0!</v>
      </c>
      <c r="AL6" s="77"/>
      <c r="AM6" s="138" t="e">
        <f aca="true" t="shared" si="15" ref="AM6:AM16">AL6/AL$17</f>
        <v>#DIV/0!</v>
      </c>
      <c r="AN6" s="77"/>
      <c r="AO6" s="138" t="e">
        <f aca="true" t="shared" si="16" ref="AO6:AO16">AN6/AN$17</f>
        <v>#DIV/0!</v>
      </c>
      <c r="AP6" s="77"/>
      <c r="AQ6" s="138" t="e">
        <f aca="true" t="shared" si="17" ref="AQ6:AQ16">AP6/AP$17</f>
        <v>#DIV/0!</v>
      </c>
      <c r="AR6" s="77"/>
      <c r="AS6" s="138" t="e">
        <f aca="true" t="shared" si="18" ref="AS6:AS16">AR6/AR$17</f>
        <v>#DIV/0!</v>
      </c>
      <c r="AT6" s="77"/>
      <c r="AU6" s="138" t="e">
        <f aca="true" t="shared" si="19" ref="AU6:AU16">AT6/AT$17</f>
        <v>#DIV/0!</v>
      </c>
      <c r="AV6" s="77"/>
      <c r="AW6" s="138" t="e">
        <f aca="true" t="shared" si="20" ref="AW6:AW16">AV6/AV$17</f>
        <v>#DIV/0!</v>
      </c>
      <c r="AX6" s="17">
        <f>+X6+V6+T6+R6+P6+N6+L6+J6+H6+F6+D6+B6+Z6+AB6+AD6+AF6+AH6+AJ6+AL6+AN6+AP6+AR6+AT6+AV6</f>
        <v>24002.5</v>
      </c>
      <c r="AY6" s="16">
        <f aca="true" t="shared" si="21" ref="AY6:AY16">AX6/AX$17</f>
        <v>0.25290422345048286</v>
      </c>
      <c r="BA6" s="13"/>
    </row>
    <row r="7" spans="1:53" ht="15">
      <c r="A7" s="9" t="s">
        <v>6</v>
      </c>
      <c r="B7" s="99">
        <v>1208.1</v>
      </c>
      <c r="C7" s="5">
        <f t="shared" si="0"/>
        <v>0.15310933230592969</v>
      </c>
      <c r="D7" s="99">
        <v>1176.05</v>
      </c>
      <c r="E7" s="5">
        <f t="shared" si="1"/>
        <v>0.1425902305595701</v>
      </c>
      <c r="F7" s="99">
        <v>1132.94</v>
      </c>
      <c r="G7" s="5">
        <f t="shared" si="2"/>
        <v>0.13880020288200254</v>
      </c>
      <c r="H7" s="99">
        <v>1253.01</v>
      </c>
      <c r="I7" s="5">
        <f t="shared" si="3"/>
        <v>0.13935215666037937</v>
      </c>
      <c r="J7" s="99">
        <v>842.32</v>
      </c>
      <c r="K7" s="5">
        <f t="shared" si="4"/>
        <v>0.12359758298581662</v>
      </c>
      <c r="L7" s="99">
        <v>920.76</v>
      </c>
      <c r="M7" s="5">
        <f t="shared" si="4"/>
        <v>0.1183115965306778</v>
      </c>
      <c r="N7" s="200">
        <v>713.18</v>
      </c>
      <c r="O7" s="5">
        <f t="shared" si="4"/>
        <v>0.09714601733748153</v>
      </c>
      <c r="P7" s="99">
        <v>1127.65</v>
      </c>
      <c r="Q7" s="5">
        <f t="shared" si="4"/>
        <v>0.13486781124606068</v>
      </c>
      <c r="R7" s="99">
        <v>1188.86</v>
      </c>
      <c r="S7" s="5">
        <f t="shared" si="5"/>
        <v>0.15020284193490105</v>
      </c>
      <c r="T7" s="99">
        <v>1012.95</v>
      </c>
      <c r="U7" s="5">
        <f t="shared" si="6"/>
        <v>0.12730908350530756</v>
      </c>
      <c r="V7" s="99">
        <v>567.59</v>
      </c>
      <c r="W7" s="5">
        <f t="shared" si="7"/>
        <v>0.06765875830401918</v>
      </c>
      <c r="X7" s="15">
        <v>516.89</v>
      </c>
      <c r="Y7" s="5">
        <f t="shared" si="8"/>
        <v>0.07327033861785852</v>
      </c>
      <c r="Z7" s="130"/>
      <c r="AA7" s="5" t="e">
        <f t="shared" si="9"/>
        <v>#DIV/0!</v>
      </c>
      <c r="AB7" s="130"/>
      <c r="AC7" s="5" t="e">
        <f t="shared" si="10"/>
        <v>#DIV/0!</v>
      </c>
      <c r="AD7" s="130"/>
      <c r="AE7" s="138" t="e">
        <f t="shared" si="11"/>
        <v>#DIV/0!</v>
      </c>
      <c r="AF7" s="77"/>
      <c r="AG7" s="138" t="e">
        <f t="shared" si="12"/>
        <v>#DIV/0!</v>
      </c>
      <c r="AH7" s="77"/>
      <c r="AI7" s="138" t="e">
        <f t="shared" si="13"/>
        <v>#DIV/0!</v>
      </c>
      <c r="AJ7" s="99"/>
      <c r="AK7" s="138" t="e">
        <f t="shared" si="14"/>
        <v>#DIV/0!</v>
      </c>
      <c r="AL7" s="77"/>
      <c r="AM7" s="138" t="e">
        <f t="shared" si="15"/>
        <v>#DIV/0!</v>
      </c>
      <c r="AN7" s="77"/>
      <c r="AO7" s="138" t="e">
        <f t="shared" si="16"/>
        <v>#DIV/0!</v>
      </c>
      <c r="AP7" s="77"/>
      <c r="AQ7" s="138" t="e">
        <f t="shared" si="17"/>
        <v>#DIV/0!</v>
      </c>
      <c r="AR7" s="77"/>
      <c r="AS7" s="138" t="e">
        <f t="shared" si="18"/>
        <v>#DIV/0!</v>
      </c>
      <c r="AT7" s="77"/>
      <c r="AU7" s="138" t="e">
        <f t="shared" si="19"/>
        <v>#DIV/0!</v>
      </c>
      <c r="AV7" s="77"/>
      <c r="AW7" s="138" t="e">
        <f t="shared" si="20"/>
        <v>#DIV/0!</v>
      </c>
      <c r="AX7" s="17">
        <f aca="true" t="shared" si="22" ref="AX7:AX16">+X7+V7+T7+R7+P7+N7+L7+J7+H7+F7+D7+B7+Z7+AB7+AD7+AF7+AH7+AJ7+AL7+AN7+AP7+AR7+AT7+AV7</f>
        <v>11660.300000000001</v>
      </c>
      <c r="AY7" s="16">
        <f t="shared" si="21"/>
        <v>0.12285966531401586</v>
      </c>
      <c r="BA7" s="13"/>
    </row>
    <row r="8" spans="1:53" ht="15">
      <c r="A8" s="9" t="s">
        <v>1</v>
      </c>
      <c r="B8" s="99">
        <v>1756.05</v>
      </c>
      <c r="C8" s="5">
        <f t="shared" si="0"/>
        <v>0.2225541287938315</v>
      </c>
      <c r="D8" s="99">
        <v>1664.29</v>
      </c>
      <c r="E8" s="5">
        <f t="shared" si="1"/>
        <v>0.2017869094154049</v>
      </c>
      <c r="F8" s="99">
        <v>2177.96</v>
      </c>
      <c r="G8" s="5">
        <f t="shared" si="2"/>
        <v>0.2668290376091287</v>
      </c>
      <c r="H8" s="99">
        <v>2194.62</v>
      </c>
      <c r="I8" s="5">
        <f t="shared" si="3"/>
        <v>0.2440722979465461</v>
      </c>
      <c r="J8" s="99">
        <v>1919.42</v>
      </c>
      <c r="K8" s="5">
        <f t="shared" si="4"/>
        <v>0.2816455417592318</v>
      </c>
      <c r="L8" s="99">
        <v>2318.06</v>
      </c>
      <c r="M8" s="5">
        <f t="shared" si="4"/>
        <v>0.29785544490844845</v>
      </c>
      <c r="N8" s="200">
        <v>1940.07</v>
      </c>
      <c r="O8" s="5">
        <f t="shared" si="4"/>
        <v>0.26426718900688156</v>
      </c>
      <c r="P8" s="99">
        <v>1752.87</v>
      </c>
      <c r="Q8" s="5">
        <f t="shared" si="4"/>
        <v>0.2096446063041567</v>
      </c>
      <c r="R8" s="99">
        <v>1890.36</v>
      </c>
      <c r="S8" s="5">
        <f t="shared" si="5"/>
        <v>0.23883169109908617</v>
      </c>
      <c r="T8" s="99">
        <v>1840.49</v>
      </c>
      <c r="U8" s="5">
        <f t="shared" si="6"/>
        <v>0.23131555861659855</v>
      </c>
      <c r="V8" s="99">
        <v>1937.47</v>
      </c>
      <c r="W8" s="5">
        <f t="shared" si="7"/>
        <v>0.2309533544482603</v>
      </c>
      <c r="X8" s="15">
        <v>1614.22</v>
      </c>
      <c r="Y8" s="5">
        <f t="shared" si="8"/>
        <v>0.2288193735683019</v>
      </c>
      <c r="Z8" s="130"/>
      <c r="AA8" s="5" t="e">
        <f t="shared" si="9"/>
        <v>#DIV/0!</v>
      </c>
      <c r="AB8" s="130"/>
      <c r="AC8" s="5" t="e">
        <f t="shared" si="10"/>
        <v>#DIV/0!</v>
      </c>
      <c r="AD8" s="130"/>
      <c r="AE8" s="138" t="e">
        <f t="shared" si="11"/>
        <v>#DIV/0!</v>
      </c>
      <c r="AF8" s="77"/>
      <c r="AG8" s="138" t="e">
        <f t="shared" si="12"/>
        <v>#DIV/0!</v>
      </c>
      <c r="AH8" s="77"/>
      <c r="AI8" s="138" t="e">
        <f t="shared" si="13"/>
        <v>#DIV/0!</v>
      </c>
      <c r="AJ8" s="99"/>
      <c r="AK8" s="138" t="e">
        <f t="shared" si="14"/>
        <v>#DIV/0!</v>
      </c>
      <c r="AL8" s="77"/>
      <c r="AM8" s="138" t="e">
        <f t="shared" si="15"/>
        <v>#DIV/0!</v>
      </c>
      <c r="AN8" s="77"/>
      <c r="AO8" s="138" t="e">
        <f t="shared" si="16"/>
        <v>#DIV/0!</v>
      </c>
      <c r="AP8" s="77"/>
      <c r="AQ8" s="138" t="e">
        <f t="shared" si="17"/>
        <v>#DIV/0!</v>
      </c>
      <c r="AR8" s="77"/>
      <c r="AS8" s="138" t="e">
        <f t="shared" si="18"/>
        <v>#DIV/0!</v>
      </c>
      <c r="AT8" s="77"/>
      <c r="AU8" s="138" t="e">
        <f t="shared" si="19"/>
        <v>#DIV/0!</v>
      </c>
      <c r="AV8" s="77"/>
      <c r="AW8" s="138" t="e">
        <f t="shared" si="20"/>
        <v>#DIV/0!</v>
      </c>
      <c r="AX8" s="17">
        <f t="shared" si="22"/>
        <v>23005.879999999997</v>
      </c>
      <c r="AY8" s="16">
        <f t="shared" si="21"/>
        <v>0.2424032586686801</v>
      </c>
      <c r="BA8" s="13"/>
    </row>
    <row r="9" spans="1:53" ht="15">
      <c r="A9" s="9" t="s">
        <v>0</v>
      </c>
      <c r="B9" s="99">
        <v>39.71</v>
      </c>
      <c r="C9" s="5">
        <f t="shared" si="0"/>
        <v>0.00503267244919168</v>
      </c>
      <c r="D9" s="99">
        <v>35.63</v>
      </c>
      <c r="E9" s="5">
        <f t="shared" si="1"/>
        <v>0.004319960813602724</v>
      </c>
      <c r="F9" s="99">
        <v>30.84</v>
      </c>
      <c r="G9" s="5">
        <f t="shared" si="2"/>
        <v>0.003778309757693221</v>
      </c>
      <c r="H9" s="99">
        <v>26.04</v>
      </c>
      <c r="I9" s="5">
        <f t="shared" si="3"/>
        <v>0.0028960105341827107</v>
      </c>
      <c r="J9" s="99">
        <v>22.93</v>
      </c>
      <c r="K9" s="5">
        <f t="shared" si="4"/>
        <v>0.0033646269563405535</v>
      </c>
      <c r="L9" s="99">
        <v>24.44</v>
      </c>
      <c r="M9" s="5">
        <f t="shared" si="4"/>
        <v>0.0031403790555734022</v>
      </c>
      <c r="N9" s="200">
        <v>15.81</v>
      </c>
      <c r="O9" s="5">
        <f t="shared" si="4"/>
        <v>0.002153563664300153</v>
      </c>
      <c r="P9" s="99">
        <v>57.02</v>
      </c>
      <c r="Q9" s="5">
        <f t="shared" si="4"/>
        <v>0.006819636054848915</v>
      </c>
      <c r="R9" s="99">
        <v>28.85</v>
      </c>
      <c r="S9" s="5">
        <f t="shared" si="5"/>
        <v>0.003644964074678176</v>
      </c>
      <c r="T9" s="99">
        <v>47.19</v>
      </c>
      <c r="U9" s="5">
        <f t="shared" si="6"/>
        <v>0.005930910361434882</v>
      </c>
      <c r="V9" s="99">
        <v>60.7</v>
      </c>
      <c r="W9" s="5">
        <f t="shared" si="7"/>
        <v>0.007235657127599085</v>
      </c>
      <c r="X9" s="15">
        <v>45.43</v>
      </c>
      <c r="Y9" s="5">
        <f t="shared" si="8"/>
        <v>0.006439806309677712</v>
      </c>
      <c r="Z9" s="131"/>
      <c r="AA9" s="5" t="e">
        <f t="shared" si="9"/>
        <v>#DIV/0!</v>
      </c>
      <c r="AB9" s="130"/>
      <c r="AC9" s="5" t="e">
        <f t="shared" si="10"/>
        <v>#DIV/0!</v>
      </c>
      <c r="AD9" s="131"/>
      <c r="AE9" s="138" t="e">
        <f t="shared" si="11"/>
        <v>#DIV/0!</v>
      </c>
      <c r="AF9" s="77"/>
      <c r="AG9" s="138" t="e">
        <f t="shared" si="12"/>
        <v>#DIV/0!</v>
      </c>
      <c r="AH9" s="77"/>
      <c r="AI9" s="138" t="e">
        <f t="shared" si="13"/>
        <v>#DIV/0!</v>
      </c>
      <c r="AJ9" s="142"/>
      <c r="AK9" s="138" t="e">
        <f t="shared" si="14"/>
        <v>#DIV/0!</v>
      </c>
      <c r="AL9" s="77"/>
      <c r="AM9" s="138" t="e">
        <f t="shared" si="15"/>
        <v>#DIV/0!</v>
      </c>
      <c r="AN9" s="77"/>
      <c r="AO9" s="138" t="e">
        <f t="shared" si="16"/>
        <v>#DIV/0!</v>
      </c>
      <c r="AP9" s="77"/>
      <c r="AQ9" s="138" t="e">
        <f t="shared" si="17"/>
        <v>#DIV/0!</v>
      </c>
      <c r="AR9" s="77"/>
      <c r="AS9" s="138" t="e">
        <f t="shared" si="18"/>
        <v>#DIV/0!</v>
      </c>
      <c r="AT9" s="77"/>
      <c r="AU9" s="138" t="e">
        <f t="shared" si="19"/>
        <v>#DIV/0!</v>
      </c>
      <c r="AV9" s="77"/>
      <c r="AW9" s="138" t="e">
        <f t="shared" si="20"/>
        <v>#DIV/0!</v>
      </c>
      <c r="AX9" s="17">
        <f t="shared" si="22"/>
        <v>434.59</v>
      </c>
      <c r="AY9" s="16">
        <f t="shared" si="21"/>
        <v>0.004579091614179579</v>
      </c>
      <c r="BA9" s="13"/>
    </row>
    <row r="10" spans="1:53" ht="15">
      <c r="A10" s="9" t="s">
        <v>4</v>
      </c>
      <c r="B10" s="99">
        <v>98.01</v>
      </c>
      <c r="C10" s="5">
        <f t="shared" si="0"/>
        <v>0.012421360532492485</v>
      </c>
      <c r="D10" s="99">
        <v>124.02</v>
      </c>
      <c r="E10" s="5">
        <f t="shared" si="1"/>
        <v>0.015036809994471226</v>
      </c>
      <c r="F10" s="99">
        <v>102.57</v>
      </c>
      <c r="G10" s="5">
        <f t="shared" si="2"/>
        <v>0.01256618780306724</v>
      </c>
      <c r="H10" s="99">
        <v>123.76</v>
      </c>
      <c r="I10" s="5">
        <f t="shared" si="3"/>
        <v>0.013763835011922132</v>
      </c>
      <c r="J10" s="99">
        <v>85.25</v>
      </c>
      <c r="K10" s="5">
        <f t="shared" si="4"/>
        <v>0.012509134235849637</v>
      </c>
      <c r="L10" s="99">
        <v>81.27</v>
      </c>
      <c r="M10" s="5">
        <f t="shared" si="4"/>
        <v>0.010442659813684549</v>
      </c>
      <c r="N10" s="200">
        <v>46.72</v>
      </c>
      <c r="O10" s="5">
        <f>N10/N$17</f>
        <v>0.0063639781401709766</v>
      </c>
      <c r="P10" s="99">
        <v>77.6</v>
      </c>
      <c r="Q10" s="5">
        <f t="shared" si="4"/>
        <v>0.009281019955388912</v>
      </c>
      <c r="R10" s="99">
        <v>60.44</v>
      </c>
      <c r="S10" s="5">
        <f t="shared" si="5"/>
        <v>0.007636104980019027</v>
      </c>
      <c r="T10" s="99">
        <v>58.65</v>
      </c>
      <c r="U10" s="5">
        <f t="shared" si="6"/>
        <v>0.007371220442851363</v>
      </c>
      <c r="V10" s="99">
        <v>69.77</v>
      </c>
      <c r="W10" s="5">
        <f t="shared" si="7"/>
        <v>0.008316833571541815</v>
      </c>
      <c r="X10" s="15">
        <v>100.62</v>
      </c>
      <c r="Y10" s="5">
        <f t="shared" si="8"/>
        <v>0.014263114921412533</v>
      </c>
      <c r="Z10" s="131"/>
      <c r="AA10" s="5" t="e">
        <f t="shared" si="9"/>
        <v>#DIV/0!</v>
      </c>
      <c r="AB10" s="130"/>
      <c r="AC10" s="5" t="e">
        <f t="shared" si="10"/>
        <v>#DIV/0!</v>
      </c>
      <c r="AD10" s="131"/>
      <c r="AE10" s="138" t="e">
        <f t="shared" si="11"/>
        <v>#DIV/0!</v>
      </c>
      <c r="AF10" s="131"/>
      <c r="AG10" s="138" t="e">
        <f t="shared" si="12"/>
        <v>#DIV/0!</v>
      </c>
      <c r="AH10" s="131"/>
      <c r="AI10" s="138" t="e">
        <f t="shared" si="13"/>
        <v>#DIV/0!</v>
      </c>
      <c r="AJ10" s="142"/>
      <c r="AK10" s="138" t="e">
        <f t="shared" si="14"/>
        <v>#DIV/0!</v>
      </c>
      <c r="AL10" s="131"/>
      <c r="AM10" s="138" t="e">
        <f t="shared" si="15"/>
        <v>#DIV/0!</v>
      </c>
      <c r="AN10" s="131"/>
      <c r="AO10" s="138" t="e">
        <f t="shared" si="16"/>
        <v>#DIV/0!</v>
      </c>
      <c r="AP10" s="131"/>
      <c r="AQ10" s="138" t="e">
        <f t="shared" si="17"/>
        <v>#DIV/0!</v>
      </c>
      <c r="AR10" s="131"/>
      <c r="AS10" s="138" t="e">
        <f t="shared" si="18"/>
        <v>#DIV/0!</v>
      </c>
      <c r="AT10" s="131"/>
      <c r="AU10" s="138" t="e">
        <f t="shared" si="19"/>
        <v>#DIV/0!</v>
      </c>
      <c r="AV10" s="131"/>
      <c r="AW10" s="138" t="e">
        <f t="shared" si="20"/>
        <v>#DIV/0!</v>
      </c>
      <c r="AX10" s="17">
        <f t="shared" si="22"/>
        <v>1028.68</v>
      </c>
      <c r="AY10" s="16">
        <f t="shared" si="21"/>
        <v>0.010838767485847004</v>
      </c>
      <c r="BA10" s="13"/>
    </row>
    <row r="11" spans="1:53" ht="15">
      <c r="A11" s="9" t="s">
        <v>2</v>
      </c>
      <c r="B11" s="99">
        <v>1722.42</v>
      </c>
      <c r="C11" s="5">
        <f t="shared" si="0"/>
        <v>0.2182920090641333</v>
      </c>
      <c r="D11" s="99">
        <v>1735.56</v>
      </c>
      <c r="E11" s="5">
        <f t="shared" si="1"/>
        <v>0.21042804349302113</v>
      </c>
      <c r="F11" s="99">
        <v>1534.49</v>
      </c>
      <c r="G11" s="5">
        <f t="shared" si="2"/>
        <v>0.18799541310255094</v>
      </c>
      <c r="H11" s="99">
        <v>2101.95</v>
      </c>
      <c r="I11" s="5">
        <f t="shared" si="3"/>
        <v>0.23376610377593507</v>
      </c>
      <c r="J11" s="99">
        <v>1177.68</v>
      </c>
      <c r="K11" s="5">
        <f t="shared" si="4"/>
        <v>0.17280653615103111</v>
      </c>
      <c r="L11" s="99">
        <v>1311.47</v>
      </c>
      <c r="M11" s="5">
        <f t="shared" si="4"/>
        <v>0.16851525859299712</v>
      </c>
      <c r="N11" s="200">
        <v>1475.22</v>
      </c>
      <c r="O11" s="5">
        <f>N11/N$17</f>
        <v>0.20094751352617785</v>
      </c>
      <c r="P11" s="99">
        <v>1548.92</v>
      </c>
      <c r="Q11" s="5">
        <f t="shared" si="4"/>
        <v>0.1852520287281056</v>
      </c>
      <c r="R11" s="99">
        <v>1585.46</v>
      </c>
      <c r="S11" s="5">
        <f t="shared" si="5"/>
        <v>0.2003100430446884</v>
      </c>
      <c r="T11" s="99">
        <v>1541.59</v>
      </c>
      <c r="U11" s="5">
        <f t="shared" si="6"/>
        <v>0.19374935588227166</v>
      </c>
      <c r="V11" s="99">
        <v>1830.87</v>
      </c>
      <c r="W11" s="5">
        <f t="shared" si="7"/>
        <v>0.21824625313356402</v>
      </c>
      <c r="X11" s="15">
        <v>1527.84</v>
      </c>
      <c r="Y11" s="5">
        <f t="shared" si="8"/>
        <v>0.21657481118595628</v>
      </c>
      <c r="Z11" s="131"/>
      <c r="AA11" s="5" t="e">
        <f t="shared" si="9"/>
        <v>#DIV/0!</v>
      </c>
      <c r="AB11" s="130"/>
      <c r="AC11" s="5" t="e">
        <f t="shared" si="10"/>
        <v>#DIV/0!</v>
      </c>
      <c r="AD11" s="131"/>
      <c r="AE11" s="138" t="e">
        <f t="shared" si="11"/>
        <v>#DIV/0!</v>
      </c>
      <c r="AF11" s="131"/>
      <c r="AG11" s="138" t="e">
        <f t="shared" si="12"/>
        <v>#DIV/0!</v>
      </c>
      <c r="AH11" s="131"/>
      <c r="AI11" s="138" t="e">
        <f t="shared" si="13"/>
        <v>#DIV/0!</v>
      </c>
      <c r="AJ11" s="142"/>
      <c r="AK11" s="138" t="e">
        <f t="shared" si="14"/>
        <v>#DIV/0!</v>
      </c>
      <c r="AL11" s="131"/>
      <c r="AM11" s="138" t="e">
        <f t="shared" si="15"/>
        <v>#DIV/0!</v>
      </c>
      <c r="AN11" s="131"/>
      <c r="AO11" s="138" t="e">
        <f t="shared" si="16"/>
        <v>#DIV/0!</v>
      </c>
      <c r="AP11" s="131"/>
      <c r="AQ11" s="138" t="e">
        <f t="shared" si="17"/>
        <v>#DIV/0!</v>
      </c>
      <c r="AR11" s="131"/>
      <c r="AS11" s="138" t="e">
        <f t="shared" si="18"/>
        <v>#DIV/0!</v>
      </c>
      <c r="AT11" s="131"/>
      <c r="AU11" s="138" t="e">
        <f t="shared" si="19"/>
        <v>#DIV/0!</v>
      </c>
      <c r="AV11" s="131"/>
      <c r="AW11" s="138" t="e">
        <f t="shared" si="20"/>
        <v>#DIV/0!</v>
      </c>
      <c r="AX11" s="17">
        <f t="shared" si="22"/>
        <v>19093.47</v>
      </c>
      <c r="AY11" s="16">
        <f t="shared" si="21"/>
        <v>0.2011798439048054</v>
      </c>
      <c r="BA11" s="13"/>
    </row>
    <row r="12" spans="1:53" ht="15">
      <c r="A12" s="9" t="s">
        <v>8</v>
      </c>
      <c r="B12" s="99">
        <v>102.54</v>
      </c>
      <c r="C12" s="5">
        <f t="shared" si="0"/>
        <v>0.012995473002772975</v>
      </c>
      <c r="D12" s="99">
        <v>85.42</v>
      </c>
      <c r="E12" s="5">
        <f t="shared" si="1"/>
        <v>0.010356751408867377</v>
      </c>
      <c r="F12" s="99">
        <v>80.01</v>
      </c>
      <c r="G12" s="5">
        <f t="shared" si="2"/>
        <v>0.009802288058139905</v>
      </c>
      <c r="H12" s="99">
        <v>93.74</v>
      </c>
      <c r="I12" s="5">
        <f t="shared" si="3"/>
        <v>0.010425193067368945</v>
      </c>
      <c r="J12" s="99">
        <v>99.27</v>
      </c>
      <c r="K12" s="5">
        <f t="shared" si="4"/>
        <v>0.014566354904314292</v>
      </c>
      <c r="L12" s="99">
        <v>82.81</v>
      </c>
      <c r="M12" s="5">
        <f t="shared" si="4"/>
        <v>0.010640539672341793</v>
      </c>
      <c r="N12" s="200">
        <v>52.61</v>
      </c>
      <c r="O12" s="5">
        <f t="shared" si="4"/>
        <v>0.007166286171969073</v>
      </c>
      <c r="P12" s="99">
        <v>117.27</v>
      </c>
      <c r="Q12" s="5">
        <f t="shared" si="4"/>
        <v>0.01402558260526363</v>
      </c>
      <c r="R12" s="99">
        <v>94.93</v>
      </c>
      <c r="S12" s="5">
        <f t="shared" si="5"/>
        <v>0.011993637421462712</v>
      </c>
      <c r="T12" s="99">
        <v>57.46</v>
      </c>
      <c r="U12" s="5">
        <f t="shared" si="6"/>
        <v>0.007221659448358727</v>
      </c>
      <c r="V12" s="99">
        <v>87.51</v>
      </c>
      <c r="W12" s="5">
        <f t="shared" si="7"/>
        <v>0.010431505028602898</v>
      </c>
      <c r="X12" s="15">
        <v>75.99</v>
      </c>
      <c r="Y12" s="5">
        <f t="shared" si="8"/>
        <v>0.010771756140708987</v>
      </c>
      <c r="Z12" s="131"/>
      <c r="AA12" s="5" t="e">
        <f t="shared" si="9"/>
        <v>#DIV/0!</v>
      </c>
      <c r="AB12" s="130"/>
      <c r="AC12" s="5" t="e">
        <f t="shared" si="10"/>
        <v>#DIV/0!</v>
      </c>
      <c r="AD12" s="131"/>
      <c r="AE12" s="138" t="e">
        <f t="shared" si="11"/>
        <v>#DIV/0!</v>
      </c>
      <c r="AF12" s="140"/>
      <c r="AG12" s="138" t="e">
        <f t="shared" si="12"/>
        <v>#DIV/0!</v>
      </c>
      <c r="AH12" s="140"/>
      <c r="AI12" s="138" t="e">
        <f t="shared" si="13"/>
        <v>#DIV/0!</v>
      </c>
      <c r="AJ12" s="142"/>
      <c r="AK12" s="138" t="e">
        <f t="shared" si="14"/>
        <v>#DIV/0!</v>
      </c>
      <c r="AL12" s="140"/>
      <c r="AM12" s="138" t="e">
        <f t="shared" si="15"/>
        <v>#DIV/0!</v>
      </c>
      <c r="AN12" s="140"/>
      <c r="AO12" s="138" t="e">
        <f t="shared" si="16"/>
        <v>#DIV/0!</v>
      </c>
      <c r="AP12" s="140"/>
      <c r="AQ12" s="138" t="e">
        <f t="shared" si="17"/>
        <v>#DIV/0!</v>
      </c>
      <c r="AR12" s="140"/>
      <c r="AS12" s="138" t="e">
        <f t="shared" si="18"/>
        <v>#DIV/0!</v>
      </c>
      <c r="AT12" s="140"/>
      <c r="AU12" s="138" t="e">
        <f t="shared" si="19"/>
        <v>#DIV/0!</v>
      </c>
      <c r="AV12" s="140"/>
      <c r="AW12" s="138" t="e">
        <f t="shared" si="20"/>
        <v>#DIV/0!</v>
      </c>
      <c r="AX12" s="17">
        <f t="shared" si="22"/>
        <v>1029.56</v>
      </c>
      <c r="AY12" s="16">
        <f t="shared" si="21"/>
        <v>0.010848039674853833</v>
      </c>
      <c r="BA12" s="13"/>
    </row>
    <row r="13" spans="1:53" ht="15">
      <c r="A13" s="9" t="s">
        <v>10</v>
      </c>
      <c r="B13" s="99">
        <v>22.31</v>
      </c>
      <c r="C13" s="5">
        <f t="shared" si="0"/>
        <v>0.002827472232220256</v>
      </c>
      <c r="D13" s="99">
        <v>35.47</v>
      </c>
      <c r="E13" s="5">
        <f t="shared" si="1"/>
        <v>0.004300561607030272</v>
      </c>
      <c r="F13" s="99">
        <v>22.31</v>
      </c>
      <c r="G13" s="5">
        <f t="shared" si="2"/>
        <v>0.002733271423285855</v>
      </c>
      <c r="H13" s="99">
        <v>35.69</v>
      </c>
      <c r="I13" s="5">
        <f t="shared" si="3"/>
        <v>0.003969224883447809</v>
      </c>
      <c r="J13" s="99">
        <v>16.65</v>
      </c>
      <c r="K13" s="5">
        <f t="shared" si="4"/>
        <v>0.002443132962192334</v>
      </c>
      <c r="L13" s="99">
        <v>25.19</v>
      </c>
      <c r="M13" s="5">
        <f t="shared" si="4"/>
        <v>0.003236749116607774</v>
      </c>
      <c r="N13" s="200">
        <v>30.71</v>
      </c>
      <c r="O13" s="5">
        <f t="shared" si="4"/>
        <v>0.0041831714187639275</v>
      </c>
      <c r="P13" s="99">
        <v>23.36</v>
      </c>
      <c r="Q13" s="5">
        <f t="shared" si="4"/>
        <v>0.0027938740484263528</v>
      </c>
      <c r="R13" s="99">
        <v>26.62</v>
      </c>
      <c r="S13" s="5">
        <f t="shared" si="5"/>
        <v>0.003363221617605998</v>
      </c>
      <c r="T13" s="99">
        <v>23.71</v>
      </c>
      <c r="U13" s="5">
        <f t="shared" si="6"/>
        <v>0.002979908554134797</v>
      </c>
      <c r="V13" s="99">
        <v>32.7</v>
      </c>
      <c r="W13" s="5">
        <f t="shared" si="7"/>
        <v>0.0038979569698927526</v>
      </c>
      <c r="X13" s="15">
        <v>9.47</v>
      </c>
      <c r="Y13" s="5">
        <f t="shared" si="8"/>
        <v>0.0013423941393935271</v>
      </c>
      <c r="Z13" s="131"/>
      <c r="AA13" s="5" t="e">
        <f t="shared" si="9"/>
        <v>#DIV/0!</v>
      </c>
      <c r="AB13" s="130"/>
      <c r="AC13" s="5" t="e">
        <f t="shared" si="10"/>
        <v>#DIV/0!</v>
      </c>
      <c r="AD13" s="131"/>
      <c r="AE13" s="138" t="e">
        <f t="shared" si="11"/>
        <v>#DIV/0!</v>
      </c>
      <c r="AF13" s="140"/>
      <c r="AG13" s="138" t="e">
        <f t="shared" si="12"/>
        <v>#DIV/0!</v>
      </c>
      <c r="AH13" s="140"/>
      <c r="AI13" s="138" t="e">
        <f t="shared" si="13"/>
        <v>#DIV/0!</v>
      </c>
      <c r="AJ13" s="142"/>
      <c r="AK13" s="138" t="e">
        <f t="shared" si="14"/>
        <v>#DIV/0!</v>
      </c>
      <c r="AL13" s="140"/>
      <c r="AM13" s="138" t="e">
        <f t="shared" si="15"/>
        <v>#DIV/0!</v>
      </c>
      <c r="AN13" s="140"/>
      <c r="AO13" s="138" t="e">
        <f t="shared" si="16"/>
        <v>#DIV/0!</v>
      </c>
      <c r="AP13" s="140"/>
      <c r="AQ13" s="138" t="e">
        <f t="shared" si="17"/>
        <v>#DIV/0!</v>
      </c>
      <c r="AR13" s="140"/>
      <c r="AS13" s="138" t="e">
        <f t="shared" si="18"/>
        <v>#DIV/0!</v>
      </c>
      <c r="AT13" s="140"/>
      <c r="AU13" s="138" t="e">
        <f t="shared" si="19"/>
        <v>#DIV/0!</v>
      </c>
      <c r="AV13" s="140"/>
      <c r="AW13" s="138" t="e">
        <f t="shared" si="20"/>
        <v>#DIV/0!</v>
      </c>
      <c r="AX13" s="17">
        <f t="shared" si="22"/>
        <v>304.19</v>
      </c>
      <c r="AY13" s="16">
        <f t="shared" si="21"/>
        <v>0.0032051217886221177</v>
      </c>
      <c r="BA13" s="13"/>
    </row>
    <row r="14" spans="1:53" ht="15">
      <c r="A14" s="9" t="s">
        <v>11</v>
      </c>
      <c r="B14" s="99">
        <v>23.94</v>
      </c>
      <c r="C14" s="5">
        <f t="shared" si="0"/>
        <v>0.0030340513330055106</v>
      </c>
      <c r="D14" s="99">
        <v>18.3</v>
      </c>
      <c r="E14" s="5">
        <f t="shared" si="1"/>
        <v>0.0022187842517241044</v>
      </c>
      <c r="F14" s="99">
        <v>12.55</v>
      </c>
      <c r="G14" s="5">
        <f t="shared" si="2"/>
        <v>0.0015375417464023973</v>
      </c>
      <c r="H14" s="99">
        <v>12.56</v>
      </c>
      <c r="I14" s="5">
        <f t="shared" si="3"/>
        <v>0.0013968468628776825</v>
      </c>
      <c r="J14" s="99">
        <v>14.3</v>
      </c>
      <c r="K14" s="5">
        <f t="shared" si="4"/>
        <v>0.0020983063879489714</v>
      </c>
      <c r="L14" s="99">
        <v>16.52</v>
      </c>
      <c r="M14" s="5">
        <f t="shared" si="4"/>
        <v>0.0021227112110504334</v>
      </c>
      <c r="N14" s="200">
        <v>15.39</v>
      </c>
      <c r="O14" s="5">
        <f t="shared" si="4"/>
        <v>0.0020963532443756708</v>
      </c>
      <c r="P14" s="99">
        <v>22.53</v>
      </c>
      <c r="Q14" s="5">
        <f t="shared" si="4"/>
        <v>0.0026946054071509302</v>
      </c>
      <c r="R14" s="99">
        <v>26.09</v>
      </c>
      <c r="S14" s="5">
        <f t="shared" si="5"/>
        <v>0.0032962604058354803</v>
      </c>
      <c r="T14" s="99">
        <v>15.44</v>
      </c>
      <c r="U14" s="5">
        <f t="shared" si="6"/>
        <v>0.0019405224831649623</v>
      </c>
      <c r="V14" s="99">
        <v>22.82</v>
      </c>
      <c r="W14" s="5">
        <f t="shared" si="7"/>
        <v>0.002720225628530661</v>
      </c>
      <c r="X14" s="15">
        <v>35.52</v>
      </c>
      <c r="Y14" s="5">
        <f t="shared" si="8"/>
        <v>0.005035041164863578</v>
      </c>
      <c r="Z14" s="131"/>
      <c r="AA14" s="5" t="e">
        <f t="shared" si="9"/>
        <v>#DIV/0!</v>
      </c>
      <c r="AB14" s="130"/>
      <c r="AC14" s="5" t="e">
        <f t="shared" si="10"/>
        <v>#DIV/0!</v>
      </c>
      <c r="AD14" s="131"/>
      <c r="AE14" s="138" t="e">
        <f t="shared" si="11"/>
        <v>#DIV/0!</v>
      </c>
      <c r="AF14" s="140"/>
      <c r="AG14" s="138" t="e">
        <f t="shared" si="12"/>
        <v>#DIV/0!</v>
      </c>
      <c r="AH14" s="140"/>
      <c r="AI14" s="138" t="e">
        <f t="shared" si="13"/>
        <v>#DIV/0!</v>
      </c>
      <c r="AJ14" s="142"/>
      <c r="AK14" s="138" t="e">
        <f t="shared" si="14"/>
        <v>#DIV/0!</v>
      </c>
      <c r="AL14" s="140"/>
      <c r="AM14" s="138" t="e">
        <f t="shared" si="15"/>
        <v>#DIV/0!</v>
      </c>
      <c r="AN14" s="140"/>
      <c r="AO14" s="138" t="e">
        <f t="shared" si="16"/>
        <v>#DIV/0!</v>
      </c>
      <c r="AP14" s="140"/>
      <c r="AQ14" s="138" t="e">
        <f t="shared" si="17"/>
        <v>#DIV/0!</v>
      </c>
      <c r="AR14" s="140"/>
      <c r="AS14" s="138" t="e">
        <f t="shared" si="18"/>
        <v>#DIV/0!</v>
      </c>
      <c r="AT14" s="140"/>
      <c r="AU14" s="138" t="e">
        <f t="shared" si="19"/>
        <v>#DIV/0!</v>
      </c>
      <c r="AV14" s="140"/>
      <c r="AW14" s="138" t="e">
        <f t="shared" si="20"/>
        <v>#DIV/0!</v>
      </c>
      <c r="AX14" s="17">
        <f t="shared" si="22"/>
        <v>235.96000000000006</v>
      </c>
      <c r="AY14" s="16">
        <f t="shared" si="21"/>
        <v>0.0024862110432403274</v>
      </c>
      <c r="BA14" s="13"/>
    </row>
    <row r="15" spans="1:53" ht="15">
      <c r="A15" s="9" t="s">
        <v>9</v>
      </c>
      <c r="B15" s="99">
        <v>58.42</v>
      </c>
      <c r="C15" s="5">
        <f t="shared" si="0"/>
        <v>0.007403896360659228</v>
      </c>
      <c r="D15" s="99">
        <v>34.44</v>
      </c>
      <c r="E15" s="5">
        <f t="shared" si="1"/>
        <v>0.004175679214720117</v>
      </c>
      <c r="F15" s="99">
        <v>33.14</v>
      </c>
      <c r="G15" s="5">
        <f t="shared" si="2"/>
        <v>0.004060090316794856</v>
      </c>
      <c r="H15" s="99">
        <v>36.61</v>
      </c>
      <c r="I15" s="5">
        <f t="shared" si="3"/>
        <v>0.004071541691875156</v>
      </c>
      <c r="J15" s="99">
        <v>27.17</v>
      </c>
      <c r="K15" s="5">
        <f t="shared" si="4"/>
        <v>0.003986782137103046</v>
      </c>
      <c r="L15" s="99">
        <v>34.01</v>
      </c>
      <c r="M15" s="5">
        <f t="shared" si="4"/>
        <v>0.0043700610343719885</v>
      </c>
      <c r="N15" s="200">
        <v>33.41</v>
      </c>
      <c r="O15" s="5">
        <f t="shared" si="4"/>
        <v>0.004550952689707027</v>
      </c>
      <c r="P15" s="99">
        <v>50.32</v>
      </c>
      <c r="Q15" s="5">
        <f t="shared" si="4"/>
        <v>0.006018310878288274</v>
      </c>
      <c r="R15" s="99">
        <v>50.82</v>
      </c>
      <c r="S15" s="5">
        <f t="shared" si="5"/>
        <v>0.006420695815429632</v>
      </c>
      <c r="T15" s="99">
        <v>38.98</v>
      </c>
      <c r="U15" s="5">
        <f t="shared" si="6"/>
        <v>0.004899065180943668</v>
      </c>
      <c r="V15" s="99">
        <v>29.53</v>
      </c>
      <c r="W15" s="5">
        <f t="shared" si="7"/>
        <v>0.0035200816306095715</v>
      </c>
      <c r="X15" s="15">
        <v>37.23</v>
      </c>
      <c r="Y15" s="5">
        <f t="shared" si="8"/>
        <v>0.005277437572293665</v>
      </c>
      <c r="Z15" s="131"/>
      <c r="AA15" s="5" t="e">
        <f t="shared" si="9"/>
        <v>#DIV/0!</v>
      </c>
      <c r="AB15" s="130"/>
      <c r="AC15" s="5" t="e">
        <f t="shared" si="10"/>
        <v>#DIV/0!</v>
      </c>
      <c r="AD15" s="131"/>
      <c r="AE15" s="138" t="e">
        <f t="shared" si="11"/>
        <v>#DIV/0!</v>
      </c>
      <c r="AF15" s="140"/>
      <c r="AG15" s="138" t="e">
        <f t="shared" si="12"/>
        <v>#DIV/0!</v>
      </c>
      <c r="AH15" s="140"/>
      <c r="AI15" s="138" t="e">
        <f t="shared" si="13"/>
        <v>#DIV/0!</v>
      </c>
      <c r="AJ15" s="142"/>
      <c r="AK15" s="138" t="e">
        <f t="shared" si="14"/>
        <v>#DIV/0!</v>
      </c>
      <c r="AL15" s="140"/>
      <c r="AM15" s="138" t="e">
        <f t="shared" si="15"/>
        <v>#DIV/0!</v>
      </c>
      <c r="AN15" s="140"/>
      <c r="AO15" s="138" t="e">
        <f t="shared" si="16"/>
        <v>#DIV/0!</v>
      </c>
      <c r="AP15" s="140"/>
      <c r="AQ15" s="138" t="e">
        <f t="shared" si="17"/>
        <v>#DIV/0!</v>
      </c>
      <c r="AR15" s="140"/>
      <c r="AS15" s="138" t="e">
        <f t="shared" si="18"/>
        <v>#DIV/0!</v>
      </c>
      <c r="AT15" s="140"/>
      <c r="AU15" s="138" t="e">
        <f t="shared" si="19"/>
        <v>#DIV/0!</v>
      </c>
      <c r="AV15" s="140"/>
      <c r="AW15" s="138" t="e">
        <f t="shared" si="20"/>
        <v>#DIV/0!</v>
      </c>
      <c r="AX15" s="17">
        <f t="shared" si="22"/>
        <v>464.08</v>
      </c>
      <c r="AY15" s="16">
        <f t="shared" si="21"/>
        <v>0.004889815311692536</v>
      </c>
      <c r="BA15" s="13"/>
    </row>
    <row r="16" spans="1:53" ht="16.5">
      <c r="A16" s="9" t="s">
        <v>5</v>
      </c>
      <c r="B16" s="106">
        <v>1062.19</v>
      </c>
      <c r="C16" s="105">
        <f t="shared" si="0"/>
        <v>0.13461733439453313</v>
      </c>
      <c r="D16" s="106">
        <v>1203.34</v>
      </c>
      <c r="E16" s="105">
        <f t="shared" si="1"/>
        <v>0.1458990077305838</v>
      </c>
      <c r="F16" s="106">
        <v>1062.21</v>
      </c>
      <c r="G16" s="105">
        <f t="shared" si="2"/>
        <v>0.13013483812319446</v>
      </c>
      <c r="H16" s="106">
        <f>907.64+5.77</f>
        <v>913.41</v>
      </c>
      <c r="I16" s="105">
        <f t="shared" si="3"/>
        <v>0.10158390868002419</v>
      </c>
      <c r="J16" s="106">
        <f>1048.33+3.23</f>
        <v>1051.56</v>
      </c>
      <c r="K16" s="105">
        <f t="shared" si="4"/>
        <v>0.15430035421759583</v>
      </c>
      <c r="L16" s="106">
        <f>0.21+1162.61</f>
        <v>1162.82</v>
      </c>
      <c r="M16" s="108">
        <f t="shared" si="4"/>
        <v>0.14941471249598456</v>
      </c>
      <c r="N16" s="201">
        <v>1041.75</v>
      </c>
      <c r="O16" s="105">
        <f t="shared" si="4"/>
        <v>0.14190227370554612</v>
      </c>
      <c r="P16" s="106">
        <f>1528.64+1.25</f>
        <v>1529.89</v>
      </c>
      <c r="Q16" s="105">
        <f t="shared" si="4"/>
        <v>0.18297602602512814</v>
      </c>
      <c r="R16" s="106">
        <f>0.54+988.59</f>
        <v>989.13</v>
      </c>
      <c r="S16" s="108">
        <f t="shared" si="5"/>
        <v>0.12496857245013601</v>
      </c>
      <c r="T16" s="106">
        <f>1167.86+1.93</f>
        <v>1169.79</v>
      </c>
      <c r="U16" s="108">
        <f t="shared" si="6"/>
        <v>0.14702097121642108</v>
      </c>
      <c r="V16" s="106">
        <f>0.25+1230.05</f>
        <v>1230.3</v>
      </c>
      <c r="W16" s="5">
        <f t="shared" si="7"/>
        <v>0.146656160858075</v>
      </c>
      <c r="X16" s="75">
        <f>0.52+1231.35</f>
        <v>1231.87</v>
      </c>
      <c r="Y16" s="5">
        <f t="shared" si="8"/>
        <v>0.17462038738064456</v>
      </c>
      <c r="Z16" s="132"/>
      <c r="AA16" s="5" t="e">
        <f t="shared" si="9"/>
        <v>#DIV/0!</v>
      </c>
      <c r="AB16" s="133"/>
      <c r="AC16" s="5" t="e">
        <f t="shared" si="10"/>
        <v>#DIV/0!</v>
      </c>
      <c r="AD16" s="132"/>
      <c r="AE16" s="138" t="e">
        <f t="shared" si="11"/>
        <v>#DIV/0!</v>
      </c>
      <c r="AF16" s="132"/>
      <c r="AG16" s="138" t="e">
        <f t="shared" si="12"/>
        <v>#DIV/0!</v>
      </c>
      <c r="AH16" s="132"/>
      <c r="AI16" s="138" t="e">
        <f t="shared" si="13"/>
        <v>#DIV/0!</v>
      </c>
      <c r="AJ16" s="143"/>
      <c r="AK16" s="138" t="e">
        <f t="shared" si="14"/>
        <v>#DIV/0!</v>
      </c>
      <c r="AL16" s="132"/>
      <c r="AM16" s="138" t="e">
        <f t="shared" si="15"/>
        <v>#DIV/0!</v>
      </c>
      <c r="AN16" s="132"/>
      <c r="AO16" s="138" t="e">
        <f t="shared" si="16"/>
        <v>#DIV/0!</v>
      </c>
      <c r="AP16" s="132"/>
      <c r="AQ16" s="138" t="e">
        <f t="shared" si="17"/>
        <v>#DIV/0!</v>
      </c>
      <c r="AR16" s="132"/>
      <c r="AS16" s="108" t="e">
        <f t="shared" si="18"/>
        <v>#DIV/0!</v>
      </c>
      <c r="AT16" s="132"/>
      <c r="AU16" s="108" t="e">
        <f t="shared" si="19"/>
        <v>#DIV/0!</v>
      </c>
      <c r="AV16" s="132"/>
      <c r="AW16" s="108" t="e">
        <f t="shared" si="20"/>
        <v>#DIV/0!</v>
      </c>
      <c r="AX16" s="18">
        <f t="shared" si="22"/>
        <v>13648.26</v>
      </c>
      <c r="AY16" s="139">
        <f t="shared" si="21"/>
        <v>0.14380596174358035</v>
      </c>
      <c r="BA16" s="13"/>
    </row>
    <row r="17" spans="1:54" s="1" customFormat="1" ht="15">
      <c r="A17" s="19"/>
      <c r="B17" s="76">
        <f aca="true" t="shared" si="23" ref="B17:AY17">SUM(B6:B16)</f>
        <v>7890.4400000000005</v>
      </c>
      <c r="C17" s="74">
        <f t="shared" si="23"/>
        <v>0.9999999999999998</v>
      </c>
      <c r="D17" s="76">
        <f t="shared" si="23"/>
        <v>8247.76</v>
      </c>
      <c r="E17" s="74">
        <f t="shared" si="23"/>
        <v>0.9999999999999999</v>
      </c>
      <c r="F17" s="76">
        <f t="shared" si="23"/>
        <v>8162.380000000001</v>
      </c>
      <c r="G17" s="21">
        <f t="shared" si="23"/>
        <v>1</v>
      </c>
      <c r="H17" s="76">
        <f t="shared" si="23"/>
        <v>8991.68</v>
      </c>
      <c r="I17" s="21">
        <f t="shared" si="23"/>
        <v>1</v>
      </c>
      <c r="J17" s="76">
        <f t="shared" si="23"/>
        <v>6815.02</v>
      </c>
      <c r="K17" s="21">
        <f t="shared" si="23"/>
        <v>0.9999999999999999</v>
      </c>
      <c r="L17" s="76">
        <f t="shared" si="23"/>
        <v>7782.5</v>
      </c>
      <c r="M17" s="74">
        <f t="shared" si="23"/>
        <v>1</v>
      </c>
      <c r="N17" s="76">
        <f t="shared" si="23"/>
        <v>7341.320000000001</v>
      </c>
      <c r="O17" s="74">
        <f t="shared" si="23"/>
        <v>0.9999999999999999</v>
      </c>
      <c r="P17" s="76">
        <f t="shared" si="23"/>
        <v>8361.15</v>
      </c>
      <c r="Q17" s="74">
        <f t="shared" si="23"/>
        <v>1</v>
      </c>
      <c r="R17" s="76">
        <f t="shared" si="23"/>
        <v>7915.03</v>
      </c>
      <c r="S17" s="74">
        <f t="shared" si="23"/>
        <v>1.0000000000000002</v>
      </c>
      <c r="T17" s="76">
        <f t="shared" si="23"/>
        <v>7956.619999999998</v>
      </c>
      <c r="U17" s="74">
        <f t="shared" si="23"/>
        <v>1</v>
      </c>
      <c r="V17" s="76">
        <f t="shared" si="23"/>
        <v>8389.01</v>
      </c>
      <c r="W17" s="74">
        <f t="shared" si="23"/>
        <v>0.9999999999999999</v>
      </c>
      <c r="X17" s="76">
        <f t="shared" si="23"/>
        <v>7054.56</v>
      </c>
      <c r="Y17" s="74">
        <f t="shared" si="23"/>
        <v>1</v>
      </c>
      <c r="Z17" s="76">
        <f aca="true" t="shared" si="24" ref="Z17:AE17">SUM(Z6:Z16)</f>
        <v>0</v>
      </c>
      <c r="AA17" s="74" t="e">
        <f t="shared" si="24"/>
        <v>#DIV/0!</v>
      </c>
      <c r="AB17" s="76">
        <f t="shared" si="24"/>
        <v>0</v>
      </c>
      <c r="AC17" s="74" t="e">
        <f t="shared" si="24"/>
        <v>#DIV/0!</v>
      </c>
      <c r="AD17" s="76">
        <f t="shared" si="24"/>
        <v>0</v>
      </c>
      <c r="AE17" s="74" t="e">
        <f t="shared" si="24"/>
        <v>#DIV/0!</v>
      </c>
      <c r="AF17" s="76">
        <f aca="true" t="shared" si="25" ref="AF17:AM17">SUM(AF6:AF16)</f>
        <v>0</v>
      </c>
      <c r="AG17" s="74" t="e">
        <f t="shared" si="25"/>
        <v>#DIV/0!</v>
      </c>
      <c r="AH17" s="76">
        <f t="shared" si="25"/>
        <v>0</v>
      </c>
      <c r="AI17" s="74" t="e">
        <f t="shared" si="25"/>
        <v>#DIV/0!</v>
      </c>
      <c r="AJ17" s="76">
        <f t="shared" si="25"/>
        <v>0</v>
      </c>
      <c r="AK17" s="74" t="e">
        <f t="shared" si="25"/>
        <v>#DIV/0!</v>
      </c>
      <c r="AL17" s="76">
        <f t="shared" si="25"/>
        <v>0</v>
      </c>
      <c r="AM17" s="74" t="e">
        <f t="shared" si="25"/>
        <v>#DIV/0!</v>
      </c>
      <c r="AN17" s="76">
        <f aca="true" t="shared" si="26" ref="AN17:AS17">SUM(AN6:AN16)</f>
        <v>0</v>
      </c>
      <c r="AO17" s="74" t="e">
        <f t="shared" si="26"/>
        <v>#DIV/0!</v>
      </c>
      <c r="AP17" s="76">
        <f t="shared" si="26"/>
        <v>0</v>
      </c>
      <c r="AQ17" s="74" t="e">
        <f t="shared" si="26"/>
        <v>#DIV/0!</v>
      </c>
      <c r="AR17" s="76">
        <f t="shared" si="26"/>
        <v>0</v>
      </c>
      <c r="AS17" s="74" t="e">
        <f t="shared" si="26"/>
        <v>#DIV/0!</v>
      </c>
      <c r="AT17" s="76">
        <f>SUM(AT6:AT16)</f>
        <v>0</v>
      </c>
      <c r="AU17" s="74" t="e">
        <f>SUM(AU6:AU16)</f>
        <v>#DIV/0!</v>
      </c>
      <c r="AV17" s="76">
        <f>SUM(AV6:AV16)</f>
        <v>0</v>
      </c>
      <c r="AW17" s="74" t="e">
        <f>SUM(AW6:AW16)</f>
        <v>#DIV/0!</v>
      </c>
      <c r="AX17" s="20">
        <f t="shared" si="23"/>
        <v>94907.47</v>
      </c>
      <c r="AY17" s="21">
        <f t="shared" si="23"/>
        <v>0.9999999999999998</v>
      </c>
      <c r="BA17" s="13"/>
      <c r="BB17"/>
    </row>
    <row r="18" spans="2:53" ht="15">
      <c r="B18" s="77"/>
      <c r="D18" s="77"/>
      <c r="F18" s="77"/>
      <c r="H18" s="77"/>
      <c r="J18" s="77"/>
      <c r="L18" s="77"/>
      <c r="N18" s="77"/>
      <c r="P18" s="77"/>
      <c r="R18" s="77"/>
      <c r="T18" s="77"/>
      <c r="X18" s="77"/>
      <c r="BA18" s="13"/>
    </row>
    <row r="19" spans="2:53" ht="15">
      <c r="B19" s="77"/>
      <c r="C19" s="77"/>
      <c r="D19" s="77"/>
      <c r="E19" s="77"/>
      <c r="F19" s="77"/>
      <c r="G19" s="77"/>
      <c r="H19" s="77"/>
      <c r="I19" s="77"/>
      <c r="J19" s="77"/>
      <c r="K19" s="77"/>
      <c r="L19" s="77"/>
      <c r="M19" s="77"/>
      <c r="N19" s="77"/>
      <c r="O19" s="77"/>
      <c r="P19" s="99"/>
      <c r="X19" s="77"/>
      <c r="BA19" s="13"/>
    </row>
    <row r="20" spans="7:53" ht="15">
      <c r="G20" s="197"/>
      <c r="H20" s="198"/>
      <c r="AJ20" s="142"/>
      <c r="BA20" s="13"/>
    </row>
    <row r="21" spans="7:53" ht="15">
      <c r="G21" s="197"/>
      <c r="H21" s="198"/>
      <c r="BA21" s="13"/>
    </row>
    <row r="22" spans="7:53" ht="15">
      <c r="G22" s="197"/>
      <c r="H22" s="198"/>
      <c r="BA22" s="13"/>
    </row>
    <row r="23" spans="7:8" ht="12.75">
      <c r="G23" s="197"/>
      <c r="H23" s="198"/>
    </row>
    <row r="24" spans="7:8" ht="12.75">
      <c r="G24" s="197"/>
      <c r="H24" s="198"/>
    </row>
    <row r="25" spans="7:8" ht="12.75">
      <c r="G25" s="197"/>
      <c r="H25" s="198"/>
    </row>
    <row r="26" spans="7:8" ht="12.75">
      <c r="G26" s="197"/>
      <c r="H26" s="198"/>
    </row>
    <row r="27" spans="7:8" ht="12.75">
      <c r="G27" s="197"/>
      <c r="H27" s="198"/>
    </row>
    <row r="28" spans="7:8" ht="12.75">
      <c r="G28" s="197"/>
      <c r="H28" s="198"/>
    </row>
    <row r="29" spans="7:8" ht="12.75">
      <c r="G29" s="197"/>
      <c r="H29" s="198"/>
    </row>
    <row r="30" spans="7:8" ht="12.75">
      <c r="G30" s="197"/>
      <c r="H30" s="198"/>
    </row>
    <row r="31" spans="7:8" ht="12.75">
      <c r="G31" s="197"/>
      <c r="H31" s="198"/>
    </row>
    <row r="32" spans="7:8" ht="12.75">
      <c r="G32" s="197"/>
      <c r="H32" s="198"/>
    </row>
  </sheetData>
  <sheetProtection/>
  <mergeCells count="1">
    <mergeCell ref="A3:B3"/>
  </mergeCells>
  <printOptions/>
  <pageMargins left="0.25" right="0.25" top="1" bottom="1" header="0.5" footer="0.5"/>
  <pageSetup fitToHeight="1" fitToWidth="1" horizontalDpi="600" verticalDpi="600" orientation="landscape" scale="62" r:id="rId1"/>
</worksheet>
</file>

<file path=xl/worksheets/sheet5.xml><?xml version="1.0" encoding="utf-8"?>
<worksheet xmlns="http://schemas.openxmlformats.org/spreadsheetml/2006/main" xmlns:r="http://schemas.openxmlformats.org/officeDocument/2006/relationships">
  <sheetPr>
    <pageSetUpPr fitToPage="1"/>
  </sheetPr>
  <dimension ref="B1:T224"/>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E79" sqref="E79"/>
    </sheetView>
  </sheetViews>
  <sheetFormatPr defaultColWidth="9.140625" defaultRowHeight="12.75"/>
  <cols>
    <col min="1" max="1" width="3.00390625" style="11" bestFit="1" customWidth="1"/>
    <col min="2" max="2" width="9.140625" style="11" customWidth="1"/>
    <col min="3" max="3" width="16.00390625" style="11" customWidth="1"/>
    <col min="4" max="5" width="12.7109375" style="11" bestFit="1" customWidth="1"/>
    <col min="6" max="6" width="10.7109375" style="11" bestFit="1" customWidth="1"/>
    <col min="7" max="7" width="10.421875" style="11" bestFit="1" customWidth="1"/>
    <col min="8" max="8" width="10.7109375" style="11" bestFit="1" customWidth="1"/>
    <col min="9" max="9" width="9.8515625" style="11" bestFit="1" customWidth="1"/>
    <col min="10" max="11" width="9.140625" style="11" bestFit="1" customWidth="1"/>
    <col min="12" max="12" width="11.00390625" style="11" bestFit="1" customWidth="1"/>
    <col min="13" max="13" width="13.28125" style="11" bestFit="1" customWidth="1"/>
    <col min="14" max="14" width="9.140625" style="11" customWidth="1"/>
    <col min="15" max="15" width="9.28125" style="11" bestFit="1" customWidth="1"/>
    <col min="16" max="16" width="10.421875" style="11" bestFit="1" customWidth="1"/>
    <col min="17" max="19" width="10.00390625" style="11" bestFit="1" customWidth="1"/>
    <col min="20" max="16384" width="9.140625" style="11" customWidth="1"/>
  </cols>
  <sheetData>
    <row r="1" spans="2:13" ht="12.75">
      <c r="B1" s="116"/>
      <c r="C1" s="551" t="s">
        <v>46</v>
      </c>
      <c r="D1" s="552"/>
      <c r="E1" s="552"/>
      <c r="F1" s="552"/>
      <c r="G1" s="552"/>
      <c r="H1" s="552"/>
      <c r="I1" s="552"/>
      <c r="J1" s="552"/>
      <c r="K1" s="552"/>
      <c r="L1" s="553"/>
      <c r="M1" s="117"/>
    </row>
    <row r="2" spans="2:13" ht="12.75">
      <c r="B2" s="78"/>
      <c r="C2" s="79"/>
      <c r="D2" s="118"/>
      <c r="E2" s="118"/>
      <c r="F2" s="80"/>
      <c r="G2" s="118"/>
      <c r="H2" s="118"/>
      <c r="I2" s="118"/>
      <c r="J2" s="80" t="s">
        <v>47</v>
      </c>
      <c r="K2" s="80" t="s">
        <v>48</v>
      </c>
      <c r="L2" s="80" t="s">
        <v>49</v>
      </c>
      <c r="M2" s="117"/>
    </row>
    <row r="3" spans="2:13" ht="12.75">
      <c r="B3" s="78" t="s">
        <v>50</v>
      </c>
      <c r="C3" s="81" t="s">
        <v>51</v>
      </c>
      <c r="D3" s="81" t="s">
        <v>52</v>
      </c>
      <c r="E3" s="81" t="s">
        <v>1</v>
      </c>
      <c r="F3" s="81" t="s">
        <v>53</v>
      </c>
      <c r="G3" s="81" t="s">
        <v>54</v>
      </c>
      <c r="H3" s="81" t="s">
        <v>2</v>
      </c>
      <c r="I3" s="81" t="s">
        <v>8</v>
      </c>
      <c r="J3" s="81" t="s">
        <v>55</v>
      </c>
      <c r="K3" s="81" t="s">
        <v>55</v>
      </c>
      <c r="L3" s="80" t="s">
        <v>56</v>
      </c>
      <c r="M3" s="117"/>
    </row>
    <row r="4" spans="2:13" ht="12.75">
      <c r="B4" s="119"/>
      <c r="C4" s="82"/>
      <c r="D4" s="119"/>
      <c r="E4" s="119"/>
      <c r="F4" s="119"/>
      <c r="G4" s="119"/>
      <c r="H4" s="119"/>
      <c r="I4" s="119"/>
      <c r="J4" s="119"/>
      <c r="K4" s="119"/>
      <c r="L4" s="119"/>
      <c r="M4" s="117"/>
    </row>
    <row r="5" spans="2:13" ht="12.75">
      <c r="B5" s="83">
        <v>43009</v>
      </c>
      <c r="C5" s="196">
        <v>61.99</v>
      </c>
      <c r="D5" s="196">
        <v>53.73</v>
      </c>
      <c r="E5" s="196">
        <v>97.09</v>
      </c>
      <c r="F5" s="196">
        <v>1546.29</v>
      </c>
      <c r="G5" s="196">
        <v>130.57</v>
      </c>
      <c r="H5" s="196">
        <v>-53.34</v>
      </c>
      <c r="I5" s="113">
        <v>159</v>
      </c>
      <c r="J5" s="113">
        <v>526</v>
      </c>
      <c r="K5" s="113">
        <v>365</v>
      </c>
      <c r="L5" s="196">
        <v>-55</v>
      </c>
      <c r="M5" s="117"/>
    </row>
    <row r="6" spans="2:14" ht="12.75">
      <c r="B6" s="83">
        <v>43040</v>
      </c>
      <c r="C6" s="112">
        <v>76.22</v>
      </c>
      <c r="D6" s="112">
        <v>48.21</v>
      </c>
      <c r="E6" s="112">
        <v>149.91</v>
      </c>
      <c r="F6" s="112">
        <v>1397.48</v>
      </c>
      <c r="G6" s="112">
        <v>131.09</v>
      </c>
      <c r="H6" s="112">
        <f aca="true" t="shared" si="0" ref="H6:H19">+H5</f>
        <v>-53.34</v>
      </c>
      <c r="I6" s="112">
        <v>99.45</v>
      </c>
      <c r="J6" s="112">
        <v>645</v>
      </c>
      <c r="K6" s="112">
        <v>365</v>
      </c>
      <c r="L6" s="112">
        <v>-45</v>
      </c>
      <c r="M6" s="117"/>
      <c r="N6" s="128"/>
    </row>
    <row r="7" spans="2:13" ht="12.75">
      <c r="B7" s="83">
        <v>43070</v>
      </c>
      <c r="C7" s="112">
        <v>84.4</v>
      </c>
      <c r="D7" s="112">
        <v>43.46</v>
      </c>
      <c r="E7" s="112">
        <v>161.15</v>
      </c>
      <c r="F7" s="112">
        <v>1294.38</v>
      </c>
      <c r="G7" s="112">
        <v>150.23</v>
      </c>
      <c r="H7" s="112">
        <f t="shared" si="0"/>
        <v>-53.34</v>
      </c>
      <c r="I7" s="112">
        <v>82.64</v>
      </c>
      <c r="J7" s="112">
        <v>610</v>
      </c>
      <c r="K7" s="112">
        <v>349.38</v>
      </c>
      <c r="L7" s="112">
        <v>-40</v>
      </c>
      <c r="M7" s="117"/>
    </row>
    <row r="8" spans="2:13" ht="12.75">
      <c r="B8" s="83">
        <v>43101</v>
      </c>
      <c r="C8" s="112">
        <v>52.82</v>
      </c>
      <c r="D8" s="112">
        <v>30.18</v>
      </c>
      <c r="E8" s="112">
        <v>148.97</v>
      </c>
      <c r="F8" s="112">
        <v>1546.21</v>
      </c>
      <c r="G8" s="112">
        <v>179.13</v>
      </c>
      <c r="H8" s="112">
        <f t="shared" si="0"/>
        <v>-53.34</v>
      </c>
      <c r="I8" s="112">
        <v>199.7</v>
      </c>
      <c r="J8" s="112">
        <v>620</v>
      </c>
      <c r="K8" s="112">
        <v>346</v>
      </c>
      <c r="L8" s="112">
        <v>-40</v>
      </c>
      <c r="M8" s="117"/>
    </row>
    <row r="9" spans="2:13" ht="12.75">
      <c r="B9" s="83">
        <v>43132</v>
      </c>
      <c r="C9" s="112">
        <v>61.63</v>
      </c>
      <c r="D9" s="112">
        <v>6.08</v>
      </c>
      <c r="E9" s="112">
        <v>109.1</v>
      </c>
      <c r="F9" s="112">
        <v>1224.44</v>
      </c>
      <c r="G9" s="112">
        <v>179.68</v>
      </c>
      <c r="H9" s="112">
        <f t="shared" si="0"/>
        <v>-53.34</v>
      </c>
      <c r="I9" s="112">
        <v>136</v>
      </c>
      <c r="J9" s="112">
        <v>640</v>
      </c>
      <c r="K9" s="134">
        <v>390</v>
      </c>
      <c r="L9" s="112">
        <v>-40</v>
      </c>
      <c r="M9" s="117"/>
    </row>
    <row r="10" spans="2:13" ht="12.75">
      <c r="B10" s="83">
        <v>43160</v>
      </c>
      <c r="C10" s="112">
        <v>47.32</v>
      </c>
      <c r="D10" s="112">
        <v>-6.82</v>
      </c>
      <c r="E10" s="112">
        <v>77.71</v>
      </c>
      <c r="F10" s="112">
        <v>1038.01</v>
      </c>
      <c r="G10" s="112">
        <v>183.54</v>
      </c>
      <c r="H10" s="112">
        <f t="shared" si="0"/>
        <v>-53.34</v>
      </c>
      <c r="I10" s="112">
        <v>175</v>
      </c>
      <c r="J10" s="112">
        <v>691.6</v>
      </c>
      <c r="K10" s="134">
        <v>450</v>
      </c>
      <c r="L10" s="112">
        <v>-30</v>
      </c>
      <c r="M10" s="120"/>
    </row>
    <row r="11" spans="2:13" ht="12.75">
      <c r="B11" s="83">
        <v>43191</v>
      </c>
      <c r="C11" s="112">
        <v>80.45</v>
      </c>
      <c r="D11" s="112">
        <v>-9.08</v>
      </c>
      <c r="E11" s="112">
        <v>86.87</v>
      </c>
      <c r="F11" s="112">
        <v>1520.62</v>
      </c>
      <c r="G11" s="112">
        <v>191.31</v>
      </c>
      <c r="H11" s="112">
        <f t="shared" si="0"/>
        <v>-53.34</v>
      </c>
      <c r="I11" s="112">
        <v>202</v>
      </c>
      <c r="J11" s="112">
        <v>780</v>
      </c>
      <c r="K11" s="112">
        <v>440</v>
      </c>
      <c r="L11" s="112">
        <v>-40</v>
      </c>
      <c r="M11" s="120"/>
    </row>
    <row r="12" spans="2:13" ht="12.75">
      <c r="B12" s="83">
        <v>43221</v>
      </c>
      <c r="C12" s="112">
        <v>84.38</v>
      </c>
      <c r="D12" s="112">
        <v>-8.62</v>
      </c>
      <c r="E12" s="112">
        <v>93.81</v>
      </c>
      <c r="F12" s="112">
        <v>1562.4</v>
      </c>
      <c r="G12" s="112">
        <v>181.89</v>
      </c>
      <c r="H12" s="112">
        <f t="shared" si="0"/>
        <v>-53.34</v>
      </c>
      <c r="I12" s="112">
        <v>181.1</v>
      </c>
      <c r="J12" s="112">
        <v>782</v>
      </c>
      <c r="K12" s="112">
        <v>397</v>
      </c>
      <c r="L12" s="112">
        <v>-40</v>
      </c>
      <c r="M12" s="120"/>
    </row>
    <row r="13" spans="2:13" ht="12.75">
      <c r="B13" s="83">
        <v>43252</v>
      </c>
      <c r="C13" s="112">
        <v>-13.2</v>
      </c>
      <c r="D13" s="112">
        <v>-6.72</v>
      </c>
      <c r="E13" s="112">
        <v>98.13</v>
      </c>
      <c r="F13" s="112">
        <v>1447.8</v>
      </c>
      <c r="G13" s="112">
        <v>178.36</v>
      </c>
      <c r="H13" s="112">
        <f t="shared" si="0"/>
        <v>-53.34</v>
      </c>
      <c r="I13" s="112">
        <v>231.02</v>
      </c>
      <c r="J13" s="112">
        <v>700</v>
      </c>
      <c r="K13" s="112">
        <v>300</v>
      </c>
      <c r="L13" s="112">
        <v>-40</v>
      </c>
      <c r="M13" s="120"/>
    </row>
    <row r="14" spans="2:13" ht="12.75">
      <c r="B14" s="83">
        <v>43282</v>
      </c>
      <c r="C14" s="84">
        <v>0</v>
      </c>
      <c r="D14" s="84">
        <v>3.5</v>
      </c>
      <c r="E14" s="84">
        <v>93.35</v>
      </c>
      <c r="F14" s="84">
        <v>1330.76</v>
      </c>
      <c r="G14" s="84">
        <v>174.43</v>
      </c>
      <c r="H14" s="112">
        <f t="shared" si="0"/>
        <v>-53.34</v>
      </c>
      <c r="I14" s="84">
        <v>212.5</v>
      </c>
      <c r="J14" s="84">
        <v>760</v>
      </c>
      <c r="K14" s="84">
        <v>330</v>
      </c>
      <c r="L14" s="84">
        <v>-40</v>
      </c>
      <c r="M14" s="120"/>
    </row>
    <row r="15" spans="2:13" ht="12.75">
      <c r="B15" s="83">
        <v>43313</v>
      </c>
      <c r="C15" s="84">
        <v>10</v>
      </c>
      <c r="D15" s="84">
        <v>8.77</v>
      </c>
      <c r="E15" s="84">
        <v>95.21</v>
      </c>
      <c r="F15" s="84">
        <v>1299.67</v>
      </c>
      <c r="G15" s="84">
        <v>158.91</v>
      </c>
      <c r="H15" s="112">
        <f t="shared" si="0"/>
        <v>-53.34</v>
      </c>
      <c r="I15" s="112">
        <v>220</v>
      </c>
      <c r="J15" s="112">
        <v>740</v>
      </c>
      <c r="K15" s="112">
        <v>300</v>
      </c>
      <c r="L15" s="112">
        <v>-40</v>
      </c>
      <c r="M15" s="120"/>
    </row>
    <row r="16" spans="2:13" ht="12.75">
      <c r="B16" s="83">
        <v>43344</v>
      </c>
      <c r="C16" s="84">
        <v>37.27</v>
      </c>
      <c r="D16" s="84">
        <v>12.14</v>
      </c>
      <c r="E16" s="84">
        <v>96.55</v>
      </c>
      <c r="F16" s="84">
        <v>1231.69</v>
      </c>
      <c r="G16" s="84">
        <v>146.06</v>
      </c>
      <c r="H16" s="112">
        <f t="shared" si="0"/>
        <v>-53.34</v>
      </c>
      <c r="I16" s="84">
        <v>169.2</v>
      </c>
      <c r="J16" s="84">
        <v>700</v>
      </c>
      <c r="K16" s="84">
        <v>280</v>
      </c>
      <c r="L16" s="84">
        <v>-140</v>
      </c>
      <c r="M16" s="120"/>
    </row>
    <row r="17" spans="2:13" ht="12.75" hidden="1">
      <c r="B17" s="83">
        <v>43374</v>
      </c>
      <c r="C17" s="112"/>
      <c r="D17" s="112"/>
      <c r="E17" s="112"/>
      <c r="F17" s="112"/>
      <c r="G17" s="112"/>
      <c r="H17" s="112">
        <f t="shared" si="0"/>
        <v>-53.34</v>
      </c>
      <c r="I17" s="112"/>
      <c r="J17" s="112"/>
      <c r="K17" s="112"/>
      <c r="L17" s="112"/>
      <c r="M17" s="120"/>
    </row>
    <row r="18" spans="2:13" ht="12.75" hidden="1">
      <c r="B18" s="83">
        <v>43405</v>
      </c>
      <c r="C18" s="112"/>
      <c r="D18" s="112"/>
      <c r="E18" s="112"/>
      <c r="F18" s="112"/>
      <c r="G18" s="112"/>
      <c r="H18" s="112">
        <f t="shared" si="0"/>
        <v>-53.34</v>
      </c>
      <c r="I18" s="112"/>
      <c r="J18" s="112"/>
      <c r="K18" s="112"/>
      <c r="L18" s="112"/>
      <c r="M18" s="120"/>
    </row>
    <row r="19" spans="2:13" ht="12.75" hidden="1">
      <c r="B19" s="83">
        <v>43435</v>
      </c>
      <c r="C19" s="112"/>
      <c r="D19" s="112"/>
      <c r="E19" s="112"/>
      <c r="F19" s="112"/>
      <c r="G19" s="112"/>
      <c r="H19" s="112">
        <f t="shared" si="0"/>
        <v>-53.34</v>
      </c>
      <c r="I19" s="112"/>
      <c r="J19" s="112"/>
      <c r="K19" s="112"/>
      <c r="L19" s="112"/>
      <c r="M19" s="120"/>
    </row>
    <row r="20" spans="2:12" ht="12.75" hidden="1">
      <c r="B20" s="83">
        <v>43466</v>
      </c>
      <c r="C20" s="112"/>
      <c r="D20" s="112"/>
      <c r="E20" s="112"/>
      <c r="F20" s="112"/>
      <c r="G20" s="85"/>
      <c r="H20" s="84">
        <f>+H19</f>
        <v>-53.34</v>
      </c>
      <c r="I20" s="112"/>
      <c r="J20" s="112"/>
      <c r="K20" s="112"/>
      <c r="L20" s="112"/>
    </row>
    <row r="21" spans="2:13" ht="12.75" hidden="1">
      <c r="B21" s="83">
        <v>43497</v>
      </c>
      <c r="C21" s="112"/>
      <c r="D21" s="112"/>
      <c r="E21" s="112"/>
      <c r="F21" s="112"/>
      <c r="G21" s="112"/>
      <c r="H21" s="84">
        <f>+H20</f>
        <v>-53.34</v>
      </c>
      <c r="I21" s="85"/>
      <c r="J21" s="112"/>
      <c r="K21" s="112"/>
      <c r="L21" s="112"/>
      <c r="M21" s="120"/>
    </row>
    <row r="22" spans="2:13" ht="12.75" hidden="1">
      <c r="B22" s="83">
        <v>43525</v>
      </c>
      <c r="C22" s="112"/>
      <c r="D22" s="112"/>
      <c r="E22" s="112"/>
      <c r="F22" s="112"/>
      <c r="G22" s="112"/>
      <c r="H22" s="112">
        <v>-53.34</v>
      </c>
      <c r="I22" s="112"/>
      <c r="J22" s="112"/>
      <c r="K22" s="112"/>
      <c r="L22" s="112"/>
      <c r="M22" s="120"/>
    </row>
    <row r="23" spans="2:13" ht="12.75" hidden="1">
      <c r="B23" s="83">
        <v>43556</v>
      </c>
      <c r="C23" s="85"/>
      <c r="D23" s="85"/>
      <c r="E23" s="85"/>
      <c r="F23" s="85"/>
      <c r="G23" s="85"/>
      <c r="H23" s="84">
        <v>-53.34</v>
      </c>
      <c r="I23" s="85"/>
      <c r="J23" s="85"/>
      <c r="K23" s="85"/>
      <c r="L23" s="85"/>
      <c r="M23" s="120"/>
    </row>
    <row r="24" spans="2:13" ht="12.75" hidden="1">
      <c r="B24" s="83">
        <v>43586</v>
      </c>
      <c r="C24" s="85"/>
      <c r="D24" s="85"/>
      <c r="E24" s="85"/>
      <c r="F24" s="85"/>
      <c r="G24" s="85"/>
      <c r="H24" s="84">
        <v>-53.34</v>
      </c>
      <c r="I24" s="85"/>
      <c r="J24" s="85"/>
      <c r="K24" s="135"/>
      <c r="L24" s="85"/>
      <c r="M24" s="120"/>
    </row>
    <row r="25" spans="2:13" ht="12.75" hidden="1">
      <c r="B25" s="83">
        <v>43617</v>
      </c>
      <c r="C25" s="85"/>
      <c r="D25" s="85"/>
      <c r="E25" s="85"/>
      <c r="F25" s="85"/>
      <c r="G25" s="85"/>
      <c r="H25" s="84">
        <f>+H24</f>
        <v>-53.34</v>
      </c>
      <c r="I25" s="85"/>
      <c r="J25" s="85"/>
      <c r="K25" s="135"/>
      <c r="L25" s="85"/>
      <c r="M25" s="120"/>
    </row>
    <row r="26" spans="2:20" ht="12.75" hidden="1">
      <c r="B26" s="83">
        <v>43647</v>
      </c>
      <c r="C26" s="85"/>
      <c r="D26" s="85"/>
      <c r="E26" s="85"/>
      <c r="F26" s="85"/>
      <c r="G26" s="85"/>
      <c r="H26" s="84">
        <v>-53.34</v>
      </c>
      <c r="I26" s="85"/>
      <c r="J26" s="85"/>
      <c r="K26" s="135"/>
      <c r="L26" s="85"/>
      <c r="M26" s="120"/>
      <c r="O26" s="128"/>
      <c r="P26" s="128"/>
      <c r="Q26" s="128"/>
      <c r="R26" s="128"/>
      <c r="S26" s="128"/>
      <c r="T26" s="128"/>
    </row>
    <row r="27" spans="2:13" ht="12.75" hidden="1">
      <c r="B27" s="83">
        <v>43678</v>
      </c>
      <c r="C27" s="85"/>
      <c r="D27" s="85"/>
      <c r="E27" s="85"/>
      <c r="F27" s="85"/>
      <c r="G27" s="85"/>
      <c r="H27" s="84">
        <f>+H26</f>
        <v>-53.34</v>
      </c>
      <c r="I27" s="85"/>
      <c r="J27" s="85"/>
      <c r="K27" s="85"/>
      <c r="L27" s="85"/>
      <c r="M27" s="120"/>
    </row>
    <row r="28" spans="2:13" s="124" customFormat="1" ht="12.75" hidden="1">
      <c r="B28" s="83">
        <v>43709</v>
      </c>
      <c r="C28" s="85"/>
      <c r="D28" s="85"/>
      <c r="E28" s="85"/>
      <c r="F28" s="85"/>
      <c r="G28" s="85"/>
      <c r="H28" s="85">
        <f>+H27</f>
        <v>-53.34</v>
      </c>
      <c r="I28" s="85"/>
      <c r="J28" s="85"/>
      <c r="K28" s="85"/>
      <c r="L28" s="85"/>
      <c r="M28" s="123"/>
    </row>
    <row r="29" spans="2:12" s="115" customFormat="1" ht="15">
      <c r="B29" s="115" t="s">
        <v>57</v>
      </c>
      <c r="C29" s="114">
        <f aca="true" t="shared" si="1" ref="C29:L29">AVERAGE(C5:C28)</f>
        <v>48.60666666666666</v>
      </c>
      <c r="D29" s="114">
        <f t="shared" si="1"/>
        <v>14.56916666666667</v>
      </c>
      <c r="E29" s="114">
        <f t="shared" si="1"/>
        <v>108.98750000000001</v>
      </c>
      <c r="F29" s="114">
        <f>AVERAGE(F5:F28)</f>
        <v>1369.9791666666667</v>
      </c>
      <c r="G29" s="114">
        <f t="shared" si="1"/>
        <v>165.43333333333337</v>
      </c>
      <c r="H29" s="114">
        <f t="shared" si="1"/>
        <v>-53.34</v>
      </c>
      <c r="I29" s="114">
        <f t="shared" si="1"/>
        <v>172.30083333333332</v>
      </c>
      <c r="J29" s="114">
        <f t="shared" si="1"/>
        <v>682.8833333333333</v>
      </c>
      <c r="K29" s="114">
        <f t="shared" si="1"/>
        <v>359.365</v>
      </c>
      <c r="L29" s="114">
        <f t="shared" si="1"/>
        <v>-49.166666666666664</v>
      </c>
    </row>
    <row r="30" spans="9:10" ht="15">
      <c r="I30" s="114">
        <f>AVERAGE(I29:L29)</f>
        <v>291.345625</v>
      </c>
      <c r="J30" s="115" t="s">
        <v>58</v>
      </c>
    </row>
    <row r="31" spans="3:13" ht="12.75">
      <c r="C31" s="128"/>
      <c r="D31" s="128"/>
      <c r="E31" s="128"/>
      <c r="F31" s="128"/>
      <c r="G31" s="128"/>
      <c r="H31" s="128"/>
      <c r="I31" s="128"/>
      <c r="J31" s="128"/>
      <c r="K31" s="128"/>
      <c r="L31" s="128"/>
      <c r="M31" s="128"/>
    </row>
    <row r="32" ht="12.75">
      <c r="B32" s="125" t="s">
        <v>59</v>
      </c>
    </row>
    <row r="33" spans="2:14" ht="12.75">
      <c r="B33" s="11" t="s">
        <v>147</v>
      </c>
      <c r="C33" s="126">
        <f>+Composition!$C$6</f>
        <v>0.2277122695312302</v>
      </c>
      <c r="D33" s="126">
        <f>+Composition!$C$7</f>
        <v>0.15310933230592969</v>
      </c>
      <c r="E33" s="126">
        <f>+Composition!$C$8</f>
        <v>0.2225541287938315</v>
      </c>
      <c r="F33" s="126">
        <f>+Composition!$C$9</f>
        <v>0.00503267244919168</v>
      </c>
      <c r="G33" s="126">
        <f>+Composition!$C$10</f>
        <v>0.012421360532492485</v>
      </c>
      <c r="H33" s="126">
        <f>+Composition!$C$11</f>
        <v>0.2182920090641333</v>
      </c>
      <c r="I33" s="126">
        <f>+Composition!$C$12</f>
        <v>0.012995473002772975</v>
      </c>
      <c r="J33" s="126">
        <f>+Composition!$C$13</f>
        <v>0.002827472232220256</v>
      </c>
      <c r="K33" s="126">
        <f>+Composition!$C$14</f>
        <v>0.0030340513330055106</v>
      </c>
      <c r="L33" s="126">
        <f>+Composition!$C$15</f>
        <v>0.007403896360659228</v>
      </c>
      <c r="M33" s="121">
        <f>SUM(C33:L33)</f>
        <v>0.8653826656054666</v>
      </c>
      <c r="N33" s="144"/>
    </row>
    <row r="34" spans="2:16" ht="12.75">
      <c r="B34" s="11" t="s">
        <v>7</v>
      </c>
      <c r="C34" s="127">
        <f aca="true" t="shared" si="2" ref="C34:L34">+C33*$M34</f>
        <v>926.7274546793335</v>
      </c>
      <c r="D34" s="127">
        <f t="shared" si="2"/>
        <v>623.1136429654113</v>
      </c>
      <c r="E34" s="127">
        <f t="shared" si="2"/>
        <v>905.7352145761198</v>
      </c>
      <c r="F34" s="127">
        <f t="shared" si="2"/>
        <v>20.481618046648855</v>
      </c>
      <c r="G34" s="127">
        <f t="shared" si="2"/>
        <v>50.551583599900646</v>
      </c>
      <c r="H34" s="127">
        <f t="shared" si="2"/>
        <v>888.3895380485752</v>
      </c>
      <c r="I34" s="127">
        <f t="shared" si="2"/>
        <v>52.88806634357526</v>
      </c>
      <c r="J34" s="127">
        <f t="shared" si="2"/>
        <v>11.507048567633744</v>
      </c>
      <c r="K34" s="127">
        <f t="shared" si="2"/>
        <v>12.347769731472516</v>
      </c>
      <c r="L34" s="127">
        <f t="shared" si="2"/>
        <v>30.13185913586568</v>
      </c>
      <c r="M34" s="122">
        <f>+'2018-2019 Recy. Tons &amp; Revenue'!$C$7</f>
        <v>4069.73</v>
      </c>
      <c r="N34" s="144"/>
      <c r="O34" s="122">
        <f>SUM(C34:L34)</f>
        <v>3521.8737956945365</v>
      </c>
      <c r="P34" s="122">
        <f>+M34-O34</f>
        <v>547.8562043054635</v>
      </c>
    </row>
    <row r="35" spans="2:14" ht="12.75">
      <c r="B35" s="11" t="s">
        <v>97</v>
      </c>
      <c r="C35" s="89">
        <f aca="true" t="shared" si="3" ref="C35:L35">+C34*C5</f>
        <v>57447.83491557188</v>
      </c>
      <c r="D35" s="89">
        <f t="shared" si="3"/>
        <v>33479.89603653154</v>
      </c>
      <c r="E35" s="89">
        <f t="shared" si="3"/>
        <v>87937.83198319547</v>
      </c>
      <c r="F35" s="89">
        <f t="shared" si="3"/>
        <v>31670.521169352658</v>
      </c>
      <c r="G35" s="89">
        <f t="shared" si="3"/>
        <v>6600.520270639027</v>
      </c>
      <c r="H35" s="89">
        <f t="shared" si="3"/>
        <v>-47386.697959511</v>
      </c>
      <c r="I35" s="89">
        <f t="shared" si="3"/>
        <v>8409.202548628466</v>
      </c>
      <c r="J35" s="89">
        <f t="shared" si="3"/>
        <v>6052.70754657535</v>
      </c>
      <c r="K35" s="89">
        <f t="shared" si="3"/>
        <v>4506.935951987468</v>
      </c>
      <c r="L35" s="89">
        <f t="shared" si="3"/>
        <v>-1657.2522524726126</v>
      </c>
      <c r="M35" s="122">
        <f>SUM(C35:L35)</f>
        <v>187061.50021049826</v>
      </c>
      <c r="N35" s="144"/>
    </row>
    <row r="36" spans="3:14" ht="12.75">
      <c r="C36" s="126"/>
      <c r="D36" s="126"/>
      <c r="E36" s="126"/>
      <c r="F36" s="126"/>
      <c r="G36" s="126"/>
      <c r="H36" s="126"/>
      <c r="I36" s="126"/>
      <c r="J36" s="126"/>
      <c r="K36" s="126"/>
      <c r="L36" s="126"/>
      <c r="N36" s="144"/>
    </row>
    <row r="37" spans="2:14" ht="12.75">
      <c r="B37" s="11" t="s">
        <v>61</v>
      </c>
      <c r="C37" s="126">
        <f>+Composition!$E$6</f>
        <v>0.25888726151100416</v>
      </c>
      <c r="D37" s="126">
        <f>+Composition!$E$7</f>
        <v>0.1425902305595701</v>
      </c>
      <c r="E37" s="126">
        <f>+Composition!$E$8</f>
        <v>0.2017869094154049</v>
      </c>
      <c r="F37" s="126">
        <f>+Composition!$E$9</f>
        <v>0.004319960813602724</v>
      </c>
      <c r="G37" s="126">
        <f>+Composition!$E$10</f>
        <v>0.015036809994471226</v>
      </c>
      <c r="H37" s="126">
        <f>+Composition!$E$11</f>
        <v>0.21042804349302113</v>
      </c>
      <c r="I37" s="126">
        <f>+Composition!$E$12</f>
        <v>0.010356751408867377</v>
      </c>
      <c r="J37" s="126">
        <f>+Composition!$E$13</f>
        <v>0.004300561607030272</v>
      </c>
      <c r="K37" s="126">
        <f>+Composition!$E$14</f>
        <v>0.0022187842517241044</v>
      </c>
      <c r="L37" s="126">
        <f>+Composition!$E$15</f>
        <v>0.004175679214720117</v>
      </c>
      <c r="M37" s="121">
        <f>SUM(C37:L37)</f>
        <v>0.854100992269416</v>
      </c>
      <c r="N37" s="144"/>
    </row>
    <row r="38" spans="2:16" ht="12.75">
      <c r="B38" s="11" t="s">
        <v>7</v>
      </c>
      <c r="C38" s="127">
        <f aca="true" t="shared" si="4" ref="C38:L38">+C37*$M38</f>
        <v>1116.8551793941626</v>
      </c>
      <c r="D38" s="127">
        <f t="shared" si="4"/>
        <v>615.142810047819</v>
      </c>
      <c r="E38" s="127">
        <f t="shared" si="4"/>
        <v>870.5208344326217</v>
      </c>
      <c r="F38" s="127">
        <f t="shared" si="4"/>
        <v>18.636570147530968</v>
      </c>
      <c r="G38" s="127">
        <f t="shared" si="4"/>
        <v>64.86970052474854</v>
      </c>
      <c r="H38" s="127">
        <f t="shared" si="4"/>
        <v>907.7992053115029</v>
      </c>
      <c r="I38" s="127">
        <f t="shared" si="4"/>
        <v>44.6796469829384</v>
      </c>
      <c r="J38" s="127">
        <f t="shared" si="4"/>
        <v>18.552880806425016</v>
      </c>
      <c r="K38" s="127">
        <f t="shared" si="4"/>
        <v>9.571968388992891</v>
      </c>
      <c r="L38" s="127">
        <f t="shared" si="4"/>
        <v>18.014130673055472</v>
      </c>
      <c r="M38" s="122">
        <f>+'2018-2019 Recy. Tons &amp; Revenue'!$C$8</f>
        <v>4314.06</v>
      </c>
      <c r="N38" s="144"/>
      <c r="O38" s="122">
        <f>SUM(C38:L38)</f>
        <v>3684.6429267097974</v>
      </c>
      <c r="P38" s="122">
        <f>+M38-O38</f>
        <v>629.417073290203</v>
      </c>
    </row>
    <row r="39" spans="2:14" ht="12.75">
      <c r="B39" s="11" t="s">
        <v>97</v>
      </c>
      <c r="C39" s="89">
        <f aca="true" t="shared" si="5" ref="C39:L39">+C38*C6</f>
        <v>85126.70177342308</v>
      </c>
      <c r="D39" s="89">
        <f t="shared" si="5"/>
        <v>29656.034872405355</v>
      </c>
      <c r="E39" s="89">
        <f t="shared" si="5"/>
        <v>130499.77828979431</v>
      </c>
      <c r="F39" s="89">
        <f t="shared" si="5"/>
        <v>26044.234049771578</v>
      </c>
      <c r="G39" s="89">
        <f t="shared" si="5"/>
        <v>8503.769041789286</v>
      </c>
      <c r="H39" s="89">
        <f t="shared" si="5"/>
        <v>-48422.00961131557</v>
      </c>
      <c r="I39" s="89">
        <f t="shared" si="5"/>
        <v>4443.390892453224</v>
      </c>
      <c r="J39" s="89">
        <f t="shared" si="5"/>
        <v>11966.608120144136</v>
      </c>
      <c r="K39" s="89">
        <f t="shared" si="5"/>
        <v>3493.7684619824054</v>
      </c>
      <c r="L39" s="89">
        <f t="shared" si="5"/>
        <v>-810.6358802874962</v>
      </c>
      <c r="M39" s="122">
        <f>SUM(C39:L39)</f>
        <v>250501.6400101603</v>
      </c>
      <c r="N39" s="144"/>
    </row>
    <row r="40" ht="12.75">
      <c r="N40" s="144"/>
    </row>
    <row r="41" spans="2:14" ht="12.75">
      <c r="B41" s="11" t="s">
        <v>62</v>
      </c>
      <c r="C41" s="126">
        <f>+Composition!$G$6</f>
        <v>0.24176281917773979</v>
      </c>
      <c r="D41" s="126">
        <f>+Composition!$G$7</f>
        <v>0.13880020288200254</v>
      </c>
      <c r="E41" s="126">
        <f>+Composition!$G$8</f>
        <v>0.2668290376091287</v>
      </c>
      <c r="F41" s="126">
        <f>+Composition!$G$9</f>
        <v>0.003778309757693221</v>
      </c>
      <c r="G41" s="126">
        <f>+Composition!$G$10</f>
        <v>0.01256618780306724</v>
      </c>
      <c r="H41" s="126">
        <f>+Composition!$G$11</f>
        <v>0.18799541310255094</v>
      </c>
      <c r="I41" s="126">
        <f>+Composition!$G$12</f>
        <v>0.009802288058139905</v>
      </c>
      <c r="J41" s="126">
        <f>+Composition!$G$13</f>
        <v>0.002733271423285855</v>
      </c>
      <c r="K41" s="126">
        <f>+Composition!$G$14</f>
        <v>0.0015375417464023973</v>
      </c>
      <c r="L41" s="126">
        <f>+Composition!$G$15</f>
        <v>0.004060090316794856</v>
      </c>
      <c r="M41" s="121">
        <f>SUM(C41:L41)</f>
        <v>0.8698651618768055</v>
      </c>
      <c r="N41" s="144"/>
    </row>
    <row r="42" spans="2:16" ht="12.75">
      <c r="B42" s="11" t="s">
        <v>7</v>
      </c>
      <c r="C42" s="127">
        <f aca="true" t="shared" si="6" ref="C42:L42">+C41*$M42</f>
        <v>1044.2195509643018</v>
      </c>
      <c r="D42" s="127">
        <f t="shared" si="6"/>
        <v>599.5044482859165</v>
      </c>
      <c r="E42" s="127">
        <f t="shared" si="6"/>
        <v>1152.4853109509725</v>
      </c>
      <c r="F42" s="127">
        <f t="shared" si="6"/>
        <v>16.319237722330982</v>
      </c>
      <c r="G42" s="127">
        <f t="shared" si="6"/>
        <v>54.27575269712999</v>
      </c>
      <c r="H42" s="127">
        <f t="shared" si="6"/>
        <v>811.9879083184069</v>
      </c>
      <c r="I42" s="127">
        <f t="shared" si="6"/>
        <v>42.3379445578373</v>
      </c>
      <c r="J42" s="127">
        <f t="shared" si="6"/>
        <v>11.805518598742031</v>
      </c>
      <c r="K42" s="127">
        <f t="shared" si="6"/>
        <v>6.640934935643769</v>
      </c>
      <c r="L42" s="127">
        <f t="shared" si="6"/>
        <v>17.536301495397172</v>
      </c>
      <c r="M42" s="122">
        <f>+'2018-2019 Recy. Tons &amp; Revenue'!$C$9</f>
        <v>4319.19</v>
      </c>
      <c r="N42" s="144"/>
      <c r="O42" s="122">
        <f>SUM(C42:L42)</f>
        <v>3757.112908526678</v>
      </c>
      <c r="P42" s="122">
        <f>+M42-O42</f>
        <v>562.0770914733216</v>
      </c>
    </row>
    <row r="43" spans="2:14" ht="12.75">
      <c r="B43" s="11" t="s">
        <v>97</v>
      </c>
      <c r="C43" s="89">
        <f aca="true" t="shared" si="7" ref="C43:L43">+C42*C7</f>
        <v>88132.13010138708</v>
      </c>
      <c r="D43" s="89">
        <f t="shared" si="7"/>
        <v>26054.463322505933</v>
      </c>
      <c r="E43" s="89">
        <f t="shared" si="7"/>
        <v>185723.00785974922</v>
      </c>
      <c r="F43" s="89">
        <f t="shared" si="7"/>
        <v>21123.29492303078</v>
      </c>
      <c r="G43" s="89">
        <f t="shared" si="7"/>
        <v>8153.846327689837</v>
      </c>
      <c r="H43" s="89">
        <f t="shared" si="7"/>
        <v>-43311.435029703825</v>
      </c>
      <c r="I43" s="89">
        <f t="shared" si="7"/>
        <v>3498.8077382596744</v>
      </c>
      <c r="J43" s="89">
        <f t="shared" si="7"/>
        <v>7201.366345232639</v>
      </c>
      <c r="K43" s="89">
        <f t="shared" si="7"/>
        <v>2320.20984781522</v>
      </c>
      <c r="L43" s="89">
        <f t="shared" si="7"/>
        <v>-701.4520598158869</v>
      </c>
      <c r="M43" s="122">
        <f>SUM(C43:L43)</f>
        <v>298194.23937615065</v>
      </c>
      <c r="N43" s="144"/>
    </row>
    <row r="44" ht="12.75">
      <c r="N44" s="144"/>
    </row>
    <row r="45" spans="2:14" ht="12.75">
      <c r="B45" s="11" t="s">
        <v>148</v>
      </c>
      <c r="C45" s="126">
        <f>+Composition!$I$6</f>
        <v>0.24470288088544076</v>
      </c>
      <c r="D45" s="126">
        <f>+Composition!$I$7</f>
        <v>0.13935215666037937</v>
      </c>
      <c r="E45" s="126">
        <f>+Composition!$I$8</f>
        <v>0.2440722979465461</v>
      </c>
      <c r="F45" s="126">
        <f>+Composition!$I$9</f>
        <v>0.0028960105341827107</v>
      </c>
      <c r="G45" s="126">
        <f>+Composition!$I$10</f>
        <v>0.013763835011922132</v>
      </c>
      <c r="H45" s="126">
        <f>+Composition!$I$11</f>
        <v>0.23376610377593507</v>
      </c>
      <c r="I45" s="126">
        <f>+Composition!$I$12</f>
        <v>0.010425193067368945</v>
      </c>
      <c r="J45" s="126">
        <f>+Composition!$I$13</f>
        <v>0.003969224883447809</v>
      </c>
      <c r="K45" s="126">
        <f>+Composition!$I$14</f>
        <v>0.0013968468628776825</v>
      </c>
      <c r="L45" s="126">
        <f>+Composition!$I$15</f>
        <v>0.004071541691875156</v>
      </c>
      <c r="M45" s="121">
        <f>SUM(C45:L45)</f>
        <v>0.8984160913199759</v>
      </c>
      <c r="N45" s="144"/>
    </row>
    <row r="46" spans="2:16" ht="12.75">
      <c r="B46" s="11" t="s">
        <v>7</v>
      </c>
      <c r="C46" s="127">
        <f aca="true" t="shared" si="8" ref="C46:L46">+C45*$M46</f>
        <v>1171.1651171193814</v>
      </c>
      <c r="D46" s="127">
        <f t="shared" si="8"/>
        <v>666.9491764275418</v>
      </c>
      <c r="E46" s="127">
        <f t="shared" si="8"/>
        <v>1168.1471030330258</v>
      </c>
      <c r="F46" s="127">
        <f t="shared" si="8"/>
        <v>13.860509137335846</v>
      </c>
      <c r="G46" s="127">
        <f t="shared" si="8"/>
        <v>65.87467783551016</v>
      </c>
      <c r="H46" s="127">
        <f t="shared" si="8"/>
        <v>1118.8209362988896</v>
      </c>
      <c r="I46" s="127">
        <f t="shared" si="8"/>
        <v>49.89570378394248</v>
      </c>
      <c r="J46" s="127">
        <f t="shared" si="8"/>
        <v>18.996988137923054</v>
      </c>
      <c r="K46" s="127">
        <f t="shared" si="8"/>
        <v>6.68540686501299</v>
      </c>
      <c r="L46" s="127">
        <f t="shared" si="8"/>
        <v>19.486683545232925</v>
      </c>
      <c r="M46" s="122">
        <f>+'2018-2019 Recy. Tons &amp; Revenue'!C10</f>
        <v>4786.07</v>
      </c>
      <c r="N46" s="144"/>
      <c r="O46" s="122">
        <f>SUM(C46:L46)</f>
        <v>4299.882302183797</v>
      </c>
      <c r="P46" s="122">
        <f>+M46-O46</f>
        <v>486.1876978162027</v>
      </c>
    </row>
    <row r="47" spans="2:14" ht="12.75">
      <c r="B47" s="11" t="s">
        <v>97</v>
      </c>
      <c r="C47" s="89">
        <f aca="true" t="shared" si="9" ref="C47:L47">+C46*C8</f>
        <v>61860.94148624573</v>
      </c>
      <c r="D47" s="89">
        <f t="shared" si="9"/>
        <v>20128.52614458321</v>
      </c>
      <c r="E47" s="89">
        <f t="shared" si="9"/>
        <v>174018.87393882984</v>
      </c>
      <c r="F47" s="89">
        <f t="shared" si="9"/>
        <v>21431.25783324006</v>
      </c>
      <c r="G47" s="89">
        <f t="shared" si="9"/>
        <v>11800.131040674934</v>
      </c>
      <c r="H47" s="89">
        <f t="shared" si="9"/>
        <v>-59677.90874218277</v>
      </c>
      <c r="I47" s="89">
        <f t="shared" si="9"/>
        <v>9964.172045653313</v>
      </c>
      <c r="J47" s="89">
        <f t="shared" si="9"/>
        <v>11778.132645512294</v>
      </c>
      <c r="K47" s="89">
        <f t="shared" si="9"/>
        <v>2313.1507752944945</v>
      </c>
      <c r="L47" s="89">
        <f t="shared" si="9"/>
        <v>-779.467341809317</v>
      </c>
      <c r="M47" s="122">
        <f>SUM(C47:L47)</f>
        <v>252837.80982604172</v>
      </c>
      <c r="N47" s="144"/>
    </row>
    <row r="48" spans="3:14" ht="12.75">
      <c r="C48" s="126"/>
      <c r="D48" s="126"/>
      <c r="E48" s="126"/>
      <c r="F48" s="126"/>
      <c r="G48" s="126"/>
      <c r="H48" s="126"/>
      <c r="I48" s="126"/>
      <c r="J48" s="126"/>
      <c r="K48" s="126"/>
      <c r="L48" s="126"/>
      <c r="N48" s="144"/>
    </row>
    <row r="49" spans="2:14" ht="12.75">
      <c r="B49" s="11" t="s">
        <v>63</v>
      </c>
      <c r="C49" s="126">
        <f>+Composition!$K$6</f>
        <v>0.22868164730257576</v>
      </c>
      <c r="D49" s="126">
        <f>+Composition!$K$7</f>
        <v>0.12359758298581662</v>
      </c>
      <c r="E49" s="126">
        <f>+Composition!$K$8</f>
        <v>0.2816455417592318</v>
      </c>
      <c r="F49" s="126">
        <f>+Composition!$K$9</f>
        <v>0.0033646269563405535</v>
      </c>
      <c r="G49" s="126">
        <f>+Composition!$K$10</f>
        <v>0.012509134235849637</v>
      </c>
      <c r="H49" s="126">
        <f>+Composition!$K$11</f>
        <v>0.17280653615103111</v>
      </c>
      <c r="I49" s="126">
        <f>+Composition!$K$12</f>
        <v>0.014566354904314292</v>
      </c>
      <c r="J49" s="126">
        <f>+Composition!$K$13</f>
        <v>0.002443132962192334</v>
      </c>
      <c r="K49" s="126">
        <f>+Composition!$K$14</f>
        <v>0.0020983063879489714</v>
      </c>
      <c r="L49" s="126">
        <f>+Composition!$K$15</f>
        <v>0.003986782137103046</v>
      </c>
      <c r="M49" s="121">
        <f>SUM(C49:L49)</f>
        <v>0.8456996457824041</v>
      </c>
      <c r="N49" s="144"/>
    </row>
    <row r="50" spans="2:16" ht="12.75">
      <c r="B50" s="11" t="s">
        <v>7</v>
      </c>
      <c r="C50" s="127">
        <f aca="true" t="shared" si="10" ref="C50:L50">+C49*$M50</f>
        <v>751.6651406012013</v>
      </c>
      <c r="D50" s="127">
        <f t="shared" si="10"/>
        <v>406.2590753952299</v>
      </c>
      <c r="E50" s="127">
        <f t="shared" si="10"/>
        <v>925.7548134855069</v>
      </c>
      <c r="F50" s="127">
        <f t="shared" si="10"/>
        <v>11.059360574143582</v>
      </c>
      <c r="G50" s="127">
        <f t="shared" si="10"/>
        <v>41.11689877652596</v>
      </c>
      <c r="H50" s="127">
        <f t="shared" si="10"/>
        <v>568.0064440016317</v>
      </c>
      <c r="I50" s="127">
        <f t="shared" si="10"/>
        <v>47.87888025273586</v>
      </c>
      <c r="J50" s="127">
        <f t="shared" si="10"/>
        <v>8.030455890078091</v>
      </c>
      <c r="K50" s="127">
        <f t="shared" si="10"/>
        <v>6.897028181868872</v>
      </c>
      <c r="L50" s="127">
        <f t="shared" si="10"/>
        <v>13.104353545550858</v>
      </c>
      <c r="M50" s="122">
        <f>+'2018-2019 Recy. Tons &amp; Revenue'!C11</f>
        <v>3286.95</v>
      </c>
      <c r="N50" s="144"/>
      <c r="O50" s="122">
        <f>SUM(C50:L50)</f>
        <v>2779.7724507044736</v>
      </c>
      <c r="P50" s="122">
        <f>+M50-O50</f>
        <v>507.1775492955262</v>
      </c>
    </row>
    <row r="51" spans="2:14" ht="12.75">
      <c r="B51" s="11" t="s">
        <v>97</v>
      </c>
      <c r="C51" s="89">
        <f aca="true" t="shared" si="11" ref="C51:L51">+C50*C9</f>
        <v>46325.12261525204</v>
      </c>
      <c r="D51" s="89">
        <f t="shared" si="11"/>
        <v>2470.0551784029976</v>
      </c>
      <c r="E51" s="89">
        <f t="shared" si="11"/>
        <v>100999.8501512688</v>
      </c>
      <c r="F51" s="89">
        <f t="shared" si="11"/>
        <v>13541.52346140437</v>
      </c>
      <c r="G51" s="89">
        <f t="shared" si="11"/>
        <v>7387.884372166184</v>
      </c>
      <c r="H51" s="89">
        <f t="shared" si="11"/>
        <v>-30297.46372304704</v>
      </c>
      <c r="I51" s="89">
        <f t="shared" si="11"/>
        <v>6511.527714372077</v>
      </c>
      <c r="J51" s="89">
        <f t="shared" si="11"/>
        <v>5139.491769649978</v>
      </c>
      <c r="K51" s="89">
        <f t="shared" si="11"/>
        <v>2689.84099092886</v>
      </c>
      <c r="L51" s="89">
        <f t="shared" si="11"/>
        <v>-524.1741418220342</v>
      </c>
      <c r="M51" s="122">
        <f>SUM(C51:L51)</f>
        <v>154243.65838857624</v>
      </c>
      <c r="N51" s="144"/>
    </row>
    <row r="52" ht="12.75">
      <c r="N52" s="144"/>
    </row>
    <row r="53" spans="2:14" ht="12.75">
      <c r="B53" s="11" t="s">
        <v>64</v>
      </c>
      <c r="C53" s="126">
        <f>+Composition!$M$6</f>
        <v>0.23194988756826213</v>
      </c>
      <c r="D53" s="126">
        <f>+Composition!$M$7</f>
        <v>0.1183115965306778</v>
      </c>
      <c r="E53" s="126">
        <f>+Composition!$M$8</f>
        <v>0.29785544490844845</v>
      </c>
      <c r="F53" s="126">
        <f>+Composition!$M$9</f>
        <v>0.0031403790555734022</v>
      </c>
      <c r="G53" s="126">
        <f>+Composition!$M$10</f>
        <v>0.010442659813684549</v>
      </c>
      <c r="H53" s="126">
        <f>+Composition!$M$11</f>
        <v>0.16851525859299712</v>
      </c>
      <c r="I53" s="126">
        <f>+Composition!$M$12</f>
        <v>0.010640539672341793</v>
      </c>
      <c r="J53" s="126">
        <f>+Composition!$M$13</f>
        <v>0.003236749116607774</v>
      </c>
      <c r="K53" s="126">
        <f>+Composition!$M$14</f>
        <v>0.0021227112110504334</v>
      </c>
      <c r="L53" s="126">
        <f>+Composition!$M$15</f>
        <v>0.0043700610343719885</v>
      </c>
      <c r="M53" s="121">
        <f>SUM(C53:L53)</f>
        <v>0.8505852875040154</v>
      </c>
      <c r="N53" s="144"/>
    </row>
    <row r="54" spans="2:16" ht="12.75">
      <c r="B54" s="11" t="s">
        <v>7</v>
      </c>
      <c r="C54" s="127">
        <f aca="true" t="shared" si="12" ref="C54:L54">+C53*$M54</f>
        <v>891.9354586572439</v>
      </c>
      <c r="D54" s="127">
        <f t="shared" si="12"/>
        <v>454.9530470671378</v>
      </c>
      <c r="E54" s="127">
        <f t="shared" si="12"/>
        <v>1145.3673707420496</v>
      </c>
      <c r="F54" s="127">
        <f t="shared" si="12"/>
        <v>12.07595081272085</v>
      </c>
      <c r="G54" s="127">
        <f t="shared" si="12"/>
        <v>40.15599519434629</v>
      </c>
      <c r="H54" s="127">
        <f t="shared" si="12"/>
        <v>648.0052050883393</v>
      </c>
      <c r="I54" s="127">
        <f t="shared" si="12"/>
        <v>40.91691844522968</v>
      </c>
      <c r="J54" s="127">
        <f t="shared" si="12"/>
        <v>12.446530318021201</v>
      </c>
      <c r="K54" s="127">
        <f t="shared" si="12"/>
        <v>8.162631236749116</v>
      </c>
      <c r="L54" s="127">
        <f t="shared" si="12"/>
        <v>16.804545300353357</v>
      </c>
      <c r="M54" s="122">
        <f>+'2018-2019 Recy. Tons &amp; Revenue'!C12</f>
        <v>3845.38</v>
      </c>
      <c r="N54" s="144"/>
      <c r="O54" s="122">
        <f>SUM(C54:L54)</f>
        <v>3270.823652862191</v>
      </c>
      <c r="P54" s="122">
        <f>+M54-O54</f>
        <v>574.5563471378091</v>
      </c>
    </row>
    <row r="55" spans="2:14" ht="12.75">
      <c r="B55" s="11" t="s">
        <v>97</v>
      </c>
      <c r="C55" s="89">
        <f aca="true" t="shared" si="13" ref="C55:L55">+C54*C10</f>
        <v>42206.38590366078</v>
      </c>
      <c r="D55" s="89">
        <f t="shared" si="13"/>
        <v>-3102.7797809978797</v>
      </c>
      <c r="E55" s="89">
        <f t="shared" si="13"/>
        <v>89006.49838036468</v>
      </c>
      <c r="F55" s="89">
        <f t="shared" si="13"/>
        <v>12534.957703112368</v>
      </c>
      <c r="G55" s="89">
        <f t="shared" si="13"/>
        <v>7370.231357970318</v>
      </c>
      <c r="H55" s="89">
        <f t="shared" si="13"/>
        <v>-34564.597639412015</v>
      </c>
      <c r="I55" s="89">
        <f t="shared" si="13"/>
        <v>7160.460727915194</v>
      </c>
      <c r="J55" s="89">
        <f t="shared" si="13"/>
        <v>8608.020367943463</v>
      </c>
      <c r="K55" s="89">
        <f t="shared" si="13"/>
        <v>3673.184056537102</v>
      </c>
      <c r="L55" s="89">
        <f t="shared" si="13"/>
        <v>-504.1363590106007</v>
      </c>
      <c r="M55" s="122">
        <f>SUM(C55:L55)</f>
        <v>132388.2247180834</v>
      </c>
      <c r="N55" s="144"/>
    </row>
    <row r="56" ht="12.75">
      <c r="N56" s="144"/>
    </row>
    <row r="57" spans="2:14" ht="12.75">
      <c r="B57" s="11" t="s">
        <v>65</v>
      </c>
      <c r="C57" s="126">
        <f>+Composition!$O$6</f>
        <v>0.26922270109462604</v>
      </c>
      <c r="D57" s="126">
        <f>+Composition!$O$7</f>
        <v>0.09714601733748153</v>
      </c>
      <c r="E57" s="126">
        <f>+Composition!$O$8</f>
        <v>0.26426718900688156</v>
      </c>
      <c r="F57" s="126">
        <f>+Composition!$O$9</f>
        <v>0.002153563664300153</v>
      </c>
      <c r="G57" s="126">
        <f>+Composition!$O$10</f>
        <v>0.0063639781401709766</v>
      </c>
      <c r="H57" s="126">
        <f>+Composition!$O$11</f>
        <v>0.20094751352617785</v>
      </c>
      <c r="I57" s="126">
        <f>+Composition!$O$12</f>
        <v>0.007166286171969073</v>
      </c>
      <c r="J57" s="126">
        <f>+Composition!$O$13</f>
        <v>0.0041831714187639275</v>
      </c>
      <c r="K57" s="126">
        <f>+Composition!$O$14</f>
        <v>0.0020963532443756708</v>
      </c>
      <c r="L57" s="126">
        <f>+Composition!$O$15</f>
        <v>0.004550952689707027</v>
      </c>
      <c r="M57" s="121">
        <f>SUM(C57:L57)</f>
        <v>0.8580977262944538</v>
      </c>
      <c r="N57" s="144"/>
    </row>
    <row r="58" spans="2:16" ht="12.75">
      <c r="B58" s="11" t="s">
        <v>7</v>
      </c>
      <c r="C58" s="127">
        <f>+C57*$M58</f>
        <v>1028.659557477402</v>
      </c>
      <c r="D58" s="127">
        <f>+D57*$M58</f>
        <v>371.1803603439163</v>
      </c>
      <c r="E58" s="127">
        <f>+E57*$M58</f>
        <v>1009.7252891169434</v>
      </c>
      <c r="F58" s="127">
        <f>+F57*$M58</f>
        <v>8.228443726741238</v>
      </c>
      <c r="G58" s="127">
        <f aca="true" t="shared" si="14" ref="G58:L58">+G57*$M58</f>
        <v>24.315805876872275</v>
      </c>
      <c r="H58" s="127">
        <f t="shared" si="14"/>
        <v>767.7903070564967</v>
      </c>
      <c r="I58" s="127">
        <f t="shared" si="14"/>
        <v>27.38130452016803</v>
      </c>
      <c r="J58" s="127">
        <f t="shared" si="14"/>
        <v>15.983270515384152</v>
      </c>
      <c r="K58" s="127">
        <f t="shared" si="14"/>
        <v>8.009851293772781</v>
      </c>
      <c r="L58" s="127">
        <f t="shared" si="14"/>
        <v>17.388507584467096</v>
      </c>
      <c r="M58" s="122">
        <f>+'2018-2019 Recy. Tons &amp; Revenue'!C13</f>
        <v>3820.85</v>
      </c>
      <c r="N58" s="144"/>
      <c r="O58" s="122">
        <f>SUM(C58:L58)</f>
        <v>3278.6626975121635</v>
      </c>
      <c r="P58" s="122">
        <f>+M58-O58</f>
        <v>542.1873024878364</v>
      </c>
    </row>
    <row r="59" spans="2:14" ht="12.75">
      <c r="B59" s="11" t="s">
        <v>97</v>
      </c>
      <c r="C59" s="89">
        <f aca="true" t="shared" si="15" ref="C59:L59">+C58*C11</f>
        <v>82755.66139905699</v>
      </c>
      <c r="D59" s="89">
        <f t="shared" si="15"/>
        <v>-3370.31767192276</v>
      </c>
      <c r="E59" s="89">
        <f t="shared" si="15"/>
        <v>87714.83586558887</v>
      </c>
      <c r="F59" s="89">
        <f t="shared" si="15"/>
        <v>12512.33609975726</v>
      </c>
      <c r="G59" s="89">
        <f t="shared" si="15"/>
        <v>4651.856822304435</v>
      </c>
      <c r="H59" s="89">
        <f t="shared" si="15"/>
        <v>-40953.93497839353</v>
      </c>
      <c r="I59" s="89">
        <f t="shared" si="15"/>
        <v>5531.023513073942</v>
      </c>
      <c r="J59" s="89">
        <f t="shared" si="15"/>
        <v>12466.95100199964</v>
      </c>
      <c r="K59" s="89">
        <f t="shared" si="15"/>
        <v>3524.3345692600237</v>
      </c>
      <c r="L59" s="89">
        <f t="shared" si="15"/>
        <v>-695.5403033786838</v>
      </c>
      <c r="M59" s="122">
        <f>SUM(C59:L59)</f>
        <v>164137.20631734616</v>
      </c>
      <c r="N59" s="144"/>
    </row>
    <row r="60" ht="12.75">
      <c r="N60" s="144"/>
    </row>
    <row r="61" spans="2:14" ht="12.75">
      <c r="B61" s="11" t="s">
        <v>66</v>
      </c>
      <c r="C61" s="126">
        <f>+Composition!$Q$6</f>
        <v>0.2456264987471819</v>
      </c>
      <c r="D61" s="126">
        <f>+Composition!$Q$7</f>
        <v>0.13486781124606068</v>
      </c>
      <c r="E61" s="126">
        <f>+Composition!$Q$8</f>
        <v>0.2096446063041567</v>
      </c>
      <c r="F61" s="126">
        <f>+Composition!$Q$9</f>
        <v>0.006819636054848915</v>
      </c>
      <c r="G61" s="126">
        <f>+Composition!$Q$10</f>
        <v>0.009281019955388912</v>
      </c>
      <c r="H61" s="126">
        <f>+Composition!$Q$11</f>
        <v>0.1852520287281056</v>
      </c>
      <c r="I61" s="126">
        <f>+Composition!$Q$12</f>
        <v>0.01402558260526363</v>
      </c>
      <c r="J61" s="126">
        <f>+Composition!$Q$13</f>
        <v>0.0027938740484263528</v>
      </c>
      <c r="K61" s="126">
        <f>+Composition!$Q$14</f>
        <v>0.0026946054071509302</v>
      </c>
      <c r="L61" s="126">
        <f>+Composition!$Q$15</f>
        <v>0.006018310878288274</v>
      </c>
      <c r="M61" s="121">
        <f>SUM(C61:L61)</f>
        <v>0.8170239739748719</v>
      </c>
      <c r="N61" s="144"/>
    </row>
    <row r="62" spans="2:16" ht="12.75">
      <c r="B62" s="11" t="s">
        <v>7</v>
      </c>
      <c r="C62" s="127">
        <f>+C61*$M62</f>
        <v>873.084302326833</v>
      </c>
      <c r="D62" s="127">
        <f>+D61*$M62</f>
        <v>479.3903324303476</v>
      </c>
      <c r="E62" s="127">
        <f>+E61*$M62</f>
        <v>745.1859460002511</v>
      </c>
      <c r="F62" s="127">
        <f>+F61*$M62</f>
        <v>24.240532749681567</v>
      </c>
      <c r="G62" s="127">
        <f aca="true" t="shared" si="16" ref="G62:L62">+G61*$M62</f>
        <v>32.989571051828996</v>
      </c>
      <c r="H62" s="127">
        <f t="shared" si="16"/>
        <v>658.4820411546259</v>
      </c>
      <c r="I62" s="127">
        <f t="shared" si="16"/>
        <v>49.85421388206168</v>
      </c>
      <c r="J62" s="127">
        <f t="shared" si="16"/>
        <v>9.93088118261244</v>
      </c>
      <c r="K62" s="127">
        <f t="shared" si="16"/>
        <v>9.578028811826124</v>
      </c>
      <c r="L62" s="127">
        <f t="shared" si="16"/>
        <v>21.392206383093235</v>
      </c>
      <c r="M62" s="122">
        <f>+'2018-2019 Recy. Tons &amp; Revenue'!C14</f>
        <v>3554.52</v>
      </c>
      <c r="N62" s="144"/>
      <c r="O62" s="122">
        <f>SUM(C62:L62)</f>
        <v>2904.1280559731617</v>
      </c>
      <c r="P62" s="122">
        <f>+M62-O62</f>
        <v>650.3919440268382</v>
      </c>
    </row>
    <row r="63" spans="2:14" ht="12.75">
      <c r="B63" s="11" t="s">
        <v>97</v>
      </c>
      <c r="C63" s="89">
        <f aca="true" t="shared" si="17" ref="C63:L63">+C62*C12</f>
        <v>73670.85343033817</v>
      </c>
      <c r="D63" s="89">
        <f t="shared" si="17"/>
        <v>-4132.344665549596</v>
      </c>
      <c r="E63" s="89">
        <f t="shared" si="17"/>
        <v>69905.89359428355</v>
      </c>
      <c r="F63" s="89">
        <f t="shared" si="17"/>
        <v>37873.40836810248</v>
      </c>
      <c r="G63" s="89">
        <f t="shared" si="17"/>
        <v>6000.473078617176</v>
      </c>
      <c r="H63" s="89">
        <f t="shared" si="17"/>
        <v>-35123.432075187746</v>
      </c>
      <c r="I63" s="89">
        <f t="shared" si="17"/>
        <v>9028.59813404137</v>
      </c>
      <c r="J63" s="89">
        <f t="shared" si="17"/>
        <v>7765.949084802928</v>
      </c>
      <c r="K63" s="89">
        <f t="shared" si="17"/>
        <v>3802.4774382949713</v>
      </c>
      <c r="L63" s="89">
        <f t="shared" si="17"/>
        <v>-855.6882553237294</v>
      </c>
      <c r="M63" s="122">
        <f>SUM(C63:L63)</f>
        <v>167936.18813241957</v>
      </c>
      <c r="N63" s="144"/>
    </row>
    <row r="64" ht="12.75">
      <c r="N64" s="144"/>
    </row>
    <row r="65" spans="2:14" ht="12.75">
      <c r="B65" s="11" t="s">
        <v>67</v>
      </c>
      <c r="C65" s="126">
        <f>+Composition!$S$6</f>
        <v>0.24933196715615735</v>
      </c>
      <c r="D65" s="126">
        <f>+Composition!$S$7</f>
        <v>0.15020284193490105</v>
      </c>
      <c r="E65" s="126">
        <f>+Composition!$S$8</f>
        <v>0.23883169109908617</v>
      </c>
      <c r="F65" s="126">
        <f>+Composition!$S$9</f>
        <v>0.003644964074678176</v>
      </c>
      <c r="G65" s="126">
        <f>+Composition!$S$10</f>
        <v>0.007636104980019027</v>
      </c>
      <c r="H65" s="126">
        <f>+Composition!$S$11</f>
        <v>0.2003100430446884</v>
      </c>
      <c r="I65" s="126">
        <f>+Composition!$S$12</f>
        <v>0.011993637421462712</v>
      </c>
      <c r="J65" s="126">
        <f>+Composition!$S$13</f>
        <v>0.003363221617605998</v>
      </c>
      <c r="K65" s="126">
        <f>+Composition!$S$14</f>
        <v>0.0032962604058354803</v>
      </c>
      <c r="L65" s="126">
        <f>+Composition!$S$15</f>
        <v>0.006420695815429632</v>
      </c>
      <c r="M65" s="121">
        <f>SUM(C65:L65)</f>
        <v>0.8750314275498642</v>
      </c>
      <c r="N65" s="144"/>
    </row>
    <row r="66" spans="2:16" ht="12.75">
      <c r="B66" s="11" t="s">
        <v>7</v>
      </c>
      <c r="C66" s="127">
        <f>+C65*$M66</f>
        <v>961.6035843704951</v>
      </c>
      <c r="D66" s="127">
        <f>+D65*$M66</f>
        <v>579.2903045471716</v>
      </c>
      <c r="E66" s="127">
        <f>+E65*$M66</f>
        <v>921.1069596956676</v>
      </c>
      <c r="F66" s="127">
        <f>+F65*$M66</f>
        <v>14.057605846092814</v>
      </c>
      <c r="G66" s="127">
        <f aca="true" t="shared" si="18" ref="G66:L66">+G65*$M66</f>
        <v>29.45031879853898</v>
      </c>
      <c r="H66" s="127">
        <f t="shared" si="18"/>
        <v>772.5397492113107</v>
      </c>
      <c r="I66" s="127">
        <f t="shared" si="18"/>
        <v>46.25610131610367</v>
      </c>
      <c r="J66" s="127">
        <f t="shared" si="18"/>
        <v>12.971004077053404</v>
      </c>
      <c r="K66" s="127">
        <f t="shared" si="18"/>
        <v>12.712753432393813</v>
      </c>
      <c r="L66" s="127">
        <f t="shared" si="18"/>
        <v>24.76282596528377</v>
      </c>
      <c r="M66" s="122">
        <f>+'2018-2019 Recy. Tons &amp; Revenue'!C15</f>
        <v>3856.72</v>
      </c>
      <c r="N66" s="144"/>
      <c r="O66" s="122">
        <f>SUM(C66:L66)</f>
        <v>3374.751207260111</v>
      </c>
      <c r="P66" s="122">
        <f>+M66-O66</f>
        <v>481.9687927398886</v>
      </c>
    </row>
    <row r="67" spans="2:14" ht="12.75">
      <c r="B67" s="11" t="s">
        <v>97</v>
      </c>
      <c r="C67" s="89">
        <f aca="true" t="shared" si="19" ref="C67:L67">+C66*C13</f>
        <v>-12693.167313690536</v>
      </c>
      <c r="D67" s="89">
        <f t="shared" si="19"/>
        <v>-3892.8308465569926</v>
      </c>
      <c r="E67" s="89">
        <f t="shared" si="19"/>
        <v>90388.22595493586</v>
      </c>
      <c r="F67" s="89">
        <f t="shared" si="19"/>
        <v>20352.601743973177</v>
      </c>
      <c r="G67" s="89">
        <f t="shared" si="19"/>
        <v>5252.758860907413</v>
      </c>
      <c r="H67" s="89">
        <f t="shared" si="19"/>
        <v>-41207.270222931314</v>
      </c>
      <c r="I67" s="89">
        <f t="shared" si="19"/>
        <v>10686.08452604627</v>
      </c>
      <c r="J67" s="89">
        <f t="shared" si="19"/>
        <v>9079.702853937382</v>
      </c>
      <c r="K67" s="89">
        <f t="shared" si="19"/>
        <v>3813.8260297181437</v>
      </c>
      <c r="L67" s="89">
        <f t="shared" si="19"/>
        <v>-990.5130386113508</v>
      </c>
      <c r="M67" s="122">
        <f>SUM(C67:L67)</f>
        <v>80789.41854772806</v>
      </c>
      <c r="N67" s="144"/>
    </row>
    <row r="68" ht="12.75">
      <c r="N68" s="144"/>
    </row>
    <row r="69" spans="2:14" ht="12.75">
      <c r="B69" s="11" t="s">
        <v>68</v>
      </c>
      <c r="C69" s="126">
        <f>+Composition!$U$6</f>
        <v>0.27026174430851296</v>
      </c>
      <c r="D69" s="126">
        <f>+Composition!$U$7</f>
        <v>0.12730908350530756</v>
      </c>
      <c r="E69" s="126">
        <f>+Composition!$U$8</f>
        <v>0.23131555861659855</v>
      </c>
      <c r="F69" s="126">
        <f>+Composition!$U$9</f>
        <v>0.005930910361434882</v>
      </c>
      <c r="G69" s="126">
        <f>+Composition!$U$10</f>
        <v>0.007371220442851363</v>
      </c>
      <c r="H69" s="126">
        <f>+Composition!$U$11</f>
        <v>0.19374935588227166</v>
      </c>
      <c r="I69" s="126">
        <f>+Composition!$U$12</f>
        <v>0.007221659448358727</v>
      </c>
      <c r="J69" s="126">
        <f>+Composition!$U$13</f>
        <v>0.002979908554134797</v>
      </c>
      <c r="K69" s="126">
        <f>+Composition!$U$14</f>
        <v>0.0019405224831649623</v>
      </c>
      <c r="L69" s="126">
        <f>+Composition!$U$15</f>
        <v>0.004899065180943668</v>
      </c>
      <c r="M69" s="121">
        <f>SUM(C69:L69)</f>
        <v>0.852979028783579</v>
      </c>
      <c r="N69" s="144"/>
    </row>
    <row r="70" spans="2:16" ht="12.75">
      <c r="B70" s="11" t="s">
        <v>7</v>
      </c>
      <c r="C70" s="127">
        <f>+C69*$M70</f>
        <v>1048.2453093273277</v>
      </c>
      <c r="D70" s="127">
        <f>+D69*$M70</f>
        <v>493.7848305561911</v>
      </c>
      <c r="E70" s="127">
        <f>+E69*$M70</f>
        <v>897.1874651170976</v>
      </c>
      <c r="F70" s="127">
        <f>+F69*$M70</f>
        <v>23.00380685517218</v>
      </c>
      <c r="G70" s="127">
        <f aca="true" t="shared" si="20" ref="G70:L70">+G69*$M70</f>
        <v>28.590236746256583</v>
      </c>
      <c r="H70" s="127">
        <f t="shared" si="20"/>
        <v>751.4820642056553</v>
      </c>
      <c r="I70" s="127">
        <f t="shared" si="20"/>
        <v>28.01014498618761</v>
      </c>
      <c r="J70" s="127">
        <f t="shared" si="20"/>
        <v>11.557962715323848</v>
      </c>
      <c r="K70" s="127">
        <f t="shared" si="20"/>
        <v>7.526568718878118</v>
      </c>
      <c r="L70" s="127">
        <f t="shared" si="20"/>
        <v>19.00166118276354</v>
      </c>
      <c r="M70" s="122">
        <f>+'2018-2019 Recy. Tons &amp; Revenue'!C16</f>
        <v>3878.63</v>
      </c>
      <c r="N70" s="144"/>
      <c r="O70" s="122">
        <f>SUM(C70:L70)</f>
        <v>3308.3900504108537</v>
      </c>
      <c r="P70" s="122">
        <f>+M70-O70</f>
        <v>570.2399495891464</v>
      </c>
    </row>
    <row r="71" spans="2:14" ht="12.75">
      <c r="B71" s="11" t="s">
        <v>97</v>
      </c>
      <c r="C71" s="89">
        <f aca="true" t="shared" si="21" ref="C71:L71">+C70*C14</f>
        <v>0</v>
      </c>
      <c r="D71" s="89">
        <f t="shared" si="21"/>
        <v>1728.2469069466688</v>
      </c>
      <c r="E71" s="89">
        <f t="shared" si="21"/>
        <v>83752.44986868105</v>
      </c>
      <c r="F71" s="89">
        <f t="shared" si="21"/>
        <v>30612.54601058893</v>
      </c>
      <c r="G71" s="89">
        <f t="shared" si="21"/>
        <v>4986.994995649536</v>
      </c>
      <c r="H71" s="89">
        <f t="shared" si="21"/>
        <v>-40084.053304729656</v>
      </c>
      <c r="I71" s="89">
        <f t="shared" si="21"/>
        <v>5952.155809564867</v>
      </c>
      <c r="J71" s="89">
        <f t="shared" si="21"/>
        <v>8784.051663646125</v>
      </c>
      <c r="K71" s="89">
        <f t="shared" si="21"/>
        <v>2483.767677229779</v>
      </c>
      <c r="L71" s="89">
        <f t="shared" si="21"/>
        <v>-760.0664473105417</v>
      </c>
      <c r="M71" s="122">
        <f>SUM(C71:L71)</f>
        <v>97456.09318026679</v>
      </c>
      <c r="N71" s="144"/>
    </row>
    <row r="72" spans="3:14" ht="12.75">
      <c r="C72" s="89"/>
      <c r="D72" s="89"/>
      <c r="E72" s="89"/>
      <c r="F72" s="89"/>
      <c r="G72" s="89"/>
      <c r="H72" s="89"/>
      <c r="I72" s="89"/>
      <c r="J72" s="89"/>
      <c r="K72" s="89"/>
      <c r="L72" s="89"/>
      <c r="M72" s="122"/>
      <c r="N72" s="144"/>
    </row>
    <row r="73" spans="2:14" ht="12.75">
      <c r="B73" s="11" t="s">
        <v>69</v>
      </c>
      <c r="C73" s="126">
        <f>+Composition!$W$6</f>
        <v>0.30036321329930465</v>
      </c>
      <c r="D73" s="126">
        <f>+Composition!$W$7</f>
        <v>0.06765875830401918</v>
      </c>
      <c r="E73" s="126">
        <f>+Composition!$W$8</f>
        <v>0.2309533544482603</v>
      </c>
      <c r="F73" s="126">
        <f>+Composition!$W$9</f>
        <v>0.007235657127599085</v>
      </c>
      <c r="G73" s="126">
        <f>+Composition!$W$10</f>
        <v>0.008316833571541815</v>
      </c>
      <c r="H73" s="126">
        <f>+Composition!$W$11</f>
        <v>0.21824625313356402</v>
      </c>
      <c r="I73" s="126">
        <f>+Composition!$W$12</f>
        <v>0.010431505028602898</v>
      </c>
      <c r="J73" s="126">
        <f>+Composition!$W$13</f>
        <v>0.0038979569698927526</v>
      </c>
      <c r="K73" s="126">
        <f>+Composition!$W$14</f>
        <v>0.002720225628530661</v>
      </c>
      <c r="L73" s="126">
        <f>+Composition!$W$15</f>
        <v>0.0035200816306095715</v>
      </c>
      <c r="M73" s="121">
        <f>SUM(C73:L73)</f>
        <v>0.8533438391419249</v>
      </c>
      <c r="N73" s="144"/>
    </row>
    <row r="74" spans="2:16" ht="12.75">
      <c r="B74" s="11" t="s">
        <v>7</v>
      </c>
      <c r="C74" s="127">
        <f>+C73*$M74</f>
        <v>1242.4944826624358</v>
      </c>
      <c r="D74" s="127">
        <f>+D73*$M74</f>
        <v>279.8799259507379</v>
      </c>
      <c r="E74" s="127">
        <f>+E73*$M74</f>
        <v>955.3708841448515</v>
      </c>
      <c r="F74" s="127">
        <f>+F73*$M74</f>
        <v>29.931308700311483</v>
      </c>
      <c r="G74" s="127">
        <f aca="true" t="shared" si="22" ref="G74:L74">+G73*$M74</f>
        <v>34.403746425382735</v>
      </c>
      <c r="H74" s="127">
        <f t="shared" si="22"/>
        <v>902.8061805624263</v>
      </c>
      <c r="I74" s="127">
        <f t="shared" si="22"/>
        <v>43.1513809615199</v>
      </c>
      <c r="J74" s="127">
        <f t="shared" si="22"/>
        <v>16.12444471993716</v>
      </c>
      <c r="K74" s="127">
        <f t="shared" si="22"/>
        <v>11.252594144005073</v>
      </c>
      <c r="L74" s="127">
        <f t="shared" si="22"/>
        <v>14.56131047644478</v>
      </c>
      <c r="M74" s="122">
        <f>+'2018-2019 Recy. Tons &amp; Revenue'!C17</f>
        <v>4136.64</v>
      </c>
      <c r="N74" s="144"/>
      <c r="O74" s="122">
        <f>SUM(C74:L74)</f>
        <v>3529.9762587480527</v>
      </c>
      <c r="P74" s="122">
        <f>+M74-O74</f>
        <v>606.6637412519476</v>
      </c>
    </row>
    <row r="75" spans="2:14" ht="12.75">
      <c r="B75" s="11" t="s">
        <v>97</v>
      </c>
      <c r="C75" s="89">
        <f aca="true" t="shared" si="23" ref="C75:L75">+C74*C15</f>
        <v>12424.944826624358</v>
      </c>
      <c r="D75" s="89">
        <f t="shared" si="23"/>
        <v>2454.5469505879714</v>
      </c>
      <c r="E75" s="89">
        <f t="shared" si="23"/>
        <v>90960.86187943131</v>
      </c>
      <c r="F75" s="89">
        <f t="shared" si="23"/>
        <v>38900.82397853383</v>
      </c>
      <c r="G75" s="89">
        <f t="shared" si="23"/>
        <v>5467.099344457571</v>
      </c>
      <c r="H75" s="89">
        <f t="shared" si="23"/>
        <v>-48155.681671199825</v>
      </c>
      <c r="I75" s="89">
        <f t="shared" si="23"/>
        <v>9493.303811534377</v>
      </c>
      <c r="J75" s="89">
        <f t="shared" si="23"/>
        <v>11932.089092753498</v>
      </c>
      <c r="K75" s="89">
        <f t="shared" si="23"/>
        <v>3375.778243201522</v>
      </c>
      <c r="L75" s="89">
        <f t="shared" si="23"/>
        <v>-582.4524190577912</v>
      </c>
      <c r="M75" s="122">
        <f>SUM(C75:L75)</f>
        <v>126271.31403686681</v>
      </c>
      <c r="N75" s="144"/>
    </row>
    <row r="76" spans="3:14" ht="12.75">
      <c r="C76" s="89"/>
      <c r="D76" s="89"/>
      <c r="E76" s="89"/>
      <c r="F76" s="89"/>
      <c r="G76" s="89"/>
      <c r="H76" s="89"/>
      <c r="I76" s="89"/>
      <c r="J76" s="89"/>
      <c r="K76" s="89"/>
      <c r="L76" s="89"/>
      <c r="M76" s="122"/>
      <c r="N76" s="144"/>
    </row>
    <row r="77" spans="2:14" ht="12.75">
      <c r="B77" s="11" t="s">
        <v>70</v>
      </c>
      <c r="C77" s="126">
        <f>+Composition!$Y$6</f>
        <v>0.26358553899888865</v>
      </c>
      <c r="D77" s="126">
        <f>+Composition!$Y$7</f>
        <v>0.07327033861785852</v>
      </c>
      <c r="E77" s="126">
        <f>+Composition!$Y$8</f>
        <v>0.2288193735683019</v>
      </c>
      <c r="F77" s="126">
        <f>+Composition!$Y$9</f>
        <v>0.006439806309677712</v>
      </c>
      <c r="G77" s="126">
        <f>+Composition!$Y$10</f>
        <v>0.014263114921412533</v>
      </c>
      <c r="H77" s="126">
        <f>+Composition!$Y$11</f>
        <v>0.21657481118595628</v>
      </c>
      <c r="I77" s="126">
        <f>+Composition!$Y$12</f>
        <v>0.010771756140708987</v>
      </c>
      <c r="J77" s="126">
        <f>+Composition!$Y$13</f>
        <v>0.0013423941393935271</v>
      </c>
      <c r="K77" s="126">
        <f>+Composition!$Y$14</f>
        <v>0.005035041164863578</v>
      </c>
      <c r="L77" s="126">
        <f>+Composition!$Y$15</f>
        <v>0.005277437572293665</v>
      </c>
      <c r="M77" s="121">
        <f>SUM(C77:L77)</f>
        <v>0.8253796126193554</v>
      </c>
      <c r="N77" s="144"/>
    </row>
    <row r="78" spans="2:16" ht="12.75">
      <c r="B78" s="11" t="s">
        <v>7</v>
      </c>
      <c r="C78" s="127">
        <f>+C77*$M78</f>
        <v>960.347552788551</v>
      </c>
      <c r="D78" s="127">
        <f>+D77*$M78</f>
        <v>266.95315172030575</v>
      </c>
      <c r="E78" s="127">
        <f>+E77*$M78</f>
        <v>833.6805056587511</v>
      </c>
      <c r="F78" s="127">
        <f>+F77*$M78</f>
        <v>23.462790308679775</v>
      </c>
      <c r="G78" s="127">
        <f aca="true" t="shared" si="24" ref="G78:L78">+G77*$M78</f>
        <v>51.96623290467443</v>
      </c>
      <c r="H78" s="127">
        <f t="shared" si="24"/>
        <v>789.0686670749132</v>
      </c>
      <c r="I78" s="127">
        <f t="shared" si="24"/>
        <v>39.245816323059124</v>
      </c>
      <c r="J78" s="127">
        <f t="shared" si="24"/>
        <v>4.890878807466377</v>
      </c>
      <c r="K78" s="127">
        <f t="shared" si="24"/>
        <v>18.34466898006396</v>
      </c>
      <c r="L78" s="127">
        <f t="shared" si="24"/>
        <v>19.227816050894738</v>
      </c>
      <c r="M78" s="122">
        <f>+'2018-2019 Recy. Tons &amp; Revenue'!C18</f>
        <v>3643.4</v>
      </c>
      <c r="N78" s="144"/>
      <c r="O78" s="122">
        <f>SUM(C78:L78)</f>
        <v>3007.18808061736</v>
      </c>
      <c r="P78" s="122">
        <f>+M78-O78</f>
        <v>636.2119193826402</v>
      </c>
    </row>
    <row r="79" spans="2:14" ht="12.75">
      <c r="B79" s="11" t="s">
        <v>97</v>
      </c>
      <c r="C79" s="89">
        <f aca="true" t="shared" si="25" ref="C79:L79">+C78*C16</f>
        <v>35792.1532924293</v>
      </c>
      <c r="D79" s="89">
        <f t="shared" si="25"/>
        <v>3240.811261884512</v>
      </c>
      <c r="E79" s="89">
        <f t="shared" si="25"/>
        <v>80491.85282135243</v>
      </c>
      <c r="F79" s="89">
        <f t="shared" si="25"/>
        <v>28898.884195297793</v>
      </c>
      <c r="G79" s="89">
        <f t="shared" si="25"/>
        <v>7590.187978056747</v>
      </c>
      <c r="H79" s="89">
        <f t="shared" si="25"/>
        <v>-42088.92270177587</v>
      </c>
      <c r="I79" s="89">
        <f t="shared" si="25"/>
        <v>6640.392121861603</v>
      </c>
      <c r="J79" s="89">
        <f t="shared" si="25"/>
        <v>3423.615165226464</v>
      </c>
      <c r="K79" s="89">
        <f t="shared" si="25"/>
        <v>5136.507314417909</v>
      </c>
      <c r="L79" s="89">
        <f t="shared" si="25"/>
        <v>-2691.8942471252635</v>
      </c>
      <c r="M79" s="122">
        <f>SUM(C79:L79)</f>
        <v>126433.5872016256</v>
      </c>
      <c r="N79" s="144"/>
    </row>
    <row r="80" spans="3:14" ht="12.75">
      <c r="C80" s="89"/>
      <c r="D80" s="89"/>
      <c r="E80" s="89"/>
      <c r="F80" s="89"/>
      <c r="G80" s="89"/>
      <c r="H80" s="89"/>
      <c r="I80" s="89"/>
      <c r="J80" s="89"/>
      <c r="K80" s="89"/>
      <c r="L80" s="89"/>
      <c r="M80" s="122"/>
      <c r="N80" s="144"/>
    </row>
    <row r="81" spans="2:14" ht="12.75" hidden="1">
      <c r="B81" s="11" t="s">
        <v>71</v>
      </c>
      <c r="C81" s="126" t="e">
        <f>+Composition!$AA$6</f>
        <v>#DIV/0!</v>
      </c>
      <c r="D81" s="126" t="e">
        <f>+Composition!$AA$7</f>
        <v>#DIV/0!</v>
      </c>
      <c r="E81" s="126" t="e">
        <f>+Composition!$AA$8</f>
        <v>#DIV/0!</v>
      </c>
      <c r="F81" s="126" t="e">
        <f>+Composition!$AA$9</f>
        <v>#DIV/0!</v>
      </c>
      <c r="G81" s="126" t="e">
        <f>+Composition!$AA$10</f>
        <v>#DIV/0!</v>
      </c>
      <c r="H81" s="126" t="e">
        <f>+Composition!$AA$11</f>
        <v>#DIV/0!</v>
      </c>
      <c r="I81" s="126" t="e">
        <f>+Composition!$AA$12</f>
        <v>#DIV/0!</v>
      </c>
      <c r="J81" s="126" t="e">
        <f>+Composition!$AA$13</f>
        <v>#DIV/0!</v>
      </c>
      <c r="K81" s="126" t="e">
        <f>+Composition!$AA$14</f>
        <v>#DIV/0!</v>
      </c>
      <c r="L81" s="126" t="e">
        <f>+Composition!$AA$15</f>
        <v>#DIV/0!</v>
      </c>
      <c r="M81" s="121" t="e">
        <f>SUM(C81:L81)</f>
        <v>#DIV/0!</v>
      </c>
      <c r="N81" s="144"/>
    </row>
    <row r="82" spans="3:16" ht="12.75" hidden="1">
      <c r="C82" s="127" t="e">
        <f>+C81*$M82</f>
        <v>#DIV/0!</v>
      </c>
      <c r="D82" s="127" t="e">
        <f>+D81*$M82</f>
        <v>#DIV/0!</v>
      </c>
      <c r="E82" s="127" t="e">
        <f>+E81*$M82</f>
        <v>#DIV/0!</v>
      </c>
      <c r="F82" s="127" t="e">
        <f>+F81*$M82</f>
        <v>#DIV/0!</v>
      </c>
      <c r="G82" s="127" t="e">
        <f aca="true" t="shared" si="26" ref="G82:L82">+G81*$M82</f>
        <v>#DIV/0!</v>
      </c>
      <c r="H82" s="127" t="e">
        <f t="shared" si="26"/>
        <v>#DIV/0!</v>
      </c>
      <c r="I82" s="127" t="e">
        <f t="shared" si="26"/>
        <v>#DIV/0!</v>
      </c>
      <c r="J82" s="127" t="e">
        <f t="shared" si="26"/>
        <v>#DIV/0!</v>
      </c>
      <c r="K82" s="127" t="e">
        <f t="shared" si="26"/>
        <v>#DIV/0!</v>
      </c>
      <c r="L82" s="127" t="e">
        <f t="shared" si="26"/>
        <v>#DIV/0!</v>
      </c>
      <c r="M82" s="122">
        <f>+'2018-2019 Recy. Tons &amp; Revenue'!C19</f>
        <v>0</v>
      </c>
      <c r="N82" s="144"/>
      <c r="O82" s="122" t="e">
        <f>SUM(C82:L82)</f>
        <v>#DIV/0!</v>
      </c>
      <c r="P82" s="122" t="e">
        <f>+M82-O82</f>
        <v>#DIV/0!</v>
      </c>
    </row>
    <row r="83" spans="3:14" ht="12.75" hidden="1">
      <c r="C83" s="89" t="e">
        <f aca="true" t="shared" si="27" ref="C83:L83">+C82*C17</f>
        <v>#DIV/0!</v>
      </c>
      <c r="D83" s="89" t="e">
        <f t="shared" si="27"/>
        <v>#DIV/0!</v>
      </c>
      <c r="E83" s="89" t="e">
        <f t="shared" si="27"/>
        <v>#DIV/0!</v>
      </c>
      <c r="F83" s="89" t="e">
        <f t="shared" si="27"/>
        <v>#DIV/0!</v>
      </c>
      <c r="G83" s="89" t="e">
        <f t="shared" si="27"/>
        <v>#DIV/0!</v>
      </c>
      <c r="H83" s="89" t="e">
        <f t="shared" si="27"/>
        <v>#DIV/0!</v>
      </c>
      <c r="I83" s="89" t="e">
        <f t="shared" si="27"/>
        <v>#DIV/0!</v>
      </c>
      <c r="J83" s="89" t="e">
        <f t="shared" si="27"/>
        <v>#DIV/0!</v>
      </c>
      <c r="K83" s="89" t="e">
        <f t="shared" si="27"/>
        <v>#DIV/0!</v>
      </c>
      <c r="L83" s="89" t="e">
        <f t="shared" si="27"/>
        <v>#DIV/0!</v>
      </c>
      <c r="M83" s="122" t="e">
        <f>SUM(C83:L83)</f>
        <v>#DIV/0!</v>
      </c>
      <c r="N83" s="144"/>
    </row>
    <row r="84" spans="3:14" ht="12.75" hidden="1">
      <c r="C84" s="89"/>
      <c r="D84" s="89"/>
      <c r="E84" s="89"/>
      <c r="F84" s="89"/>
      <c r="G84" s="89"/>
      <c r="H84" s="89"/>
      <c r="I84" s="89"/>
      <c r="J84" s="89"/>
      <c r="K84" s="89"/>
      <c r="L84" s="89"/>
      <c r="M84" s="122"/>
      <c r="N84" s="144"/>
    </row>
    <row r="85" spans="2:14" ht="12.75" hidden="1">
      <c r="B85" s="11" t="s">
        <v>72</v>
      </c>
      <c r="C85" s="126" t="e">
        <f>+Composition!$AC$6</f>
        <v>#DIV/0!</v>
      </c>
      <c r="D85" s="126" t="e">
        <f>+Composition!$AC$7</f>
        <v>#DIV/0!</v>
      </c>
      <c r="E85" s="126" t="e">
        <f>+Composition!$AC$8</f>
        <v>#DIV/0!</v>
      </c>
      <c r="F85" s="126" t="e">
        <f>+Composition!$AC$9</f>
        <v>#DIV/0!</v>
      </c>
      <c r="G85" s="126" t="e">
        <f>+Composition!$AC$10</f>
        <v>#DIV/0!</v>
      </c>
      <c r="H85" s="126" t="e">
        <f>+Composition!$AC$11</f>
        <v>#DIV/0!</v>
      </c>
      <c r="I85" s="126" t="e">
        <f>+Composition!$AC$12</f>
        <v>#DIV/0!</v>
      </c>
      <c r="J85" s="126" t="e">
        <f>+Composition!$AC$13</f>
        <v>#DIV/0!</v>
      </c>
      <c r="K85" s="126" t="e">
        <f>+Composition!$AC$14</f>
        <v>#DIV/0!</v>
      </c>
      <c r="L85" s="126" t="e">
        <f>+Composition!$AC$15</f>
        <v>#DIV/0!</v>
      </c>
      <c r="M85" s="121" t="e">
        <f>SUM(C85:L85)</f>
        <v>#DIV/0!</v>
      </c>
      <c r="N85" s="144"/>
    </row>
    <row r="86" spans="3:16" ht="12.75" hidden="1">
      <c r="C86" s="127" t="e">
        <f>+C85*$M86</f>
        <v>#DIV/0!</v>
      </c>
      <c r="D86" s="127" t="e">
        <f>+D85*$M86</f>
        <v>#DIV/0!</v>
      </c>
      <c r="E86" s="127" t="e">
        <f>+E85*$M86</f>
        <v>#DIV/0!</v>
      </c>
      <c r="F86" s="127" t="e">
        <f>+F85*$M86</f>
        <v>#DIV/0!</v>
      </c>
      <c r="G86" s="127" t="e">
        <f aca="true" t="shared" si="28" ref="G86:L86">+G85*$M86</f>
        <v>#DIV/0!</v>
      </c>
      <c r="H86" s="127" t="e">
        <f t="shared" si="28"/>
        <v>#DIV/0!</v>
      </c>
      <c r="I86" s="127" t="e">
        <f t="shared" si="28"/>
        <v>#DIV/0!</v>
      </c>
      <c r="J86" s="127" t="e">
        <f t="shared" si="28"/>
        <v>#DIV/0!</v>
      </c>
      <c r="K86" s="127" t="e">
        <f t="shared" si="28"/>
        <v>#DIV/0!</v>
      </c>
      <c r="L86" s="127" t="e">
        <f t="shared" si="28"/>
        <v>#DIV/0!</v>
      </c>
      <c r="M86" s="122">
        <f>+'2018-2019 Recy. Tons &amp; Revenue'!C20</f>
        <v>0</v>
      </c>
      <c r="N86" s="144"/>
      <c r="O86" s="122" t="e">
        <f>SUM(C86:L86)</f>
        <v>#DIV/0!</v>
      </c>
      <c r="P86" s="122" t="e">
        <f>+M86-O86</f>
        <v>#DIV/0!</v>
      </c>
    </row>
    <row r="87" spans="3:14" ht="12.75" hidden="1">
      <c r="C87" s="89" t="e">
        <f aca="true" t="shared" si="29" ref="C87:L87">+C86*C18</f>
        <v>#DIV/0!</v>
      </c>
      <c r="D87" s="89" t="e">
        <f t="shared" si="29"/>
        <v>#DIV/0!</v>
      </c>
      <c r="E87" s="89" t="e">
        <f t="shared" si="29"/>
        <v>#DIV/0!</v>
      </c>
      <c r="F87" s="89" t="e">
        <f t="shared" si="29"/>
        <v>#DIV/0!</v>
      </c>
      <c r="G87" s="89" t="e">
        <f t="shared" si="29"/>
        <v>#DIV/0!</v>
      </c>
      <c r="H87" s="89" t="e">
        <f t="shared" si="29"/>
        <v>#DIV/0!</v>
      </c>
      <c r="I87" s="89" t="e">
        <f t="shared" si="29"/>
        <v>#DIV/0!</v>
      </c>
      <c r="J87" s="89" t="e">
        <f t="shared" si="29"/>
        <v>#DIV/0!</v>
      </c>
      <c r="K87" s="89" t="e">
        <f t="shared" si="29"/>
        <v>#DIV/0!</v>
      </c>
      <c r="L87" s="89" t="e">
        <f t="shared" si="29"/>
        <v>#DIV/0!</v>
      </c>
      <c r="M87" s="122" t="e">
        <f>SUM(C87:L87)</f>
        <v>#DIV/0!</v>
      </c>
      <c r="N87" s="144"/>
    </row>
    <row r="88" spans="3:14" ht="12.75" hidden="1">
      <c r="C88" s="89"/>
      <c r="D88" s="89"/>
      <c r="E88" s="89"/>
      <c r="F88" s="89"/>
      <c r="G88" s="89"/>
      <c r="H88" s="89"/>
      <c r="I88" s="89"/>
      <c r="J88" s="89"/>
      <c r="K88" s="89"/>
      <c r="L88" s="89"/>
      <c r="M88" s="122"/>
      <c r="N88" s="144"/>
    </row>
    <row r="89" spans="2:14" ht="12.75" hidden="1">
      <c r="B89" s="11" t="s">
        <v>62</v>
      </c>
      <c r="C89" s="126" t="e">
        <f>+Composition!$AE$6</f>
        <v>#DIV/0!</v>
      </c>
      <c r="D89" s="126" t="e">
        <f>+Composition!$AE$7</f>
        <v>#DIV/0!</v>
      </c>
      <c r="E89" s="126" t="e">
        <f>+Composition!$AE$8</f>
        <v>#DIV/0!</v>
      </c>
      <c r="F89" s="126" t="e">
        <f>+Composition!$AE$9</f>
        <v>#DIV/0!</v>
      </c>
      <c r="G89" s="126" t="e">
        <f>+Composition!$AE$10</f>
        <v>#DIV/0!</v>
      </c>
      <c r="H89" s="126" t="e">
        <f>+Composition!$AE$11</f>
        <v>#DIV/0!</v>
      </c>
      <c r="I89" s="126" t="e">
        <f>+Composition!$AE$12</f>
        <v>#DIV/0!</v>
      </c>
      <c r="J89" s="126" t="e">
        <f>+Composition!$AE$13</f>
        <v>#DIV/0!</v>
      </c>
      <c r="K89" s="126" t="e">
        <f>+Composition!$AE$14</f>
        <v>#DIV/0!</v>
      </c>
      <c r="L89" s="126" t="e">
        <f>+Composition!$AE$15</f>
        <v>#DIV/0!</v>
      </c>
      <c r="M89" s="121" t="e">
        <f>SUM(C89:L89)</f>
        <v>#DIV/0!</v>
      </c>
      <c r="N89" s="144"/>
    </row>
    <row r="90" spans="3:16" ht="12.75" hidden="1">
      <c r="C90" s="127" t="e">
        <f>+C89*$M90</f>
        <v>#DIV/0!</v>
      </c>
      <c r="D90" s="127" t="e">
        <f>+D89*$M90</f>
        <v>#DIV/0!</v>
      </c>
      <c r="E90" s="127" t="e">
        <f>+E89*$M90</f>
        <v>#DIV/0!</v>
      </c>
      <c r="F90" s="127" t="e">
        <f>+F89*$M90</f>
        <v>#DIV/0!</v>
      </c>
      <c r="G90" s="127" t="e">
        <f aca="true" t="shared" si="30" ref="G90:L90">+G89*$M90</f>
        <v>#DIV/0!</v>
      </c>
      <c r="H90" s="127" t="e">
        <f t="shared" si="30"/>
        <v>#DIV/0!</v>
      </c>
      <c r="I90" s="127" t="e">
        <f t="shared" si="30"/>
        <v>#DIV/0!</v>
      </c>
      <c r="J90" s="127" t="e">
        <f t="shared" si="30"/>
        <v>#DIV/0!</v>
      </c>
      <c r="K90" s="127" t="e">
        <f t="shared" si="30"/>
        <v>#DIV/0!</v>
      </c>
      <c r="L90" s="127" t="e">
        <f t="shared" si="30"/>
        <v>#DIV/0!</v>
      </c>
      <c r="M90" s="122">
        <f>+'2018-2019 Recy. Tons &amp; Revenue'!C21</f>
        <v>0</v>
      </c>
      <c r="N90" s="144"/>
      <c r="O90" s="122" t="e">
        <f>SUM(C90:L90)</f>
        <v>#DIV/0!</v>
      </c>
      <c r="P90" s="122" t="e">
        <f>+M90-O90</f>
        <v>#DIV/0!</v>
      </c>
    </row>
    <row r="91" spans="3:14" ht="12.75" hidden="1">
      <c r="C91" s="89" t="e">
        <f aca="true" t="shared" si="31" ref="C91:L91">+C90*C19</f>
        <v>#DIV/0!</v>
      </c>
      <c r="D91" s="89" t="e">
        <f t="shared" si="31"/>
        <v>#DIV/0!</v>
      </c>
      <c r="E91" s="89" t="e">
        <f t="shared" si="31"/>
        <v>#DIV/0!</v>
      </c>
      <c r="F91" s="89" t="e">
        <f t="shared" si="31"/>
        <v>#DIV/0!</v>
      </c>
      <c r="G91" s="89" t="e">
        <f t="shared" si="31"/>
        <v>#DIV/0!</v>
      </c>
      <c r="H91" s="89" t="e">
        <f t="shared" si="31"/>
        <v>#DIV/0!</v>
      </c>
      <c r="I91" s="89" t="e">
        <f t="shared" si="31"/>
        <v>#DIV/0!</v>
      </c>
      <c r="J91" s="89" t="e">
        <f t="shared" si="31"/>
        <v>#DIV/0!</v>
      </c>
      <c r="K91" s="89" t="e">
        <f t="shared" si="31"/>
        <v>#DIV/0!</v>
      </c>
      <c r="L91" s="89" t="e">
        <f t="shared" si="31"/>
        <v>#DIV/0!</v>
      </c>
      <c r="M91" s="122" t="e">
        <f>SUM(C91:L91)</f>
        <v>#DIV/0!</v>
      </c>
      <c r="N91" s="144"/>
    </row>
    <row r="92" spans="3:14" ht="12.75" hidden="1">
      <c r="C92" s="89"/>
      <c r="D92" s="89"/>
      <c r="E92" s="89"/>
      <c r="F92" s="89"/>
      <c r="G92" s="89"/>
      <c r="H92" s="89"/>
      <c r="I92" s="89"/>
      <c r="J92" s="89"/>
      <c r="K92" s="89"/>
      <c r="L92" s="89"/>
      <c r="M92" s="122"/>
      <c r="N92" s="144"/>
    </row>
    <row r="93" spans="2:14" ht="12.75" hidden="1">
      <c r="B93" s="11" t="s">
        <v>149</v>
      </c>
      <c r="C93" s="126" t="e">
        <f>+Composition!$AG$6</f>
        <v>#DIV/0!</v>
      </c>
      <c r="D93" s="126" t="e">
        <f>+Composition!$AG$7</f>
        <v>#DIV/0!</v>
      </c>
      <c r="E93" s="126" t="e">
        <f>+Composition!$AG$8</f>
        <v>#DIV/0!</v>
      </c>
      <c r="F93" s="126" t="e">
        <f>+Composition!$AG$9</f>
        <v>#DIV/0!</v>
      </c>
      <c r="G93" s="126" t="e">
        <f>+Composition!$AG$10</f>
        <v>#DIV/0!</v>
      </c>
      <c r="H93" s="126" t="e">
        <f>+Composition!$AG$11</f>
        <v>#DIV/0!</v>
      </c>
      <c r="I93" s="126" t="e">
        <f>+Composition!$AG$12</f>
        <v>#DIV/0!</v>
      </c>
      <c r="J93" s="126" t="e">
        <f>+Composition!$AG$13</f>
        <v>#DIV/0!</v>
      </c>
      <c r="K93" s="126" t="e">
        <f>+Composition!$AG$14</f>
        <v>#DIV/0!</v>
      </c>
      <c r="L93" s="126" t="e">
        <f>+Composition!$AG$15</f>
        <v>#DIV/0!</v>
      </c>
      <c r="M93" s="121" t="e">
        <f>SUM(C93:L93)</f>
        <v>#DIV/0!</v>
      </c>
      <c r="N93" s="144"/>
    </row>
    <row r="94" spans="3:16" ht="12.75" hidden="1">
      <c r="C94" s="127" t="e">
        <f aca="true" t="shared" si="32" ref="C94:L94">+C93*$M94</f>
        <v>#DIV/0!</v>
      </c>
      <c r="D94" s="127" t="e">
        <f t="shared" si="32"/>
        <v>#DIV/0!</v>
      </c>
      <c r="E94" s="127" t="e">
        <f t="shared" si="32"/>
        <v>#DIV/0!</v>
      </c>
      <c r="F94" s="127" t="e">
        <f t="shared" si="32"/>
        <v>#DIV/0!</v>
      </c>
      <c r="G94" s="127" t="e">
        <f t="shared" si="32"/>
        <v>#DIV/0!</v>
      </c>
      <c r="H94" s="127" t="e">
        <f t="shared" si="32"/>
        <v>#DIV/0!</v>
      </c>
      <c r="I94" s="127" t="e">
        <f t="shared" si="32"/>
        <v>#DIV/0!</v>
      </c>
      <c r="J94" s="127" t="e">
        <f t="shared" si="32"/>
        <v>#DIV/0!</v>
      </c>
      <c r="K94" s="127" t="e">
        <f t="shared" si="32"/>
        <v>#DIV/0!</v>
      </c>
      <c r="L94" s="127" t="e">
        <f t="shared" si="32"/>
        <v>#DIV/0!</v>
      </c>
      <c r="M94" s="122">
        <f>+'2018-2019 Recy. Tons &amp; Revenue'!C22</f>
        <v>0</v>
      </c>
      <c r="N94" s="144"/>
      <c r="O94" s="122" t="e">
        <f>SUM(C94:L94)</f>
        <v>#DIV/0!</v>
      </c>
      <c r="P94" s="122" t="e">
        <f>+M94-O94</f>
        <v>#DIV/0!</v>
      </c>
    </row>
    <row r="95" spans="3:14" ht="12.75" hidden="1">
      <c r="C95" s="89" t="e">
        <f aca="true" t="shared" si="33" ref="C95:L95">+C94*C20</f>
        <v>#DIV/0!</v>
      </c>
      <c r="D95" s="89" t="e">
        <f t="shared" si="33"/>
        <v>#DIV/0!</v>
      </c>
      <c r="E95" s="89" t="e">
        <f t="shared" si="33"/>
        <v>#DIV/0!</v>
      </c>
      <c r="F95" s="89" t="e">
        <f t="shared" si="33"/>
        <v>#DIV/0!</v>
      </c>
      <c r="G95" s="89" t="e">
        <f t="shared" si="33"/>
        <v>#DIV/0!</v>
      </c>
      <c r="H95" s="89" t="e">
        <f t="shared" si="33"/>
        <v>#DIV/0!</v>
      </c>
      <c r="I95" s="89" t="e">
        <f t="shared" si="33"/>
        <v>#DIV/0!</v>
      </c>
      <c r="J95" s="89" t="e">
        <f t="shared" si="33"/>
        <v>#DIV/0!</v>
      </c>
      <c r="K95" s="89" t="e">
        <f t="shared" si="33"/>
        <v>#DIV/0!</v>
      </c>
      <c r="L95" s="89" t="e">
        <f t="shared" si="33"/>
        <v>#DIV/0!</v>
      </c>
      <c r="M95" s="122" t="e">
        <f>SUM(C95:L95)</f>
        <v>#DIV/0!</v>
      </c>
      <c r="N95" s="144"/>
    </row>
    <row r="96" spans="3:14" ht="12.75" hidden="1">
      <c r="C96" s="126"/>
      <c r="D96" s="126"/>
      <c r="E96" s="126"/>
      <c r="F96" s="126"/>
      <c r="G96" s="126"/>
      <c r="H96" s="126"/>
      <c r="I96" s="126"/>
      <c r="J96" s="126"/>
      <c r="K96" s="126"/>
      <c r="L96" s="126"/>
      <c r="N96" s="144"/>
    </row>
    <row r="97" spans="2:14" ht="12.75" hidden="1">
      <c r="B97" s="11" t="s">
        <v>63</v>
      </c>
      <c r="C97" s="126" t="e">
        <f>+Composition!$AI$6</f>
        <v>#DIV/0!</v>
      </c>
      <c r="D97" s="126" t="e">
        <f>+Composition!$AI$7</f>
        <v>#DIV/0!</v>
      </c>
      <c r="E97" s="126" t="e">
        <f>+Composition!$AI$8</f>
        <v>#DIV/0!</v>
      </c>
      <c r="F97" s="126" t="e">
        <f>+Composition!$AI$9</f>
        <v>#DIV/0!</v>
      </c>
      <c r="G97" s="126" t="e">
        <f>+Composition!$AI$10</f>
        <v>#DIV/0!</v>
      </c>
      <c r="H97" s="126" t="e">
        <f>+Composition!$AI$11</f>
        <v>#DIV/0!</v>
      </c>
      <c r="I97" s="126" t="e">
        <f>+Composition!$AI$12</f>
        <v>#DIV/0!</v>
      </c>
      <c r="J97" s="126" t="e">
        <f>+Composition!$AI$13</f>
        <v>#DIV/0!</v>
      </c>
      <c r="K97" s="126" t="e">
        <f>+Composition!$AI$14</f>
        <v>#DIV/0!</v>
      </c>
      <c r="L97" s="126" t="e">
        <f>+Composition!$AI$15</f>
        <v>#DIV/0!</v>
      </c>
      <c r="M97" s="121" t="e">
        <f>SUM(C97:L97)</f>
        <v>#DIV/0!</v>
      </c>
      <c r="N97" s="144"/>
    </row>
    <row r="98" spans="3:16" ht="12.75" hidden="1">
      <c r="C98" s="127" t="e">
        <f aca="true" t="shared" si="34" ref="C98:L98">+C97*$M98</f>
        <v>#DIV/0!</v>
      </c>
      <c r="D98" s="127" t="e">
        <f t="shared" si="34"/>
        <v>#DIV/0!</v>
      </c>
      <c r="E98" s="127" t="e">
        <f t="shared" si="34"/>
        <v>#DIV/0!</v>
      </c>
      <c r="F98" s="127" t="e">
        <f t="shared" si="34"/>
        <v>#DIV/0!</v>
      </c>
      <c r="G98" s="127" t="e">
        <f t="shared" si="34"/>
        <v>#DIV/0!</v>
      </c>
      <c r="H98" s="127" t="e">
        <f t="shared" si="34"/>
        <v>#DIV/0!</v>
      </c>
      <c r="I98" s="127" t="e">
        <f t="shared" si="34"/>
        <v>#DIV/0!</v>
      </c>
      <c r="J98" s="127" t="e">
        <f t="shared" si="34"/>
        <v>#DIV/0!</v>
      </c>
      <c r="K98" s="127" t="e">
        <f t="shared" si="34"/>
        <v>#DIV/0!</v>
      </c>
      <c r="L98" s="127" t="e">
        <f t="shared" si="34"/>
        <v>#DIV/0!</v>
      </c>
      <c r="M98" s="122">
        <f>+'2018-2019 Recy. Tons &amp; Revenue'!C23</f>
        <v>0</v>
      </c>
      <c r="N98" s="144"/>
      <c r="O98" s="122" t="e">
        <f>SUM(C98:L98)</f>
        <v>#DIV/0!</v>
      </c>
      <c r="P98" s="122" t="e">
        <f>+M98-O98</f>
        <v>#DIV/0!</v>
      </c>
    </row>
    <row r="99" spans="3:14" ht="12.75" hidden="1">
      <c r="C99" s="89" t="e">
        <f aca="true" t="shared" si="35" ref="C99:L99">+C98*C21</f>
        <v>#DIV/0!</v>
      </c>
      <c r="D99" s="89" t="e">
        <f t="shared" si="35"/>
        <v>#DIV/0!</v>
      </c>
      <c r="E99" s="89" t="e">
        <f t="shared" si="35"/>
        <v>#DIV/0!</v>
      </c>
      <c r="F99" s="89" t="e">
        <f t="shared" si="35"/>
        <v>#DIV/0!</v>
      </c>
      <c r="G99" s="89" t="e">
        <f t="shared" si="35"/>
        <v>#DIV/0!</v>
      </c>
      <c r="H99" s="89" t="e">
        <f t="shared" si="35"/>
        <v>#DIV/0!</v>
      </c>
      <c r="I99" s="89" t="e">
        <f t="shared" si="35"/>
        <v>#DIV/0!</v>
      </c>
      <c r="J99" s="89" t="e">
        <f t="shared" si="35"/>
        <v>#DIV/0!</v>
      </c>
      <c r="K99" s="89" t="e">
        <f t="shared" si="35"/>
        <v>#DIV/0!</v>
      </c>
      <c r="L99" s="89" t="e">
        <f t="shared" si="35"/>
        <v>#DIV/0!</v>
      </c>
      <c r="M99" s="122" t="e">
        <f>SUM(C99:L99)</f>
        <v>#DIV/0!</v>
      </c>
      <c r="N99" s="144"/>
    </row>
    <row r="100" ht="12.75" hidden="1">
      <c r="N100" s="144"/>
    </row>
    <row r="101" spans="2:14" ht="12.75" hidden="1">
      <c r="B101" s="11" t="s">
        <v>64</v>
      </c>
      <c r="C101" s="126" t="e">
        <f>+Composition!$AK$6</f>
        <v>#DIV/0!</v>
      </c>
      <c r="D101" s="126" t="e">
        <f>+Composition!$AK$7</f>
        <v>#DIV/0!</v>
      </c>
      <c r="E101" s="126" t="e">
        <f>+Composition!$AK$8</f>
        <v>#DIV/0!</v>
      </c>
      <c r="F101" s="126" t="e">
        <f>+Composition!$AK$9</f>
        <v>#DIV/0!</v>
      </c>
      <c r="G101" s="126" t="e">
        <f>+Composition!$AK$10</f>
        <v>#DIV/0!</v>
      </c>
      <c r="H101" s="126" t="e">
        <f>+Composition!$AK$11</f>
        <v>#DIV/0!</v>
      </c>
      <c r="I101" s="126" t="e">
        <f>+Composition!$AK$12</f>
        <v>#DIV/0!</v>
      </c>
      <c r="J101" s="126" t="e">
        <f>+Composition!$AK$13</f>
        <v>#DIV/0!</v>
      </c>
      <c r="K101" s="126" t="e">
        <f>+Composition!$AK$14</f>
        <v>#DIV/0!</v>
      </c>
      <c r="L101" s="126" t="e">
        <f>+Composition!$AK$15</f>
        <v>#DIV/0!</v>
      </c>
      <c r="M101" s="121" t="e">
        <f>SUM(C101:L101)</f>
        <v>#DIV/0!</v>
      </c>
      <c r="N101" s="144"/>
    </row>
    <row r="102" spans="3:16" ht="12.75" hidden="1">
      <c r="C102" s="127" t="e">
        <f aca="true" t="shared" si="36" ref="C102:L102">+C101*$M102</f>
        <v>#DIV/0!</v>
      </c>
      <c r="D102" s="127" t="e">
        <f t="shared" si="36"/>
        <v>#DIV/0!</v>
      </c>
      <c r="E102" s="127" t="e">
        <f t="shared" si="36"/>
        <v>#DIV/0!</v>
      </c>
      <c r="F102" s="127" t="e">
        <f t="shared" si="36"/>
        <v>#DIV/0!</v>
      </c>
      <c r="G102" s="127" t="e">
        <f t="shared" si="36"/>
        <v>#DIV/0!</v>
      </c>
      <c r="H102" s="127" t="e">
        <f t="shared" si="36"/>
        <v>#DIV/0!</v>
      </c>
      <c r="I102" s="127" t="e">
        <f t="shared" si="36"/>
        <v>#DIV/0!</v>
      </c>
      <c r="J102" s="127" t="e">
        <f t="shared" si="36"/>
        <v>#DIV/0!</v>
      </c>
      <c r="K102" s="127" t="e">
        <f t="shared" si="36"/>
        <v>#DIV/0!</v>
      </c>
      <c r="L102" s="127" t="e">
        <f t="shared" si="36"/>
        <v>#DIV/0!</v>
      </c>
      <c r="M102" s="122">
        <f>+'2018-2019 Recy. Tons &amp; Revenue'!C24</f>
        <v>0</v>
      </c>
      <c r="N102" s="144"/>
      <c r="O102" s="122" t="e">
        <f>SUM(C102:L102)</f>
        <v>#DIV/0!</v>
      </c>
      <c r="P102" s="122" t="e">
        <f>+M102-O102</f>
        <v>#DIV/0!</v>
      </c>
    </row>
    <row r="103" spans="3:14" ht="12.75" hidden="1">
      <c r="C103" s="89" t="e">
        <f aca="true" t="shared" si="37" ref="C103:L103">+C102*C22</f>
        <v>#DIV/0!</v>
      </c>
      <c r="D103" s="89" t="e">
        <f t="shared" si="37"/>
        <v>#DIV/0!</v>
      </c>
      <c r="E103" s="89" t="e">
        <f t="shared" si="37"/>
        <v>#DIV/0!</v>
      </c>
      <c r="F103" s="89" t="e">
        <f t="shared" si="37"/>
        <v>#DIV/0!</v>
      </c>
      <c r="G103" s="89" t="e">
        <f t="shared" si="37"/>
        <v>#DIV/0!</v>
      </c>
      <c r="H103" s="89" t="e">
        <f t="shared" si="37"/>
        <v>#DIV/0!</v>
      </c>
      <c r="I103" s="89" t="e">
        <f t="shared" si="37"/>
        <v>#DIV/0!</v>
      </c>
      <c r="J103" s="89" t="e">
        <f t="shared" si="37"/>
        <v>#DIV/0!</v>
      </c>
      <c r="K103" s="89" t="e">
        <f t="shared" si="37"/>
        <v>#DIV/0!</v>
      </c>
      <c r="L103" s="89" t="e">
        <f t="shared" si="37"/>
        <v>#DIV/0!</v>
      </c>
      <c r="M103" s="122" t="e">
        <f>SUM(C103:L103)</f>
        <v>#DIV/0!</v>
      </c>
      <c r="N103" s="144"/>
    </row>
    <row r="104" spans="3:14" ht="12.75" hidden="1">
      <c r="C104" s="89"/>
      <c r="D104" s="89"/>
      <c r="E104" s="89"/>
      <c r="F104" s="89"/>
      <c r="G104" s="89"/>
      <c r="H104" s="89"/>
      <c r="I104" s="89"/>
      <c r="J104" s="89"/>
      <c r="K104" s="89"/>
      <c r="L104" s="89"/>
      <c r="M104" s="122"/>
      <c r="N104" s="144"/>
    </row>
    <row r="105" spans="2:14" ht="12.75" hidden="1">
      <c r="B105" s="11" t="s">
        <v>65</v>
      </c>
      <c r="C105" s="126" t="e">
        <f>+Composition!$AM$6</f>
        <v>#DIV/0!</v>
      </c>
      <c r="D105" s="126" t="e">
        <f>+Composition!$AM$7</f>
        <v>#DIV/0!</v>
      </c>
      <c r="E105" s="126" t="e">
        <f>+Composition!$AM$8</f>
        <v>#DIV/0!</v>
      </c>
      <c r="F105" s="126" t="e">
        <f>+Composition!$AM$9</f>
        <v>#DIV/0!</v>
      </c>
      <c r="G105" s="126" t="e">
        <f>+Composition!$AM$10</f>
        <v>#DIV/0!</v>
      </c>
      <c r="H105" s="126" t="e">
        <f>+Composition!$AM$11</f>
        <v>#DIV/0!</v>
      </c>
      <c r="I105" s="126" t="e">
        <f>+Composition!$AM$12</f>
        <v>#DIV/0!</v>
      </c>
      <c r="J105" s="126" t="e">
        <f>+Composition!$AM$13</f>
        <v>#DIV/0!</v>
      </c>
      <c r="K105" s="126" t="e">
        <f>+Composition!$AM$14</f>
        <v>#DIV/0!</v>
      </c>
      <c r="L105" s="126" t="e">
        <f>+Composition!$AM$15</f>
        <v>#DIV/0!</v>
      </c>
      <c r="M105" s="121" t="e">
        <f>SUM(C105:L105)</f>
        <v>#DIV/0!</v>
      </c>
      <c r="N105" s="144"/>
    </row>
    <row r="106" spans="3:16" ht="12.75" hidden="1">
      <c r="C106" s="127" t="e">
        <f aca="true" t="shared" si="38" ref="C106:L106">+C105*$M106</f>
        <v>#DIV/0!</v>
      </c>
      <c r="D106" s="127" t="e">
        <f t="shared" si="38"/>
        <v>#DIV/0!</v>
      </c>
      <c r="E106" s="127" t="e">
        <f t="shared" si="38"/>
        <v>#DIV/0!</v>
      </c>
      <c r="F106" s="127" t="e">
        <f t="shared" si="38"/>
        <v>#DIV/0!</v>
      </c>
      <c r="G106" s="127" t="e">
        <f t="shared" si="38"/>
        <v>#DIV/0!</v>
      </c>
      <c r="H106" s="127" t="e">
        <f t="shared" si="38"/>
        <v>#DIV/0!</v>
      </c>
      <c r="I106" s="127" t="e">
        <f t="shared" si="38"/>
        <v>#DIV/0!</v>
      </c>
      <c r="J106" s="127" t="e">
        <f t="shared" si="38"/>
        <v>#DIV/0!</v>
      </c>
      <c r="K106" s="127" t="e">
        <f t="shared" si="38"/>
        <v>#DIV/0!</v>
      </c>
      <c r="L106" s="127" t="e">
        <f t="shared" si="38"/>
        <v>#DIV/0!</v>
      </c>
      <c r="M106" s="122">
        <f>+'2018-2019 Recy. Tons &amp; Revenue'!C25</f>
        <v>0</v>
      </c>
      <c r="N106" s="144"/>
      <c r="O106" s="122" t="e">
        <f>SUM(C106:L106)</f>
        <v>#DIV/0!</v>
      </c>
      <c r="P106" s="122" t="e">
        <f>+M106-O106</f>
        <v>#DIV/0!</v>
      </c>
    </row>
    <row r="107" spans="3:14" ht="12.75" hidden="1">
      <c r="C107" s="89" t="e">
        <f aca="true" t="shared" si="39" ref="C107:L107">+C106*C23</f>
        <v>#DIV/0!</v>
      </c>
      <c r="D107" s="89" t="e">
        <f t="shared" si="39"/>
        <v>#DIV/0!</v>
      </c>
      <c r="E107" s="89" t="e">
        <f t="shared" si="39"/>
        <v>#DIV/0!</v>
      </c>
      <c r="F107" s="89" t="e">
        <f t="shared" si="39"/>
        <v>#DIV/0!</v>
      </c>
      <c r="G107" s="89" t="e">
        <f t="shared" si="39"/>
        <v>#DIV/0!</v>
      </c>
      <c r="H107" s="89" t="e">
        <f t="shared" si="39"/>
        <v>#DIV/0!</v>
      </c>
      <c r="I107" s="89" t="e">
        <f t="shared" si="39"/>
        <v>#DIV/0!</v>
      </c>
      <c r="J107" s="89" t="e">
        <f t="shared" si="39"/>
        <v>#DIV/0!</v>
      </c>
      <c r="K107" s="89" t="e">
        <f t="shared" si="39"/>
        <v>#DIV/0!</v>
      </c>
      <c r="L107" s="89" t="e">
        <f t="shared" si="39"/>
        <v>#DIV/0!</v>
      </c>
      <c r="M107" s="122" t="e">
        <f>SUM(C107:L107)</f>
        <v>#DIV/0!</v>
      </c>
      <c r="N107" s="144"/>
    </row>
    <row r="108" spans="3:14" ht="12.75" hidden="1">
      <c r="C108" s="89"/>
      <c r="D108" s="89"/>
      <c r="E108" s="89"/>
      <c r="F108" s="89"/>
      <c r="G108" s="89"/>
      <c r="H108" s="89"/>
      <c r="I108" s="89"/>
      <c r="J108" s="89"/>
      <c r="K108" s="89"/>
      <c r="L108" s="89"/>
      <c r="M108" s="122"/>
      <c r="N108" s="144"/>
    </row>
    <row r="109" spans="2:14" ht="12.75" hidden="1">
      <c r="B109" s="11" t="s">
        <v>66</v>
      </c>
      <c r="C109" s="126" t="e">
        <f>+Composition!$AO$6</f>
        <v>#DIV/0!</v>
      </c>
      <c r="D109" s="126" t="e">
        <f>+Composition!$AO$7</f>
        <v>#DIV/0!</v>
      </c>
      <c r="E109" s="126" t="e">
        <f>+Composition!$AO$8</f>
        <v>#DIV/0!</v>
      </c>
      <c r="F109" s="126" t="e">
        <f>+Composition!$AO$9</f>
        <v>#DIV/0!</v>
      </c>
      <c r="G109" s="126" t="e">
        <f>+Composition!$AO$10</f>
        <v>#DIV/0!</v>
      </c>
      <c r="H109" s="126" t="e">
        <f>+Composition!$AO$11</f>
        <v>#DIV/0!</v>
      </c>
      <c r="I109" s="126" t="e">
        <f>+Composition!$AO$12</f>
        <v>#DIV/0!</v>
      </c>
      <c r="J109" s="126" t="e">
        <f>+Composition!$AO$13</f>
        <v>#DIV/0!</v>
      </c>
      <c r="K109" s="126" t="e">
        <f>+Composition!$AO$14</f>
        <v>#DIV/0!</v>
      </c>
      <c r="L109" s="126" t="e">
        <f>+Composition!$AO$15</f>
        <v>#DIV/0!</v>
      </c>
      <c r="M109" s="121" t="e">
        <f>SUM(C109:L109)</f>
        <v>#DIV/0!</v>
      </c>
      <c r="N109" s="144"/>
    </row>
    <row r="110" spans="3:16" ht="12.75" hidden="1">
      <c r="C110" s="127" t="e">
        <f aca="true" t="shared" si="40" ref="C110:L110">+C109*$M110</f>
        <v>#DIV/0!</v>
      </c>
      <c r="D110" s="127" t="e">
        <f t="shared" si="40"/>
        <v>#DIV/0!</v>
      </c>
      <c r="E110" s="127" t="e">
        <f t="shared" si="40"/>
        <v>#DIV/0!</v>
      </c>
      <c r="F110" s="127" t="e">
        <f t="shared" si="40"/>
        <v>#DIV/0!</v>
      </c>
      <c r="G110" s="127" t="e">
        <f t="shared" si="40"/>
        <v>#DIV/0!</v>
      </c>
      <c r="H110" s="127" t="e">
        <f t="shared" si="40"/>
        <v>#DIV/0!</v>
      </c>
      <c r="I110" s="127" t="e">
        <f t="shared" si="40"/>
        <v>#DIV/0!</v>
      </c>
      <c r="J110" s="127" t="e">
        <f t="shared" si="40"/>
        <v>#DIV/0!</v>
      </c>
      <c r="K110" s="127" t="e">
        <f t="shared" si="40"/>
        <v>#DIV/0!</v>
      </c>
      <c r="L110" s="127" t="e">
        <f t="shared" si="40"/>
        <v>#DIV/0!</v>
      </c>
      <c r="M110" s="122">
        <f>+'2018-2019 Recy. Tons &amp; Revenue'!C26</f>
        <v>0</v>
      </c>
      <c r="N110" s="144"/>
      <c r="O110" s="122" t="e">
        <f>SUM(C110:L110)</f>
        <v>#DIV/0!</v>
      </c>
      <c r="P110" s="122" t="e">
        <f>+M110-O110</f>
        <v>#DIV/0!</v>
      </c>
    </row>
    <row r="111" spans="3:14" ht="12.75" hidden="1">
      <c r="C111" s="89" t="e">
        <f aca="true" t="shared" si="41" ref="C111:L111">+C110*C24</f>
        <v>#DIV/0!</v>
      </c>
      <c r="D111" s="89" t="e">
        <f t="shared" si="41"/>
        <v>#DIV/0!</v>
      </c>
      <c r="E111" s="89" t="e">
        <f t="shared" si="41"/>
        <v>#DIV/0!</v>
      </c>
      <c r="F111" s="89" t="e">
        <f t="shared" si="41"/>
        <v>#DIV/0!</v>
      </c>
      <c r="G111" s="89" t="e">
        <f t="shared" si="41"/>
        <v>#DIV/0!</v>
      </c>
      <c r="H111" s="89" t="e">
        <f t="shared" si="41"/>
        <v>#DIV/0!</v>
      </c>
      <c r="I111" s="89" t="e">
        <f t="shared" si="41"/>
        <v>#DIV/0!</v>
      </c>
      <c r="J111" s="89" t="e">
        <f t="shared" si="41"/>
        <v>#DIV/0!</v>
      </c>
      <c r="K111" s="89" t="e">
        <f t="shared" si="41"/>
        <v>#DIV/0!</v>
      </c>
      <c r="L111" s="89" t="e">
        <f t="shared" si="41"/>
        <v>#DIV/0!</v>
      </c>
      <c r="M111" s="122" t="e">
        <f>SUM(C111:L111)</f>
        <v>#DIV/0!</v>
      </c>
      <c r="N111" s="144"/>
    </row>
    <row r="112" spans="3:14" ht="12.75" hidden="1">
      <c r="C112" s="89"/>
      <c r="D112" s="89"/>
      <c r="E112" s="89"/>
      <c r="F112" s="89"/>
      <c r="G112" s="89"/>
      <c r="H112" s="89"/>
      <c r="I112" s="89"/>
      <c r="J112" s="89"/>
      <c r="K112" s="89"/>
      <c r="L112" s="89"/>
      <c r="M112" s="122"/>
      <c r="N112" s="144"/>
    </row>
    <row r="113" spans="2:14" ht="12.75" hidden="1">
      <c r="B113" s="11" t="s">
        <v>73</v>
      </c>
      <c r="C113" s="126" t="e">
        <f>+Composition!$AQ$6</f>
        <v>#DIV/0!</v>
      </c>
      <c r="D113" s="126" t="e">
        <f>+Composition!$AQ$7</f>
        <v>#DIV/0!</v>
      </c>
      <c r="E113" s="126" t="e">
        <f>+Composition!$AQ$8</f>
        <v>#DIV/0!</v>
      </c>
      <c r="F113" s="126" t="e">
        <f>+Composition!$AQ$9</f>
        <v>#DIV/0!</v>
      </c>
      <c r="G113" s="126" t="e">
        <f>+Composition!$AQ$10</f>
        <v>#DIV/0!</v>
      </c>
      <c r="H113" s="126" t="e">
        <f>+Composition!$AQ$11</f>
        <v>#DIV/0!</v>
      </c>
      <c r="I113" s="126" t="e">
        <f>+Composition!$AQ$12</f>
        <v>#DIV/0!</v>
      </c>
      <c r="J113" s="126" t="e">
        <f>+Composition!$AQ$13</f>
        <v>#DIV/0!</v>
      </c>
      <c r="K113" s="126" t="e">
        <f>+Composition!$AQ$14</f>
        <v>#DIV/0!</v>
      </c>
      <c r="L113" s="126" t="e">
        <f>+Composition!$AQ$15</f>
        <v>#DIV/0!</v>
      </c>
      <c r="M113" s="121" t="e">
        <f>SUM(C113:L113)</f>
        <v>#DIV/0!</v>
      </c>
      <c r="N113" s="144"/>
    </row>
    <row r="114" spans="3:16" ht="12.75" hidden="1">
      <c r="C114" s="127" t="e">
        <f aca="true" t="shared" si="42" ref="C114:L114">+C113*$M114</f>
        <v>#DIV/0!</v>
      </c>
      <c r="D114" s="127" t="e">
        <f t="shared" si="42"/>
        <v>#DIV/0!</v>
      </c>
      <c r="E114" s="127" t="e">
        <f t="shared" si="42"/>
        <v>#DIV/0!</v>
      </c>
      <c r="F114" s="127" t="e">
        <f t="shared" si="42"/>
        <v>#DIV/0!</v>
      </c>
      <c r="G114" s="127" t="e">
        <f t="shared" si="42"/>
        <v>#DIV/0!</v>
      </c>
      <c r="H114" s="127" t="e">
        <f t="shared" si="42"/>
        <v>#DIV/0!</v>
      </c>
      <c r="I114" s="127" t="e">
        <f t="shared" si="42"/>
        <v>#DIV/0!</v>
      </c>
      <c r="J114" s="127" t="e">
        <f t="shared" si="42"/>
        <v>#DIV/0!</v>
      </c>
      <c r="K114" s="127" t="e">
        <f t="shared" si="42"/>
        <v>#DIV/0!</v>
      </c>
      <c r="L114" s="127" t="e">
        <f t="shared" si="42"/>
        <v>#DIV/0!</v>
      </c>
      <c r="M114" s="122">
        <f>+'2018-2019 Recy. Tons &amp; Revenue'!C27</f>
        <v>0</v>
      </c>
      <c r="N114" s="144"/>
      <c r="O114" s="122" t="e">
        <f>SUM(C114:L114)</f>
        <v>#DIV/0!</v>
      </c>
      <c r="P114" s="122" t="e">
        <f>+M114-O114</f>
        <v>#DIV/0!</v>
      </c>
    </row>
    <row r="115" spans="3:14" ht="12.75" hidden="1">
      <c r="C115" s="89" t="e">
        <f aca="true" t="shared" si="43" ref="C115:L115">+C114*C25</f>
        <v>#DIV/0!</v>
      </c>
      <c r="D115" s="89" t="e">
        <f t="shared" si="43"/>
        <v>#DIV/0!</v>
      </c>
      <c r="E115" s="89" t="e">
        <f t="shared" si="43"/>
        <v>#DIV/0!</v>
      </c>
      <c r="F115" s="89" t="e">
        <f t="shared" si="43"/>
        <v>#DIV/0!</v>
      </c>
      <c r="G115" s="89" t="e">
        <f t="shared" si="43"/>
        <v>#DIV/0!</v>
      </c>
      <c r="H115" s="89" t="e">
        <f t="shared" si="43"/>
        <v>#DIV/0!</v>
      </c>
      <c r="I115" s="89" t="e">
        <f t="shared" si="43"/>
        <v>#DIV/0!</v>
      </c>
      <c r="J115" s="89" t="e">
        <f t="shared" si="43"/>
        <v>#DIV/0!</v>
      </c>
      <c r="K115" s="89" t="e">
        <f t="shared" si="43"/>
        <v>#DIV/0!</v>
      </c>
      <c r="L115" s="89" t="e">
        <f t="shared" si="43"/>
        <v>#DIV/0!</v>
      </c>
      <c r="M115" s="122" t="e">
        <f>SUM(C115:L115)</f>
        <v>#DIV/0!</v>
      </c>
      <c r="N115" s="144"/>
    </row>
    <row r="116" spans="3:14" ht="12.75" hidden="1">
      <c r="C116" s="127"/>
      <c r="D116" s="127"/>
      <c r="E116" s="127"/>
      <c r="F116" s="127"/>
      <c r="G116" s="127"/>
      <c r="H116" s="127"/>
      <c r="I116" s="127"/>
      <c r="J116" s="127"/>
      <c r="K116" s="127"/>
      <c r="L116" s="127"/>
      <c r="M116" s="122"/>
      <c r="N116" s="144"/>
    </row>
    <row r="117" spans="2:14" ht="12.75" hidden="1">
      <c r="B117" s="11" t="s">
        <v>74</v>
      </c>
      <c r="C117" s="126" t="e">
        <f>+Composition!$AS$6</f>
        <v>#DIV/0!</v>
      </c>
      <c r="D117" s="126" t="e">
        <f>+Composition!$AS$7</f>
        <v>#DIV/0!</v>
      </c>
      <c r="E117" s="126" t="e">
        <f>+Composition!$AS$8</f>
        <v>#DIV/0!</v>
      </c>
      <c r="F117" s="126" t="e">
        <f>+Composition!$AS$9</f>
        <v>#DIV/0!</v>
      </c>
      <c r="G117" s="126" t="e">
        <f>+Composition!$AS$10</f>
        <v>#DIV/0!</v>
      </c>
      <c r="H117" s="126" t="e">
        <f>+Composition!$AS$11</f>
        <v>#DIV/0!</v>
      </c>
      <c r="I117" s="126" t="e">
        <f>+Composition!$AS$12</f>
        <v>#DIV/0!</v>
      </c>
      <c r="J117" s="126" t="e">
        <f>+Composition!$AS$13</f>
        <v>#DIV/0!</v>
      </c>
      <c r="K117" s="126" t="e">
        <f>+Composition!$AS$14</f>
        <v>#DIV/0!</v>
      </c>
      <c r="L117" s="126" t="e">
        <f>+Composition!$AS$15</f>
        <v>#DIV/0!</v>
      </c>
      <c r="M117" s="121" t="e">
        <f>SUM(C117:L117)</f>
        <v>#DIV/0!</v>
      </c>
      <c r="N117" s="144"/>
    </row>
    <row r="118" spans="3:16" ht="12.75" hidden="1">
      <c r="C118" s="127" t="e">
        <f aca="true" t="shared" si="44" ref="C118:L118">+C117*$M118</f>
        <v>#DIV/0!</v>
      </c>
      <c r="D118" s="127" t="e">
        <f t="shared" si="44"/>
        <v>#DIV/0!</v>
      </c>
      <c r="E118" s="127" t="e">
        <f t="shared" si="44"/>
        <v>#DIV/0!</v>
      </c>
      <c r="F118" s="127" t="e">
        <f t="shared" si="44"/>
        <v>#DIV/0!</v>
      </c>
      <c r="G118" s="127" t="e">
        <f t="shared" si="44"/>
        <v>#DIV/0!</v>
      </c>
      <c r="H118" s="127" t="e">
        <f t="shared" si="44"/>
        <v>#DIV/0!</v>
      </c>
      <c r="I118" s="127" t="e">
        <f t="shared" si="44"/>
        <v>#DIV/0!</v>
      </c>
      <c r="J118" s="127" t="e">
        <f t="shared" si="44"/>
        <v>#DIV/0!</v>
      </c>
      <c r="K118" s="127" t="e">
        <f t="shared" si="44"/>
        <v>#DIV/0!</v>
      </c>
      <c r="L118" s="127" t="e">
        <f t="shared" si="44"/>
        <v>#DIV/0!</v>
      </c>
      <c r="M118" s="122">
        <f>+'2018-2019 Recy. Tons &amp; Revenue'!C28</f>
        <v>0</v>
      </c>
      <c r="N118" s="144"/>
      <c r="O118" s="122" t="e">
        <f>SUM(C118:L118)</f>
        <v>#DIV/0!</v>
      </c>
      <c r="P118" s="122" t="e">
        <f>+M118-O118</f>
        <v>#DIV/0!</v>
      </c>
    </row>
    <row r="119" spans="3:17" ht="12.75" hidden="1">
      <c r="C119" s="89" t="e">
        <f aca="true" t="shared" si="45" ref="C119:L119">+C118*C26</f>
        <v>#DIV/0!</v>
      </c>
      <c r="D119" s="89" t="e">
        <f t="shared" si="45"/>
        <v>#DIV/0!</v>
      </c>
      <c r="E119" s="89" t="e">
        <f t="shared" si="45"/>
        <v>#DIV/0!</v>
      </c>
      <c r="F119" s="89" t="e">
        <f t="shared" si="45"/>
        <v>#DIV/0!</v>
      </c>
      <c r="G119" s="89" t="e">
        <f t="shared" si="45"/>
        <v>#DIV/0!</v>
      </c>
      <c r="H119" s="89" t="e">
        <f t="shared" si="45"/>
        <v>#DIV/0!</v>
      </c>
      <c r="I119" s="89" t="e">
        <f t="shared" si="45"/>
        <v>#DIV/0!</v>
      </c>
      <c r="J119" s="89" t="e">
        <f t="shared" si="45"/>
        <v>#DIV/0!</v>
      </c>
      <c r="K119" s="89" t="e">
        <f t="shared" si="45"/>
        <v>#DIV/0!</v>
      </c>
      <c r="L119" s="89" t="e">
        <f t="shared" si="45"/>
        <v>#DIV/0!</v>
      </c>
      <c r="M119" s="122" t="e">
        <f>SUM(C119:L119)</f>
        <v>#DIV/0!</v>
      </c>
      <c r="N119" s="144"/>
      <c r="Q119" s="144"/>
    </row>
    <row r="120" spans="3:13" ht="12.75" hidden="1">
      <c r="C120" s="127"/>
      <c r="D120" s="127"/>
      <c r="E120" s="127"/>
      <c r="F120" s="127"/>
      <c r="G120" s="127"/>
      <c r="H120" s="127"/>
      <c r="I120" s="127"/>
      <c r="J120" s="127"/>
      <c r="K120" s="127"/>
      <c r="L120" s="127"/>
      <c r="M120" s="122"/>
    </row>
    <row r="121" spans="2:13" ht="12.75" hidden="1">
      <c r="B121" s="11" t="s">
        <v>75</v>
      </c>
      <c r="C121" s="126" t="e">
        <f>+Composition!$AU$6</f>
        <v>#DIV/0!</v>
      </c>
      <c r="D121" s="126" t="e">
        <f>+Composition!$AU$7</f>
        <v>#DIV/0!</v>
      </c>
      <c r="E121" s="126" t="e">
        <f>+Composition!$AU$8</f>
        <v>#DIV/0!</v>
      </c>
      <c r="F121" s="126" t="e">
        <f>+Composition!$AU$9</f>
        <v>#DIV/0!</v>
      </c>
      <c r="G121" s="126" t="e">
        <f>+Composition!$AU$10</f>
        <v>#DIV/0!</v>
      </c>
      <c r="H121" s="126" t="e">
        <f>+Composition!$AU$11</f>
        <v>#DIV/0!</v>
      </c>
      <c r="I121" s="126" t="e">
        <f>+Composition!$AU$12</f>
        <v>#DIV/0!</v>
      </c>
      <c r="J121" s="126" t="e">
        <f>+Composition!$AU$13</f>
        <v>#DIV/0!</v>
      </c>
      <c r="K121" s="126" t="e">
        <f>+Composition!$AU$14</f>
        <v>#DIV/0!</v>
      </c>
      <c r="L121" s="126" t="e">
        <f>+Composition!$AU$15</f>
        <v>#DIV/0!</v>
      </c>
      <c r="M121" s="121" t="e">
        <f>SUM(C121:L121)</f>
        <v>#DIV/0!</v>
      </c>
    </row>
    <row r="122" spans="3:16" ht="12.75" hidden="1">
      <c r="C122" s="127" t="e">
        <f aca="true" t="shared" si="46" ref="C122:L122">+C121*$M122</f>
        <v>#DIV/0!</v>
      </c>
      <c r="D122" s="127" t="e">
        <f t="shared" si="46"/>
        <v>#DIV/0!</v>
      </c>
      <c r="E122" s="127" t="e">
        <f t="shared" si="46"/>
        <v>#DIV/0!</v>
      </c>
      <c r="F122" s="127" t="e">
        <f t="shared" si="46"/>
        <v>#DIV/0!</v>
      </c>
      <c r="G122" s="127" t="e">
        <f t="shared" si="46"/>
        <v>#DIV/0!</v>
      </c>
      <c r="H122" s="127" t="e">
        <f t="shared" si="46"/>
        <v>#DIV/0!</v>
      </c>
      <c r="I122" s="127" t="e">
        <f t="shared" si="46"/>
        <v>#DIV/0!</v>
      </c>
      <c r="J122" s="127" t="e">
        <f t="shared" si="46"/>
        <v>#DIV/0!</v>
      </c>
      <c r="K122" s="127" t="e">
        <f t="shared" si="46"/>
        <v>#DIV/0!</v>
      </c>
      <c r="L122" s="127" t="e">
        <f t="shared" si="46"/>
        <v>#DIV/0!</v>
      </c>
      <c r="M122" s="122">
        <f>+'2018-2019 Recy. Tons &amp; Revenue'!C29</f>
        <v>0</v>
      </c>
      <c r="O122" s="122" t="e">
        <f>SUM(C122:L122)</f>
        <v>#DIV/0!</v>
      </c>
      <c r="P122" s="122" t="e">
        <f>+M122-O122</f>
        <v>#DIV/0!</v>
      </c>
    </row>
    <row r="123" spans="3:13" ht="12.75" hidden="1">
      <c r="C123" s="89" t="e">
        <f aca="true" t="shared" si="47" ref="C123:L123">+C122*C27</f>
        <v>#DIV/0!</v>
      </c>
      <c r="D123" s="89" t="e">
        <f t="shared" si="47"/>
        <v>#DIV/0!</v>
      </c>
      <c r="E123" s="89" t="e">
        <f t="shared" si="47"/>
        <v>#DIV/0!</v>
      </c>
      <c r="F123" s="89" t="e">
        <f t="shared" si="47"/>
        <v>#DIV/0!</v>
      </c>
      <c r="G123" s="89" t="e">
        <f t="shared" si="47"/>
        <v>#DIV/0!</v>
      </c>
      <c r="H123" s="89" t="e">
        <f t="shared" si="47"/>
        <v>#DIV/0!</v>
      </c>
      <c r="I123" s="89" t="e">
        <f t="shared" si="47"/>
        <v>#DIV/0!</v>
      </c>
      <c r="J123" s="89" t="e">
        <f t="shared" si="47"/>
        <v>#DIV/0!</v>
      </c>
      <c r="K123" s="89" t="e">
        <f t="shared" si="47"/>
        <v>#DIV/0!</v>
      </c>
      <c r="L123" s="89" t="e">
        <f t="shared" si="47"/>
        <v>#DIV/0!</v>
      </c>
      <c r="M123" s="122" t="e">
        <f>SUM(C123:L123)</f>
        <v>#DIV/0!</v>
      </c>
    </row>
    <row r="124" spans="3:13" ht="12.75" hidden="1">
      <c r="C124" s="89"/>
      <c r="D124" s="89"/>
      <c r="E124" s="89"/>
      <c r="F124" s="89"/>
      <c r="G124" s="89"/>
      <c r="H124" s="89"/>
      <c r="I124" s="89"/>
      <c r="J124" s="89"/>
      <c r="K124" s="89"/>
      <c r="L124" s="89"/>
      <c r="M124" s="122"/>
    </row>
    <row r="125" spans="2:13" ht="12.75" hidden="1">
      <c r="B125" s="11" t="s">
        <v>76</v>
      </c>
      <c r="C125" s="126" t="e">
        <f>+Composition!$AW$6</f>
        <v>#DIV/0!</v>
      </c>
      <c r="D125" s="126" t="e">
        <f>+Composition!$AW$7</f>
        <v>#DIV/0!</v>
      </c>
      <c r="E125" s="126" t="e">
        <f>+Composition!$AW$8</f>
        <v>#DIV/0!</v>
      </c>
      <c r="F125" s="126" t="e">
        <f>+Composition!$AW$9</f>
        <v>#DIV/0!</v>
      </c>
      <c r="G125" s="126" t="e">
        <f>+Composition!$AW$10</f>
        <v>#DIV/0!</v>
      </c>
      <c r="H125" s="126" t="e">
        <f>+Composition!$AW$11</f>
        <v>#DIV/0!</v>
      </c>
      <c r="I125" s="126" t="e">
        <f>+Composition!$AW$12</f>
        <v>#DIV/0!</v>
      </c>
      <c r="J125" s="126" t="e">
        <f>+Composition!$AW$13</f>
        <v>#DIV/0!</v>
      </c>
      <c r="K125" s="126" t="e">
        <f>+Composition!$AW$14</f>
        <v>#DIV/0!</v>
      </c>
      <c r="L125" s="126" t="e">
        <f>+Composition!$AW$15</f>
        <v>#DIV/0!</v>
      </c>
      <c r="M125" s="121" t="e">
        <f>SUM(C125:L125)</f>
        <v>#DIV/0!</v>
      </c>
    </row>
    <row r="126" spans="3:16" ht="12.75" hidden="1">
      <c r="C126" s="127" t="e">
        <f aca="true" t="shared" si="48" ref="C126:L126">+C125*$M126</f>
        <v>#DIV/0!</v>
      </c>
      <c r="D126" s="127" t="e">
        <f t="shared" si="48"/>
        <v>#DIV/0!</v>
      </c>
      <c r="E126" s="127" t="e">
        <f t="shared" si="48"/>
        <v>#DIV/0!</v>
      </c>
      <c r="F126" s="127" t="e">
        <f t="shared" si="48"/>
        <v>#DIV/0!</v>
      </c>
      <c r="G126" s="127" t="e">
        <f t="shared" si="48"/>
        <v>#DIV/0!</v>
      </c>
      <c r="H126" s="127" t="e">
        <f t="shared" si="48"/>
        <v>#DIV/0!</v>
      </c>
      <c r="I126" s="127" t="e">
        <f t="shared" si="48"/>
        <v>#DIV/0!</v>
      </c>
      <c r="J126" s="127" t="e">
        <f t="shared" si="48"/>
        <v>#DIV/0!</v>
      </c>
      <c r="K126" s="127" t="e">
        <f t="shared" si="48"/>
        <v>#DIV/0!</v>
      </c>
      <c r="L126" s="127" t="e">
        <f t="shared" si="48"/>
        <v>#DIV/0!</v>
      </c>
      <c r="M126" s="122">
        <f>+'2018-2019 Recy. Tons &amp; Revenue'!C30</f>
        <v>0</v>
      </c>
      <c r="O126" s="122" t="e">
        <f>SUM(C126:L126)</f>
        <v>#DIV/0!</v>
      </c>
      <c r="P126" s="122" t="e">
        <f>+M126-O126</f>
        <v>#DIV/0!</v>
      </c>
    </row>
    <row r="127" spans="3:13" ht="12.75" hidden="1">
      <c r="C127" s="89" t="e">
        <f aca="true" t="shared" si="49" ref="C127:L127">+C126*C28</f>
        <v>#DIV/0!</v>
      </c>
      <c r="D127" s="89" t="e">
        <f t="shared" si="49"/>
        <v>#DIV/0!</v>
      </c>
      <c r="E127" s="89" t="e">
        <f t="shared" si="49"/>
        <v>#DIV/0!</v>
      </c>
      <c r="F127" s="89" t="e">
        <f t="shared" si="49"/>
        <v>#DIV/0!</v>
      </c>
      <c r="G127" s="89" t="e">
        <f t="shared" si="49"/>
        <v>#DIV/0!</v>
      </c>
      <c r="H127" s="89" t="e">
        <f t="shared" si="49"/>
        <v>#DIV/0!</v>
      </c>
      <c r="I127" s="89" t="e">
        <f t="shared" si="49"/>
        <v>#DIV/0!</v>
      </c>
      <c r="J127" s="89" t="e">
        <f t="shared" si="49"/>
        <v>#DIV/0!</v>
      </c>
      <c r="K127" s="89" t="e">
        <f t="shared" si="49"/>
        <v>#DIV/0!</v>
      </c>
      <c r="L127" s="89" t="e">
        <f t="shared" si="49"/>
        <v>#DIV/0!</v>
      </c>
      <c r="M127" s="122" t="e">
        <f>SUM(C127:L127)</f>
        <v>#DIV/0!</v>
      </c>
    </row>
    <row r="129" ht="12.75">
      <c r="B129" s="125" t="s">
        <v>77</v>
      </c>
    </row>
    <row r="130" spans="2:13" ht="12.75">
      <c r="B130" s="11" t="s">
        <v>147</v>
      </c>
      <c r="C130" s="126">
        <f>+C33</f>
        <v>0.2277122695312302</v>
      </c>
      <c r="D130" s="126">
        <f>+D33</f>
        <v>0.15310933230592969</v>
      </c>
      <c r="E130" s="126">
        <f>+E33</f>
        <v>0.2225541287938315</v>
      </c>
      <c r="F130" s="126">
        <f>+F33</f>
        <v>0.00503267244919168</v>
      </c>
      <c r="G130" s="126">
        <f aca="true" t="shared" si="50" ref="G130:M130">+G33</f>
        <v>0.012421360532492485</v>
      </c>
      <c r="H130" s="126">
        <f t="shared" si="50"/>
        <v>0.2182920090641333</v>
      </c>
      <c r="I130" s="126">
        <f t="shared" si="50"/>
        <v>0.012995473002772975</v>
      </c>
      <c r="J130" s="126">
        <f t="shared" si="50"/>
        <v>0.002827472232220256</v>
      </c>
      <c r="K130" s="126">
        <f t="shared" si="50"/>
        <v>0.0030340513330055106</v>
      </c>
      <c r="L130" s="126">
        <f t="shared" si="50"/>
        <v>0.007403896360659228</v>
      </c>
      <c r="M130" s="126">
        <f t="shared" si="50"/>
        <v>0.8653826656054666</v>
      </c>
    </row>
    <row r="131" spans="2:13" ht="12.75">
      <c r="B131" s="11" t="s">
        <v>7</v>
      </c>
      <c r="C131" s="127">
        <f aca="true" t="shared" si="51" ref="C131:L131">+C130*$M131</f>
        <v>872.0491845194945</v>
      </c>
      <c r="D131" s="127">
        <f t="shared" si="51"/>
        <v>586.3490300921114</v>
      </c>
      <c r="E131" s="127">
        <f t="shared" si="51"/>
        <v>852.295517170145</v>
      </c>
      <c r="F131" s="127">
        <f t="shared" si="51"/>
        <v>19.27317273814895</v>
      </c>
      <c r="G131" s="127">
        <f t="shared" si="51"/>
        <v>47.56896650883855</v>
      </c>
      <c r="H131" s="127">
        <f t="shared" si="51"/>
        <v>835.9732608320955</v>
      </c>
      <c r="I131" s="127">
        <f t="shared" si="51"/>
        <v>49.76759336614941</v>
      </c>
      <c r="J131" s="127">
        <f t="shared" si="51"/>
        <v>10.828115935233015</v>
      </c>
      <c r="K131" s="127">
        <f t="shared" si="51"/>
        <v>11.619233325391233</v>
      </c>
      <c r="L131" s="127">
        <f t="shared" si="51"/>
        <v>28.35403554174419</v>
      </c>
      <c r="M131" s="122">
        <f>+'2018-2019 Recy. Tons &amp; Revenue'!$D$7</f>
        <v>3829.61</v>
      </c>
    </row>
    <row r="132" spans="2:13" ht="12.75">
      <c r="B132" s="11" t="s">
        <v>97</v>
      </c>
      <c r="C132" s="89">
        <f aca="true" t="shared" si="52" ref="C132:L132">+C131*C5</f>
        <v>54058.328948363465</v>
      </c>
      <c r="D132" s="89">
        <f t="shared" si="52"/>
        <v>31504.533386849147</v>
      </c>
      <c r="E132" s="89">
        <f t="shared" si="52"/>
        <v>82749.37176204938</v>
      </c>
      <c r="F132" s="89">
        <f t="shared" si="52"/>
        <v>29801.91427327234</v>
      </c>
      <c r="G132" s="89">
        <f t="shared" si="52"/>
        <v>6211.079957059049</v>
      </c>
      <c r="H132" s="89">
        <f t="shared" si="52"/>
        <v>-44590.81373278398</v>
      </c>
      <c r="I132" s="89">
        <f t="shared" si="52"/>
        <v>7913.047345217757</v>
      </c>
      <c r="J132" s="89">
        <f t="shared" si="52"/>
        <v>5695.588981932566</v>
      </c>
      <c r="K132" s="89">
        <f t="shared" si="52"/>
        <v>4241.0201637678</v>
      </c>
      <c r="L132" s="89">
        <f t="shared" si="52"/>
        <v>-1559.4719547959303</v>
      </c>
      <c r="M132" s="122">
        <f>SUM(C132:L132)</f>
        <v>176024.5991309316</v>
      </c>
    </row>
    <row r="133" spans="3:12" ht="12.75">
      <c r="C133" s="126"/>
      <c r="D133" s="126"/>
      <c r="E133" s="126"/>
      <c r="F133" s="126"/>
      <c r="G133" s="126"/>
      <c r="H133" s="126"/>
      <c r="I133" s="126"/>
      <c r="J133" s="126"/>
      <c r="K133" s="126"/>
      <c r="L133" s="126"/>
    </row>
    <row r="134" spans="2:13" ht="12.75">
      <c r="B134" s="11" t="s">
        <v>61</v>
      </c>
      <c r="C134" s="126">
        <f>+C37</f>
        <v>0.25888726151100416</v>
      </c>
      <c r="D134" s="126">
        <f>+D37</f>
        <v>0.1425902305595701</v>
      </c>
      <c r="E134" s="126">
        <f>+E37</f>
        <v>0.2017869094154049</v>
      </c>
      <c r="F134" s="126">
        <f>+F37</f>
        <v>0.004319960813602724</v>
      </c>
      <c r="G134" s="126">
        <f aca="true" t="shared" si="53" ref="G134:M134">+G37</f>
        <v>0.015036809994471226</v>
      </c>
      <c r="H134" s="126">
        <f t="shared" si="53"/>
        <v>0.21042804349302113</v>
      </c>
      <c r="I134" s="126">
        <f t="shared" si="53"/>
        <v>0.010356751408867377</v>
      </c>
      <c r="J134" s="126">
        <f t="shared" si="53"/>
        <v>0.004300561607030272</v>
      </c>
      <c r="K134" s="126">
        <f t="shared" si="53"/>
        <v>0.0022187842517241044</v>
      </c>
      <c r="L134" s="126">
        <f t="shared" si="53"/>
        <v>0.004175679214720117</v>
      </c>
      <c r="M134" s="126">
        <f t="shared" si="53"/>
        <v>0.854100992269416</v>
      </c>
    </row>
    <row r="135" spans="2:13" ht="12.75">
      <c r="B135" s="11" t="s">
        <v>7</v>
      </c>
      <c r="C135" s="127">
        <f aca="true" t="shared" si="54" ref="C135:L135">+C134*$M135</f>
        <v>1046.9866852575728</v>
      </c>
      <c r="D135" s="127">
        <f t="shared" si="54"/>
        <v>576.6605586244021</v>
      </c>
      <c r="E135" s="127">
        <f t="shared" si="54"/>
        <v>816.0625833195921</v>
      </c>
      <c r="F135" s="127">
        <f t="shared" si="54"/>
        <v>17.470699123155864</v>
      </c>
      <c r="G135" s="127">
        <f t="shared" si="54"/>
        <v>60.81156624344064</v>
      </c>
      <c r="H135" s="127">
        <f t="shared" si="54"/>
        <v>851.0088849336062</v>
      </c>
      <c r="I135" s="127">
        <f t="shared" si="54"/>
        <v>41.88456691271327</v>
      </c>
      <c r="J135" s="127">
        <f t="shared" si="54"/>
        <v>17.392245239919685</v>
      </c>
      <c r="K135" s="127">
        <f t="shared" si="54"/>
        <v>8.973162895137587</v>
      </c>
      <c r="L135" s="127">
        <f t="shared" si="54"/>
        <v>16.887198366586805</v>
      </c>
      <c r="M135" s="122">
        <f>+'2018-2019 Recy. Tons &amp; Revenue'!$D$8</f>
        <v>4044.18</v>
      </c>
    </row>
    <row r="136" spans="2:13" ht="12.75">
      <c r="B136" s="11" t="s">
        <v>97</v>
      </c>
      <c r="C136" s="89">
        <f aca="true" t="shared" si="55" ref="C136:L136">+C135*C6</f>
        <v>79801.3251503322</v>
      </c>
      <c r="D136" s="89">
        <f t="shared" si="55"/>
        <v>27800.80553128243</v>
      </c>
      <c r="E136" s="89">
        <f t="shared" si="55"/>
        <v>122335.94186544005</v>
      </c>
      <c r="F136" s="89">
        <f t="shared" si="55"/>
        <v>24414.952610627857</v>
      </c>
      <c r="G136" s="89">
        <f t="shared" si="55"/>
        <v>7971.788218852634</v>
      </c>
      <c r="H136" s="89">
        <f t="shared" si="55"/>
        <v>-45392.81392235855</v>
      </c>
      <c r="I136" s="89">
        <f t="shared" si="55"/>
        <v>4165.4201794693345</v>
      </c>
      <c r="J136" s="89">
        <f t="shared" si="55"/>
        <v>11217.998179748196</v>
      </c>
      <c r="K136" s="89">
        <f t="shared" si="55"/>
        <v>3275.2044567252196</v>
      </c>
      <c r="L136" s="89">
        <f t="shared" si="55"/>
        <v>-759.9239264964062</v>
      </c>
      <c r="M136" s="122">
        <f>SUM(C136:L136)</f>
        <v>234830.69834362296</v>
      </c>
    </row>
    <row r="138" spans="2:13" ht="12.75">
      <c r="B138" s="11" t="s">
        <v>62</v>
      </c>
      <c r="C138" s="126">
        <f>+C41</f>
        <v>0.24176281917773979</v>
      </c>
      <c r="D138" s="126">
        <f>+D41</f>
        <v>0.13880020288200254</v>
      </c>
      <c r="E138" s="126">
        <f>+E41</f>
        <v>0.2668290376091287</v>
      </c>
      <c r="F138" s="126">
        <f>+F41</f>
        <v>0.003778309757693221</v>
      </c>
      <c r="G138" s="126">
        <f aca="true" t="shared" si="56" ref="G138:M138">+G41</f>
        <v>0.01256618780306724</v>
      </c>
      <c r="H138" s="126">
        <f t="shared" si="56"/>
        <v>0.18799541310255094</v>
      </c>
      <c r="I138" s="126">
        <f t="shared" si="56"/>
        <v>0.009802288058139905</v>
      </c>
      <c r="J138" s="126">
        <f t="shared" si="56"/>
        <v>0.002733271423285855</v>
      </c>
      <c r="K138" s="126">
        <f t="shared" si="56"/>
        <v>0.0015375417464023973</v>
      </c>
      <c r="L138" s="126">
        <f t="shared" si="56"/>
        <v>0.004060090316794856</v>
      </c>
      <c r="M138" s="126">
        <f t="shared" si="56"/>
        <v>0.8698651618768055</v>
      </c>
    </row>
    <row r="139" spans="2:13" ht="12.75">
      <c r="B139" s="11" t="s">
        <v>7</v>
      </c>
      <c r="C139" s="127">
        <f aca="true" t="shared" si="57" ref="C139:L139">+C138*$M139</f>
        <v>1029.8322455950347</v>
      </c>
      <c r="D139" s="127">
        <f t="shared" si="57"/>
        <v>591.2444482124087</v>
      </c>
      <c r="E139" s="127">
        <f t="shared" si="57"/>
        <v>1136.6063149228532</v>
      </c>
      <c r="F139" s="127">
        <f t="shared" si="57"/>
        <v>16.094390508650662</v>
      </c>
      <c r="G139" s="127">
        <f t="shared" si="57"/>
        <v>53.52793886096947</v>
      </c>
      <c r="H139" s="127">
        <f t="shared" si="57"/>
        <v>800.8003012846742</v>
      </c>
      <c r="I139" s="127">
        <f t="shared" si="57"/>
        <v>41.754610395497394</v>
      </c>
      <c r="J139" s="127">
        <f t="shared" si="57"/>
        <v>11.64286161634229</v>
      </c>
      <c r="K139" s="127">
        <f t="shared" si="57"/>
        <v>6.549435826315364</v>
      </c>
      <c r="L139" s="127">
        <f t="shared" si="57"/>
        <v>17.294685520644713</v>
      </c>
      <c r="M139" s="122">
        <f>+'2018-2019 Recy. Tons &amp; Revenue'!$D$9</f>
        <v>4259.68</v>
      </c>
    </row>
    <row r="140" spans="2:13" ht="12.75">
      <c r="B140" s="11" t="s">
        <v>97</v>
      </c>
      <c r="C140" s="89">
        <f aca="true" t="shared" si="58" ref="C140:L140">+C139*C7</f>
        <v>86917.84152822093</v>
      </c>
      <c r="D140" s="89">
        <f t="shared" si="58"/>
        <v>25695.48371931128</v>
      </c>
      <c r="E140" s="89">
        <f t="shared" si="58"/>
        <v>183164.1076498178</v>
      </c>
      <c r="F140" s="89">
        <f t="shared" si="58"/>
        <v>20832.257186587245</v>
      </c>
      <c r="G140" s="89">
        <f t="shared" si="58"/>
        <v>8041.502255083443</v>
      </c>
      <c r="H140" s="89">
        <f t="shared" si="58"/>
        <v>-42714.68807052453</v>
      </c>
      <c r="I140" s="89">
        <f t="shared" si="58"/>
        <v>3450.6010030839047</v>
      </c>
      <c r="J140" s="89">
        <f t="shared" si="58"/>
        <v>7102.145585968798</v>
      </c>
      <c r="K140" s="89">
        <f t="shared" si="58"/>
        <v>2288.2418889980618</v>
      </c>
      <c r="L140" s="89">
        <f t="shared" si="58"/>
        <v>-691.7874208257886</v>
      </c>
      <c r="M140" s="122">
        <f>SUM(C140:L140)</f>
        <v>294085.7053257212</v>
      </c>
    </row>
    <row r="142" spans="2:13" ht="12.75">
      <c r="B142" s="11" t="s">
        <v>148</v>
      </c>
      <c r="C142" s="126">
        <f>+C45</f>
        <v>0.24470288088544076</v>
      </c>
      <c r="D142" s="126">
        <f>+D45</f>
        <v>0.13935215666037937</v>
      </c>
      <c r="E142" s="126">
        <f>+E45</f>
        <v>0.2440722979465461</v>
      </c>
      <c r="F142" s="126">
        <f>+F45</f>
        <v>0.0028960105341827107</v>
      </c>
      <c r="G142" s="126">
        <f aca="true" t="shared" si="59" ref="G142:L142">+G45</f>
        <v>0.013763835011922132</v>
      </c>
      <c r="H142" s="126">
        <f t="shared" si="59"/>
        <v>0.23376610377593507</v>
      </c>
      <c r="I142" s="126">
        <f t="shared" si="59"/>
        <v>0.010425193067368945</v>
      </c>
      <c r="J142" s="126">
        <f t="shared" si="59"/>
        <v>0.003969224883447809</v>
      </c>
      <c r="K142" s="126">
        <f t="shared" si="59"/>
        <v>0.0013968468628776825</v>
      </c>
      <c r="L142" s="126">
        <f t="shared" si="59"/>
        <v>0.004071541691875156</v>
      </c>
      <c r="M142" s="121">
        <f>SUM(C142:L142)</f>
        <v>0.8984160913199759</v>
      </c>
    </row>
    <row r="143" spans="2:13" ht="12.75">
      <c r="B143" s="11" t="s">
        <v>7</v>
      </c>
      <c r="C143" s="127">
        <f aca="true" t="shared" si="60" ref="C143:L143">+C142*$M143</f>
        <v>1080.6201571341508</v>
      </c>
      <c r="D143" s="127">
        <f t="shared" si="60"/>
        <v>615.3860914200683</v>
      </c>
      <c r="E143" s="127">
        <f t="shared" si="60"/>
        <v>1077.835471346845</v>
      </c>
      <c r="F143" s="127">
        <f t="shared" si="60"/>
        <v>12.78892731947756</v>
      </c>
      <c r="G143" s="127">
        <f t="shared" si="60"/>
        <v>60.78178360439873</v>
      </c>
      <c r="H143" s="127">
        <f t="shared" si="60"/>
        <v>1032.3228025797182</v>
      </c>
      <c r="I143" s="127">
        <f t="shared" si="60"/>
        <v>46.03817384515463</v>
      </c>
      <c r="J143" s="127">
        <f t="shared" si="60"/>
        <v>17.5282955465497</v>
      </c>
      <c r="K143" s="127">
        <f t="shared" si="60"/>
        <v>6.16854558881099</v>
      </c>
      <c r="L143" s="127">
        <f t="shared" si="60"/>
        <v>17.980131688405283</v>
      </c>
      <c r="M143" s="122">
        <f>+'2018-2019 Recy. Tons &amp; Revenue'!D10</f>
        <v>4416.05</v>
      </c>
    </row>
    <row r="144" spans="2:13" ht="12.75">
      <c r="B144" s="11" t="s">
        <v>97</v>
      </c>
      <c r="C144" s="89">
        <f aca="true" t="shared" si="61" ref="C144:L144">+C143*C8</f>
        <v>57078.35669982585</v>
      </c>
      <c r="D144" s="89">
        <f t="shared" si="61"/>
        <v>18572.35223905766</v>
      </c>
      <c r="E144" s="89">
        <f t="shared" si="61"/>
        <v>160565.1501665395</v>
      </c>
      <c r="F144" s="89">
        <f t="shared" si="61"/>
        <v>19774.3673106494</v>
      </c>
      <c r="G144" s="89">
        <f t="shared" si="61"/>
        <v>10887.840897055945</v>
      </c>
      <c r="H144" s="89">
        <f t="shared" si="61"/>
        <v>-55064.098289602174</v>
      </c>
      <c r="I144" s="89">
        <f t="shared" si="61"/>
        <v>9193.823316877379</v>
      </c>
      <c r="J144" s="89">
        <f t="shared" si="61"/>
        <v>10867.543238860813</v>
      </c>
      <c r="K144" s="89">
        <f t="shared" si="61"/>
        <v>2134.3167737286026</v>
      </c>
      <c r="L144" s="89">
        <f t="shared" si="61"/>
        <v>-719.2052675362113</v>
      </c>
      <c r="M144" s="122">
        <f>SUM(C144:L144)</f>
        <v>233290.44708545675</v>
      </c>
    </row>
    <row r="145" spans="3:12" ht="12.75">
      <c r="C145" s="126"/>
      <c r="D145" s="126"/>
      <c r="E145" s="126"/>
      <c r="F145" s="126"/>
      <c r="G145" s="126"/>
      <c r="H145" s="126"/>
      <c r="I145" s="126"/>
      <c r="J145" s="126"/>
      <c r="K145" s="126"/>
      <c r="L145" s="126"/>
    </row>
    <row r="146" spans="2:13" ht="12.75">
      <c r="B146" s="11" t="s">
        <v>63</v>
      </c>
      <c r="C146" s="126">
        <f>+C49</f>
        <v>0.22868164730257576</v>
      </c>
      <c r="D146" s="126">
        <f>+D49</f>
        <v>0.12359758298581662</v>
      </c>
      <c r="E146" s="126">
        <f>+E49</f>
        <v>0.2816455417592318</v>
      </c>
      <c r="F146" s="126">
        <f>+F49</f>
        <v>0.0033646269563405535</v>
      </c>
      <c r="G146" s="126">
        <f aca="true" t="shared" si="62" ref="G146:L146">+G49</f>
        <v>0.012509134235849637</v>
      </c>
      <c r="H146" s="126">
        <f t="shared" si="62"/>
        <v>0.17280653615103111</v>
      </c>
      <c r="I146" s="126">
        <f t="shared" si="62"/>
        <v>0.014566354904314292</v>
      </c>
      <c r="J146" s="126">
        <f t="shared" si="62"/>
        <v>0.002443132962192334</v>
      </c>
      <c r="K146" s="126">
        <f t="shared" si="62"/>
        <v>0.0020983063879489714</v>
      </c>
      <c r="L146" s="126">
        <f t="shared" si="62"/>
        <v>0.003986782137103046</v>
      </c>
      <c r="M146" s="121">
        <f>SUM(C146:L146)</f>
        <v>0.8456996457824041</v>
      </c>
    </row>
    <row r="147" spans="2:13" ht="12.75">
      <c r="B147" s="11" t="s">
        <v>7</v>
      </c>
      <c r="C147" s="127">
        <f aca="true" t="shared" si="63" ref="C147:L147">+C146*$M147</f>
        <v>738.4473413871125</v>
      </c>
      <c r="D147" s="127">
        <f t="shared" si="63"/>
        <v>399.1151350986498</v>
      </c>
      <c r="E147" s="127">
        <f t="shared" si="63"/>
        <v>909.4757011718234</v>
      </c>
      <c r="F147" s="127">
        <f t="shared" si="63"/>
        <v>10.864885136067098</v>
      </c>
      <c r="G147" s="127">
        <f t="shared" si="63"/>
        <v>40.39387081769385</v>
      </c>
      <c r="H147" s="127">
        <f t="shared" si="63"/>
        <v>558.0182262121021</v>
      </c>
      <c r="I147" s="127">
        <f t="shared" si="63"/>
        <v>47.0369449392665</v>
      </c>
      <c r="J147" s="127">
        <f t="shared" si="63"/>
        <v>7.889242804863375</v>
      </c>
      <c r="K147" s="127">
        <f t="shared" si="63"/>
        <v>6.775746072645421</v>
      </c>
      <c r="L147" s="127">
        <f t="shared" si="63"/>
        <v>12.873917538026303</v>
      </c>
      <c r="M147" s="122">
        <f>+'2018-2019 Recy. Tons &amp; Revenue'!D11</f>
        <v>3229.15</v>
      </c>
    </row>
    <row r="148" spans="2:13" ht="12.75">
      <c r="B148" s="11" t="s">
        <v>97</v>
      </c>
      <c r="C148" s="89">
        <f aca="true" t="shared" si="64" ref="C148:L148">+C147*C9</f>
        <v>45510.509649687745</v>
      </c>
      <c r="D148" s="89">
        <f t="shared" si="64"/>
        <v>2426.620021399791</v>
      </c>
      <c r="E148" s="89">
        <f t="shared" si="64"/>
        <v>99223.79899784592</v>
      </c>
      <c r="F148" s="89">
        <f t="shared" si="64"/>
        <v>13303.399956005998</v>
      </c>
      <c r="G148" s="89">
        <f t="shared" si="64"/>
        <v>7257.970708523231</v>
      </c>
      <c r="H148" s="89">
        <f t="shared" si="64"/>
        <v>-29764.69218615353</v>
      </c>
      <c r="I148" s="89">
        <f t="shared" si="64"/>
        <v>6397.024511740244</v>
      </c>
      <c r="J148" s="89">
        <f t="shared" si="64"/>
        <v>5049.11539511256</v>
      </c>
      <c r="K148" s="89">
        <f t="shared" si="64"/>
        <v>2642.5409683317143</v>
      </c>
      <c r="L148" s="89">
        <f t="shared" si="64"/>
        <v>-514.9567015210521</v>
      </c>
      <c r="M148" s="122">
        <f>SUM(C148:L148)</f>
        <v>151531.33132097262</v>
      </c>
    </row>
    <row r="150" spans="2:13" ht="12.75">
      <c r="B150" s="11" t="s">
        <v>64</v>
      </c>
      <c r="C150" s="126">
        <f>+C53</f>
        <v>0.23194988756826213</v>
      </c>
      <c r="D150" s="126">
        <f>+D53</f>
        <v>0.1183115965306778</v>
      </c>
      <c r="E150" s="126">
        <f>+E53</f>
        <v>0.29785544490844845</v>
      </c>
      <c r="F150" s="126">
        <f>+F53</f>
        <v>0.0031403790555734022</v>
      </c>
      <c r="G150" s="126">
        <f aca="true" t="shared" si="65" ref="G150:L150">+G53</f>
        <v>0.010442659813684549</v>
      </c>
      <c r="H150" s="126">
        <f t="shared" si="65"/>
        <v>0.16851525859299712</v>
      </c>
      <c r="I150" s="126">
        <f t="shared" si="65"/>
        <v>0.010640539672341793</v>
      </c>
      <c r="J150" s="126">
        <f t="shared" si="65"/>
        <v>0.003236749116607774</v>
      </c>
      <c r="K150" s="126">
        <f t="shared" si="65"/>
        <v>0.0021227112110504334</v>
      </c>
      <c r="L150" s="126">
        <f t="shared" si="65"/>
        <v>0.0043700610343719885</v>
      </c>
      <c r="M150" s="121">
        <f>SUM(C150:L150)</f>
        <v>0.8505852875040154</v>
      </c>
    </row>
    <row r="151" spans="2:13" ht="12.75">
      <c r="B151" s="11" t="s">
        <v>7</v>
      </c>
      <c r="C151" s="127">
        <f aca="true" t="shared" si="66" ref="C151:L151">+C150*$M151</f>
        <v>822.0002480565371</v>
      </c>
      <c r="D151" s="127">
        <f t="shared" si="66"/>
        <v>419.28091759717313</v>
      </c>
      <c r="E151" s="127">
        <f t="shared" si="66"/>
        <v>1055.5609755477033</v>
      </c>
      <c r="F151" s="127">
        <f t="shared" si="66"/>
        <v>11.129095123674913</v>
      </c>
      <c r="G151" s="127">
        <f t="shared" si="66"/>
        <v>37.00742883392226</v>
      </c>
      <c r="H151" s="127">
        <f t="shared" si="66"/>
        <v>597.1961694699647</v>
      </c>
      <c r="I151" s="127">
        <f t="shared" si="66"/>
        <v>37.70868932862191</v>
      </c>
      <c r="J151" s="127">
        <f t="shared" si="66"/>
        <v>11.470618091872792</v>
      </c>
      <c r="K151" s="127">
        <f t="shared" si="66"/>
        <v>7.522612579505299</v>
      </c>
      <c r="L151" s="127">
        <f t="shared" si="66"/>
        <v>15.486928197879859</v>
      </c>
      <c r="M151" s="122">
        <f>+'2018-2019 Recy. Tons &amp; Revenue'!D12</f>
        <v>3543.87</v>
      </c>
    </row>
    <row r="152" spans="2:13" ht="12.75">
      <c r="B152" s="11" t="s">
        <v>97</v>
      </c>
      <c r="C152" s="89">
        <f aca="true" t="shared" si="67" ref="C152:L152">+C151*C10</f>
        <v>38897.051738035334</v>
      </c>
      <c r="D152" s="89">
        <f t="shared" si="67"/>
        <v>-2859.495858012721</v>
      </c>
      <c r="E152" s="89">
        <f t="shared" si="67"/>
        <v>82027.64340981201</v>
      </c>
      <c r="F152" s="89">
        <f t="shared" si="67"/>
        <v>11552.112029325797</v>
      </c>
      <c r="G152" s="89">
        <f t="shared" si="67"/>
        <v>6792.343488178091</v>
      </c>
      <c r="H152" s="89">
        <f t="shared" si="67"/>
        <v>-31854.44367952792</v>
      </c>
      <c r="I152" s="89">
        <f t="shared" si="67"/>
        <v>6599.020632508834</v>
      </c>
      <c r="J152" s="89">
        <f t="shared" si="67"/>
        <v>7933.079472339223</v>
      </c>
      <c r="K152" s="89">
        <f t="shared" si="67"/>
        <v>3385.1756607773846</v>
      </c>
      <c r="L152" s="89">
        <f t="shared" si="67"/>
        <v>-464.6078459363958</v>
      </c>
      <c r="M152" s="122">
        <f>SUM(C152:L152)</f>
        <v>122007.87904749965</v>
      </c>
    </row>
    <row r="154" spans="2:13" ht="12.75">
      <c r="B154" s="11" t="s">
        <v>65</v>
      </c>
      <c r="C154" s="126">
        <f>+C57</f>
        <v>0.26922270109462604</v>
      </c>
      <c r="D154" s="126">
        <f aca="true" t="shared" si="68" ref="D154:M154">+D57</f>
        <v>0.09714601733748153</v>
      </c>
      <c r="E154" s="126">
        <f t="shared" si="68"/>
        <v>0.26426718900688156</v>
      </c>
      <c r="F154" s="126">
        <f t="shared" si="68"/>
        <v>0.002153563664300153</v>
      </c>
      <c r="G154" s="126">
        <f t="shared" si="68"/>
        <v>0.0063639781401709766</v>
      </c>
      <c r="H154" s="126">
        <f t="shared" si="68"/>
        <v>0.20094751352617785</v>
      </c>
      <c r="I154" s="126">
        <f t="shared" si="68"/>
        <v>0.007166286171969073</v>
      </c>
      <c r="J154" s="126">
        <f t="shared" si="68"/>
        <v>0.0041831714187639275</v>
      </c>
      <c r="K154" s="126">
        <f t="shared" si="68"/>
        <v>0.0020963532443756708</v>
      </c>
      <c r="L154" s="126">
        <f t="shared" si="68"/>
        <v>0.004550952689707027</v>
      </c>
      <c r="M154" s="126">
        <f t="shared" si="68"/>
        <v>0.8580977262944538</v>
      </c>
    </row>
    <row r="155" spans="2:13" ht="12.75">
      <c r="B155" s="11" t="s">
        <v>7</v>
      </c>
      <c r="C155" s="127">
        <f>+C154*$M155</f>
        <v>962.6407667149778</v>
      </c>
      <c r="D155" s="127">
        <f>+D154*$M155</f>
        <v>347.3582139724191</v>
      </c>
      <c r="E155" s="127">
        <f>+E154*$M155</f>
        <v>944.9216890286759</v>
      </c>
      <c r="F155" s="127">
        <f>+F154*$M155</f>
        <v>7.700346844981556</v>
      </c>
      <c r="G155" s="127">
        <f aca="true" t="shared" si="69" ref="G155:L155">+G154*$M155</f>
        <v>22.75523115733955</v>
      </c>
      <c r="H155" s="127">
        <f t="shared" si="69"/>
        <v>718.5139577896073</v>
      </c>
      <c r="I155" s="127">
        <f t="shared" si="69"/>
        <v>25.623987825077776</v>
      </c>
      <c r="J155" s="127">
        <f t="shared" si="69"/>
        <v>14.957473220074862</v>
      </c>
      <c r="K155" s="127">
        <f t="shared" si="69"/>
        <v>7.49578355118698</v>
      </c>
      <c r="L155" s="127">
        <f t="shared" si="69"/>
        <v>16.27252296589714</v>
      </c>
      <c r="M155" s="122">
        <f>+'2018-2019 Recy. Tons &amp; Revenue'!D13</f>
        <v>3575.63</v>
      </c>
    </row>
    <row r="156" spans="2:13" ht="12.75">
      <c r="B156" s="11" t="s">
        <v>97</v>
      </c>
      <c r="C156" s="89">
        <f aca="true" t="shared" si="70" ref="C156:L156">+C155*C11</f>
        <v>77444.44968221996</v>
      </c>
      <c r="D156" s="89">
        <f t="shared" si="70"/>
        <v>-3154.0125828695654</v>
      </c>
      <c r="E156" s="89">
        <f t="shared" si="70"/>
        <v>82085.34712592108</v>
      </c>
      <c r="F156" s="89">
        <f t="shared" si="70"/>
        <v>11709.301419415853</v>
      </c>
      <c r="G156" s="89">
        <f t="shared" si="70"/>
        <v>4353.303272710629</v>
      </c>
      <c r="H156" s="89">
        <f t="shared" si="70"/>
        <v>-38325.53450849766</v>
      </c>
      <c r="I156" s="89">
        <f t="shared" si="70"/>
        <v>5176.045540665711</v>
      </c>
      <c r="J156" s="89">
        <f t="shared" si="70"/>
        <v>11666.829111658391</v>
      </c>
      <c r="K156" s="89">
        <f t="shared" si="70"/>
        <v>3298.1447625222713</v>
      </c>
      <c r="L156" s="89">
        <f t="shared" si="70"/>
        <v>-650.9009186358855</v>
      </c>
      <c r="M156" s="122">
        <f>SUM(C156:L156)</f>
        <v>153602.9729051108</v>
      </c>
    </row>
    <row r="158" spans="2:13" ht="12.75">
      <c r="B158" s="11" t="s">
        <v>66</v>
      </c>
      <c r="C158" s="126">
        <f>+C61</f>
        <v>0.2456264987471819</v>
      </c>
      <c r="D158" s="126">
        <f aca="true" t="shared" si="71" ref="D158:M158">+D61</f>
        <v>0.13486781124606068</v>
      </c>
      <c r="E158" s="126">
        <f t="shared" si="71"/>
        <v>0.2096446063041567</v>
      </c>
      <c r="F158" s="126">
        <f t="shared" si="71"/>
        <v>0.006819636054848915</v>
      </c>
      <c r="G158" s="126">
        <f t="shared" si="71"/>
        <v>0.009281019955388912</v>
      </c>
      <c r="H158" s="126">
        <f t="shared" si="71"/>
        <v>0.1852520287281056</v>
      </c>
      <c r="I158" s="126">
        <f t="shared" si="71"/>
        <v>0.01402558260526363</v>
      </c>
      <c r="J158" s="126">
        <f t="shared" si="71"/>
        <v>0.0027938740484263528</v>
      </c>
      <c r="K158" s="126">
        <f t="shared" si="71"/>
        <v>0.0026946054071509302</v>
      </c>
      <c r="L158" s="126">
        <f t="shared" si="71"/>
        <v>0.006018310878288274</v>
      </c>
      <c r="M158" s="126">
        <f t="shared" si="71"/>
        <v>0.8170239739748719</v>
      </c>
    </row>
    <row r="159" spans="2:13" ht="12.75">
      <c r="B159" s="11" t="s">
        <v>7</v>
      </c>
      <c r="C159" s="127">
        <f>+C158*$M159</f>
        <v>821.0483285672425</v>
      </c>
      <c r="D159" s="127">
        <f>+D158*$M159</f>
        <v>450.81858661786964</v>
      </c>
      <c r="E159" s="127">
        <f>+E158*$M159</f>
        <v>700.7727361547155</v>
      </c>
      <c r="F159" s="127">
        <f>+F158*$M159</f>
        <v>22.795792851461822</v>
      </c>
      <c r="G159" s="127">
        <f aca="true" t="shared" si="72" ref="G159:L159">+G158*$M159</f>
        <v>31.023386974279855</v>
      </c>
      <c r="H159" s="127">
        <f t="shared" si="72"/>
        <v>619.2363988685768</v>
      </c>
      <c r="I159" s="127">
        <f t="shared" si="72"/>
        <v>46.88289420713658</v>
      </c>
      <c r="J159" s="127">
        <f t="shared" si="72"/>
        <v>9.338998965453317</v>
      </c>
      <c r="K159" s="127">
        <f t="shared" si="72"/>
        <v>9.0071766563212</v>
      </c>
      <c r="L159" s="127">
        <f t="shared" si="72"/>
        <v>20.117227223527866</v>
      </c>
      <c r="M159" s="122">
        <f>+'2018-2019 Recy. Tons &amp; Revenue'!D14</f>
        <v>3342.67</v>
      </c>
    </row>
    <row r="160" spans="2:13" ht="12.75">
      <c r="B160" s="11" t="s">
        <v>97</v>
      </c>
      <c r="C160" s="89">
        <f aca="true" t="shared" si="73" ref="C160:L160">+C159*C12</f>
        <v>69280.05796450391</v>
      </c>
      <c r="D160" s="89">
        <f t="shared" si="73"/>
        <v>-3886.056216646036</v>
      </c>
      <c r="E160" s="89">
        <f t="shared" si="73"/>
        <v>65739.49037867386</v>
      </c>
      <c r="F160" s="89">
        <f t="shared" si="73"/>
        <v>35616.14675112395</v>
      </c>
      <c r="G160" s="89">
        <f t="shared" si="73"/>
        <v>5642.843856751762</v>
      </c>
      <c r="H160" s="89">
        <f t="shared" si="73"/>
        <v>-33030.069515649884</v>
      </c>
      <c r="I160" s="89">
        <f t="shared" si="73"/>
        <v>8490.492140912434</v>
      </c>
      <c r="J160" s="89">
        <f t="shared" si="73"/>
        <v>7303.097190984494</v>
      </c>
      <c r="K160" s="89">
        <f t="shared" si="73"/>
        <v>3575.849132559516</v>
      </c>
      <c r="L160" s="89">
        <f t="shared" si="73"/>
        <v>-804.6890889411146</v>
      </c>
      <c r="M160" s="122">
        <f>SUM(C160:L160)</f>
        <v>157927.16259427287</v>
      </c>
    </row>
    <row r="162" spans="2:13" ht="12.75">
      <c r="B162" s="11" t="s">
        <v>67</v>
      </c>
      <c r="C162" s="126">
        <f>+C65</f>
        <v>0.24933196715615735</v>
      </c>
      <c r="D162" s="126">
        <f aca="true" t="shared" si="74" ref="D162:M162">+D65</f>
        <v>0.15020284193490105</v>
      </c>
      <c r="E162" s="126">
        <f t="shared" si="74"/>
        <v>0.23883169109908617</v>
      </c>
      <c r="F162" s="126">
        <f t="shared" si="74"/>
        <v>0.003644964074678176</v>
      </c>
      <c r="G162" s="126">
        <f t="shared" si="74"/>
        <v>0.007636104980019027</v>
      </c>
      <c r="H162" s="126">
        <f t="shared" si="74"/>
        <v>0.2003100430446884</v>
      </c>
      <c r="I162" s="126">
        <f t="shared" si="74"/>
        <v>0.011993637421462712</v>
      </c>
      <c r="J162" s="126">
        <f t="shared" si="74"/>
        <v>0.003363221617605998</v>
      </c>
      <c r="K162" s="126">
        <f t="shared" si="74"/>
        <v>0.0032962604058354803</v>
      </c>
      <c r="L162" s="126">
        <f t="shared" si="74"/>
        <v>0.006420695815429632</v>
      </c>
      <c r="M162" s="126">
        <f t="shared" si="74"/>
        <v>0.8750314275498642</v>
      </c>
    </row>
    <row r="163" spans="2:13" ht="12.75">
      <c r="B163" s="11" t="s">
        <v>7</v>
      </c>
      <c r="C163" s="127">
        <f>+C162*$M163</f>
        <v>935.3065417945353</v>
      </c>
      <c r="D163" s="127">
        <f>+D162*$M163</f>
        <v>563.4484108082976</v>
      </c>
      <c r="E163" s="127">
        <f>+E162*$M163</f>
        <v>895.917381235447</v>
      </c>
      <c r="F163" s="127">
        <f>+F162*$M163</f>
        <v>13.673171485136509</v>
      </c>
      <c r="G163" s="127">
        <f aca="true" t="shared" si="75" ref="G163:L163">+G162*$M163</f>
        <v>28.644938806296377</v>
      </c>
      <c r="H163" s="127">
        <f t="shared" si="75"/>
        <v>751.4130489713874</v>
      </c>
      <c r="I163" s="127">
        <f t="shared" si="75"/>
        <v>44.991132377262</v>
      </c>
      <c r="J163" s="127">
        <f t="shared" si="75"/>
        <v>12.6162850930445</v>
      </c>
      <c r="K163" s="127">
        <f t="shared" si="75"/>
        <v>12.365096847390346</v>
      </c>
      <c r="L163" s="127">
        <f t="shared" si="75"/>
        <v>24.085635177630408</v>
      </c>
      <c r="M163" s="122">
        <f>+'2018-2019 Recy. Tons &amp; Revenue'!D15</f>
        <v>3751.25</v>
      </c>
    </row>
    <row r="164" spans="2:13" ht="12.75">
      <c r="B164" s="11" t="s">
        <v>97</v>
      </c>
      <c r="C164" s="89">
        <f aca="true" t="shared" si="76" ref="C164:L164">+C163*C13</f>
        <v>-12346.046351687864</v>
      </c>
      <c r="D164" s="89">
        <f t="shared" si="76"/>
        <v>-3786.3733206317597</v>
      </c>
      <c r="E164" s="89">
        <f t="shared" si="76"/>
        <v>87916.37262063441</v>
      </c>
      <c r="F164" s="89">
        <f t="shared" si="76"/>
        <v>19796.017676180636</v>
      </c>
      <c r="G164" s="89">
        <f t="shared" si="76"/>
        <v>5109.1112854910225</v>
      </c>
      <c r="H164" s="89">
        <f t="shared" si="76"/>
        <v>-40080.372032133804</v>
      </c>
      <c r="I164" s="89">
        <f t="shared" si="76"/>
        <v>10393.851401795067</v>
      </c>
      <c r="J164" s="89">
        <f t="shared" si="76"/>
        <v>8831.399565131149</v>
      </c>
      <c r="K164" s="89">
        <f t="shared" si="76"/>
        <v>3709.5290542171037</v>
      </c>
      <c r="L164" s="89">
        <f t="shared" si="76"/>
        <v>-963.4254071052163</v>
      </c>
      <c r="M164" s="122">
        <f>SUM(C164:L164)</f>
        <v>78580.06449189075</v>
      </c>
    </row>
    <row r="166" spans="2:13" ht="12.75">
      <c r="B166" s="11" t="s">
        <v>68</v>
      </c>
      <c r="C166" s="126">
        <f>+C69</f>
        <v>0.27026174430851296</v>
      </c>
      <c r="D166" s="126">
        <f aca="true" t="shared" si="77" ref="D166:M166">+D69</f>
        <v>0.12730908350530756</v>
      </c>
      <c r="E166" s="126">
        <f t="shared" si="77"/>
        <v>0.23131555861659855</v>
      </c>
      <c r="F166" s="126">
        <f t="shared" si="77"/>
        <v>0.005930910361434882</v>
      </c>
      <c r="G166" s="126">
        <f t="shared" si="77"/>
        <v>0.007371220442851363</v>
      </c>
      <c r="H166" s="126">
        <f t="shared" si="77"/>
        <v>0.19374935588227166</v>
      </c>
      <c r="I166" s="126">
        <f t="shared" si="77"/>
        <v>0.007221659448358727</v>
      </c>
      <c r="J166" s="126">
        <f t="shared" si="77"/>
        <v>0.002979908554134797</v>
      </c>
      <c r="K166" s="126">
        <f t="shared" si="77"/>
        <v>0.0019405224831649623</v>
      </c>
      <c r="L166" s="126">
        <f t="shared" si="77"/>
        <v>0.004899065180943668</v>
      </c>
      <c r="M166" s="126">
        <f t="shared" si="77"/>
        <v>0.852979028783579</v>
      </c>
    </row>
    <row r="167" spans="2:13" ht="12.75">
      <c r="B167" s="11" t="s">
        <v>7</v>
      </c>
      <c r="C167" s="127">
        <f>+C166*$M167</f>
        <v>1013.5464039755576</v>
      </c>
      <c r="D167" s="127">
        <f>+D166*$M167</f>
        <v>477.4396173249446</v>
      </c>
      <c r="E167" s="127">
        <f>+E166*$M167</f>
        <v>867.4888605463125</v>
      </c>
      <c r="F167" s="127">
        <f>+F166*$M167</f>
        <v>22.24233727386755</v>
      </c>
      <c r="G167" s="127">
        <f aca="true" t="shared" si="78" ref="G167:L167">+G166*$M167</f>
        <v>27.643845753598892</v>
      </c>
      <c r="H167" s="127">
        <f t="shared" si="78"/>
        <v>726.6065844039305</v>
      </c>
      <c r="I167" s="127">
        <f t="shared" si="78"/>
        <v>27.082956129612832</v>
      </c>
      <c r="J167" s="127">
        <f t="shared" si="78"/>
        <v>11.17537225605848</v>
      </c>
      <c r="K167" s="127">
        <f t="shared" si="78"/>
        <v>7.2774250372645675</v>
      </c>
      <c r="L167" s="127">
        <f t="shared" si="78"/>
        <v>18.37267020418218</v>
      </c>
      <c r="M167" s="122">
        <f>+'2018-2019 Recy. Tons &amp; Revenue'!D16</f>
        <v>3750.24</v>
      </c>
    </row>
    <row r="168" spans="2:13" ht="12.75">
      <c r="B168" s="11" t="s">
        <v>97</v>
      </c>
      <c r="C168" s="89">
        <f aca="true" t="shared" si="79" ref="C168:L168">+C167*C14</f>
        <v>0</v>
      </c>
      <c r="D168" s="89">
        <f t="shared" si="79"/>
        <v>1671.038660637306</v>
      </c>
      <c r="E168" s="89">
        <f t="shared" si="79"/>
        <v>80980.08513199826</v>
      </c>
      <c r="F168" s="89">
        <f t="shared" si="79"/>
        <v>29599.212750571984</v>
      </c>
      <c r="G168" s="89">
        <f t="shared" si="79"/>
        <v>4821.916014800255</v>
      </c>
      <c r="H168" s="89">
        <f t="shared" si="79"/>
        <v>-38757.19521210565</v>
      </c>
      <c r="I168" s="89">
        <f t="shared" si="79"/>
        <v>5755.128177542727</v>
      </c>
      <c r="J168" s="89">
        <f t="shared" si="79"/>
        <v>8493.282914604446</v>
      </c>
      <c r="K168" s="89">
        <f t="shared" si="79"/>
        <v>2401.550262297307</v>
      </c>
      <c r="L168" s="89">
        <f t="shared" si="79"/>
        <v>-734.9068081672873</v>
      </c>
      <c r="M168" s="122">
        <f>SUM(C168:L168)</f>
        <v>94230.11189217932</v>
      </c>
    </row>
    <row r="169" spans="3:13" ht="12.75">
      <c r="C169" s="89"/>
      <c r="D169" s="89"/>
      <c r="E169" s="89"/>
      <c r="F169" s="89"/>
      <c r="G169" s="89"/>
      <c r="H169" s="89"/>
      <c r="I169" s="89"/>
      <c r="J169" s="89"/>
      <c r="K169" s="89"/>
      <c r="L169" s="89"/>
      <c r="M169" s="122"/>
    </row>
    <row r="170" spans="2:13" ht="12.75">
      <c r="B170" s="11" t="s">
        <v>69</v>
      </c>
      <c r="C170" s="126">
        <f>+C73</f>
        <v>0.30036321329930465</v>
      </c>
      <c r="D170" s="126">
        <f aca="true" t="shared" si="80" ref="D170:M170">+D73</f>
        <v>0.06765875830401918</v>
      </c>
      <c r="E170" s="126">
        <f t="shared" si="80"/>
        <v>0.2309533544482603</v>
      </c>
      <c r="F170" s="126">
        <f t="shared" si="80"/>
        <v>0.007235657127599085</v>
      </c>
      <c r="G170" s="126">
        <f t="shared" si="80"/>
        <v>0.008316833571541815</v>
      </c>
      <c r="H170" s="126">
        <f t="shared" si="80"/>
        <v>0.21824625313356402</v>
      </c>
      <c r="I170" s="126">
        <f t="shared" si="80"/>
        <v>0.010431505028602898</v>
      </c>
      <c r="J170" s="126">
        <f t="shared" si="80"/>
        <v>0.0038979569698927526</v>
      </c>
      <c r="K170" s="126">
        <f t="shared" si="80"/>
        <v>0.002720225628530661</v>
      </c>
      <c r="L170" s="126">
        <f t="shared" si="80"/>
        <v>0.0035200816306095715</v>
      </c>
      <c r="M170" s="126">
        <f t="shared" si="80"/>
        <v>0.8533438391419249</v>
      </c>
    </row>
    <row r="171" spans="2:13" ht="12.75">
      <c r="B171" s="11" t="s">
        <v>7</v>
      </c>
      <c r="C171" s="127">
        <f>+C170*$M171</f>
        <v>1173.0655259083012</v>
      </c>
      <c r="D171" s="127">
        <f>+D170*$M171</f>
        <v>264.2406039687639</v>
      </c>
      <c r="E171" s="127">
        <f>+E170*$M171</f>
        <v>901.9860162641361</v>
      </c>
      <c r="F171" s="127">
        <f>+F170*$M171</f>
        <v>28.25878655526695</v>
      </c>
      <c r="G171" s="127">
        <f aca="true" t="shared" si="81" ref="G171:L171">+G170*$M171</f>
        <v>32.48131034532084</v>
      </c>
      <c r="H171" s="127">
        <f t="shared" si="81"/>
        <v>852.3585591506029</v>
      </c>
      <c r="I171" s="127">
        <f t="shared" si="81"/>
        <v>40.74013857415833</v>
      </c>
      <c r="J171" s="127">
        <f t="shared" si="81"/>
        <v>15.223431966346446</v>
      </c>
      <c r="K171" s="127">
        <f t="shared" si="81"/>
        <v>10.62381398997021</v>
      </c>
      <c r="L171" s="127">
        <f t="shared" si="81"/>
        <v>13.747643607529374</v>
      </c>
      <c r="M171" s="122">
        <f>+'2018-2019 Recy. Tons &amp; Revenue'!D17</f>
        <v>3905.49</v>
      </c>
    </row>
    <row r="172" spans="2:13" ht="12.75">
      <c r="B172" s="11" t="s">
        <v>97</v>
      </c>
      <c r="C172" s="89">
        <f aca="true" t="shared" si="82" ref="C172:L172">+C171*C15</f>
        <v>11730.655259083012</v>
      </c>
      <c r="D172" s="89">
        <f t="shared" si="82"/>
        <v>2317.3900968060593</v>
      </c>
      <c r="E172" s="89">
        <f t="shared" si="82"/>
        <v>85878.08860850839</v>
      </c>
      <c r="F172" s="89">
        <f t="shared" si="82"/>
        <v>36727.0971222838</v>
      </c>
      <c r="G172" s="89">
        <f t="shared" si="82"/>
        <v>5161.605026974935</v>
      </c>
      <c r="H172" s="89">
        <f t="shared" si="82"/>
        <v>-45464.805545093164</v>
      </c>
      <c r="I172" s="89">
        <f t="shared" si="82"/>
        <v>8962.830486314833</v>
      </c>
      <c r="J172" s="89">
        <f t="shared" si="82"/>
        <v>11265.33965509637</v>
      </c>
      <c r="K172" s="89">
        <f t="shared" si="82"/>
        <v>3187.1441969910634</v>
      </c>
      <c r="L172" s="89">
        <f t="shared" si="82"/>
        <v>-549.905744301175</v>
      </c>
      <c r="M172" s="122">
        <f>SUM(C172:L172)</f>
        <v>119215.4391626641</v>
      </c>
    </row>
    <row r="174" spans="2:13" ht="12.75">
      <c r="B174" s="11" t="s">
        <v>70</v>
      </c>
      <c r="C174" s="126">
        <f>+C77</f>
        <v>0.26358553899888865</v>
      </c>
      <c r="D174" s="126">
        <f>+D77</f>
        <v>0.07327033861785852</v>
      </c>
      <c r="E174" s="126">
        <f>+E77</f>
        <v>0.2288193735683019</v>
      </c>
      <c r="F174" s="126">
        <f>+F77</f>
        <v>0.006439806309677712</v>
      </c>
      <c r="G174" s="126">
        <f aca="true" t="shared" si="83" ref="G174:M174">+G77</f>
        <v>0.014263114921412533</v>
      </c>
      <c r="H174" s="126">
        <f t="shared" si="83"/>
        <v>0.21657481118595628</v>
      </c>
      <c r="I174" s="126">
        <f t="shared" si="83"/>
        <v>0.010771756140708987</v>
      </c>
      <c r="J174" s="126">
        <f t="shared" si="83"/>
        <v>0.0013423941393935271</v>
      </c>
      <c r="K174" s="126">
        <f t="shared" si="83"/>
        <v>0.005035041164863578</v>
      </c>
      <c r="L174" s="126">
        <f t="shared" si="83"/>
        <v>0.005277437572293665</v>
      </c>
      <c r="M174" s="126">
        <f t="shared" si="83"/>
        <v>0.8253796126193554</v>
      </c>
    </row>
    <row r="175" spans="2:13" ht="12.75">
      <c r="B175" s="11" t="s">
        <v>7</v>
      </c>
      <c r="C175" s="127">
        <f>+C174*$M175</f>
        <v>907.2614252341747</v>
      </c>
      <c r="D175" s="127">
        <f>+D174*$M175</f>
        <v>252.196505522669</v>
      </c>
      <c r="E175" s="127">
        <f>+E174*$M175</f>
        <v>787.5962838220952</v>
      </c>
      <c r="F175" s="127">
        <f>+F174*$M175</f>
        <v>22.165813317910683</v>
      </c>
      <c r="G175" s="127">
        <f aca="true" t="shared" si="84" ref="G175:L175">+G174*$M175</f>
        <v>49.09364155950194</v>
      </c>
      <c r="H175" s="127">
        <f t="shared" si="84"/>
        <v>745.4505001020615</v>
      </c>
      <c r="I175" s="127">
        <f t="shared" si="84"/>
        <v>37.076384636320334</v>
      </c>
      <c r="J175" s="127">
        <f t="shared" si="84"/>
        <v>4.62052062779252</v>
      </c>
      <c r="K175" s="127">
        <f t="shared" si="84"/>
        <v>17.330611689460437</v>
      </c>
      <c r="L175" s="127">
        <f t="shared" si="84"/>
        <v>18.164940123834796</v>
      </c>
      <c r="M175" s="122">
        <f>+'2018-2019 Recy. Tons &amp; Revenue'!D18</f>
        <v>3442</v>
      </c>
    </row>
    <row r="176" spans="2:13" ht="12.75">
      <c r="B176" s="11" t="s">
        <v>97</v>
      </c>
      <c r="C176" s="89">
        <f aca="true" t="shared" si="85" ref="C176:L176">+C175*C16</f>
        <v>33813.633318477696</v>
      </c>
      <c r="D176" s="89">
        <f t="shared" si="85"/>
        <v>3061.665577045202</v>
      </c>
      <c r="E176" s="89">
        <f t="shared" si="85"/>
        <v>76042.42120302329</v>
      </c>
      <c r="F176" s="89">
        <f t="shared" si="85"/>
        <v>27301.41060553741</v>
      </c>
      <c r="G176" s="89">
        <f t="shared" si="85"/>
        <v>7170.617286180854</v>
      </c>
      <c r="H176" s="89">
        <f t="shared" si="85"/>
        <v>-39762.329675443965</v>
      </c>
      <c r="I176" s="89">
        <f t="shared" si="85"/>
        <v>6273.3242804654</v>
      </c>
      <c r="J176" s="89">
        <f t="shared" si="85"/>
        <v>3234.364439454764</v>
      </c>
      <c r="K176" s="89">
        <f t="shared" si="85"/>
        <v>4852.571273048922</v>
      </c>
      <c r="L176" s="89">
        <f t="shared" si="85"/>
        <v>-2543.0916173368714</v>
      </c>
      <c r="M176" s="122">
        <f>SUM(C176:L176)</f>
        <v>119444.58669045268</v>
      </c>
    </row>
    <row r="178" spans="2:13" ht="12.75" hidden="1">
      <c r="B178" s="11" t="s">
        <v>71</v>
      </c>
      <c r="C178" s="126" t="e">
        <f>+C81</f>
        <v>#DIV/0!</v>
      </c>
      <c r="D178" s="126" t="e">
        <f aca="true" t="shared" si="86" ref="D178:M178">+D81</f>
        <v>#DIV/0!</v>
      </c>
      <c r="E178" s="126" t="e">
        <f t="shared" si="86"/>
        <v>#DIV/0!</v>
      </c>
      <c r="F178" s="126" t="e">
        <f t="shared" si="86"/>
        <v>#DIV/0!</v>
      </c>
      <c r="G178" s="126" t="e">
        <f t="shared" si="86"/>
        <v>#DIV/0!</v>
      </c>
      <c r="H178" s="126" t="e">
        <f t="shared" si="86"/>
        <v>#DIV/0!</v>
      </c>
      <c r="I178" s="126" t="e">
        <f t="shared" si="86"/>
        <v>#DIV/0!</v>
      </c>
      <c r="J178" s="126" t="e">
        <f t="shared" si="86"/>
        <v>#DIV/0!</v>
      </c>
      <c r="K178" s="126" t="e">
        <f t="shared" si="86"/>
        <v>#DIV/0!</v>
      </c>
      <c r="L178" s="126" t="e">
        <f t="shared" si="86"/>
        <v>#DIV/0!</v>
      </c>
      <c r="M178" s="126" t="e">
        <f t="shared" si="86"/>
        <v>#DIV/0!</v>
      </c>
    </row>
    <row r="179" spans="3:13" ht="12.75" hidden="1">
      <c r="C179" s="127" t="e">
        <f>+C178*$M179</f>
        <v>#DIV/0!</v>
      </c>
      <c r="D179" s="127" t="e">
        <f>+D178*$M179</f>
        <v>#DIV/0!</v>
      </c>
      <c r="E179" s="127" t="e">
        <f>+E178*$M179</f>
        <v>#DIV/0!</v>
      </c>
      <c r="F179" s="127" t="e">
        <f>+F178*$M179</f>
        <v>#DIV/0!</v>
      </c>
      <c r="G179" s="127" t="e">
        <f aca="true" t="shared" si="87" ref="G179:L179">+G178*$M179</f>
        <v>#DIV/0!</v>
      </c>
      <c r="H179" s="127" t="e">
        <f t="shared" si="87"/>
        <v>#DIV/0!</v>
      </c>
      <c r="I179" s="127" t="e">
        <f t="shared" si="87"/>
        <v>#DIV/0!</v>
      </c>
      <c r="J179" s="127" t="e">
        <f t="shared" si="87"/>
        <v>#DIV/0!</v>
      </c>
      <c r="K179" s="127" t="e">
        <f t="shared" si="87"/>
        <v>#DIV/0!</v>
      </c>
      <c r="L179" s="127" t="e">
        <f t="shared" si="87"/>
        <v>#DIV/0!</v>
      </c>
      <c r="M179" s="122">
        <f>+'2018-2019 Recy. Tons &amp; Revenue'!D19</f>
        <v>0</v>
      </c>
    </row>
    <row r="180" spans="3:13" ht="12.75" hidden="1">
      <c r="C180" s="89" t="e">
        <f aca="true" t="shared" si="88" ref="C180:L180">+C179*C17</f>
        <v>#DIV/0!</v>
      </c>
      <c r="D180" s="89" t="e">
        <f t="shared" si="88"/>
        <v>#DIV/0!</v>
      </c>
      <c r="E180" s="89" t="e">
        <f t="shared" si="88"/>
        <v>#DIV/0!</v>
      </c>
      <c r="F180" s="89" t="e">
        <f t="shared" si="88"/>
        <v>#DIV/0!</v>
      </c>
      <c r="G180" s="89" t="e">
        <f t="shared" si="88"/>
        <v>#DIV/0!</v>
      </c>
      <c r="H180" s="89" t="e">
        <f t="shared" si="88"/>
        <v>#DIV/0!</v>
      </c>
      <c r="I180" s="89" t="e">
        <f t="shared" si="88"/>
        <v>#DIV/0!</v>
      </c>
      <c r="J180" s="89" t="e">
        <f t="shared" si="88"/>
        <v>#DIV/0!</v>
      </c>
      <c r="K180" s="89" t="e">
        <f t="shared" si="88"/>
        <v>#DIV/0!</v>
      </c>
      <c r="L180" s="89" t="e">
        <f t="shared" si="88"/>
        <v>#DIV/0!</v>
      </c>
      <c r="M180" s="122" t="e">
        <f>SUM(C180:L180)</f>
        <v>#DIV/0!</v>
      </c>
    </row>
    <row r="181" spans="3:13" ht="12.75" hidden="1">
      <c r="C181" s="89"/>
      <c r="D181" s="89"/>
      <c r="E181" s="89"/>
      <c r="F181" s="89"/>
      <c r="G181" s="89"/>
      <c r="H181" s="89"/>
      <c r="I181" s="89"/>
      <c r="J181" s="89"/>
      <c r="K181" s="89"/>
      <c r="L181" s="89"/>
      <c r="M181" s="122"/>
    </row>
    <row r="182" spans="2:13" ht="12.75" hidden="1">
      <c r="B182" s="11" t="s">
        <v>72</v>
      </c>
      <c r="C182" s="126" t="e">
        <f>+C85</f>
        <v>#DIV/0!</v>
      </c>
      <c r="D182" s="126" t="e">
        <f aca="true" t="shared" si="89" ref="D182:M182">+D85</f>
        <v>#DIV/0!</v>
      </c>
      <c r="E182" s="126" t="e">
        <f t="shared" si="89"/>
        <v>#DIV/0!</v>
      </c>
      <c r="F182" s="126" t="e">
        <f t="shared" si="89"/>
        <v>#DIV/0!</v>
      </c>
      <c r="G182" s="126" t="e">
        <f t="shared" si="89"/>
        <v>#DIV/0!</v>
      </c>
      <c r="H182" s="126" t="e">
        <f t="shared" si="89"/>
        <v>#DIV/0!</v>
      </c>
      <c r="I182" s="126" t="e">
        <f t="shared" si="89"/>
        <v>#DIV/0!</v>
      </c>
      <c r="J182" s="126" t="e">
        <f t="shared" si="89"/>
        <v>#DIV/0!</v>
      </c>
      <c r="K182" s="126" t="e">
        <f t="shared" si="89"/>
        <v>#DIV/0!</v>
      </c>
      <c r="L182" s="126" t="e">
        <f t="shared" si="89"/>
        <v>#DIV/0!</v>
      </c>
      <c r="M182" s="126" t="e">
        <f t="shared" si="89"/>
        <v>#DIV/0!</v>
      </c>
    </row>
    <row r="183" spans="3:13" ht="12.75" hidden="1">
      <c r="C183" s="127" t="e">
        <f>+C182*$M183</f>
        <v>#DIV/0!</v>
      </c>
      <c r="D183" s="127" t="e">
        <f>+D182*$M183</f>
        <v>#DIV/0!</v>
      </c>
      <c r="E183" s="127" t="e">
        <f>+E182*$M183</f>
        <v>#DIV/0!</v>
      </c>
      <c r="F183" s="127" t="e">
        <f>+F182*$M183</f>
        <v>#DIV/0!</v>
      </c>
      <c r="G183" s="127" t="e">
        <f aca="true" t="shared" si="90" ref="G183:L183">+G182*$M183</f>
        <v>#DIV/0!</v>
      </c>
      <c r="H183" s="127" t="e">
        <f t="shared" si="90"/>
        <v>#DIV/0!</v>
      </c>
      <c r="I183" s="127" t="e">
        <f t="shared" si="90"/>
        <v>#DIV/0!</v>
      </c>
      <c r="J183" s="127" t="e">
        <f t="shared" si="90"/>
        <v>#DIV/0!</v>
      </c>
      <c r="K183" s="127" t="e">
        <f t="shared" si="90"/>
        <v>#DIV/0!</v>
      </c>
      <c r="L183" s="127" t="e">
        <f t="shared" si="90"/>
        <v>#DIV/0!</v>
      </c>
      <c r="M183" s="122">
        <f>+'2018-2019 Recy. Tons &amp; Revenue'!D20</f>
        <v>0</v>
      </c>
    </row>
    <row r="184" spans="3:13" ht="12.75" hidden="1">
      <c r="C184" s="89" t="e">
        <f aca="true" t="shared" si="91" ref="C184:L184">+C183*C18</f>
        <v>#DIV/0!</v>
      </c>
      <c r="D184" s="89" t="e">
        <f t="shared" si="91"/>
        <v>#DIV/0!</v>
      </c>
      <c r="E184" s="89" t="e">
        <f t="shared" si="91"/>
        <v>#DIV/0!</v>
      </c>
      <c r="F184" s="89" t="e">
        <f t="shared" si="91"/>
        <v>#DIV/0!</v>
      </c>
      <c r="G184" s="89" t="e">
        <f t="shared" si="91"/>
        <v>#DIV/0!</v>
      </c>
      <c r="H184" s="89" t="e">
        <f t="shared" si="91"/>
        <v>#DIV/0!</v>
      </c>
      <c r="I184" s="89" t="e">
        <f t="shared" si="91"/>
        <v>#DIV/0!</v>
      </c>
      <c r="J184" s="89" t="e">
        <f t="shared" si="91"/>
        <v>#DIV/0!</v>
      </c>
      <c r="K184" s="89" t="e">
        <f t="shared" si="91"/>
        <v>#DIV/0!</v>
      </c>
      <c r="L184" s="89" t="e">
        <f t="shared" si="91"/>
        <v>#DIV/0!</v>
      </c>
      <c r="M184" s="122" t="e">
        <f>SUM(C184:L184)</f>
        <v>#DIV/0!</v>
      </c>
    </row>
    <row r="185" ht="12.75" hidden="1"/>
    <row r="186" spans="2:13" ht="12.75" hidden="1">
      <c r="B186" s="11" t="s">
        <v>62</v>
      </c>
      <c r="C186" s="126" t="e">
        <f>+C89</f>
        <v>#DIV/0!</v>
      </c>
      <c r="D186" s="126" t="e">
        <f>+D89</f>
        <v>#DIV/0!</v>
      </c>
      <c r="E186" s="126" t="e">
        <f>+E89</f>
        <v>#DIV/0!</v>
      </c>
      <c r="F186" s="126" t="e">
        <f>+F89</f>
        <v>#DIV/0!</v>
      </c>
      <c r="G186" s="126" t="e">
        <f aca="true" t="shared" si="92" ref="G186:M186">+G89</f>
        <v>#DIV/0!</v>
      </c>
      <c r="H186" s="126" t="e">
        <f t="shared" si="92"/>
        <v>#DIV/0!</v>
      </c>
      <c r="I186" s="126" t="e">
        <f t="shared" si="92"/>
        <v>#DIV/0!</v>
      </c>
      <c r="J186" s="126" t="e">
        <f t="shared" si="92"/>
        <v>#DIV/0!</v>
      </c>
      <c r="K186" s="126" t="e">
        <f t="shared" si="92"/>
        <v>#DIV/0!</v>
      </c>
      <c r="L186" s="126" t="e">
        <f t="shared" si="92"/>
        <v>#DIV/0!</v>
      </c>
      <c r="M186" s="126" t="e">
        <f t="shared" si="92"/>
        <v>#DIV/0!</v>
      </c>
    </row>
    <row r="187" spans="3:13" ht="12.75" hidden="1">
      <c r="C187" s="127" t="e">
        <f>+C186*$M187</f>
        <v>#DIV/0!</v>
      </c>
      <c r="D187" s="127" t="e">
        <f>+D186*$M187</f>
        <v>#DIV/0!</v>
      </c>
      <c r="E187" s="127" t="e">
        <f>+E186*$M187</f>
        <v>#DIV/0!</v>
      </c>
      <c r="F187" s="127" t="e">
        <f>+F186*$M187</f>
        <v>#DIV/0!</v>
      </c>
      <c r="G187" s="127" t="e">
        <f aca="true" t="shared" si="93" ref="G187:L187">+G186*$M187</f>
        <v>#DIV/0!</v>
      </c>
      <c r="H187" s="127" t="e">
        <f t="shared" si="93"/>
        <v>#DIV/0!</v>
      </c>
      <c r="I187" s="127" t="e">
        <f t="shared" si="93"/>
        <v>#DIV/0!</v>
      </c>
      <c r="J187" s="127" t="e">
        <f t="shared" si="93"/>
        <v>#DIV/0!</v>
      </c>
      <c r="K187" s="127" t="e">
        <f t="shared" si="93"/>
        <v>#DIV/0!</v>
      </c>
      <c r="L187" s="127" t="e">
        <f t="shared" si="93"/>
        <v>#DIV/0!</v>
      </c>
      <c r="M187" s="122">
        <f>+'2018-2019 Recy. Tons &amp; Revenue'!D21</f>
        <v>0</v>
      </c>
    </row>
    <row r="188" spans="3:13" ht="12.75" hidden="1">
      <c r="C188" s="89" t="e">
        <f aca="true" t="shared" si="94" ref="C188:L188">+C187*C19</f>
        <v>#DIV/0!</v>
      </c>
      <c r="D188" s="89" t="e">
        <f t="shared" si="94"/>
        <v>#DIV/0!</v>
      </c>
      <c r="E188" s="89" t="e">
        <f t="shared" si="94"/>
        <v>#DIV/0!</v>
      </c>
      <c r="F188" s="89" t="e">
        <f t="shared" si="94"/>
        <v>#DIV/0!</v>
      </c>
      <c r="G188" s="89" t="e">
        <f t="shared" si="94"/>
        <v>#DIV/0!</v>
      </c>
      <c r="H188" s="89" t="e">
        <f t="shared" si="94"/>
        <v>#DIV/0!</v>
      </c>
      <c r="I188" s="89" t="e">
        <f t="shared" si="94"/>
        <v>#DIV/0!</v>
      </c>
      <c r="J188" s="89" t="e">
        <f t="shared" si="94"/>
        <v>#DIV/0!</v>
      </c>
      <c r="K188" s="89" t="e">
        <f t="shared" si="94"/>
        <v>#DIV/0!</v>
      </c>
      <c r="L188" s="89" t="e">
        <f t="shared" si="94"/>
        <v>#DIV/0!</v>
      </c>
      <c r="M188" s="122" t="e">
        <f>SUM(C188:L188)</f>
        <v>#DIV/0!</v>
      </c>
    </row>
    <row r="189" ht="12.75" hidden="1"/>
    <row r="190" spans="2:13" ht="12.75" hidden="1">
      <c r="B190" s="11" t="s">
        <v>149</v>
      </c>
      <c r="C190" s="126" t="e">
        <f>+C93</f>
        <v>#DIV/0!</v>
      </c>
      <c r="D190" s="126" t="e">
        <f aca="true" t="shared" si="95" ref="D190:L190">+D93</f>
        <v>#DIV/0!</v>
      </c>
      <c r="E190" s="126" t="e">
        <f t="shared" si="95"/>
        <v>#DIV/0!</v>
      </c>
      <c r="F190" s="126" t="e">
        <f t="shared" si="95"/>
        <v>#DIV/0!</v>
      </c>
      <c r="G190" s="126" t="e">
        <f t="shared" si="95"/>
        <v>#DIV/0!</v>
      </c>
      <c r="H190" s="126" t="e">
        <f t="shared" si="95"/>
        <v>#DIV/0!</v>
      </c>
      <c r="I190" s="126" t="e">
        <f t="shared" si="95"/>
        <v>#DIV/0!</v>
      </c>
      <c r="J190" s="126" t="e">
        <f t="shared" si="95"/>
        <v>#DIV/0!</v>
      </c>
      <c r="K190" s="126" t="e">
        <f t="shared" si="95"/>
        <v>#DIV/0!</v>
      </c>
      <c r="L190" s="126" t="e">
        <f t="shared" si="95"/>
        <v>#DIV/0!</v>
      </c>
      <c r="M190" s="121" t="e">
        <f>SUM(C190:L190)</f>
        <v>#DIV/0!</v>
      </c>
    </row>
    <row r="191" spans="3:13" ht="12.75" hidden="1">
      <c r="C191" s="127" t="e">
        <f aca="true" t="shared" si="96" ref="C191:L191">+C190*$M191</f>
        <v>#DIV/0!</v>
      </c>
      <c r="D191" s="127" t="e">
        <f t="shared" si="96"/>
        <v>#DIV/0!</v>
      </c>
      <c r="E191" s="127" t="e">
        <f t="shared" si="96"/>
        <v>#DIV/0!</v>
      </c>
      <c r="F191" s="127" t="e">
        <f t="shared" si="96"/>
        <v>#DIV/0!</v>
      </c>
      <c r="G191" s="127" t="e">
        <f t="shared" si="96"/>
        <v>#DIV/0!</v>
      </c>
      <c r="H191" s="127" t="e">
        <f t="shared" si="96"/>
        <v>#DIV/0!</v>
      </c>
      <c r="I191" s="127" t="e">
        <f t="shared" si="96"/>
        <v>#DIV/0!</v>
      </c>
      <c r="J191" s="127" t="e">
        <f t="shared" si="96"/>
        <v>#DIV/0!</v>
      </c>
      <c r="K191" s="127" t="e">
        <f t="shared" si="96"/>
        <v>#DIV/0!</v>
      </c>
      <c r="L191" s="127" t="e">
        <f t="shared" si="96"/>
        <v>#DIV/0!</v>
      </c>
      <c r="M191" s="122">
        <f>+'2018-2019 Recy. Tons &amp; Revenue'!D22</f>
        <v>0</v>
      </c>
    </row>
    <row r="192" spans="3:13" ht="12.75" hidden="1">
      <c r="C192" s="89" t="e">
        <f aca="true" t="shared" si="97" ref="C192:L192">+C191*C20</f>
        <v>#DIV/0!</v>
      </c>
      <c r="D192" s="89" t="e">
        <f t="shared" si="97"/>
        <v>#DIV/0!</v>
      </c>
      <c r="E192" s="89" t="e">
        <f t="shared" si="97"/>
        <v>#DIV/0!</v>
      </c>
      <c r="F192" s="89" t="e">
        <f t="shared" si="97"/>
        <v>#DIV/0!</v>
      </c>
      <c r="G192" s="89" t="e">
        <f t="shared" si="97"/>
        <v>#DIV/0!</v>
      </c>
      <c r="H192" s="89" t="e">
        <f t="shared" si="97"/>
        <v>#DIV/0!</v>
      </c>
      <c r="I192" s="89" t="e">
        <f t="shared" si="97"/>
        <v>#DIV/0!</v>
      </c>
      <c r="J192" s="89" t="e">
        <f t="shared" si="97"/>
        <v>#DIV/0!</v>
      </c>
      <c r="K192" s="89" t="e">
        <f t="shared" si="97"/>
        <v>#DIV/0!</v>
      </c>
      <c r="L192" s="89" t="e">
        <f t="shared" si="97"/>
        <v>#DIV/0!</v>
      </c>
      <c r="M192" s="122" t="e">
        <f>SUM(C192:L192)</f>
        <v>#DIV/0!</v>
      </c>
    </row>
    <row r="193" spans="3:12" ht="12.75" hidden="1">
      <c r="C193" s="126"/>
      <c r="D193" s="126"/>
      <c r="E193" s="126"/>
      <c r="F193" s="126"/>
      <c r="G193" s="126"/>
      <c r="H193" s="126"/>
      <c r="I193" s="126"/>
      <c r="J193" s="126"/>
      <c r="K193" s="126"/>
      <c r="L193" s="126"/>
    </row>
    <row r="194" spans="2:13" ht="12.75" hidden="1">
      <c r="B194" s="11" t="s">
        <v>63</v>
      </c>
      <c r="C194" s="126" t="e">
        <f>+C97</f>
        <v>#DIV/0!</v>
      </c>
      <c r="D194" s="126" t="e">
        <f aca="true" t="shared" si="98" ref="D194:L194">+D97</f>
        <v>#DIV/0!</v>
      </c>
      <c r="E194" s="126" t="e">
        <f t="shared" si="98"/>
        <v>#DIV/0!</v>
      </c>
      <c r="F194" s="126" t="e">
        <f t="shared" si="98"/>
        <v>#DIV/0!</v>
      </c>
      <c r="G194" s="126" t="e">
        <f t="shared" si="98"/>
        <v>#DIV/0!</v>
      </c>
      <c r="H194" s="126" t="e">
        <f t="shared" si="98"/>
        <v>#DIV/0!</v>
      </c>
      <c r="I194" s="126" t="e">
        <f t="shared" si="98"/>
        <v>#DIV/0!</v>
      </c>
      <c r="J194" s="126" t="e">
        <f t="shared" si="98"/>
        <v>#DIV/0!</v>
      </c>
      <c r="K194" s="126" t="e">
        <f t="shared" si="98"/>
        <v>#DIV/0!</v>
      </c>
      <c r="L194" s="126" t="e">
        <f t="shared" si="98"/>
        <v>#DIV/0!</v>
      </c>
      <c r="M194" s="121" t="e">
        <f>SUM(C194:L194)</f>
        <v>#DIV/0!</v>
      </c>
    </row>
    <row r="195" spans="3:13" ht="12.75" hidden="1">
      <c r="C195" s="127" t="e">
        <f aca="true" t="shared" si="99" ref="C195:L195">+C194*$M195</f>
        <v>#DIV/0!</v>
      </c>
      <c r="D195" s="127" t="e">
        <f t="shared" si="99"/>
        <v>#DIV/0!</v>
      </c>
      <c r="E195" s="127" t="e">
        <f t="shared" si="99"/>
        <v>#DIV/0!</v>
      </c>
      <c r="F195" s="127" t="e">
        <f t="shared" si="99"/>
        <v>#DIV/0!</v>
      </c>
      <c r="G195" s="127" t="e">
        <f t="shared" si="99"/>
        <v>#DIV/0!</v>
      </c>
      <c r="H195" s="127" t="e">
        <f t="shared" si="99"/>
        <v>#DIV/0!</v>
      </c>
      <c r="I195" s="127" t="e">
        <f t="shared" si="99"/>
        <v>#DIV/0!</v>
      </c>
      <c r="J195" s="127" t="e">
        <f t="shared" si="99"/>
        <v>#DIV/0!</v>
      </c>
      <c r="K195" s="127" t="e">
        <f t="shared" si="99"/>
        <v>#DIV/0!</v>
      </c>
      <c r="L195" s="127" t="e">
        <f t="shared" si="99"/>
        <v>#DIV/0!</v>
      </c>
      <c r="M195" s="122">
        <f>+'2018-2019 Recy. Tons &amp; Revenue'!D23</f>
        <v>0</v>
      </c>
    </row>
    <row r="196" spans="3:13" ht="12.75" hidden="1">
      <c r="C196" s="89" t="e">
        <f aca="true" t="shared" si="100" ref="C196:L196">+C195*C21</f>
        <v>#DIV/0!</v>
      </c>
      <c r="D196" s="89" t="e">
        <f t="shared" si="100"/>
        <v>#DIV/0!</v>
      </c>
      <c r="E196" s="89" t="e">
        <f t="shared" si="100"/>
        <v>#DIV/0!</v>
      </c>
      <c r="F196" s="89" t="e">
        <f t="shared" si="100"/>
        <v>#DIV/0!</v>
      </c>
      <c r="G196" s="89" t="e">
        <f t="shared" si="100"/>
        <v>#DIV/0!</v>
      </c>
      <c r="H196" s="89" t="e">
        <f t="shared" si="100"/>
        <v>#DIV/0!</v>
      </c>
      <c r="I196" s="89" t="e">
        <f t="shared" si="100"/>
        <v>#DIV/0!</v>
      </c>
      <c r="J196" s="89" t="e">
        <f t="shared" si="100"/>
        <v>#DIV/0!</v>
      </c>
      <c r="K196" s="89" t="e">
        <f t="shared" si="100"/>
        <v>#DIV/0!</v>
      </c>
      <c r="L196" s="89" t="e">
        <f t="shared" si="100"/>
        <v>#DIV/0!</v>
      </c>
      <c r="M196" s="122" t="e">
        <f>SUM(C196:L196)</f>
        <v>#DIV/0!</v>
      </c>
    </row>
    <row r="197" ht="12.75" hidden="1"/>
    <row r="198" spans="2:13" ht="12.75" hidden="1">
      <c r="B198" s="11" t="s">
        <v>64</v>
      </c>
      <c r="C198" s="126" t="e">
        <f>+C101</f>
        <v>#DIV/0!</v>
      </c>
      <c r="D198" s="126" t="e">
        <f aca="true" t="shared" si="101" ref="D198:L198">+D101</f>
        <v>#DIV/0!</v>
      </c>
      <c r="E198" s="126" t="e">
        <f t="shared" si="101"/>
        <v>#DIV/0!</v>
      </c>
      <c r="F198" s="126" t="e">
        <f t="shared" si="101"/>
        <v>#DIV/0!</v>
      </c>
      <c r="G198" s="126" t="e">
        <f t="shared" si="101"/>
        <v>#DIV/0!</v>
      </c>
      <c r="H198" s="126" t="e">
        <f t="shared" si="101"/>
        <v>#DIV/0!</v>
      </c>
      <c r="I198" s="126" t="e">
        <f t="shared" si="101"/>
        <v>#DIV/0!</v>
      </c>
      <c r="J198" s="126" t="e">
        <f t="shared" si="101"/>
        <v>#DIV/0!</v>
      </c>
      <c r="K198" s="126" t="e">
        <f t="shared" si="101"/>
        <v>#DIV/0!</v>
      </c>
      <c r="L198" s="126" t="e">
        <f t="shared" si="101"/>
        <v>#DIV/0!</v>
      </c>
      <c r="M198" s="121" t="e">
        <f>SUM(C198:L198)</f>
        <v>#DIV/0!</v>
      </c>
    </row>
    <row r="199" spans="3:13" ht="12.75" hidden="1">
      <c r="C199" s="127" t="e">
        <f aca="true" t="shared" si="102" ref="C199:L199">+C198*$M199</f>
        <v>#DIV/0!</v>
      </c>
      <c r="D199" s="127" t="e">
        <f t="shared" si="102"/>
        <v>#DIV/0!</v>
      </c>
      <c r="E199" s="127" t="e">
        <f t="shared" si="102"/>
        <v>#DIV/0!</v>
      </c>
      <c r="F199" s="127" t="e">
        <f t="shared" si="102"/>
        <v>#DIV/0!</v>
      </c>
      <c r="G199" s="127" t="e">
        <f t="shared" si="102"/>
        <v>#DIV/0!</v>
      </c>
      <c r="H199" s="127" t="e">
        <f t="shared" si="102"/>
        <v>#DIV/0!</v>
      </c>
      <c r="I199" s="127" t="e">
        <f t="shared" si="102"/>
        <v>#DIV/0!</v>
      </c>
      <c r="J199" s="127" t="e">
        <f t="shared" si="102"/>
        <v>#DIV/0!</v>
      </c>
      <c r="K199" s="127" t="e">
        <f t="shared" si="102"/>
        <v>#DIV/0!</v>
      </c>
      <c r="L199" s="127" t="e">
        <f t="shared" si="102"/>
        <v>#DIV/0!</v>
      </c>
      <c r="M199" s="122">
        <f>+'2018-2019 Recy. Tons &amp; Revenue'!D24</f>
        <v>0</v>
      </c>
    </row>
    <row r="200" spans="3:13" ht="12.75" hidden="1">
      <c r="C200" s="89" t="e">
        <f aca="true" t="shared" si="103" ref="C200:L200">+C199*C22</f>
        <v>#DIV/0!</v>
      </c>
      <c r="D200" s="89" t="e">
        <f t="shared" si="103"/>
        <v>#DIV/0!</v>
      </c>
      <c r="E200" s="89" t="e">
        <f t="shared" si="103"/>
        <v>#DIV/0!</v>
      </c>
      <c r="F200" s="89" t="e">
        <f t="shared" si="103"/>
        <v>#DIV/0!</v>
      </c>
      <c r="G200" s="89" t="e">
        <f t="shared" si="103"/>
        <v>#DIV/0!</v>
      </c>
      <c r="H200" s="89" t="e">
        <f t="shared" si="103"/>
        <v>#DIV/0!</v>
      </c>
      <c r="I200" s="89" t="e">
        <f t="shared" si="103"/>
        <v>#DIV/0!</v>
      </c>
      <c r="J200" s="89" t="e">
        <f t="shared" si="103"/>
        <v>#DIV/0!</v>
      </c>
      <c r="K200" s="89" t="e">
        <f t="shared" si="103"/>
        <v>#DIV/0!</v>
      </c>
      <c r="L200" s="89" t="e">
        <f t="shared" si="103"/>
        <v>#DIV/0!</v>
      </c>
      <c r="M200" s="122" t="e">
        <f>SUM(C200:L200)</f>
        <v>#DIV/0!</v>
      </c>
    </row>
    <row r="201" ht="12.75" hidden="1"/>
    <row r="202" spans="2:13" ht="12.75" hidden="1">
      <c r="B202" s="11" t="s">
        <v>65</v>
      </c>
      <c r="C202" s="126" t="e">
        <f>+C105</f>
        <v>#DIV/0!</v>
      </c>
      <c r="D202" s="126" t="e">
        <f aca="true" t="shared" si="104" ref="D202:L202">+D105</f>
        <v>#DIV/0!</v>
      </c>
      <c r="E202" s="126" t="e">
        <f t="shared" si="104"/>
        <v>#DIV/0!</v>
      </c>
      <c r="F202" s="126" t="e">
        <f t="shared" si="104"/>
        <v>#DIV/0!</v>
      </c>
      <c r="G202" s="126" t="e">
        <f t="shared" si="104"/>
        <v>#DIV/0!</v>
      </c>
      <c r="H202" s="126" t="e">
        <f t="shared" si="104"/>
        <v>#DIV/0!</v>
      </c>
      <c r="I202" s="126" t="e">
        <f t="shared" si="104"/>
        <v>#DIV/0!</v>
      </c>
      <c r="J202" s="126" t="e">
        <f t="shared" si="104"/>
        <v>#DIV/0!</v>
      </c>
      <c r="K202" s="126" t="e">
        <f t="shared" si="104"/>
        <v>#DIV/0!</v>
      </c>
      <c r="L202" s="126" t="e">
        <f t="shared" si="104"/>
        <v>#DIV/0!</v>
      </c>
      <c r="M202" s="121" t="e">
        <f>SUM(C202:L202)</f>
        <v>#DIV/0!</v>
      </c>
    </row>
    <row r="203" spans="3:13" ht="12.75" hidden="1">
      <c r="C203" s="127" t="e">
        <f aca="true" t="shared" si="105" ref="C203:L203">+C202*$M203</f>
        <v>#DIV/0!</v>
      </c>
      <c r="D203" s="127" t="e">
        <f t="shared" si="105"/>
        <v>#DIV/0!</v>
      </c>
      <c r="E203" s="127" t="e">
        <f t="shared" si="105"/>
        <v>#DIV/0!</v>
      </c>
      <c r="F203" s="127" t="e">
        <f t="shared" si="105"/>
        <v>#DIV/0!</v>
      </c>
      <c r="G203" s="127" t="e">
        <f t="shared" si="105"/>
        <v>#DIV/0!</v>
      </c>
      <c r="H203" s="127" t="e">
        <f t="shared" si="105"/>
        <v>#DIV/0!</v>
      </c>
      <c r="I203" s="127" t="e">
        <f t="shared" si="105"/>
        <v>#DIV/0!</v>
      </c>
      <c r="J203" s="127" t="e">
        <f t="shared" si="105"/>
        <v>#DIV/0!</v>
      </c>
      <c r="K203" s="127" t="e">
        <f t="shared" si="105"/>
        <v>#DIV/0!</v>
      </c>
      <c r="L203" s="127" t="e">
        <f t="shared" si="105"/>
        <v>#DIV/0!</v>
      </c>
      <c r="M203" s="122">
        <f>+'2018-2019 Recy. Tons &amp; Revenue'!D25</f>
        <v>0</v>
      </c>
    </row>
    <row r="204" spans="3:13" ht="12.75" hidden="1">
      <c r="C204" s="89" t="e">
        <f aca="true" t="shared" si="106" ref="C204:L204">+C203*C23</f>
        <v>#DIV/0!</v>
      </c>
      <c r="D204" s="89" t="e">
        <f t="shared" si="106"/>
        <v>#DIV/0!</v>
      </c>
      <c r="E204" s="89" t="e">
        <f t="shared" si="106"/>
        <v>#DIV/0!</v>
      </c>
      <c r="F204" s="89" t="e">
        <f t="shared" si="106"/>
        <v>#DIV/0!</v>
      </c>
      <c r="G204" s="89" t="e">
        <f t="shared" si="106"/>
        <v>#DIV/0!</v>
      </c>
      <c r="H204" s="89" t="e">
        <f t="shared" si="106"/>
        <v>#DIV/0!</v>
      </c>
      <c r="I204" s="89" t="e">
        <f t="shared" si="106"/>
        <v>#DIV/0!</v>
      </c>
      <c r="J204" s="89" t="e">
        <f t="shared" si="106"/>
        <v>#DIV/0!</v>
      </c>
      <c r="K204" s="89" t="e">
        <f t="shared" si="106"/>
        <v>#DIV/0!</v>
      </c>
      <c r="L204" s="89" t="e">
        <f t="shared" si="106"/>
        <v>#DIV/0!</v>
      </c>
      <c r="M204" s="122" t="e">
        <f>SUM(C204:L204)</f>
        <v>#DIV/0!</v>
      </c>
    </row>
    <row r="205" ht="12.75" hidden="1"/>
    <row r="206" spans="2:13" ht="12.75" hidden="1">
      <c r="B206" s="11" t="s">
        <v>66</v>
      </c>
      <c r="C206" s="126" t="e">
        <f>+C109</f>
        <v>#DIV/0!</v>
      </c>
      <c r="D206" s="126" t="e">
        <f aca="true" t="shared" si="107" ref="D206:L206">+D109</f>
        <v>#DIV/0!</v>
      </c>
      <c r="E206" s="126" t="e">
        <f t="shared" si="107"/>
        <v>#DIV/0!</v>
      </c>
      <c r="F206" s="126" t="e">
        <f t="shared" si="107"/>
        <v>#DIV/0!</v>
      </c>
      <c r="G206" s="126" t="e">
        <f t="shared" si="107"/>
        <v>#DIV/0!</v>
      </c>
      <c r="H206" s="126" t="e">
        <f t="shared" si="107"/>
        <v>#DIV/0!</v>
      </c>
      <c r="I206" s="126" t="e">
        <f t="shared" si="107"/>
        <v>#DIV/0!</v>
      </c>
      <c r="J206" s="126" t="e">
        <f t="shared" si="107"/>
        <v>#DIV/0!</v>
      </c>
      <c r="K206" s="126" t="e">
        <f t="shared" si="107"/>
        <v>#DIV/0!</v>
      </c>
      <c r="L206" s="126" t="e">
        <f t="shared" si="107"/>
        <v>#DIV/0!</v>
      </c>
      <c r="M206" s="121" t="e">
        <f>SUM(C206:L206)</f>
        <v>#DIV/0!</v>
      </c>
    </row>
    <row r="207" spans="3:13" ht="12.75" hidden="1">
      <c r="C207" s="127" t="e">
        <f aca="true" t="shared" si="108" ref="C207:L207">+C206*$M207</f>
        <v>#DIV/0!</v>
      </c>
      <c r="D207" s="127" t="e">
        <f t="shared" si="108"/>
        <v>#DIV/0!</v>
      </c>
      <c r="E207" s="127" t="e">
        <f t="shared" si="108"/>
        <v>#DIV/0!</v>
      </c>
      <c r="F207" s="127" t="e">
        <f t="shared" si="108"/>
        <v>#DIV/0!</v>
      </c>
      <c r="G207" s="127" t="e">
        <f t="shared" si="108"/>
        <v>#DIV/0!</v>
      </c>
      <c r="H207" s="127" t="e">
        <f t="shared" si="108"/>
        <v>#DIV/0!</v>
      </c>
      <c r="I207" s="127" t="e">
        <f t="shared" si="108"/>
        <v>#DIV/0!</v>
      </c>
      <c r="J207" s="127" t="e">
        <f t="shared" si="108"/>
        <v>#DIV/0!</v>
      </c>
      <c r="K207" s="127" t="e">
        <f t="shared" si="108"/>
        <v>#DIV/0!</v>
      </c>
      <c r="L207" s="127" t="e">
        <f t="shared" si="108"/>
        <v>#DIV/0!</v>
      </c>
      <c r="M207" s="122">
        <f>+'2018-2019 Recy. Tons &amp; Revenue'!D26</f>
        <v>0</v>
      </c>
    </row>
    <row r="208" spans="3:13" ht="12.75" hidden="1">
      <c r="C208" s="89" t="e">
        <f aca="true" t="shared" si="109" ref="C208:L208">+C207*C24</f>
        <v>#DIV/0!</v>
      </c>
      <c r="D208" s="89" t="e">
        <f t="shared" si="109"/>
        <v>#DIV/0!</v>
      </c>
      <c r="E208" s="89" t="e">
        <f t="shared" si="109"/>
        <v>#DIV/0!</v>
      </c>
      <c r="F208" s="89" t="e">
        <f t="shared" si="109"/>
        <v>#DIV/0!</v>
      </c>
      <c r="G208" s="89" t="e">
        <f t="shared" si="109"/>
        <v>#DIV/0!</v>
      </c>
      <c r="H208" s="89" t="e">
        <f t="shared" si="109"/>
        <v>#DIV/0!</v>
      </c>
      <c r="I208" s="89" t="e">
        <f t="shared" si="109"/>
        <v>#DIV/0!</v>
      </c>
      <c r="J208" s="89" t="e">
        <f t="shared" si="109"/>
        <v>#DIV/0!</v>
      </c>
      <c r="K208" s="89" t="e">
        <f t="shared" si="109"/>
        <v>#DIV/0!</v>
      </c>
      <c r="L208" s="89" t="e">
        <f t="shared" si="109"/>
        <v>#DIV/0!</v>
      </c>
      <c r="M208" s="122" t="e">
        <f>SUM(C208:L208)</f>
        <v>#DIV/0!</v>
      </c>
    </row>
    <row r="209" ht="12.75" hidden="1"/>
    <row r="210" spans="2:13" ht="12.75" hidden="1">
      <c r="B210" s="11" t="s">
        <v>73</v>
      </c>
      <c r="C210" s="126" t="e">
        <f>+C113</f>
        <v>#DIV/0!</v>
      </c>
      <c r="D210" s="126" t="e">
        <f aca="true" t="shared" si="110" ref="D210:L210">+D113</f>
        <v>#DIV/0!</v>
      </c>
      <c r="E210" s="126" t="e">
        <f t="shared" si="110"/>
        <v>#DIV/0!</v>
      </c>
      <c r="F210" s="126" t="e">
        <f t="shared" si="110"/>
        <v>#DIV/0!</v>
      </c>
      <c r="G210" s="126" t="e">
        <f t="shared" si="110"/>
        <v>#DIV/0!</v>
      </c>
      <c r="H210" s="126" t="e">
        <f t="shared" si="110"/>
        <v>#DIV/0!</v>
      </c>
      <c r="I210" s="126" t="e">
        <f t="shared" si="110"/>
        <v>#DIV/0!</v>
      </c>
      <c r="J210" s="126" t="e">
        <f t="shared" si="110"/>
        <v>#DIV/0!</v>
      </c>
      <c r="K210" s="126" t="e">
        <f t="shared" si="110"/>
        <v>#DIV/0!</v>
      </c>
      <c r="L210" s="126" t="e">
        <f t="shared" si="110"/>
        <v>#DIV/0!</v>
      </c>
      <c r="M210" s="121" t="e">
        <f>SUM(C210:L210)</f>
        <v>#DIV/0!</v>
      </c>
    </row>
    <row r="211" spans="3:13" ht="12.75" hidden="1">
      <c r="C211" s="127" t="e">
        <f aca="true" t="shared" si="111" ref="C211:L211">+C210*$M211</f>
        <v>#DIV/0!</v>
      </c>
      <c r="D211" s="127" t="e">
        <f t="shared" si="111"/>
        <v>#DIV/0!</v>
      </c>
      <c r="E211" s="127" t="e">
        <f t="shared" si="111"/>
        <v>#DIV/0!</v>
      </c>
      <c r="F211" s="127" t="e">
        <f t="shared" si="111"/>
        <v>#DIV/0!</v>
      </c>
      <c r="G211" s="127" t="e">
        <f t="shared" si="111"/>
        <v>#DIV/0!</v>
      </c>
      <c r="H211" s="127" t="e">
        <f t="shared" si="111"/>
        <v>#DIV/0!</v>
      </c>
      <c r="I211" s="127" t="e">
        <f t="shared" si="111"/>
        <v>#DIV/0!</v>
      </c>
      <c r="J211" s="127" t="e">
        <f t="shared" si="111"/>
        <v>#DIV/0!</v>
      </c>
      <c r="K211" s="127" t="e">
        <f t="shared" si="111"/>
        <v>#DIV/0!</v>
      </c>
      <c r="L211" s="127" t="e">
        <f t="shared" si="111"/>
        <v>#DIV/0!</v>
      </c>
      <c r="M211" s="122">
        <f>+'2018-2019 Recy. Tons &amp; Revenue'!D27</f>
        <v>0</v>
      </c>
    </row>
    <row r="212" spans="3:13" ht="12.75" hidden="1">
      <c r="C212" s="89" t="e">
        <f aca="true" t="shared" si="112" ref="C212:L212">+C211*C25</f>
        <v>#DIV/0!</v>
      </c>
      <c r="D212" s="89" t="e">
        <f t="shared" si="112"/>
        <v>#DIV/0!</v>
      </c>
      <c r="E212" s="89" t="e">
        <f t="shared" si="112"/>
        <v>#DIV/0!</v>
      </c>
      <c r="F212" s="89" t="e">
        <f t="shared" si="112"/>
        <v>#DIV/0!</v>
      </c>
      <c r="G212" s="89" t="e">
        <f t="shared" si="112"/>
        <v>#DIV/0!</v>
      </c>
      <c r="H212" s="89" t="e">
        <f t="shared" si="112"/>
        <v>#DIV/0!</v>
      </c>
      <c r="I212" s="89" t="e">
        <f t="shared" si="112"/>
        <v>#DIV/0!</v>
      </c>
      <c r="J212" s="89" t="e">
        <f t="shared" si="112"/>
        <v>#DIV/0!</v>
      </c>
      <c r="K212" s="89" t="e">
        <f t="shared" si="112"/>
        <v>#DIV/0!</v>
      </c>
      <c r="L212" s="89" t="e">
        <f t="shared" si="112"/>
        <v>#DIV/0!</v>
      </c>
      <c r="M212" s="122" t="e">
        <f>SUM(C212:L212)</f>
        <v>#DIV/0!</v>
      </c>
    </row>
    <row r="213" ht="12.75" hidden="1"/>
    <row r="214" spans="2:13" ht="12.75" hidden="1">
      <c r="B214" s="11" t="s">
        <v>74</v>
      </c>
      <c r="C214" s="126" t="e">
        <f>+C117</f>
        <v>#DIV/0!</v>
      </c>
      <c r="D214" s="126" t="e">
        <f aca="true" t="shared" si="113" ref="D214:L214">+D117</f>
        <v>#DIV/0!</v>
      </c>
      <c r="E214" s="126" t="e">
        <f t="shared" si="113"/>
        <v>#DIV/0!</v>
      </c>
      <c r="F214" s="126" t="e">
        <f t="shared" si="113"/>
        <v>#DIV/0!</v>
      </c>
      <c r="G214" s="126" t="e">
        <f t="shared" si="113"/>
        <v>#DIV/0!</v>
      </c>
      <c r="H214" s="126" t="e">
        <f t="shared" si="113"/>
        <v>#DIV/0!</v>
      </c>
      <c r="I214" s="126" t="e">
        <f t="shared" si="113"/>
        <v>#DIV/0!</v>
      </c>
      <c r="J214" s="126" t="e">
        <f t="shared" si="113"/>
        <v>#DIV/0!</v>
      </c>
      <c r="K214" s="126" t="e">
        <f t="shared" si="113"/>
        <v>#DIV/0!</v>
      </c>
      <c r="L214" s="126" t="e">
        <f t="shared" si="113"/>
        <v>#DIV/0!</v>
      </c>
      <c r="M214" s="121" t="e">
        <f>SUM(C214:L214)</f>
        <v>#DIV/0!</v>
      </c>
    </row>
    <row r="215" spans="3:13" ht="12.75" hidden="1">
      <c r="C215" s="127" t="e">
        <f aca="true" t="shared" si="114" ref="C215:L215">+C214*$M215</f>
        <v>#DIV/0!</v>
      </c>
      <c r="D215" s="127" t="e">
        <f t="shared" si="114"/>
        <v>#DIV/0!</v>
      </c>
      <c r="E215" s="127" t="e">
        <f t="shared" si="114"/>
        <v>#DIV/0!</v>
      </c>
      <c r="F215" s="127" t="e">
        <f t="shared" si="114"/>
        <v>#DIV/0!</v>
      </c>
      <c r="G215" s="127" t="e">
        <f t="shared" si="114"/>
        <v>#DIV/0!</v>
      </c>
      <c r="H215" s="127" t="e">
        <f t="shared" si="114"/>
        <v>#DIV/0!</v>
      </c>
      <c r="I215" s="127" t="e">
        <f t="shared" si="114"/>
        <v>#DIV/0!</v>
      </c>
      <c r="J215" s="127" t="e">
        <f t="shared" si="114"/>
        <v>#DIV/0!</v>
      </c>
      <c r="K215" s="127" t="e">
        <f t="shared" si="114"/>
        <v>#DIV/0!</v>
      </c>
      <c r="L215" s="127" t="e">
        <f t="shared" si="114"/>
        <v>#DIV/0!</v>
      </c>
      <c r="M215" s="122">
        <f>+'2018-2019 Recy. Tons &amp; Revenue'!D28</f>
        <v>0</v>
      </c>
    </row>
    <row r="216" spans="3:13" ht="12.75" hidden="1">
      <c r="C216" s="89" t="e">
        <f aca="true" t="shared" si="115" ref="C216:L216">+C215*C26</f>
        <v>#DIV/0!</v>
      </c>
      <c r="D216" s="89" t="e">
        <f t="shared" si="115"/>
        <v>#DIV/0!</v>
      </c>
      <c r="E216" s="89" t="e">
        <f t="shared" si="115"/>
        <v>#DIV/0!</v>
      </c>
      <c r="F216" s="89" t="e">
        <f t="shared" si="115"/>
        <v>#DIV/0!</v>
      </c>
      <c r="G216" s="89" t="e">
        <f t="shared" si="115"/>
        <v>#DIV/0!</v>
      </c>
      <c r="H216" s="89" t="e">
        <f t="shared" si="115"/>
        <v>#DIV/0!</v>
      </c>
      <c r="I216" s="89" t="e">
        <f t="shared" si="115"/>
        <v>#DIV/0!</v>
      </c>
      <c r="J216" s="89" t="e">
        <f t="shared" si="115"/>
        <v>#DIV/0!</v>
      </c>
      <c r="K216" s="89" t="e">
        <f t="shared" si="115"/>
        <v>#DIV/0!</v>
      </c>
      <c r="L216" s="89" t="e">
        <f t="shared" si="115"/>
        <v>#DIV/0!</v>
      </c>
      <c r="M216" s="122" t="e">
        <f>SUM(C216:L216)</f>
        <v>#DIV/0!</v>
      </c>
    </row>
    <row r="217" ht="12.75" hidden="1"/>
    <row r="218" spans="2:13" ht="12.75" hidden="1">
      <c r="B218" s="11" t="s">
        <v>75</v>
      </c>
      <c r="C218" s="126" t="e">
        <f>+C121</f>
        <v>#DIV/0!</v>
      </c>
      <c r="D218" s="126" t="e">
        <f aca="true" t="shared" si="116" ref="D218:L218">+D121</f>
        <v>#DIV/0!</v>
      </c>
      <c r="E218" s="126" t="e">
        <f t="shared" si="116"/>
        <v>#DIV/0!</v>
      </c>
      <c r="F218" s="126" t="e">
        <f t="shared" si="116"/>
        <v>#DIV/0!</v>
      </c>
      <c r="G218" s="126" t="e">
        <f t="shared" si="116"/>
        <v>#DIV/0!</v>
      </c>
      <c r="H218" s="126" t="e">
        <f t="shared" si="116"/>
        <v>#DIV/0!</v>
      </c>
      <c r="I218" s="126" t="e">
        <f t="shared" si="116"/>
        <v>#DIV/0!</v>
      </c>
      <c r="J218" s="126" t="e">
        <f t="shared" si="116"/>
        <v>#DIV/0!</v>
      </c>
      <c r="K218" s="126" t="e">
        <f t="shared" si="116"/>
        <v>#DIV/0!</v>
      </c>
      <c r="L218" s="126" t="e">
        <f t="shared" si="116"/>
        <v>#DIV/0!</v>
      </c>
      <c r="M218" s="121" t="e">
        <f>SUM(C218:L218)</f>
        <v>#DIV/0!</v>
      </c>
    </row>
    <row r="219" spans="3:13" ht="12.75" hidden="1">
      <c r="C219" s="127" t="e">
        <f aca="true" t="shared" si="117" ref="C219:L219">+C218*$M219</f>
        <v>#DIV/0!</v>
      </c>
      <c r="D219" s="127" t="e">
        <f t="shared" si="117"/>
        <v>#DIV/0!</v>
      </c>
      <c r="E219" s="127" t="e">
        <f t="shared" si="117"/>
        <v>#DIV/0!</v>
      </c>
      <c r="F219" s="127" t="e">
        <f t="shared" si="117"/>
        <v>#DIV/0!</v>
      </c>
      <c r="G219" s="127" t="e">
        <f t="shared" si="117"/>
        <v>#DIV/0!</v>
      </c>
      <c r="H219" s="127" t="e">
        <f t="shared" si="117"/>
        <v>#DIV/0!</v>
      </c>
      <c r="I219" s="127" t="e">
        <f t="shared" si="117"/>
        <v>#DIV/0!</v>
      </c>
      <c r="J219" s="127" t="e">
        <f t="shared" si="117"/>
        <v>#DIV/0!</v>
      </c>
      <c r="K219" s="127" t="e">
        <f t="shared" si="117"/>
        <v>#DIV/0!</v>
      </c>
      <c r="L219" s="127" t="e">
        <f t="shared" si="117"/>
        <v>#DIV/0!</v>
      </c>
      <c r="M219" s="122">
        <f>+'2018-2019 Recy. Tons &amp; Revenue'!D29</f>
        <v>0</v>
      </c>
    </row>
    <row r="220" spans="3:13" ht="12.75" hidden="1">
      <c r="C220" s="89" t="e">
        <f aca="true" t="shared" si="118" ref="C220:L220">+C219*C27</f>
        <v>#DIV/0!</v>
      </c>
      <c r="D220" s="89" t="e">
        <f t="shared" si="118"/>
        <v>#DIV/0!</v>
      </c>
      <c r="E220" s="89" t="e">
        <f t="shared" si="118"/>
        <v>#DIV/0!</v>
      </c>
      <c r="F220" s="89" t="e">
        <f t="shared" si="118"/>
        <v>#DIV/0!</v>
      </c>
      <c r="G220" s="89" t="e">
        <f t="shared" si="118"/>
        <v>#DIV/0!</v>
      </c>
      <c r="H220" s="89" t="e">
        <f t="shared" si="118"/>
        <v>#DIV/0!</v>
      </c>
      <c r="I220" s="89" t="e">
        <f t="shared" si="118"/>
        <v>#DIV/0!</v>
      </c>
      <c r="J220" s="89" t="e">
        <f t="shared" si="118"/>
        <v>#DIV/0!</v>
      </c>
      <c r="K220" s="89" t="e">
        <f t="shared" si="118"/>
        <v>#DIV/0!</v>
      </c>
      <c r="L220" s="89" t="e">
        <f t="shared" si="118"/>
        <v>#DIV/0!</v>
      </c>
      <c r="M220" s="122" t="e">
        <f>SUM(C220:L220)</f>
        <v>#DIV/0!</v>
      </c>
    </row>
    <row r="221" ht="12.75" hidden="1"/>
    <row r="222" spans="2:13" ht="12.75" hidden="1">
      <c r="B222" s="11" t="s">
        <v>76</v>
      </c>
      <c r="C222" s="126" t="e">
        <f>+C125</f>
        <v>#DIV/0!</v>
      </c>
      <c r="D222" s="126" t="e">
        <f aca="true" t="shared" si="119" ref="D222:L222">+D125</f>
        <v>#DIV/0!</v>
      </c>
      <c r="E222" s="126" t="e">
        <f t="shared" si="119"/>
        <v>#DIV/0!</v>
      </c>
      <c r="F222" s="126" t="e">
        <f t="shared" si="119"/>
        <v>#DIV/0!</v>
      </c>
      <c r="G222" s="126" t="e">
        <f t="shared" si="119"/>
        <v>#DIV/0!</v>
      </c>
      <c r="H222" s="126" t="e">
        <f t="shared" si="119"/>
        <v>#DIV/0!</v>
      </c>
      <c r="I222" s="126" t="e">
        <f t="shared" si="119"/>
        <v>#DIV/0!</v>
      </c>
      <c r="J222" s="126" t="e">
        <f t="shared" si="119"/>
        <v>#DIV/0!</v>
      </c>
      <c r="K222" s="126" t="e">
        <f t="shared" si="119"/>
        <v>#DIV/0!</v>
      </c>
      <c r="L222" s="126" t="e">
        <f t="shared" si="119"/>
        <v>#DIV/0!</v>
      </c>
      <c r="M222" s="121" t="e">
        <f>SUM(C222:L222)</f>
        <v>#DIV/0!</v>
      </c>
    </row>
    <row r="223" spans="3:13" ht="12.75" hidden="1">
      <c r="C223" s="127" t="e">
        <f aca="true" t="shared" si="120" ref="C223:L223">+C222*$M223</f>
        <v>#DIV/0!</v>
      </c>
      <c r="D223" s="127" t="e">
        <f t="shared" si="120"/>
        <v>#DIV/0!</v>
      </c>
      <c r="E223" s="127" t="e">
        <f t="shared" si="120"/>
        <v>#DIV/0!</v>
      </c>
      <c r="F223" s="127" t="e">
        <f t="shared" si="120"/>
        <v>#DIV/0!</v>
      </c>
      <c r="G223" s="127" t="e">
        <f t="shared" si="120"/>
        <v>#DIV/0!</v>
      </c>
      <c r="H223" s="127" t="e">
        <f t="shared" si="120"/>
        <v>#DIV/0!</v>
      </c>
      <c r="I223" s="127" t="e">
        <f t="shared" si="120"/>
        <v>#DIV/0!</v>
      </c>
      <c r="J223" s="127" t="e">
        <f t="shared" si="120"/>
        <v>#DIV/0!</v>
      </c>
      <c r="K223" s="127" t="e">
        <f t="shared" si="120"/>
        <v>#DIV/0!</v>
      </c>
      <c r="L223" s="127" t="e">
        <f t="shared" si="120"/>
        <v>#DIV/0!</v>
      </c>
      <c r="M223" s="122">
        <f>+'2018-2019 Recy. Tons &amp; Revenue'!D30</f>
        <v>0</v>
      </c>
    </row>
    <row r="224" spans="3:13" ht="12.75" hidden="1">
      <c r="C224" s="89" t="e">
        <f aca="true" t="shared" si="121" ref="C224:L224">+C223*C28</f>
        <v>#DIV/0!</v>
      </c>
      <c r="D224" s="89" t="e">
        <f t="shared" si="121"/>
        <v>#DIV/0!</v>
      </c>
      <c r="E224" s="89" t="e">
        <f t="shared" si="121"/>
        <v>#DIV/0!</v>
      </c>
      <c r="F224" s="89" t="e">
        <f t="shared" si="121"/>
        <v>#DIV/0!</v>
      </c>
      <c r="G224" s="89" t="e">
        <f t="shared" si="121"/>
        <v>#DIV/0!</v>
      </c>
      <c r="H224" s="89" t="e">
        <f t="shared" si="121"/>
        <v>#DIV/0!</v>
      </c>
      <c r="I224" s="89" t="e">
        <f t="shared" si="121"/>
        <v>#DIV/0!</v>
      </c>
      <c r="J224" s="89" t="e">
        <f t="shared" si="121"/>
        <v>#DIV/0!</v>
      </c>
      <c r="K224" s="89" t="e">
        <f t="shared" si="121"/>
        <v>#DIV/0!</v>
      </c>
      <c r="L224" s="89" t="e">
        <f t="shared" si="121"/>
        <v>#DIV/0!</v>
      </c>
      <c r="M224" s="122" t="e">
        <f>SUM(C224:L224)</f>
        <v>#DIV/0!</v>
      </c>
    </row>
  </sheetData>
  <sheetProtection/>
  <mergeCells count="1">
    <mergeCell ref="C1:L1"/>
  </mergeCells>
  <printOptions/>
  <pageMargins left="0.7" right="0.7" top="0.75" bottom="0.75" header="0.3" footer="0.3"/>
  <pageSetup fitToHeight="3" fitToWidth="1" horizontalDpi="600" verticalDpi="600" orientation="portrait" scale="68" r:id="rId1"/>
</worksheet>
</file>

<file path=xl/worksheets/sheet6.xml><?xml version="1.0" encoding="utf-8"?>
<worksheet xmlns="http://schemas.openxmlformats.org/spreadsheetml/2006/main" xmlns:r="http://schemas.openxmlformats.org/officeDocument/2006/relationships">
  <sheetPr>
    <pageSetUpPr fitToPage="1"/>
  </sheetPr>
  <dimension ref="A1:AD47"/>
  <sheetViews>
    <sheetView zoomScalePageLayoutView="0" workbookViewId="0" topLeftCell="A1">
      <selection activeCell="R48" sqref="R48"/>
    </sheetView>
  </sheetViews>
  <sheetFormatPr defaultColWidth="9.140625" defaultRowHeight="12.75"/>
  <cols>
    <col min="1" max="1" width="18.28125" style="0" customWidth="1"/>
    <col min="2" max="4" width="9.28125" style="0" bestFit="1" customWidth="1"/>
    <col min="5" max="5" width="4.421875" style="0" customWidth="1"/>
    <col min="6" max="6" width="12.140625" style="0" bestFit="1" customWidth="1"/>
    <col min="7" max="7" width="10.140625" style="0" bestFit="1" customWidth="1"/>
    <col min="8" max="8" width="10.28125" style="0" bestFit="1" customWidth="1"/>
    <col min="9" max="9" width="10.7109375" style="0" bestFit="1" customWidth="1"/>
    <col min="10" max="10" width="3.57421875" style="0" customWidth="1"/>
    <col min="11" max="12" width="9.28125" style="0" bestFit="1" customWidth="1"/>
    <col min="13" max="13" width="10.421875" style="0" bestFit="1" customWidth="1"/>
    <col min="14" max="14" width="2.7109375" style="0" customWidth="1"/>
    <col min="15" max="15" width="10.421875" style="0" bestFit="1" customWidth="1"/>
    <col min="16" max="16" width="10.140625" style="0" bestFit="1" customWidth="1"/>
    <col min="17" max="17" width="10.28125" style="0" bestFit="1" customWidth="1"/>
    <col min="18" max="18" width="10.421875" style="0" bestFit="1" customWidth="1"/>
    <col min="19" max="19" width="4.00390625" style="0" customWidth="1"/>
    <col min="20" max="20" width="10.421875" style="0" bestFit="1" customWidth="1"/>
    <col min="21" max="21" width="4.00390625" style="0" customWidth="1"/>
    <col min="22" max="24" width="11.57421875" style="0" bestFit="1" customWidth="1"/>
    <col min="25" max="25" width="5.140625" style="0" customWidth="1"/>
    <col min="26" max="26" width="18.00390625" style="0" bestFit="1" customWidth="1"/>
    <col min="30" max="30" width="9.28125" style="89" bestFit="1" customWidth="1"/>
  </cols>
  <sheetData>
    <row r="1" s="11" customFormat="1" ht="12.75">
      <c r="AD1" s="89"/>
    </row>
    <row r="2" s="11" customFormat="1" ht="12.75">
      <c r="AD2" s="89"/>
    </row>
    <row r="3" spans="2:30" s="11" customFormat="1" ht="12.75">
      <c r="B3" s="554" t="s">
        <v>79</v>
      </c>
      <c r="C3" s="554"/>
      <c r="D3" s="554"/>
      <c r="E3" s="554"/>
      <c r="F3" s="554"/>
      <c r="G3" s="554"/>
      <c r="H3" s="554"/>
      <c r="I3" s="554"/>
      <c r="K3" s="554" t="s">
        <v>80</v>
      </c>
      <c r="L3" s="554"/>
      <c r="M3" s="554"/>
      <c r="N3" s="554"/>
      <c r="O3" s="554"/>
      <c r="P3" s="554"/>
      <c r="Q3" s="554"/>
      <c r="R3" s="554"/>
      <c r="AD3" s="89"/>
    </row>
    <row r="4" spans="2:30" s="11" customFormat="1" ht="12.75">
      <c r="B4" s="549" t="s">
        <v>81</v>
      </c>
      <c r="C4" s="549"/>
      <c r="D4" s="549"/>
      <c r="E4" s="90"/>
      <c r="F4" s="549" t="s">
        <v>120</v>
      </c>
      <c r="G4" s="549"/>
      <c r="H4" s="549"/>
      <c r="I4" s="549"/>
      <c r="K4" s="549" t="s">
        <v>81</v>
      </c>
      <c r="L4" s="549"/>
      <c r="M4" s="549"/>
      <c r="N4" s="90"/>
      <c r="O4" s="549" t="s">
        <v>120</v>
      </c>
      <c r="P4" s="549"/>
      <c r="Q4" s="549"/>
      <c r="R4" s="549"/>
      <c r="T4" s="240" t="s">
        <v>82</v>
      </c>
      <c r="AD4" s="89"/>
    </row>
    <row r="5" spans="1:30" s="11" customFormat="1" ht="15">
      <c r="A5" s="247" t="s">
        <v>50</v>
      </c>
      <c r="B5" s="91" t="s">
        <v>83</v>
      </c>
      <c r="C5" s="92" t="s">
        <v>84</v>
      </c>
      <c r="D5" s="92" t="s">
        <v>85</v>
      </c>
      <c r="E5" s="92"/>
      <c r="F5" s="92" t="s">
        <v>122</v>
      </c>
      <c r="G5" s="92" t="s">
        <v>123</v>
      </c>
      <c r="H5" s="92" t="s">
        <v>86</v>
      </c>
      <c r="I5" s="92" t="s">
        <v>85</v>
      </c>
      <c r="K5" s="91" t="s">
        <v>83</v>
      </c>
      <c r="L5" s="92" t="s">
        <v>84</v>
      </c>
      <c r="M5" s="92" t="s">
        <v>85</v>
      </c>
      <c r="N5" s="92"/>
      <c r="O5" s="92" t="s">
        <v>122</v>
      </c>
      <c r="P5" s="92" t="s">
        <v>123</v>
      </c>
      <c r="Q5" s="92" t="s">
        <v>86</v>
      </c>
      <c r="R5" s="92" t="s">
        <v>85</v>
      </c>
      <c r="T5" s="92" t="s">
        <v>85</v>
      </c>
      <c r="V5" s="92" t="s">
        <v>79</v>
      </c>
      <c r="W5" s="247" t="s">
        <v>87</v>
      </c>
      <c r="X5" s="247" t="s">
        <v>85</v>
      </c>
      <c r="AD5" s="93" t="s">
        <v>88</v>
      </c>
    </row>
    <row r="6" spans="1:30" s="11" customFormat="1" ht="12.75">
      <c r="A6" s="11" t="s">
        <v>144</v>
      </c>
      <c r="B6" s="251">
        <v>6364</v>
      </c>
      <c r="C6" s="251">
        <v>10920</v>
      </c>
      <c r="D6" s="251">
        <f aca="true" t="shared" si="0" ref="D6:D29">SUM(B6:C6)</f>
        <v>17284</v>
      </c>
      <c r="E6" s="251"/>
      <c r="F6" s="251">
        <v>20858</v>
      </c>
      <c r="G6" s="251">
        <v>62284</v>
      </c>
      <c r="H6" s="251">
        <v>34827</v>
      </c>
      <c r="I6" s="251">
        <f aca="true" t="shared" si="1" ref="I6:I29">SUM(F6:H6)</f>
        <v>117969</v>
      </c>
      <c r="J6" s="251"/>
      <c r="K6" s="251">
        <v>34166</v>
      </c>
      <c r="L6" s="251">
        <v>6107</v>
      </c>
      <c r="M6" s="251">
        <f aca="true" t="shared" si="2" ref="M6:M29">SUM(K6:L6)</f>
        <v>40273</v>
      </c>
      <c r="N6" s="251"/>
      <c r="O6" s="251">
        <v>42833</v>
      </c>
      <c r="P6" s="251">
        <v>15397</v>
      </c>
      <c r="Q6" s="251">
        <v>18220</v>
      </c>
      <c r="R6" s="251">
        <f aca="true" t="shared" si="3" ref="R6:R29">SUM(O6:Q6)</f>
        <v>76450</v>
      </c>
      <c r="T6" s="202">
        <f aca="true" t="shared" si="4" ref="T6:T29">+R6+M6+I6+D6</f>
        <v>251976</v>
      </c>
      <c r="V6" s="202">
        <f>+I6+D6</f>
        <v>135253</v>
      </c>
      <c r="W6" s="202">
        <f aca="true" t="shared" si="5" ref="W6:W28">+R6+M6</f>
        <v>116723</v>
      </c>
      <c r="X6" s="202">
        <f aca="true" t="shared" si="6" ref="X6:X28">+W6+V6</f>
        <v>251976</v>
      </c>
      <c r="Z6" s="202"/>
      <c r="AD6" s="95">
        <v>1665</v>
      </c>
    </row>
    <row r="7" spans="1:30" s="11" customFormat="1" ht="12.75">
      <c r="A7" s="11" t="s">
        <v>61</v>
      </c>
      <c r="B7" s="251">
        <v>6364</v>
      </c>
      <c r="C7" s="251">
        <v>10922</v>
      </c>
      <c r="D7" s="251">
        <f t="shared" si="0"/>
        <v>17286</v>
      </c>
      <c r="E7" s="251"/>
      <c r="F7" s="251">
        <v>20845</v>
      </c>
      <c r="G7" s="251">
        <v>62337</v>
      </c>
      <c r="H7" s="251">
        <v>34806</v>
      </c>
      <c r="I7" s="251">
        <f t="shared" si="1"/>
        <v>117988</v>
      </c>
      <c r="J7" s="251"/>
      <c r="K7" s="251">
        <v>34209</v>
      </c>
      <c r="L7" s="251">
        <v>6121</v>
      </c>
      <c r="M7" s="251">
        <f t="shared" si="2"/>
        <v>40330</v>
      </c>
      <c r="N7" s="251"/>
      <c r="O7" s="251">
        <v>42884</v>
      </c>
      <c r="P7" s="251">
        <v>15368</v>
      </c>
      <c r="Q7" s="251">
        <v>18203</v>
      </c>
      <c r="R7" s="251">
        <f t="shared" si="3"/>
        <v>76455</v>
      </c>
      <c r="T7" s="202">
        <f t="shared" si="4"/>
        <v>252059</v>
      </c>
      <c r="V7" s="202">
        <f aca="true" t="shared" si="7" ref="V7:V28">+I7+D7</f>
        <v>135274</v>
      </c>
      <c r="W7" s="202">
        <f t="shared" si="5"/>
        <v>116785</v>
      </c>
      <c r="X7" s="202">
        <f t="shared" si="6"/>
        <v>252059</v>
      </c>
      <c r="AA7" s="199"/>
      <c r="AB7" s="141"/>
      <c r="AD7" s="95">
        <v>1656</v>
      </c>
    </row>
    <row r="8" spans="1:30" s="11" customFormat="1" ht="12.75">
      <c r="A8" s="11" t="s">
        <v>78</v>
      </c>
      <c r="B8" s="251">
        <v>6357</v>
      </c>
      <c r="C8" s="251">
        <v>10920</v>
      </c>
      <c r="D8" s="251">
        <f t="shared" si="0"/>
        <v>17277</v>
      </c>
      <c r="E8" s="251"/>
      <c r="F8" s="251">
        <v>20830</v>
      </c>
      <c r="G8" s="251">
        <v>62348</v>
      </c>
      <c r="H8" s="251">
        <v>34771</v>
      </c>
      <c r="I8" s="251">
        <f t="shared" si="1"/>
        <v>117949</v>
      </c>
      <c r="J8" s="251"/>
      <c r="K8" s="251">
        <v>34217</v>
      </c>
      <c r="L8" s="251">
        <v>6118</v>
      </c>
      <c r="M8" s="251">
        <f t="shared" si="2"/>
        <v>40335</v>
      </c>
      <c r="N8" s="251"/>
      <c r="O8" s="251">
        <v>42915</v>
      </c>
      <c r="P8" s="251">
        <v>15342</v>
      </c>
      <c r="Q8" s="251">
        <v>18206</v>
      </c>
      <c r="R8" s="251">
        <f t="shared" si="3"/>
        <v>76463</v>
      </c>
      <c r="T8" s="202">
        <f t="shared" si="4"/>
        <v>252024</v>
      </c>
      <c r="V8" s="202">
        <f t="shared" si="7"/>
        <v>135226</v>
      </c>
      <c r="W8" s="202">
        <f t="shared" si="5"/>
        <v>116798</v>
      </c>
      <c r="X8" s="202">
        <f t="shared" si="6"/>
        <v>252024</v>
      </c>
      <c r="AA8" s="248"/>
      <c r="AB8" s="249"/>
      <c r="AD8" s="95">
        <v>1647</v>
      </c>
    </row>
    <row r="9" spans="1:30" s="11" customFormat="1" ht="12.75">
      <c r="A9" s="11" t="s">
        <v>145</v>
      </c>
      <c r="B9" s="251">
        <v>6361</v>
      </c>
      <c r="C9" s="251">
        <v>10932</v>
      </c>
      <c r="D9" s="251">
        <f t="shared" si="0"/>
        <v>17293</v>
      </c>
      <c r="E9" s="251"/>
      <c r="F9" s="251">
        <v>20794</v>
      </c>
      <c r="G9" s="251">
        <v>62391</v>
      </c>
      <c r="H9" s="251">
        <v>34821</v>
      </c>
      <c r="I9" s="251">
        <f t="shared" si="1"/>
        <v>118006</v>
      </c>
      <c r="J9" s="251"/>
      <c r="K9" s="251">
        <v>34223</v>
      </c>
      <c r="L9" s="251">
        <v>6143</v>
      </c>
      <c r="M9" s="251">
        <f t="shared" si="2"/>
        <v>40366</v>
      </c>
      <c r="N9" s="251"/>
      <c r="O9" s="251">
        <v>42953</v>
      </c>
      <c r="P9" s="251">
        <v>15249</v>
      </c>
      <c r="Q9" s="251">
        <v>18210</v>
      </c>
      <c r="R9" s="251">
        <f t="shared" si="3"/>
        <v>76412</v>
      </c>
      <c r="T9" s="202">
        <f t="shared" si="4"/>
        <v>252077</v>
      </c>
      <c r="V9" s="202">
        <f t="shared" si="7"/>
        <v>135299</v>
      </c>
      <c r="W9" s="202">
        <f t="shared" si="5"/>
        <v>116778</v>
      </c>
      <c r="X9" s="202">
        <f t="shared" si="6"/>
        <v>252077</v>
      </c>
      <c r="AA9" s="249"/>
      <c r="AB9" s="249"/>
      <c r="AD9" s="95">
        <v>1647</v>
      </c>
    </row>
    <row r="10" spans="1:30" s="11" customFormat="1" ht="12.75">
      <c r="A10" s="11" t="s">
        <v>89</v>
      </c>
      <c r="B10" s="251">
        <v>6373</v>
      </c>
      <c r="C10" s="251">
        <v>10935</v>
      </c>
      <c r="D10" s="251">
        <f t="shared" si="0"/>
        <v>17308</v>
      </c>
      <c r="E10" s="251"/>
      <c r="F10" s="251">
        <v>20793</v>
      </c>
      <c r="G10" s="251">
        <v>62441</v>
      </c>
      <c r="H10" s="251">
        <v>34885</v>
      </c>
      <c r="I10" s="251">
        <f t="shared" si="1"/>
        <v>118119</v>
      </c>
      <c r="J10" s="251"/>
      <c r="K10" s="251">
        <v>34248</v>
      </c>
      <c r="L10" s="251">
        <v>6134</v>
      </c>
      <c r="M10" s="251">
        <f t="shared" si="2"/>
        <v>40382</v>
      </c>
      <c r="N10" s="251"/>
      <c r="O10" s="251">
        <v>42989</v>
      </c>
      <c r="P10" s="251">
        <v>15244</v>
      </c>
      <c r="Q10" s="251">
        <v>18224</v>
      </c>
      <c r="R10" s="251">
        <f t="shared" si="3"/>
        <v>76457</v>
      </c>
      <c r="T10" s="202">
        <f t="shared" si="4"/>
        <v>252266</v>
      </c>
      <c r="V10" s="202">
        <f t="shared" si="7"/>
        <v>135427</v>
      </c>
      <c r="W10" s="202">
        <f t="shared" si="5"/>
        <v>116839</v>
      </c>
      <c r="X10" s="202">
        <f t="shared" si="6"/>
        <v>252266</v>
      </c>
      <c r="AA10" s="249"/>
      <c r="AB10" s="249"/>
      <c r="AD10" s="95">
        <v>1644</v>
      </c>
    </row>
    <row r="11" spans="1:30" s="11" customFormat="1" ht="12.75">
      <c r="A11" s="11" t="s">
        <v>90</v>
      </c>
      <c r="B11" s="251">
        <v>6387</v>
      </c>
      <c r="C11" s="251">
        <v>10977</v>
      </c>
      <c r="D11" s="251">
        <f t="shared" si="0"/>
        <v>17364</v>
      </c>
      <c r="E11" s="251"/>
      <c r="F11" s="251">
        <v>20846</v>
      </c>
      <c r="G11" s="251">
        <v>62614</v>
      </c>
      <c r="H11" s="251">
        <v>35018</v>
      </c>
      <c r="I11" s="251">
        <f t="shared" si="1"/>
        <v>118478</v>
      </c>
      <c r="J11" s="251"/>
      <c r="K11" s="251">
        <v>34292</v>
      </c>
      <c r="L11" s="251">
        <v>6145</v>
      </c>
      <c r="M11" s="251">
        <f t="shared" si="2"/>
        <v>40437</v>
      </c>
      <c r="N11" s="251"/>
      <c r="O11" s="251">
        <v>43007</v>
      </c>
      <c r="P11" s="251">
        <v>15251</v>
      </c>
      <c r="Q11" s="251">
        <v>18514</v>
      </c>
      <c r="R11" s="251">
        <f t="shared" si="3"/>
        <v>76772</v>
      </c>
      <c r="T11" s="202">
        <f t="shared" si="4"/>
        <v>253051</v>
      </c>
      <c r="V11" s="202">
        <f t="shared" si="7"/>
        <v>135842</v>
      </c>
      <c r="W11" s="202">
        <f t="shared" si="5"/>
        <v>117209</v>
      </c>
      <c r="X11" s="202">
        <f t="shared" si="6"/>
        <v>253051</v>
      </c>
      <c r="AA11" s="249"/>
      <c r="AB11" s="248"/>
      <c r="AD11" s="95">
        <v>1650</v>
      </c>
    </row>
    <row r="12" spans="1:30" s="11" customFormat="1" ht="12.75">
      <c r="A12" s="11" t="s">
        <v>91</v>
      </c>
      <c r="B12" s="251">
        <v>6415</v>
      </c>
      <c r="C12" s="251">
        <v>11011</v>
      </c>
      <c r="D12" s="251">
        <f t="shared" si="0"/>
        <v>17426</v>
      </c>
      <c r="E12" s="251"/>
      <c r="F12" s="251">
        <v>20940</v>
      </c>
      <c r="G12" s="251">
        <v>62838</v>
      </c>
      <c r="H12" s="251">
        <v>35140</v>
      </c>
      <c r="I12" s="251">
        <f t="shared" si="1"/>
        <v>118918</v>
      </c>
      <c r="J12" s="251"/>
      <c r="K12" s="251">
        <v>34351</v>
      </c>
      <c r="L12" s="251">
        <v>6172</v>
      </c>
      <c r="M12" s="251">
        <f t="shared" si="2"/>
        <v>40523</v>
      </c>
      <c r="N12" s="251"/>
      <c r="O12" s="251">
        <v>43263</v>
      </c>
      <c r="P12" s="251">
        <v>15298</v>
      </c>
      <c r="Q12" s="251">
        <v>18546</v>
      </c>
      <c r="R12" s="251">
        <f t="shared" si="3"/>
        <v>77107</v>
      </c>
      <c r="T12" s="202">
        <f t="shared" si="4"/>
        <v>253974</v>
      </c>
      <c r="V12" s="202">
        <f t="shared" si="7"/>
        <v>136344</v>
      </c>
      <c r="W12" s="202">
        <f t="shared" si="5"/>
        <v>117630</v>
      </c>
      <c r="X12" s="202">
        <f t="shared" si="6"/>
        <v>253974</v>
      </c>
      <c r="AA12" s="249"/>
      <c r="AB12" s="248"/>
      <c r="AD12" s="95">
        <v>1650</v>
      </c>
    </row>
    <row r="13" spans="1:30" s="11" customFormat="1" ht="12.75">
      <c r="A13" s="11" t="s">
        <v>66</v>
      </c>
      <c r="B13" s="251">
        <v>6452</v>
      </c>
      <c r="C13" s="251">
        <v>11030</v>
      </c>
      <c r="D13" s="251">
        <f t="shared" si="0"/>
        <v>17482</v>
      </c>
      <c r="E13" s="251"/>
      <c r="F13" s="251">
        <v>21026</v>
      </c>
      <c r="G13" s="251">
        <v>63072</v>
      </c>
      <c r="H13" s="251">
        <v>35283</v>
      </c>
      <c r="I13" s="251">
        <f t="shared" si="1"/>
        <v>119381</v>
      </c>
      <c r="J13" s="251"/>
      <c r="K13" s="251">
        <v>34411</v>
      </c>
      <c r="L13" s="251">
        <v>6203</v>
      </c>
      <c r="M13" s="251">
        <f t="shared" si="2"/>
        <v>40614</v>
      </c>
      <c r="N13" s="251"/>
      <c r="O13" s="251">
        <v>43348</v>
      </c>
      <c r="P13" s="251">
        <v>15341</v>
      </c>
      <c r="Q13" s="251">
        <v>18575</v>
      </c>
      <c r="R13" s="251">
        <f t="shared" si="3"/>
        <v>77264</v>
      </c>
      <c r="T13" s="202">
        <f t="shared" si="4"/>
        <v>254741</v>
      </c>
      <c r="V13" s="202">
        <f t="shared" si="7"/>
        <v>136863</v>
      </c>
      <c r="W13" s="202">
        <f t="shared" si="5"/>
        <v>117878</v>
      </c>
      <c r="X13" s="202">
        <f t="shared" si="6"/>
        <v>254741</v>
      </c>
      <c r="AA13" s="249"/>
      <c r="AB13" s="249"/>
      <c r="AD13" s="95">
        <v>1664</v>
      </c>
    </row>
    <row r="14" spans="1:30" s="11" customFormat="1" ht="12.75">
      <c r="A14" s="11" t="s">
        <v>73</v>
      </c>
      <c r="B14" s="249">
        <v>6472</v>
      </c>
      <c r="C14" s="249">
        <v>11056</v>
      </c>
      <c r="D14" s="251">
        <f t="shared" si="0"/>
        <v>17528</v>
      </c>
      <c r="E14" s="251"/>
      <c r="F14" s="249">
        <v>21060</v>
      </c>
      <c r="G14" s="249">
        <v>63132</v>
      </c>
      <c r="H14" s="249">
        <v>35398</v>
      </c>
      <c r="I14" s="251">
        <f t="shared" si="1"/>
        <v>119590</v>
      </c>
      <c r="J14" s="251"/>
      <c r="K14" s="249">
        <v>34395</v>
      </c>
      <c r="L14" s="249">
        <v>6191</v>
      </c>
      <c r="M14" s="251">
        <f t="shared" si="2"/>
        <v>40586</v>
      </c>
      <c r="N14" s="251"/>
      <c r="O14" s="249">
        <v>43382</v>
      </c>
      <c r="P14" s="249">
        <v>15410</v>
      </c>
      <c r="Q14" s="249">
        <v>18563</v>
      </c>
      <c r="R14" s="251">
        <f t="shared" si="3"/>
        <v>77355</v>
      </c>
      <c r="T14" s="202">
        <f t="shared" si="4"/>
        <v>255059</v>
      </c>
      <c r="V14" s="202">
        <f t="shared" si="7"/>
        <v>137118</v>
      </c>
      <c r="W14" s="202">
        <f t="shared" si="5"/>
        <v>117941</v>
      </c>
      <c r="X14" s="202">
        <f t="shared" si="6"/>
        <v>255059</v>
      </c>
      <c r="AD14" s="95">
        <v>1661</v>
      </c>
    </row>
    <row r="15" spans="1:30" s="11" customFormat="1" ht="12.75">
      <c r="A15" s="11" t="s">
        <v>74</v>
      </c>
      <c r="B15" s="251">
        <v>6552</v>
      </c>
      <c r="C15" s="251">
        <v>11057</v>
      </c>
      <c r="D15" s="251">
        <f t="shared" si="0"/>
        <v>17609</v>
      </c>
      <c r="E15" s="251"/>
      <c r="F15" s="251">
        <v>21091</v>
      </c>
      <c r="G15" s="251">
        <v>63236</v>
      </c>
      <c r="H15" s="251">
        <v>35535</v>
      </c>
      <c r="I15" s="251">
        <f t="shared" si="1"/>
        <v>119862</v>
      </c>
      <c r="J15" s="251"/>
      <c r="K15" s="251">
        <v>34380</v>
      </c>
      <c r="L15" s="249">
        <v>8256</v>
      </c>
      <c r="M15" s="251">
        <f t="shared" si="2"/>
        <v>42636</v>
      </c>
      <c r="N15" s="251"/>
      <c r="O15" s="251">
        <v>43427</v>
      </c>
      <c r="P15" s="251">
        <v>15415</v>
      </c>
      <c r="Q15" s="251">
        <v>18567</v>
      </c>
      <c r="R15" s="251">
        <f t="shared" si="3"/>
        <v>77409</v>
      </c>
      <c r="T15" s="202">
        <f t="shared" si="4"/>
        <v>257516</v>
      </c>
      <c r="V15" s="202">
        <f t="shared" si="7"/>
        <v>137471</v>
      </c>
      <c r="W15" s="202">
        <f t="shared" si="5"/>
        <v>120045</v>
      </c>
      <c r="X15" s="202">
        <f t="shared" si="6"/>
        <v>257516</v>
      </c>
      <c r="Z15" s="11" t="s">
        <v>152</v>
      </c>
      <c r="AD15" s="95">
        <v>1667</v>
      </c>
    </row>
    <row r="16" spans="1:30" s="11" customFormat="1" ht="12.75">
      <c r="A16" s="11" t="s">
        <v>75</v>
      </c>
      <c r="B16" s="251">
        <v>6568</v>
      </c>
      <c r="C16" s="249">
        <v>11075</v>
      </c>
      <c r="D16" s="251">
        <f t="shared" si="0"/>
        <v>17643</v>
      </c>
      <c r="E16" s="251"/>
      <c r="F16" s="249">
        <v>21146</v>
      </c>
      <c r="G16" s="249">
        <v>64072</v>
      </c>
      <c r="H16" s="249">
        <v>35637</v>
      </c>
      <c r="I16" s="251">
        <f t="shared" si="1"/>
        <v>120855</v>
      </c>
      <c r="J16" s="251"/>
      <c r="K16" s="249">
        <v>34395</v>
      </c>
      <c r="L16" s="249">
        <v>8265</v>
      </c>
      <c r="M16" s="251">
        <f t="shared" si="2"/>
        <v>42660</v>
      </c>
      <c r="N16" s="251"/>
      <c r="O16" s="249">
        <v>41778</v>
      </c>
      <c r="P16" s="249">
        <v>16570</v>
      </c>
      <c r="Q16" s="249">
        <v>18594</v>
      </c>
      <c r="R16" s="251">
        <f t="shared" si="3"/>
        <v>76942</v>
      </c>
      <c r="T16" s="202">
        <f t="shared" si="4"/>
        <v>258100</v>
      </c>
      <c r="V16" s="202">
        <f t="shared" si="7"/>
        <v>138498</v>
      </c>
      <c r="W16" s="202">
        <f t="shared" si="5"/>
        <v>119602</v>
      </c>
      <c r="X16" s="202">
        <f t="shared" si="6"/>
        <v>258100</v>
      </c>
      <c r="AD16" s="95">
        <v>1659</v>
      </c>
    </row>
    <row r="17" spans="1:30" s="11" customFormat="1" ht="12.75">
      <c r="A17" s="11" t="s">
        <v>76</v>
      </c>
      <c r="B17" s="251">
        <v>6575</v>
      </c>
      <c r="C17" s="251">
        <v>11072</v>
      </c>
      <c r="D17" s="251">
        <f t="shared" si="0"/>
        <v>17647</v>
      </c>
      <c r="E17" s="251"/>
      <c r="F17" s="251">
        <v>21143</v>
      </c>
      <c r="G17" s="251">
        <v>64116</v>
      </c>
      <c r="H17" s="251">
        <v>35615</v>
      </c>
      <c r="I17" s="251">
        <f t="shared" si="1"/>
        <v>120874</v>
      </c>
      <c r="J17" s="251"/>
      <c r="K17" s="251">
        <v>34400</v>
      </c>
      <c r="L17" s="251">
        <v>8247</v>
      </c>
      <c r="M17" s="251">
        <f t="shared" si="2"/>
        <v>42647</v>
      </c>
      <c r="N17" s="251"/>
      <c r="O17" s="251">
        <v>41843</v>
      </c>
      <c r="P17" s="251">
        <v>16538</v>
      </c>
      <c r="Q17" s="251">
        <v>18579</v>
      </c>
      <c r="R17" s="251">
        <f t="shared" si="3"/>
        <v>76960</v>
      </c>
      <c r="T17" s="202">
        <f t="shared" si="4"/>
        <v>258128</v>
      </c>
      <c r="V17" s="202">
        <f t="shared" si="7"/>
        <v>138521</v>
      </c>
      <c r="W17" s="202">
        <f t="shared" si="5"/>
        <v>119607</v>
      </c>
      <c r="X17" s="202">
        <f t="shared" si="6"/>
        <v>258128</v>
      </c>
      <c r="AD17" s="95">
        <v>1660</v>
      </c>
    </row>
    <row r="18" spans="1:30" s="11" customFormat="1" ht="12.75" hidden="1">
      <c r="A18" s="11" t="s">
        <v>60</v>
      </c>
      <c r="B18" s="251"/>
      <c r="C18" s="251"/>
      <c r="D18" s="251">
        <f t="shared" si="0"/>
        <v>0</v>
      </c>
      <c r="E18" s="251"/>
      <c r="F18" s="251"/>
      <c r="G18" s="251"/>
      <c r="H18" s="251"/>
      <c r="I18" s="251">
        <f t="shared" si="1"/>
        <v>0</v>
      </c>
      <c r="J18" s="251"/>
      <c r="K18" s="251"/>
      <c r="L18" s="251"/>
      <c r="M18" s="251">
        <f t="shared" si="2"/>
        <v>0</v>
      </c>
      <c r="N18" s="251"/>
      <c r="O18" s="251"/>
      <c r="P18" s="251"/>
      <c r="Q18" s="251"/>
      <c r="R18" s="251">
        <f t="shared" si="3"/>
        <v>0</v>
      </c>
      <c r="T18" s="202">
        <f t="shared" si="4"/>
        <v>0</v>
      </c>
      <c r="V18" s="202">
        <f t="shared" si="7"/>
        <v>0</v>
      </c>
      <c r="W18" s="202">
        <f t="shared" si="5"/>
        <v>0</v>
      </c>
      <c r="X18" s="202">
        <f t="shared" si="6"/>
        <v>0</v>
      </c>
      <c r="AD18" s="95"/>
    </row>
    <row r="19" spans="1:30" s="11" customFormat="1" ht="12.75" hidden="1">
      <c r="A19" s="11" t="s">
        <v>61</v>
      </c>
      <c r="B19" s="251"/>
      <c r="C19" s="251"/>
      <c r="D19" s="251">
        <f t="shared" si="0"/>
        <v>0</v>
      </c>
      <c r="E19" s="251"/>
      <c r="F19" s="251"/>
      <c r="G19" s="251"/>
      <c r="H19" s="251"/>
      <c r="I19" s="251">
        <f t="shared" si="1"/>
        <v>0</v>
      </c>
      <c r="J19" s="251"/>
      <c r="K19" s="251"/>
      <c r="L19" s="251"/>
      <c r="M19" s="251">
        <f t="shared" si="2"/>
        <v>0</v>
      </c>
      <c r="N19" s="251"/>
      <c r="O19" s="251"/>
      <c r="P19" s="251"/>
      <c r="Q19" s="251"/>
      <c r="R19" s="251">
        <f t="shared" si="3"/>
        <v>0</v>
      </c>
      <c r="T19" s="202">
        <f t="shared" si="4"/>
        <v>0</v>
      </c>
      <c r="V19" s="202">
        <f t="shared" si="7"/>
        <v>0</v>
      </c>
      <c r="W19" s="202">
        <f t="shared" si="5"/>
        <v>0</v>
      </c>
      <c r="X19" s="202">
        <f t="shared" si="6"/>
        <v>0</v>
      </c>
      <c r="AD19" s="95"/>
    </row>
    <row r="20" spans="1:30" s="11" customFormat="1" ht="15" hidden="1">
      <c r="A20" s="11" t="s">
        <v>78</v>
      </c>
      <c r="B20" s="251"/>
      <c r="C20" s="251"/>
      <c r="D20" s="251">
        <f t="shared" si="0"/>
        <v>0</v>
      </c>
      <c r="E20" s="252"/>
      <c r="F20" s="251"/>
      <c r="G20" s="251"/>
      <c r="H20" s="251"/>
      <c r="I20" s="251">
        <f t="shared" si="1"/>
        <v>0</v>
      </c>
      <c r="J20" s="252"/>
      <c r="K20" s="251"/>
      <c r="L20" s="251"/>
      <c r="M20" s="251">
        <f t="shared" si="2"/>
        <v>0</v>
      </c>
      <c r="N20" s="251"/>
      <c r="O20" s="251"/>
      <c r="P20" s="251"/>
      <c r="Q20" s="251"/>
      <c r="R20" s="251">
        <f t="shared" si="3"/>
        <v>0</v>
      </c>
      <c r="S20" s="210"/>
      <c r="T20" s="202">
        <f t="shared" si="4"/>
        <v>0</v>
      </c>
      <c r="V20" s="202">
        <f t="shared" si="7"/>
        <v>0</v>
      </c>
      <c r="W20" s="202">
        <f t="shared" si="5"/>
        <v>0</v>
      </c>
      <c r="X20" s="202">
        <f t="shared" si="6"/>
        <v>0</v>
      </c>
      <c r="AD20" s="95"/>
    </row>
    <row r="21" spans="1:30" s="11" customFormat="1" ht="15" hidden="1">
      <c r="A21" s="11" t="s">
        <v>146</v>
      </c>
      <c r="B21" s="251"/>
      <c r="C21" s="251"/>
      <c r="D21" s="251">
        <f t="shared" si="0"/>
        <v>0</v>
      </c>
      <c r="E21" s="252"/>
      <c r="F21" s="251"/>
      <c r="G21" s="251"/>
      <c r="H21" s="251"/>
      <c r="I21" s="251">
        <f t="shared" si="1"/>
        <v>0</v>
      </c>
      <c r="J21" s="252"/>
      <c r="K21" s="251"/>
      <c r="L21" s="251"/>
      <c r="M21" s="251">
        <f t="shared" si="2"/>
        <v>0</v>
      </c>
      <c r="N21" s="251"/>
      <c r="O21" s="251"/>
      <c r="P21" s="251"/>
      <c r="Q21" s="251"/>
      <c r="R21" s="251">
        <f t="shared" si="3"/>
        <v>0</v>
      </c>
      <c r="S21" s="210"/>
      <c r="T21" s="202">
        <f t="shared" si="4"/>
        <v>0</v>
      </c>
      <c r="V21" s="202">
        <f t="shared" si="7"/>
        <v>0</v>
      </c>
      <c r="W21" s="202">
        <f t="shared" si="5"/>
        <v>0</v>
      </c>
      <c r="X21" s="202">
        <f t="shared" si="6"/>
        <v>0</v>
      </c>
      <c r="AD21" s="95"/>
    </row>
    <row r="22" spans="1:30" s="11" customFormat="1" ht="15" hidden="1">
      <c r="A22" s="11" t="s">
        <v>89</v>
      </c>
      <c r="B22" s="251"/>
      <c r="C22" s="251"/>
      <c r="D22" s="251">
        <f t="shared" si="0"/>
        <v>0</v>
      </c>
      <c r="E22" s="252"/>
      <c r="F22" s="251"/>
      <c r="G22" s="251"/>
      <c r="H22" s="251"/>
      <c r="I22" s="251">
        <f t="shared" si="1"/>
        <v>0</v>
      </c>
      <c r="J22" s="252"/>
      <c r="K22" s="251"/>
      <c r="L22" s="251"/>
      <c r="M22" s="251">
        <f t="shared" si="2"/>
        <v>0</v>
      </c>
      <c r="N22" s="251"/>
      <c r="O22" s="251"/>
      <c r="P22" s="251"/>
      <c r="Q22" s="251"/>
      <c r="R22" s="251">
        <f t="shared" si="3"/>
        <v>0</v>
      </c>
      <c r="S22" s="210"/>
      <c r="T22" s="202">
        <f t="shared" si="4"/>
        <v>0</v>
      </c>
      <c r="V22" s="202">
        <f t="shared" si="7"/>
        <v>0</v>
      </c>
      <c r="W22" s="202">
        <f t="shared" si="5"/>
        <v>0</v>
      </c>
      <c r="X22" s="202">
        <f t="shared" si="6"/>
        <v>0</v>
      </c>
      <c r="AD22" s="95"/>
    </row>
    <row r="23" spans="1:30" s="11" customFormat="1" ht="12.75" hidden="1">
      <c r="A23" s="11" t="s">
        <v>90</v>
      </c>
      <c r="B23" s="251"/>
      <c r="C23" s="251"/>
      <c r="D23" s="251">
        <f t="shared" si="0"/>
        <v>0</v>
      </c>
      <c r="E23" s="251"/>
      <c r="F23" s="251"/>
      <c r="G23" s="251"/>
      <c r="H23" s="251"/>
      <c r="I23" s="251">
        <f t="shared" si="1"/>
        <v>0</v>
      </c>
      <c r="J23" s="251"/>
      <c r="K23" s="251"/>
      <c r="L23" s="251"/>
      <c r="M23" s="251">
        <f t="shared" si="2"/>
        <v>0</v>
      </c>
      <c r="N23" s="251"/>
      <c r="O23" s="251"/>
      <c r="P23" s="251"/>
      <c r="Q23" s="251"/>
      <c r="R23" s="251">
        <f t="shared" si="3"/>
        <v>0</v>
      </c>
      <c r="T23" s="202">
        <f t="shared" si="4"/>
        <v>0</v>
      </c>
      <c r="V23" s="202">
        <f t="shared" si="7"/>
        <v>0</v>
      </c>
      <c r="W23" s="202">
        <f t="shared" si="5"/>
        <v>0</v>
      </c>
      <c r="X23" s="202">
        <f t="shared" si="6"/>
        <v>0</v>
      </c>
      <c r="AD23" s="95"/>
    </row>
    <row r="24" spans="1:30" s="11" customFormat="1" ht="12.75" hidden="1">
      <c r="A24" s="11" t="s">
        <v>91</v>
      </c>
      <c r="B24" s="251"/>
      <c r="C24" s="251"/>
      <c r="D24" s="251">
        <f t="shared" si="0"/>
        <v>0</v>
      </c>
      <c r="E24" s="251"/>
      <c r="F24" s="251"/>
      <c r="G24" s="251"/>
      <c r="H24" s="251"/>
      <c r="I24" s="251">
        <f t="shared" si="1"/>
        <v>0</v>
      </c>
      <c r="J24" s="251"/>
      <c r="K24" s="251"/>
      <c r="L24" s="251"/>
      <c r="M24" s="251">
        <f t="shared" si="2"/>
        <v>0</v>
      </c>
      <c r="N24" s="251"/>
      <c r="O24" s="251"/>
      <c r="P24" s="251"/>
      <c r="Q24" s="251"/>
      <c r="R24" s="251">
        <f t="shared" si="3"/>
        <v>0</v>
      </c>
      <c r="T24" s="202">
        <f t="shared" si="4"/>
        <v>0</v>
      </c>
      <c r="V24" s="202">
        <f t="shared" si="7"/>
        <v>0</v>
      </c>
      <c r="W24" s="202">
        <f t="shared" si="5"/>
        <v>0</v>
      </c>
      <c r="X24" s="202">
        <f t="shared" si="6"/>
        <v>0</v>
      </c>
      <c r="AD24" s="95"/>
    </row>
    <row r="25" spans="1:30" s="11" customFormat="1" ht="12.75" hidden="1">
      <c r="A25" s="11" t="s">
        <v>66</v>
      </c>
      <c r="B25" s="251"/>
      <c r="C25" s="251"/>
      <c r="D25" s="251">
        <f t="shared" si="0"/>
        <v>0</v>
      </c>
      <c r="E25" s="251"/>
      <c r="F25" s="251"/>
      <c r="G25" s="251"/>
      <c r="H25" s="251"/>
      <c r="I25" s="251">
        <f t="shared" si="1"/>
        <v>0</v>
      </c>
      <c r="J25" s="251"/>
      <c r="K25" s="251"/>
      <c r="L25" s="251"/>
      <c r="M25" s="251">
        <f t="shared" si="2"/>
        <v>0</v>
      </c>
      <c r="N25" s="251"/>
      <c r="O25" s="251"/>
      <c r="P25" s="251"/>
      <c r="Q25" s="251"/>
      <c r="R25" s="251">
        <f t="shared" si="3"/>
        <v>0</v>
      </c>
      <c r="T25" s="202">
        <f t="shared" si="4"/>
        <v>0</v>
      </c>
      <c r="V25" s="202">
        <f t="shared" si="7"/>
        <v>0</v>
      </c>
      <c r="W25" s="202">
        <f t="shared" si="5"/>
        <v>0</v>
      </c>
      <c r="X25" s="202">
        <f t="shared" si="6"/>
        <v>0</v>
      </c>
      <c r="AD25" s="95"/>
    </row>
    <row r="26" spans="1:30" s="11" customFormat="1" ht="12.75" hidden="1">
      <c r="A26" s="11" t="s">
        <v>73</v>
      </c>
      <c r="B26" s="251"/>
      <c r="C26" s="251"/>
      <c r="D26" s="251">
        <f t="shared" si="0"/>
        <v>0</v>
      </c>
      <c r="E26" s="251"/>
      <c r="F26" s="251"/>
      <c r="G26" s="251"/>
      <c r="H26" s="251"/>
      <c r="I26" s="251">
        <f t="shared" si="1"/>
        <v>0</v>
      </c>
      <c r="J26" s="251"/>
      <c r="K26" s="251"/>
      <c r="L26" s="251"/>
      <c r="M26" s="251">
        <f t="shared" si="2"/>
        <v>0</v>
      </c>
      <c r="N26" s="251"/>
      <c r="O26" s="251"/>
      <c r="P26" s="251"/>
      <c r="Q26" s="251"/>
      <c r="R26" s="251">
        <f t="shared" si="3"/>
        <v>0</v>
      </c>
      <c r="T26" s="202">
        <f t="shared" si="4"/>
        <v>0</v>
      </c>
      <c r="V26" s="202">
        <f t="shared" si="7"/>
        <v>0</v>
      </c>
      <c r="W26" s="202">
        <f t="shared" si="5"/>
        <v>0</v>
      </c>
      <c r="X26" s="202">
        <f t="shared" si="6"/>
        <v>0</v>
      </c>
      <c r="AD26" s="95"/>
    </row>
    <row r="27" spans="1:30" s="11" customFormat="1" ht="12.75" hidden="1">
      <c r="A27" s="11" t="s">
        <v>74</v>
      </c>
      <c r="B27" s="251"/>
      <c r="C27" s="251"/>
      <c r="D27" s="251">
        <f t="shared" si="0"/>
        <v>0</v>
      </c>
      <c r="E27" s="251"/>
      <c r="F27" s="251"/>
      <c r="G27" s="251"/>
      <c r="H27" s="251"/>
      <c r="I27" s="251">
        <f t="shared" si="1"/>
        <v>0</v>
      </c>
      <c r="J27" s="251"/>
      <c r="K27" s="251"/>
      <c r="L27" s="251"/>
      <c r="M27" s="251">
        <f t="shared" si="2"/>
        <v>0</v>
      </c>
      <c r="N27" s="251"/>
      <c r="O27" s="251"/>
      <c r="P27" s="251"/>
      <c r="Q27" s="251"/>
      <c r="R27" s="251">
        <f t="shared" si="3"/>
        <v>0</v>
      </c>
      <c r="T27" s="202">
        <f t="shared" si="4"/>
        <v>0</v>
      </c>
      <c r="V27" s="202">
        <f t="shared" si="7"/>
        <v>0</v>
      </c>
      <c r="W27" s="202">
        <f t="shared" si="5"/>
        <v>0</v>
      </c>
      <c r="X27" s="202">
        <f t="shared" si="6"/>
        <v>0</v>
      </c>
      <c r="AD27" s="95"/>
    </row>
    <row r="28" spans="1:30" s="11" customFormat="1" ht="12.75" hidden="1">
      <c r="A28" s="11" t="s">
        <v>75</v>
      </c>
      <c r="B28" s="251"/>
      <c r="C28" s="251"/>
      <c r="D28" s="251">
        <f t="shared" si="0"/>
        <v>0</v>
      </c>
      <c r="E28" s="251"/>
      <c r="F28" s="251"/>
      <c r="G28" s="251"/>
      <c r="H28" s="251"/>
      <c r="I28" s="251">
        <f t="shared" si="1"/>
        <v>0</v>
      </c>
      <c r="J28" s="251"/>
      <c r="K28" s="251"/>
      <c r="L28" s="251"/>
      <c r="M28" s="251">
        <f t="shared" si="2"/>
        <v>0</v>
      </c>
      <c r="N28" s="251"/>
      <c r="O28" s="251"/>
      <c r="P28" s="251"/>
      <c r="Q28" s="251"/>
      <c r="R28" s="251">
        <f t="shared" si="3"/>
        <v>0</v>
      </c>
      <c r="T28" s="202">
        <f t="shared" si="4"/>
        <v>0</v>
      </c>
      <c r="V28" s="202">
        <f t="shared" si="7"/>
        <v>0</v>
      </c>
      <c r="W28" s="202">
        <f t="shared" si="5"/>
        <v>0</v>
      </c>
      <c r="X28" s="202">
        <f t="shared" si="6"/>
        <v>0</v>
      </c>
      <c r="AD28" s="95"/>
    </row>
    <row r="29" spans="1:30" s="124" customFormat="1" ht="15" hidden="1">
      <c r="A29" s="11" t="s">
        <v>76</v>
      </c>
      <c r="B29" s="253"/>
      <c r="C29" s="253"/>
      <c r="D29" s="252">
        <f t="shared" si="0"/>
        <v>0</v>
      </c>
      <c r="E29" s="254"/>
      <c r="F29" s="253"/>
      <c r="G29" s="253"/>
      <c r="H29" s="253"/>
      <c r="I29" s="252">
        <f t="shared" si="1"/>
        <v>0</v>
      </c>
      <c r="J29" s="254"/>
      <c r="K29" s="253"/>
      <c r="L29" s="253"/>
      <c r="M29" s="252">
        <f t="shared" si="2"/>
        <v>0</v>
      </c>
      <c r="N29" s="254"/>
      <c r="O29" s="253"/>
      <c r="P29" s="253"/>
      <c r="Q29" s="253"/>
      <c r="R29" s="252">
        <f t="shared" si="3"/>
        <v>0</v>
      </c>
      <c r="S29" s="255"/>
      <c r="T29" s="256">
        <f t="shared" si="4"/>
        <v>0</v>
      </c>
      <c r="V29" s="256">
        <f>+I29+D29</f>
        <v>0</v>
      </c>
      <c r="W29" s="256">
        <f>+R29+M29</f>
        <v>0</v>
      </c>
      <c r="X29" s="256">
        <f>+W29+V29</f>
        <v>0</v>
      </c>
      <c r="AD29" s="96"/>
    </row>
    <row r="30" spans="1:30" s="11" customFormat="1" ht="15">
      <c r="A30" s="97"/>
      <c r="B30" s="98">
        <f>SUM(B6:B29)</f>
        <v>77240</v>
      </c>
      <c r="C30" s="98">
        <f aca="true" t="shared" si="8" ref="C30:T30">SUM(C6:C29)</f>
        <v>131907</v>
      </c>
      <c r="D30" s="98">
        <f t="shared" si="8"/>
        <v>209147</v>
      </c>
      <c r="E30" s="98"/>
      <c r="F30" s="98">
        <f t="shared" si="8"/>
        <v>251372</v>
      </c>
      <c r="G30" s="98">
        <f t="shared" si="8"/>
        <v>754881</v>
      </c>
      <c r="H30" s="98">
        <f t="shared" si="8"/>
        <v>421736</v>
      </c>
      <c r="I30" s="98">
        <f t="shared" si="8"/>
        <v>1427989</v>
      </c>
      <c r="J30" s="98"/>
      <c r="K30" s="98">
        <f t="shared" si="8"/>
        <v>411687</v>
      </c>
      <c r="L30" s="98">
        <f t="shared" si="8"/>
        <v>80102</v>
      </c>
      <c r="M30" s="98">
        <f t="shared" si="8"/>
        <v>491789</v>
      </c>
      <c r="N30" s="98"/>
      <c r="O30" s="98">
        <f t="shared" si="8"/>
        <v>514622</v>
      </c>
      <c r="P30" s="98">
        <f t="shared" si="8"/>
        <v>186423</v>
      </c>
      <c r="Q30" s="98">
        <f t="shared" si="8"/>
        <v>221001</v>
      </c>
      <c r="R30" s="98">
        <f t="shared" si="8"/>
        <v>922046</v>
      </c>
      <c r="S30" s="98"/>
      <c r="T30" s="98">
        <f t="shared" si="8"/>
        <v>3050971</v>
      </c>
      <c r="V30" s="219">
        <f>SUM(V6:V29)</f>
        <v>1637136</v>
      </c>
      <c r="W30" s="219">
        <f>SUM(W6:W29)</f>
        <v>1413835</v>
      </c>
      <c r="X30" s="219">
        <f>SUM(X6:X29)</f>
        <v>3050971</v>
      </c>
      <c r="AD30" s="89"/>
    </row>
    <row r="31" s="11" customFormat="1" ht="12.75">
      <c r="AD31" s="89"/>
    </row>
    <row r="32" spans="1:30" s="11" customFormat="1" ht="15">
      <c r="A32" s="1" t="s">
        <v>57</v>
      </c>
      <c r="B32" s="219">
        <f>AVERAGE(B6:B29)</f>
        <v>6436.666666666667</v>
      </c>
      <c r="C32" s="219">
        <f aca="true" t="shared" si="9" ref="C32:Q32">AVERAGE(C6:C29)</f>
        <v>10992.25</v>
      </c>
      <c r="D32" s="219">
        <f>+C32+B32</f>
        <v>17428.916666666668</v>
      </c>
      <c r="E32" s="219"/>
      <c r="F32" s="219">
        <f t="shared" si="9"/>
        <v>20947.666666666668</v>
      </c>
      <c r="G32" s="219">
        <f t="shared" si="9"/>
        <v>62906.75</v>
      </c>
      <c r="H32" s="219">
        <f t="shared" si="9"/>
        <v>35144.666666666664</v>
      </c>
      <c r="I32" s="219">
        <f>+H32+G32+F32</f>
        <v>118999.08333333333</v>
      </c>
      <c r="J32" s="219"/>
      <c r="K32" s="219">
        <f t="shared" si="9"/>
        <v>34307.25</v>
      </c>
      <c r="L32" s="219">
        <f t="shared" si="9"/>
        <v>6675.166666666667</v>
      </c>
      <c r="M32" s="219">
        <f>+L32+K32</f>
        <v>40982.416666666664</v>
      </c>
      <c r="N32" s="219"/>
      <c r="O32" s="219">
        <f t="shared" si="9"/>
        <v>42885.166666666664</v>
      </c>
      <c r="P32" s="219">
        <f t="shared" si="9"/>
        <v>15535.25</v>
      </c>
      <c r="Q32" s="219">
        <f t="shared" si="9"/>
        <v>18416.75</v>
      </c>
      <c r="R32" s="219">
        <f>+Q32+P32+O32</f>
        <v>76837.16666666666</v>
      </c>
      <c r="S32" s="219"/>
      <c r="T32" s="110">
        <f>+R32+M32+I32+D32</f>
        <v>254247.58333333328</v>
      </c>
      <c r="V32" s="110">
        <f>+I32+D32</f>
        <v>136428</v>
      </c>
      <c r="W32" s="110">
        <f>+R32+M32</f>
        <v>117819.58333333331</v>
      </c>
      <c r="X32" s="110">
        <f>+W32+V32</f>
        <v>254247.5833333333</v>
      </c>
      <c r="AD32" s="89"/>
    </row>
    <row r="33" spans="2:30" s="11" customFormat="1" ht="12.75">
      <c r="B33" s="205"/>
      <c r="C33" s="205"/>
      <c r="D33" s="205"/>
      <c r="E33" s="205"/>
      <c r="F33" s="205"/>
      <c r="AD33" s="89"/>
    </row>
    <row r="34" spans="2:30" s="11" customFormat="1" ht="12.75">
      <c r="B34" s="205"/>
      <c r="F34" s="257"/>
      <c r="AD34" s="89"/>
    </row>
    <row r="35" spans="1:30" s="11" customFormat="1" ht="12.75">
      <c r="A35" s="125"/>
      <c r="AD35" s="89"/>
    </row>
    <row r="36" spans="1:30" s="11" customFormat="1" ht="12.75">
      <c r="A36" s="115"/>
      <c r="I36" s="258"/>
      <c r="AD36" s="89"/>
    </row>
    <row r="37" spans="1:30" s="11" customFormat="1" ht="15">
      <c r="A37" s="115"/>
      <c r="I37" s="259"/>
      <c r="AD37" s="89"/>
    </row>
    <row r="38" spans="1:30" s="11" customFormat="1" ht="15">
      <c r="A38" s="115"/>
      <c r="F38" s="202"/>
      <c r="I38" s="219"/>
      <c r="AD38" s="89"/>
    </row>
    <row r="39" spans="1:30" s="11" customFormat="1" ht="12.75">
      <c r="A39" s="125"/>
      <c r="F39" s="202"/>
      <c r="AD39" s="89"/>
    </row>
    <row r="40" spans="1:30" s="11" customFormat="1" ht="12.75">
      <c r="A40" s="115"/>
      <c r="I40" s="260"/>
      <c r="AD40" s="89"/>
    </row>
    <row r="41" spans="1:30" s="11" customFormat="1" ht="15">
      <c r="A41" s="115"/>
      <c r="I41" s="261"/>
      <c r="AD41" s="89"/>
    </row>
    <row r="42" spans="9:30" s="11" customFormat="1" ht="15">
      <c r="I42" s="219"/>
      <c r="L42" s="250"/>
      <c r="AD42" s="89"/>
    </row>
    <row r="43" spans="12:17" ht="12.75">
      <c r="L43" s="136"/>
      <c r="O43" s="129"/>
      <c r="P43" s="129"/>
      <c r="Q43" s="129"/>
    </row>
    <row r="44" spans="12:17" ht="12.75">
      <c r="L44" s="136"/>
      <c r="O44" s="129"/>
      <c r="P44" s="129"/>
      <c r="Q44" s="129"/>
    </row>
    <row r="45" spans="12:17" ht="12.75">
      <c r="L45" s="136"/>
      <c r="O45" s="129"/>
      <c r="P45" s="129"/>
      <c r="Q45" s="129"/>
    </row>
    <row r="46" spans="12:17" ht="12.75">
      <c r="L46" s="136"/>
      <c r="O46" s="129"/>
      <c r="P46" s="129"/>
      <c r="Q46" s="129"/>
    </row>
    <row r="47" spans="12:17" ht="12.75">
      <c r="L47" s="137"/>
      <c r="O47" s="129"/>
      <c r="P47" s="129"/>
      <c r="Q47" s="129"/>
    </row>
  </sheetData>
  <sheetProtection/>
  <mergeCells count="6">
    <mergeCell ref="B3:I3"/>
    <mergeCell ref="K3:R3"/>
    <mergeCell ref="B4:D4"/>
    <mergeCell ref="F4:I4"/>
    <mergeCell ref="K4:M4"/>
    <mergeCell ref="O4:R4"/>
  </mergeCells>
  <printOptions/>
  <pageMargins left="0.2" right="0.2" top="0.75" bottom="0.75" header="0.3" footer="0.3"/>
  <pageSetup fitToHeight="1" fitToWidth="1" horizontalDpi="600" verticalDpi="600" orientation="landscape" scale="61" r:id="rId1"/>
</worksheet>
</file>

<file path=xl/worksheets/sheet7.xml><?xml version="1.0" encoding="utf-8"?>
<worksheet xmlns="http://schemas.openxmlformats.org/spreadsheetml/2006/main" xmlns:r="http://schemas.openxmlformats.org/officeDocument/2006/relationships">
  <dimension ref="A1:AE82"/>
  <sheetViews>
    <sheetView zoomScalePageLayoutView="0" workbookViewId="0" topLeftCell="A17">
      <selection activeCell="B20" sqref="B20"/>
    </sheetView>
  </sheetViews>
  <sheetFormatPr defaultColWidth="12.57421875" defaultRowHeight="12.75"/>
  <cols>
    <col min="1" max="1" width="28.7109375" style="315" customWidth="1"/>
    <col min="2" max="2" width="14.7109375" style="315" customWidth="1"/>
    <col min="3" max="3" width="11.28125" style="315" bestFit="1" customWidth="1"/>
    <col min="4" max="4" width="10.421875" style="315" bestFit="1" customWidth="1"/>
    <col min="5" max="5" width="11.8515625" style="315" hidden="1" customWidth="1"/>
    <col min="6" max="6" width="11.28125" style="315" hidden="1" customWidth="1"/>
    <col min="7" max="7" width="14.8515625" style="315" hidden="1" customWidth="1"/>
    <col min="8" max="8" width="11.28125" style="315" hidden="1" customWidth="1"/>
    <col min="9" max="11" width="11.8515625" style="315" hidden="1" customWidth="1"/>
    <col min="12" max="12" width="11.28125" style="315" hidden="1" customWidth="1"/>
    <col min="13" max="13" width="11.8515625" style="315" hidden="1" customWidth="1"/>
    <col min="14" max="14" width="12.00390625" style="315" hidden="1" customWidth="1"/>
    <col min="15" max="17" width="12.8515625" style="315" bestFit="1" customWidth="1"/>
    <col min="18" max="18" width="11.8515625" style="315" customWidth="1"/>
    <col min="19" max="20" width="14.57421875" style="315" bestFit="1" customWidth="1"/>
    <col min="21" max="21" width="15.7109375" style="315" customWidth="1"/>
    <col min="22" max="23" width="12.28125" style="315" customWidth="1"/>
    <col min="24" max="24" width="12.8515625" style="315" bestFit="1" customWidth="1"/>
    <col min="25" max="25" width="12.8515625" style="315" customWidth="1"/>
    <col min="26" max="26" width="12.28125" style="315" customWidth="1"/>
    <col min="27" max="27" width="12.8515625" style="315" bestFit="1" customWidth="1"/>
    <col min="28" max="28" width="2.7109375" style="315" customWidth="1"/>
    <col min="29" max="29" width="11.8515625" style="315" bestFit="1" customWidth="1"/>
    <col min="30" max="30" width="12.57421875" style="315" customWidth="1"/>
    <col min="31" max="31" width="13.421875" style="315" bestFit="1" customWidth="1"/>
    <col min="32" max="16384" width="12.57421875" style="315" customWidth="1"/>
  </cols>
  <sheetData>
    <row r="1" spans="1:28" ht="12.75">
      <c r="A1" s="312" t="s">
        <v>180</v>
      </c>
      <c r="B1" s="313"/>
      <c r="C1" s="313"/>
      <c r="D1" s="314"/>
      <c r="AB1" s="316"/>
    </row>
    <row r="2" spans="1:28" ht="12.75">
      <c r="A2" s="317" t="s">
        <v>181</v>
      </c>
      <c r="B2" s="318"/>
      <c r="C2" s="318"/>
      <c r="D2" s="319"/>
      <c r="AB2" s="316"/>
    </row>
    <row r="3" spans="1:28" ht="12.75">
      <c r="A3" s="320" t="s">
        <v>182</v>
      </c>
      <c r="B3" s="321"/>
      <c r="C3" s="321"/>
      <c r="D3" s="322"/>
      <c r="AB3" s="316"/>
    </row>
    <row r="4" ht="16.5" customHeight="1" thickBot="1">
      <c r="AB4" s="316"/>
    </row>
    <row r="5" spans="1:28" ht="12.75">
      <c r="A5" s="526"/>
      <c r="B5" s="329"/>
      <c r="C5" s="483"/>
      <c r="D5" s="483"/>
      <c r="T5" s="325"/>
      <c r="U5" s="326"/>
      <c r="V5" s="327" t="s">
        <v>184</v>
      </c>
      <c r="W5" s="328"/>
      <c r="X5" s="329"/>
      <c r="Y5" s="329"/>
      <c r="Z5" s="329"/>
      <c r="AB5" s="316"/>
    </row>
    <row r="6" spans="1:28" ht="12.75">
      <c r="A6" s="329"/>
      <c r="B6" s="329"/>
      <c r="C6" s="527"/>
      <c r="D6" s="342"/>
      <c r="T6" s="332"/>
      <c r="U6" s="333"/>
      <c r="V6" s="334" t="s">
        <v>185</v>
      </c>
      <c r="W6" s="335" t="s">
        <v>186</v>
      </c>
      <c r="X6" s="336"/>
      <c r="Y6" s="336"/>
      <c r="Z6" s="336"/>
      <c r="AB6" s="316"/>
    </row>
    <row r="7" spans="1:28" ht="12.75">
      <c r="A7" s="329"/>
      <c r="B7" s="329"/>
      <c r="C7" s="342"/>
      <c r="D7" s="342"/>
      <c r="T7" s="337"/>
      <c r="U7" s="338" t="s">
        <v>187</v>
      </c>
      <c r="V7" s="339">
        <f aca="true" t="shared" si="0" ref="V7:V16">+W7*$V$17</f>
        <v>7126.511697407604</v>
      </c>
      <c r="W7" s="340">
        <f>+Composition!AY6</f>
        <v>0.25290422345048286</v>
      </c>
      <c r="X7" s="341"/>
      <c r="Y7" s="341"/>
      <c r="Z7" s="341"/>
      <c r="AB7" s="316"/>
    </row>
    <row r="8" spans="1:28" ht="12.75">
      <c r="A8" s="329"/>
      <c r="B8" s="329"/>
      <c r="C8" s="342"/>
      <c r="D8" s="342"/>
      <c r="T8" s="337"/>
      <c r="U8" s="338" t="s">
        <v>1</v>
      </c>
      <c r="V8" s="339">
        <f t="shared" si="0"/>
        <v>6830.608183695683</v>
      </c>
      <c r="W8" s="340">
        <f>+Composition!AY8</f>
        <v>0.2424032586686801</v>
      </c>
      <c r="X8" s="341"/>
      <c r="Y8" s="341"/>
      <c r="Z8" s="341"/>
      <c r="AB8" s="316"/>
    </row>
    <row r="9" spans="1:28" ht="12.75">
      <c r="A9" s="333"/>
      <c r="B9" s="333"/>
      <c r="C9" s="430"/>
      <c r="D9" s="430"/>
      <c r="T9" s="337"/>
      <c r="U9" s="338" t="s">
        <v>188</v>
      </c>
      <c r="V9" s="339">
        <f t="shared" si="0"/>
        <v>3462.0253867422934</v>
      </c>
      <c r="W9" s="340">
        <f>+Composition!AY7</f>
        <v>0.12285966531401586</v>
      </c>
      <c r="X9" s="341"/>
      <c r="Y9" s="341"/>
      <c r="Z9" s="341"/>
      <c r="AB9" s="316"/>
    </row>
    <row r="10" spans="1:28" ht="12.75">
      <c r="A10" s="329"/>
      <c r="B10" s="329"/>
      <c r="C10" s="329"/>
      <c r="D10" s="329"/>
      <c r="T10" s="337"/>
      <c r="U10" s="338" t="s">
        <v>189</v>
      </c>
      <c r="V10" s="339">
        <f t="shared" si="0"/>
        <v>129.03283901995087</v>
      </c>
      <c r="W10" s="340">
        <f>+Composition!AY9</f>
        <v>0.004579091614179579</v>
      </c>
      <c r="X10" s="341"/>
      <c r="Y10" s="341"/>
      <c r="Z10" s="341"/>
      <c r="AB10" s="316"/>
    </row>
    <row r="11" spans="1:28" ht="12.75">
      <c r="A11" s="329"/>
      <c r="B11" s="329"/>
      <c r="C11" s="528"/>
      <c r="D11" s="342"/>
      <c r="K11" s="345"/>
      <c r="L11" s="345"/>
      <c r="M11" s="345"/>
      <c r="T11" s="337"/>
      <c r="U11" s="338" t="s">
        <v>190</v>
      </c>
      <c r="V11" s="339">
        <f t="shared" si="0"/>
        <v>305.4223540418396</v>
      </c>
      <c r="W11" s="340">
        <f>+Composition!AY10</f>
        <v>0.010838767485847004</v>
      </c>
      <c r="X11" s="341"/>
      <c r="Y11" s="341"/>
      <c r="Z11" s="341"/>
      <c r="AB11" s="316"/>
    </row>
    <row r="12" spans="1:28" ht="12.75">
      <c r="A12" s="526"/>
      <c r="B12" s="329"/>
      <c r="C12" s="329"/>
      <c r="D12" s="342"/>
      <c r="K12" s="345"/>
      <c r="L12" s="345"/>
      <c r="M12" s="345"/>
      <c r="T12" s="337"/>
      <c r="U12" s="338" t="s">
        <v>191</v>
      </c>
      <c r="V12" s="339">
        <f t="shared" si="0"/>
        <v>5668.9860347505955</v>
      </c>
      <c r="W12" s="340">
        <f>+Composition!AY11</f>
        <v>0.2011798439048054</v>
      </c>
      <c r="X12" s="341"/>
      <c r="Y12" s="341"/>
      <c r="Z12" s="341"/>
      <c r="AB12" s="316"/>
    </row>
    <row r="13" spans="1:28" ht="12.75">
      <c r="A13" s="329"/>
      <c r="B13" s="329"/>
      <c r="C13" s="527"/>
      <c r="D13" s="342"/>
      <c r="K13" s="345"/>
      <c r="L13" s="345"/>
      <c r="M13" s="345"/>
      <c r="T13" s="337"/>
      <c r="U13" s="338" t="s">
        <v>192</v>
      </c>
      <c r="V13" s="339">
        <f t="shared" si="0"/>
        <v>305.683632254264</v>
      </c>
      <c r="W13" s="340">
        <f>+Composition!AY12</f>
        <v>0.010848039674853833</v>
      </c>
      <c r="X13" s="341"/>
      <c r="Y13" s="341"/>
      <c r="Z13" s="341"/>
      <c r="AB13" s="316"/>
    </row>
    <row r="14" spans="1:28" ht="12.75">
      <c r="A14" s="329"/>
      <c r="B14" s="329"/>
      <c r="C14" s="527"/>
      <c r="D14" s="342"/>
      <c r="E14" s="347"/>
      <c r="K14" s="345"/>
      <c r="L14" s="345"/>
      <c r="M14" s="345"/>
      <c r="T14" s="337"/>
      <c r="U14" s="338" t="s">
        <v>193</v>
      </c>
      <c r="V14" s="339">
        <f t="shared" si="0"/>
        <v>90.31615845159541</v>
      </c>
      <c r="W14" s="340">
        <f>+Composition!AY13</f>
        <v>0.0032051217886221177</v>
      </c>
      <c r="X14" s="341"/>
      <c r="Y14" s="341"/>
      <c r="Z14" s="341"/>
      <c r="AB14" s="316"/>
    </row>
    <row r="15" spans="1:28" s="318" customFormat="1" ht="12.75">
      <c r="A15" s="329"/>
      <c r="B15" s="329"/>
      <c r="C15" s="329"/>
      <c r="D15" s="342"/>
      <c r="J15" s="315"/>
      <c r="K15" s="345"/>
      <c r="L15" s="345"/>
      <c r="M15" s="348"/>
      <c r="T15" s="337"/>
      <c r="U15" s="338" t="s">
        <v>194</v>
      </c>
      <c r="V15" s="339">
        <f t="shared" si="0"/>
        <v>70.0581897769107</v>
      </c>
      <c r="W15" s="340">
        <f>+Composition!AY14</f>
        <v>0.0024862110432403274</v>
      </c>
      <c r="X15" s="341"/>
      <c r="Y15" s="341"/>
      <c r="Z15" s="341"/>
      <c r="AB15" s="349"/>
    </row>
    <row r="16" spans="1:28" ht="15">
      <c r="A16" s="333"/>
      <c r="B16" s="333"/>
      <c r="C16" s="430"/>
      <c r="D16" s="430"/>
      <c r="K16" s="345"/>
      <c r="L16" s="345"/>
      <c r="M16" s="345"/>
      <c r="T16" s="337"/>
      <c r="U16" s="338" t="s">
        <v>195</v>
      </c>
      <c r="V16" s="350">
        <f t="shared" si="0"/>
        <v>137.78862820676684</v>
      </c>
      <c r="W16" s="351">
        <f>+Composition!AY15</f>
        <v>0.004889815311692536</v>
      </c>
      <c r="X16" s="341"/>
      <c r="Y16" s="341"/>
      <c r="Z16" s="352"/>
      <c r="AB16" s="316"/>
    </row>
    <row r="17" spans="11:28" ht="15.75" thickBot="1">
      <c r="K17" s="345"/>
      <c r="L17" s="345"/>
      <c r="M17" s="345"/>
      <c r="N17" s="353"/>
      <c r="T17" s="354"/>
      <c r="U17" s="355"/>
      <c r="V17" s="356">
        <f>+'2018-2019 Recy. Tons &amp; Revenue'!G112</f>
        <v>28178.69784923909</v>
      </c>
      <c r="W17" s="357">
        <f>+V17/$V$17</f>
        <v>1</v>
      </c>
      <c r="X17" s="358"/>
      <c r="Y17" s="358"/>
      <c r="Z17" s="358"/>
      <c r="AB17" s="316"/>
    </row>
    <row r="18" spans="1:28" ht="14.25" thickBot="1" thickTop="1">
      <c r="A18" s="359"/>
      <c r="B18" s="359"/>
      <c r="C18" s="359"/>
      <c r="D18" s="359"/>
      <c r="E18" s="359"/>
      <c r="F18" s="360"/>
      <c r="G18" s="360"/>
      <c r="H18" s="361"/>
      <c r="I18" s="362"/>
      <c r="J18" s="359"/>
      <c r="K18" s="359"/>
      <c r="L18" s="359"/>
      <c r="M18" s="359"/>
      <c r="N18" s="359"/>
      <c r="O18" s="359"/>
      <c r="P18" s="359"/>
      <c r="Q18" s="359"/>
      <c r="R18" s="359"/>
      <c r="S18" s="359"/>
      <c r="T18" s="359"/>
      <c r="U18" s="359"/>
      <c r="V18" s="359"/>
      <c r="W18" s="359"/>
      <c r="X18" s="359"/>
      <c r="Y18" s="359"/>
      <c r="Z18" s="359"/>
      <c r="AA18" s="359"/>
      <c r="AB18" s="316"/>
    </row>
    <row r="19" spans="1:28" ht="14.25" thickBot="1" thickTop="1">
      <c r="A19" s="318" t="s">
        <v>196</v>
      </c>
      <c r="B19" s="363">
        <f>+D36</f>
        <v>98051.41666666667</v>
      </c>
      <c r="O19" s="555" t="s">
        <v>197</v>
      </c>
      <c r="P19" s="555"/>
      <c r="Q19" s="555"/>
      <c r="R19" s="555"/>
      <c r="AB19" s="316"/>
    </row>
    <row r="20" spans="1:28" ht="14.25" thickBot="1" thickTop="1">
      <c r="A20" s="318" t="s">
        <v>281</v>
      </c>
      <c r="B20" s="364">
        <f>ROUND((SUM(O30:P35))/(SUM(D30:D35)),2)</f>
        <v>0.73</v>
      </c>
      <c r="D20" s="365"/>
      <c r="O20" s="556" t="s">
        <v>198</v>
      </c>
      <c r="P20" s="556"/>
      <c r="Q20" s="556"/>
      <c r="R20" s="556"/>
      <c r="AB20" s="316"/>
    </row>
    <row r="21" spans="4:28" ht="13.5" thickTop="1">
      <c r="D21" s="365"/>
      <c r="Q21" s="365" t="s">
        <v>97</v>
      </c>
      <c r="T21" s="365" t="s">
        <v>280</v>
      </c>
      <c r="U21" s="365" t="s">
        <v>88</v>
      </c>
      <c r="V21" s="365" t="s">
        <v>183</v>
      </c>
      <c r="W21" s="365" t="s">
        <v>88</v>
      </c>
      <c r="X21" s="365" t="s">
        <v>199</v>
      </c>
      <c r="Y21" s="365"/>
      <c r="AB21" s="316"/>
    </row>
    <row r="22" spans="1:28" ht="12.75">
      <c r="A22" s="318"/>
      <c r="B22" s="365" t="s">
        <v>88</v>
      </c>
      <c r="C22" s="365" t="s">
        <v>183</v>
      </c>
      <c r="D22" s="365" t="s">
        <v>85</v>
      </c>
      <c r="O22" s="365" t="s">
        <v>88</v>
      </c>
      <c r="P22" s="365" t="s">
        <v>183</v>
      </c>
      <c r="Q22" s="365" t="s">
        <v>200</v>
      </c>
      <c r="R22" s="365" t="s">
        <v>201</v>
      </c>
      <c r="S22" s="366"/>
      <c r="T22" s="365" t="s">
        <v>202</v>
      </c>
      <c r="U22" s="365" t="s">
        <v>203</v>
      </c>
      <c r="V22" s="365" t="s">
        <v>203</v>
      </c>
      <c r="W22" s="365" t="s">
        <v>85</v>
      </c>
      <c r="X22" s="365" t="s">
        <v>85</v>
      </c>
      <c r="Y22" s="365"/>
      <c r="AB22" s="316"/>
    </row>
    <row r="23" spans="2:28" ht="12.75">
      <c r="B23" s="324" t="s">
        <v>99</v>
      </c>
      <c r="C23" s="324" t="s">
        <v>99</v>
      </c>
      <c r="D23" s="324" t="s">
        <v>99</v>
      </c>
      <c r="O23" s="324" t="s">
        <v>184</v>
      </c>
      <c r="P23" s="324" t="s">
        <v>184</v>
      </c>
      <c r="Q23" s="367" t="s">
        <v>283</v>
      </c>
      <c r="R23" s="324" t="s">
        <v>184</v>
      </c>
      <c r="S23" s="324" t="s">
        <v>204</v>
      </c>
      <c r="T23" s="324" t="s">
        <v>57</v>
      </c>
      <c r="U23" s="324" t="s">
        <v>205</v>
      </c>
      <c r="V23" s="324" t="s">
        <v>205</v>
      </c>
      <c r="W23" s="324" t="s">
        <v>206</v>
      </c>
      <c r="X23" s="324" t="s">
        <v>206</v>
      </c>
      <c r="Y23" s="324"/>
      <c r="AB23" s="316"/>
    </row>
    <row r="24" spans="1:28" ht="12.75">
      <c r="A24" s="368" t="s">
        <v>126</v>
      </c>
      <c r="B24" s="369">
        <f>+'Customer Counts'!AD6</f>
        <v>1665</v>
      </c>
      <c r="C24" s="368">
        <f>+D24-B24</f>
        <v>95446</v>
      </c>
      <c r="D24" s="370">
        <f>+'Customer Counts'!G6+'Customer Counts'!H6</f>
        <v>97111</v>
      </c>
      <c r="O24" s="371">
        <f>+B24/D24*'2018-2019 Recy. Tons &amp; Revenue'!O88</f>
        <v>1982.5604264477709</v>
      </c>
      <c r="P24" s="371">
        <f>+'2018-2019 Recy. Tons &amp; Revenue'!O88-O24</f>
        <v>113650.1276052456</v>
      </c>
      <c r="Q24" s="372">
        <f>-P24*$C$81</f>
        <v>-51142.55742236052</v>
      </c>
      <c r="R24" s="371">
        <f aca="true" t="shared" si="1" ref="R24:R35">+Q24+P24+O24</f>
        <v>64490.130609332846</v>
      </c>
      <c r="S24" s="331">
        <f aca="true" t="shared" si="2" ref="S24:S35">R24/D24</f>
        <v>0.6640867729642661</v>
      </c>
      <c r="T24" s="373">
        <f>ROUND((SUM($E$41:$Y$41)+R24)/(SUM($E$56:$Y$56)+D24),2)</f>
        <v>2.6</v>
      </c>
      <c r="U24" s="331">
        <v>-1.35</v>
      </c>
      <c r="V24" s="331">
        <v>-0.54</v>
      </c>
      <c r="W24" s="372">
        <f aca="true" t="shared" si="3" ref="W24:X35">+U24*B24</f>
        <v>-2247.75</v>
      </c>
      <c r="X24" s="372">
        <f t="shared" si="3"/>
        <v>-51540.840000000004</v>
      </c>
      <c r="Y24" s="372"/>
      <c r="AB24" s="316"/>
    </row>
    <row r="25" spans="1:28" ht="12.75">
      <c r="A25" s="368" t="s">
        <v>61</v>
      </c>
      <c r="B25" s="369">
        <f>+'Customer Counts'!AD7</f>
        <v>1656</v>
      </c>
      <c r="C25" s="368">
        <f aca="true" t="shared" si="4" ref="C25:C35">+D25-B25</f>
        <v>95487</v>
      </c>
      <c r="D25" s="370">
        <f>+'Customer Counts'!G7+'Customer Counts'!H7</f>
        <v>97143</v>
      </c>
      <c r="O25" s="371">
        <f>+B25/D25*'2018-2019 Recy. Tons &amp; Revenue'!O89</f>
        <v>2677.454888347759</v>
      </c>
      <c r="P25" s="371">
        <f>+'2018-2019 Recy. Tons &amp; Revenue'!O89-O25</f>
        <v>154385.3471761247</v>
      </c>
      <c r="Q25" s="372">
        <f>-P25*$C$81</f>
        <v>-69473.40622925611</v>
      </c>
      <c r="R25" s="371">
        <f t="shared" si="1"/>
        <v>87589.39583521633</v>
      </c>
      <c r="S25" s="331">
        <f t="shared" si="2"/>
        <v>0.9016542194004337</v>
      </c>
      <c r="T25" s="373">
        <f>ROUND((SUM($E$41:$Y$41)+R25+R24)/(SUM($E$56:$Y$56)+D25+D24),2)</f>
        <v>2.59</v>
      </c>
      <c r="U25" s="331">
        <f>+U24</f>
        <v>-1.35</v>
      </c>
      <c r="V25" s="331">
        <f>+V24</f>
        <v>-0.54</v>
      </c>
      <c r="W25" s="372">
        <f t="shared" si="3"/>
        <v>-2235.6000000000004</v>
      </c>
      <c r="X25" s="372">
        <f t="shared" si="3"/>
        <v>-51562.98</v>
      </c>
      <c r="Y25" s="372"/>
      <c r="AB25" s="316"/>
    </row>
    <row r="26" spans="1:28" ht="12.75">
      <c r="A26" s="368" t="s">
        <v>78</v>
      </c>
      <c r="B26" s="369">
        <f>+'Customer Counts'!AD8</f>
        <v>1647</v>
      </c>
      <c r="C26" s="368">
        <f t="shared" si="4"/>
        <v>95472</v>
      </c>
      <c r="D26" s="370">
        <f>+'Customer Counts'!G8+'Customer Counts'!H8</f>
        <v>97119</v>
      </c>
      <c r="O26" s="371">
        <f>+B26/D26*'2018-2019 Recy. Tons &amp; Revenue'!O90</f>
        <v>3389.148697743718</v>
      </c>
      <c r="P26" s="371">
        <f>+'2018-2019 Recy. Tons &amp; Revenue'!O90-O26</f>
        <v>196459.5048397014</v>
      </c>
      <c r="Q26" s="372">
        <f>-P26*$C$81</f>
        <v>-88406.77717786563</v>
      </c>
      <c r="R26" s="371">
        <f t="shared" si="1"/>
        <v>111441.87635957949</v>
      </c>
      <c r="S26" s="331">
        <f t="shared" si="2"/>
        <v>1.147477593051612</v>
      </c>
      <c r="T26" s="373">
        <f>ROUND((SUM($E$41:$Y$41)+R26+R25+R24)/(SUM($E$56:$Y$56)+D26+D25+D24),2)</f>
        <v>2.58</v>
      </c>
      <c r="U26" s="331">
        <f>+U25</f>
        <v>-1.35</v>
      </c>
      <c r="V26" s="331">
        <f>+V25</f>
        <v>-0.54</v>
      </c>
      <c r="W26" s="372">
        <f t="shared" si="3"/>
        <v>-2223.4500000000003</v>
      </c>
      <c r="X26" s="372">
        <f t="shared" si="3"/>
        <v>-51554.880000000005</v>
      </c>
      <c r="Y26" s="372"/>
      <c r="AB26" s="316"/>
    </row>
    <row r="27" spans="1:28" ht="12.75">
      <c r="A27" s="368" t="s">
        <v>127</v>
      </c>
      <c r="B27" s="369">
        <f>+'Customer Counts'!AD9</f>
        <v>1647</v>
      </c>
      <c r="C27" s="368">
        <f t="shared" si="4"/>
        <v>95565</v>
      </c>
      <c r="D27" s="370">
        <f>+'Customer Counts'!G9+'Customer Counts'!H9</f>
        <v>97212</v>
      </c>
      <c r="O27" s="371">
        <f>+B27/D27*'2018-2019 Recy. Tons &amp; Revenue'!O91</f>
        <v>2516.5595974968446</v>
      </c>
      <c r="P27" s="371">
        <f>+'2018-2019 Recy. Tons &amp; Revenue'!O91-O27</f>
        <v>146020.04731923857</v>
      </c>
      <c r="Q27" s="372">
        <f>-P27*$C$82</f>
        <v>-62058.52011067639</v>
      </c>
      <c r="R27" s="371">
        <f t="shared" si="1"/>
        <v>86478.08680605903</v>
      </c>
      <c r="S27" s="331">
        <f t="shared" si="2"/>
        <v>0.8895824261002657</v>
      </c>
      <c r="T27" s="373">
        <f>ROUND((SUM($E$41:$Y$41)+R27+R26+R25+R24)/(SUM($E$56:$Y$56)+D27+D26+D25+D24),2)</f>
        <v>2.57</v>
      </c>
      <c r="U27" s="331">
        <v>-2.72</v>
      </c>
      <c r="V27" s="331">
        <v>-1.9</v>
      </c>
      <c r="W27" s="372">
        <f t="shared" si="3"/>
        <v>-4479.84</v>
      </c>
      <c r="X27" s="372">
        <f t="shared" si="3"/>
        <v>-181573.5</v>
      </c>
      <c r="Y27" s="372"/>
      <c r="AB27" s="316"/>
    </row>
    <row r="28" spans="1:28" ht="12.75">
      <c r="A28" s="368" t="s">
        <v>89</v>
      </c>
      <c r="B28" s="369">
        <f>+'Customer Counts'!AD10</f>
        <v>1644</v>
      </c>
      <c r="C28" s="368">
        <f t="shared" si="4"/>
        <v>95682</v>
      </c>
      <c r="D28" s="370">
        <f>+'Customer Counts'!G10+'Customer Counts'!H10</f>
        <v>97326</v>
      </c>
      <c r="O28" s="371">
        <f>+B28/D28*'2018-2019 Recy. Tons &amp; Revenue'!O92</f>
        <v>1637.5253989296764</v>
      </c>
      <c r="P28" s="371">
        <f>+'2018-2019 Recy. Tons &amp; Revenue'!O92-O28</f>
        <v>95305.17349172097</v>
      </c>
      <c r="Q28" s="372">
        <f aca="true" t="shared" si="5" ref="Q28:Q35">-P28*$C$82</f>
        <v>-40504.69873398141</v>
      </c>
      <c r="R28" s="371">
        <f t="shared" si="1"/>
        <v>56438.00015666924</v>
      </c>
      <c r="S28" s="331">
        <f t="shared" si="2"/>
        <v>0.5798861574159961</v>
      </c>
      <c r="T28" s="373">
        <f>ROUND((SUM($E$41:$Y$41)+R28+R27+R26+R25+R24)/(SUM($E$56:$Y$56)+D28+D27+D26+D25+D24),2)</f>
        <v>2.56</v>
      </c>
      <c r="U28" s="331">
        <f aca="true" t="shared" si="6" ref="U28:V35">+U27</f>
        <v>-2.72</v>
      </c>
      <c r="V28" s="331">
        <f t="shared" si="6"/>
        <v>-1.9</v>
      </c>
      <c r="W28" s="372">
        <f t="shared" si="3"/>
        <v>-4471.68</v>
      </c>
      <c r="X28" s="372">
        <f t="shared" si="3"/>
        <v>-181795.8</v>
      </c>
      <c r="Y28" s="372"/>
      <c r="AB28" s="316"/>
    </row>
    <row r="29" spans="1:28" ht="12.75">
      <c r="A29" s="368" t="s">
        <v>90</v>
      </c>
      <c r="B29" s="369">
        <f>+'Customer Counts'!AD11</f>
        <v>1650</v>
      </c>
      <c r="C29" s="368">
        <f t="shared" si="4"/>
        <v>95982</v>
      </c>
      <c r="D29" s="370">
        <f>+'Customer Counts'!G11+'Customer Counts'!H11</f>
        <v>97632</v>
      </c>
      <c r="O29" s="371">
        <f>+B29/D29*'2018-2019 Recy. Tons &amp; Revenue'!O93</f>
        <v>1291.249121381454</v>
      </c>
      <c r="P29" s="371">
        <f>+'2018-2019 Recy. Tons &amp; Revenue'!O93-O29</f>
        <v>75113.13525359679</v>
      </c>
      <c r="Q29" s="372">
        <f t="shared" si="5"/>
        <v>-31923.082482778635</v>
      </c>
      <c r="R29" s="371">
        <f t="shared" si="1"/>
        <v>44481.30189219961</v>
      </c>
      <c r="S29" s="331">
        <f t="shared" si="2"/>
        <v>0.45560166638191996</v>
      </c>
      <c r="T29" s="373">
        <f>ROUND((SUM($E$41:$Y$41)+R29+R28+R27+R26+R25+R24)/(SUM($E$56:$Y$56)+D29+D28+D27+D26+D25+D24),2)</f>
        <v>2.55</v>
      </c>
      <c r="U29" s="331">
        <f t="shared" si="6"/>
        <v>-2.72</v>
      </c>
      <c r="V29" s="331">
        <f t="shared" si="6"/>
        <v>-1.9</v>
      </c>
      <c r="W29" s="372">
        <f t="shared" si="3"/>
        <v>-4488</v>
      </c>
      <c r="X29" s="372">
        <f t="shared" si="3"/>
        <v>-182365.8</v>
      </c>
      <c r="Y29" s="372"/>
      <c r="AB29" s="316"/>
    </row>
    <row r="30" spans="1:28" ht="12.75">
      <c r="A30" s="368" t="s">
        <v>91</v>
      </c>
      <c r="B30" s="369">
        <f>+'Customer Counts'!AD12</f>
        <v>1650</v>
      </c>
      <c r="C30" s="368">
        <f t="shared" si="4"/>
        <v>96328</v>
      </c>
      <c r="D30" s="370">
        <f>+'Customer Counts'!G12+'Customer Counts'!H12</f>
        <v>97978</v>
      </c>
      <c r="O30" s="371">
        <f>+B30/D30*'2018-2019 Recy. Tons &amp; Revenue'!O94</f>
        <v>1619.2102890396934</v>
      </c>
      <c r="P30" s="371">
        <f>+'2018-2019 Recy. Tons &amp; Revenue'!O94-O30</f>
        <v>94530.47801370642</v>
      </c>
      <c r="Q30" s="372">
        <f t="shared" si="5"/>
        <v>-40175.45315582523</v>
      </c>
      <c r="R30" s="371">
        <f t="shared" si="1"/>
        <v>55974.23514692089</v>
      </c>
      <c r="S30" s="331">
        <f t="shared" si="2"/>
        <v>0.5712939144187561</v>
      </c>
      <c r="T30" s="373">
        <f>ROUND((SUM($E$41:$Y$41)+R30+R29+R28+R27+R26+R25+R24)/(SUM($E$56:$Y$56)+D30+D29+D28+D27+D26+D25+D24),2)</f>
        <v>2.54</v>
      </c>
      <c r="U30" s="331">
        <f t="shared" si="6"/>
        <v>-2.72</v>
      </c>
      <c r="V30" s="331">
        <f t="shared" si="6"/>
        <v>-1.9</v>
      </c>
      <c r="W30" s="372">
        <f t="shared" si="3"/>
        <v>-4488</v>
      </c>
      <c r="X30" s="372">
        <f t="shared" si="3"/>
        <v>-183023.19999999998</v>
      </c>
      <c r="Y30" s="372"/>
      <c r="AB30" s="316"/>
    </row>
    <row r="31" spans="1:28" ht="12.75">
      <c r="A31" s="368" t="s">
        <v>66</v>
      </c>
      <c r="B31" s="369">
        <f>+'Customer Counts'!AD13</f>
        <v>1664</v>
      </c>
      <c r="C31" s="368">
        <f t="shared" si="4"/>
        <v>96691</v>
      </c>
      <c r="D31" s="370">
        <f>+'Customer Counts'!G13+'Customer Counts'!H13</f>
        <v>98355</v>
      </c>
      <c r="O31" s="371">
        <f>+B31/D31*'2018-2019 Recy. Tons &amp; Revenue'!O95</f>
        <v>1567.8245120406996</v>
      </c>
      <c r="P31" s="371">
        <f>+'2018-2019 Recy. Tons &amp; Revenue'!O95-O31</f>
        <v>91102.47589767266</v>
      </c>
      <c r="Q31" s="372">
        <f t="shared" si="5"/>
        <v>-38718.55225651088</v>
      </c>
      <c r="R31" s="371">
        <f t="shared" si="1"/>
        <v>53951.74815320248</v>
      </c>
      <c r="S31" s="331">
        <f t="shared" si="2"/>
        <v>0.5485409806639467</v>
      </c>
      <c r="T31" s="373">
        <f>ROUND((SUM($E$41:$Y$41)+R31+R30+R29+R28+R27+R26+R25+R24)/(SUM($E$56:$Y$56)+D31+D30+D29+D28+D27+D26+D25+D24),2)</f>
        <v>2.53</v>
      </c>
      <c r="U31" s="331">
        <f t="shared" si="6"/>
        <v>-2.72</v>
      </c>
      <c r="V31" s="331">
        <f t="shared" si="6"/>
        <v>-1.9</v>
      </c>
      <c r="W31" s="372">
        <f t="shared" si="3"/>
        <v>-4526.08</v>
      </c>
      <c r="X31" s="372">
        <f t="shared" si="3"/>
        <v>-183712.9</v>
      </c>
      <c r="Y31" s="372"/>
      <c r="AB31" s="316"/>
    </row>
    <row r="32" spans="1:28" ht="12.75">
      <c r="A32" s="368" t="s">
        <v>73</v>
      </c>
      <c r="B32" s="369">
        <f>+'Customer Counts'!AD14</f>
        <v>1661</v>
      </c>
      <c r="C32" s="368">
        <f t="shared" si="4"/>
        <v>96869</v>
      </c>
      <c r="D32" s="370">
        <f>+'Customer Counts'!G14+'Customer Counts'!H14</f>
        <v>98530</v>
      </c>
      <c r="O32" s="371">
        <f>+B32/D32*'2018-2019 Recy. Tons &amp; Revenue'!O96</f>
        <v>789.0424861271471</v>
      </c>
      <c r="P32" s="371">
        <f>+'2018-2019 Recy. Tons &amp; Revenue'!O96-O32</f>
        <v>46016.71076980771</v>
      </c>
      <c r="Q32" s="372">
        <f t="shared" si="5"/>
        <v>-19557.102077168274</v>
      </c>
      <c r="R32" s="371">
        <f t="shared" si="1"/>
        <v>27248.65117876658</v>
      </c>
      <c r="S32" s="331">
        <f t="shared" si="2"/>
        <v>0.27655182359450503</v>
      </c>
      <c r="T32" s="373">
        <f>ROUND((SUM($E$41:$Y$41)+R32+R31+R30+R29+R28+R27+R26+R25+R24)/(SUM($E$56:$Y$56)+D32+D31+D30+D29+D28+D27+D26+D25+D24),2)</f>
        <v>2.52</v>
      </c>
      <c r="U32" s="331">
        <f t="shared" si="6"/>
        <v>-2.72</v>
      </c>
      <c r="V32" s="331">
        <f t="shared" si="6"/>
        <v>-1.9</v>
      </c>
      <c r="W32" s="372">
        <f t="shared" si="3"/>
        <v>-4517.92</v>
      </c>
      <c r="X32" s="372">
        <f t="shared" si="3"/>
        <v>-184051.1</v>
      </c>
      <c r="Y32" s="372"/>
      <c r="AB32" s="316"/>
    </row>
    <row r="33" spans="1:28" ht="12.75">
      <c r="A33" s="368" t="s">
        <v>74</v>
      </c>
      <c r="B33" s="369">
        <f>+'Customer Counts'!AD15</f>
        <v>1667</v>
      </c>
      <c r="C33" s="368">
        <f t="shared" si="4"/>
        <v>97104</v>
      </c>
      <c r="D33" s="370">
        <f>+'Customer Counts'!G15+'Customer Counts'!H15</f>
        <v>98771</v>
      </c>
      <c r="O33" s="371">
        <f>+B33/D33*'2018-2019 Recy. Tons &amp; Revenue'!O97</f>
        <v>928.2028001142088</v>
      </c>
      <c r="P33" s="371">
        <f>+'2018-2019 Recy. Tons &amp; Revenue'!O97-O33</f>
        <v>54068.50911955017</v>
      </c>
      <c r="Q33" s="372">
        <f t="shared" si="5"/>
        <v>-22979.116375808822</v>
      </c>
      <c r="R33" s="371">
        <f t="shared" si="1"/>
        <v>32017.59554385556</v>
      </c>
      <c r="S33" s="331">
        <f t="shared" si="2"/>
        <v>0.3241598803682818</v>
      </c>
      <c r="T33" s="373">
        <f>ROUND((SUM($E$41:$Y$41)+R33+R32+R31+R30+R29+R28+R27+R26+R25+R24)/(SUM($E$56:$Y$56)+D33+D32+D31+D30+D29+D28+D27+D26+D25+D24),2)</f>
        <v>2.51</v>
      </c>
      <c r="U33" s="331">
        <f t="shared" si="6"/>
        <v>-2.72</v>
      </c>
      <c r="V33" s="331">
        <f t="shared" si="6"/>
        <v>-1.9</v>
      </c>
      <c r="W33" s="372">
        <f t="shared" si="3"/>
        <v>-4534.240000000001</v>
      </c>
      <c r="X33" s="372">
        <f t="shared" si="3"/>
        <v>-184497.6</v>
      </c>
      <c r="Y33" s="372"/>
      <c r="AB33" s="316"/>
    </row>
    <row r="34" spans="1:28" ht="12.75">
      <c r="A34" s="368" t="s">
        <v>75</v>
      </c>
      <c r="B34" s="369">
        <f>+'Customer Counts'!AD16</f>
        <v>1659</v>
      </c>
      <c r="C34" s="368">
        <f t="shared" si="4"/>
        <v>98050</v>
      </c>
      <c r="D34" s="370">
        <f>+'Customer Counts'!G16+'Customer Counts'!H16</f>
        <v>99709</v>
      </c>
      <c r="O34" s="371">
        <f>+B34/D34*'2018-2019 Recy. Tons &amp; Revenue'!O98</f>
        <v>1179.872376821073</v>
      </c>
      <c r="P34" s="371">
        <f>+'2018-2019 Recy. Tons &amp; Revenue'!O98-O34</f>
        <v>69732.6621743859</v>
      </c>
      <c r="Q34" s="372">
        <f t="shared" si="5"/>
        <v>-29636.381424114006</v>
      </c>
      <c r="R34" s="371">
        <f t="shared" si="1"/>
        <v>41276.15312709297</v>
      </c>
      <c r="S34" s="331">
        <f t="shared" si="2"/>
        <v>0.41396617283387627</v>
      </c>
      <c r="T34" s="373">
        <f>ROUND((SUM($E$41:$Y$41)+R34+R33+R32+R31+R30+R29+R28+R27+R26+R25+R24)/(SUM($E$56:$Y$56)+D34+D33+D32+D31+D30+D29+D28+D27+D26+D25+D24),2)</f>
        <v>2.5</v>
      </c>
      <c r="U34" s="331">
        <f t="shared" si="6"/>
        <v>-2.72</v>
      </c>
      <c r="V34" s="331">
        <f t="shared" si="6"/>
        <v>-1.9</v>
      </c>
      <c r="W34" s="372">
        <f t="shared" si="3"/>
        <v>-4512.4800000000005</v>
      </c>
      <c r="X34" s="372">
        <f t="shared" si="3"/>
        <v>-186295</v>
      </c>
      <c r="Y34" s="372"/>
      <c r="AB34" s="316"/>
    </row>
    <row r="35" spans="1:31" ht="15">
      <c r="A35" s="368" t="s">
        <v>76</v>
      </c>
      <c r="B35" s="482">
        <f>+'Customer Counts'!AD17</f>
        <v>1660</v>
      </c>
      <c r="C35" s="374">
        <f t="shared" si="4"/>
        <v>98071</v>
      </c>
      <c r="D35" s="375">
        <f>+'Customer Counts'!G17+'Customer Counts'!H17</f>
        <v>99731</v>
      </c>
      <c r="O35" s="376">
        <f>+B35/D35*'2018-2019 Recy. Tons &amp; Revenue'!O99</f>
        <v>1167.1155865372261</v>
      </c>
      <c r="P35" s="376">
        <f>+'2018-2019 Recy. Tons &amp; Revenue'!O99-O35</f>
        <v>68951.92330559777</v>
      </c>
      <c r="Q35" s="377">
        <f t="shared" si="5"/>
        <v>-29304.56740487905</v>
      </c>
      <c r="R35" s="376">
        <f t="shared" si="1"/>
        <v>40814.47148725594</v>
      </c>
      <c r="S35" s="331">
        <f t="shared" si="2"/>
        <v>0.4092455854975478</v>
      </c>
      <c r="T35" s="373">
        <f>ROUND((SUM($E$41:$Y$41)+R35+R34+R33+R32+R31+R30+R29+R28+R27+R26+R25+R24)/(SUM($E$56:$Y$56)+D35+D34+D33+D32+D31+D30+D29+D28+D27+D26+D25+D24),2)</f>
        <v>2.48</v>
      </c>
      <c r="U35" s="331">
        <f t="shared" si="6"/>
        <v>-2.72</v>
      </c>
      <c r="V35" s="331">
        <f t="shared" si="6"/>
        <v>-1.9</v>
      </c>
      <c r="W35" s="377">
        <f t="shared" si="3"/>
        <v>-4515.200000000001</v>
      </c>
      <c r="X35" s="377">
        <f t="shared" si="3"/>
        <v>-186334.9</v>
      </c>
      <c r="Y35" s="377"/>
      <c r="AB35" s="316"/>
      <c r="AE35" s="344">
        <f>+P36+'[1]NS(KC) Deferred Acct.'!P36+'[1]Sea_SS Deferred Acct.'!P36</f>
        <v>2353944.287786594</v>
      </c>
    </row>
    <row r="36" spans="1:28" ht="15">
      <c r="A36" s="378"/>
      <c r="B36" s="379">
        <f>AVERAGE(B24:B35)</f>
        <v>1655.8333333333333</v>
      </c>
      <c r="C36" s="379">
        <f>AVERAGE(C24:C35)</f>
        <v>96395.58333333333</v>
      </c>
      <c r="D36" s="379">
        <f>AVERAGE(D24:D35)</f>
        <v>98051.41666666667</v>
      </c>
      <c r="O36" s="380">
        <f>SUM(O24:O35)</f>
        <v>20745.766181027273</v>
      </c>
      <c r="P36" s="380">
        <f>SUM(P24:P35)</f>
        <v>1205336.0949663487</v>
      </c>
      <c r="Q36" s="381">
        <f>SUM(Q24:Q35)</f>
        <v>-523880.21485122497</v>
      </c>
      <c r="R36" s="381">
        <f>SUM(R24:R35)</f>
        <v>702201.646296151</v>
      </c>
      <c r="T36" s="318"/>
      <c r="U36" s="318"/>
      <c r="V36" s="382"/>
      <c r="W36" s="381">
        <f>SUM(W24:W35)</f>
        <v>-47240.240000000005</v>
      </c>
      <c r="X36" s="381">
        <f>SUM(X24:X35)</f>
        <v>-1808308.5</v>
      </c>
      <c r="Y36" s="381"/>
      <c r="AB36" s="316"/>
    </row>
    <row r="37" spans="1:28" ht="15.75" thickBot="1">
      <c r="A37" s="378"/>
      <c r="B37" s="383">
        <f>+B36/D36</f>
        <v>0.01688739836327369</v>
      </c>
      <c r="C37" s="383">
        <f>+C36/D36</f>
        <v>0.9831126016367262</v>
      </c>
      <c r="D37" s="379"/>
      <c r="E37" s="384"/>
      <c r="F37" s="384"/>
      <c r="G37" s="381"/>
      <c r="H37" s="381"/>
      <c r="J37" s="318"/>
      <c r="K37" s="318"/>
      <c r="L37" s="382"/>
      <c r="M37" s="381"/>
      <c r="N37" s="381"/>
      <c r="O37" s="381"/>
      <c r="P37" s="381"/>
      <c r="Q37" s="381"/>
      <c r="R37" s="385"/>
      <c r="S37" s="381"/>
      <c r="T37" s="381"/>
      <c r="U37" s="381"/>
      <c r="V37" s="381"/>
      <c r="W37" s="381"/>
      <c r="X37" s="381"/>
      <c r="Y37" s="381"/>
      <c r="Z37" s="381"/>
      <c r="AB37" s="316"/>
    </row>
    <row r="38" spans="1:28" ht="12.75">
      <c r="A38" s="359"/>
      <c r="B38" s="359"/>
      <c r="C38" s="359"/>
      <c r="D38" s="386"/>
      <c r="E38" s="387"/>
      <c r="F38" s="388"/>
      <c r="G38" s="387"/>
      <c r="H38" s="387"/>
      <c r="I38" s="387"/>
      <c r="J38" s="387"/>
      <c r="K38" s="387"/>
      <c r="L38" s="387"/>
      <c r="M38" s="387"/>
      <c r="N38" s="387"/>
      <c r="O38" s="387"/>
      <c r="P38" s="387"/>
      <c r="Q38" s="387"/>
      <c r="R38" s="387"/>
      <c r="S38" s="387"/>
      <c r="T38" s="387"/>
      <c r="U38" s="387"/>
      <c r="V38" s="387"/>
      <c r="W38" s="387"/>
      <c r="X38" s="387"/>
      <c r="Y38" s="387"/>
      <c r="Z38" s="387"/>
      <c r="AA38" s="389"/>
      <c r="AB38" s="316"/>
    </row>
    <row r="39" spans="4:30" s="390" customFormat="1" ht="12.75">
      <c r="D39" s="391" t="s">
        <v>207</v>
      </c>
      <c r="E39" s="392" t="s">
        <v>208</v>
      </c>
      <c r="F39" s="392" t="s">
        <v>209</v>
      </c>
      <c r="G39" s="392" t="s">
        <v>210</v>
      </c>
      <c r="H39" s="392" t="s">
        <v>211</v>
      </c>
      <c r="I39" s="392" t="s">
        <v>212</v>
      </c>
      <c r="J39" s="391" t="s">
        <v>213</v>
      </c>
      <c r="K39" s="391" t="s">
        <v>214</v>
      </c>
      <c r="L39" s="391" t="s">
        <v>215</v>
      </c>
      <c r="M39" s="391" t="s">
        <v>216</v>
      </c>
      <c r="N39" s="391" t="s">
        <v>217</v>
      </c>
      <c r="O39" s="391" t="s">
        <v>218</v>
      </c>
      <c r="P39" s="391" t="s">
        <v>219</v>
      </c>
      <c r="Q39" s="391" t="s">
        <v>220</v>
      </c>
      <c r="R39" s="391" t="s">
        <v>221</v>
      </c>
      <c r="S39" s="391" t="s">
        <v>222</v>
      </c>
      <c r="T39" s="391" t="s">
        <v>223</v>
      </c>
      <c r="U39" s="391" t="s">
        <v>224</v>
      </c>
      <c r="V39" s="391" t="s">
        <v>225</v>
      </c>
      <c r="W39" s="391" t="s">
        <v>226</v>
      </c>
      <c r="X39" s="391" t="s">
        <v>227</v>
      </c>
      <c r="Y39" s="391" t="s">
        <v>228</v>
      </c>
      <c r="Z39" s="391" t="s">
        <v>278</v>
      </c>
      <c r="AA39" s="393" t="s">
        <v>202</v>
      </c>
      <c r="AB39" s="394"/>
      <c r="AC39" s="315"/>
      <c r="AD39" s="315"/>
    </row>
    <row r="40" spans="1:28" ht="12.75">
      <c r="A40" s="333"/>
      <c r="B40" s="329"/>
      <c r="C40" s="395"/>
      <c r="D40" s="396" t="s">
        <v>229</v>
      </c>
      <c r="E40" s="397" t="s">
        <v>230</v>
      </c>
      <c r="F40" s="397" t="s">
        <v>231</v>
      </c>
      <c r="G40" s="397" t="s">
        <v>232</v>
      </c>
      <c r="H40" s="397" t="s">
        <v>233</v>
      </c>
      <c r="I40" s="397" t="s">
        <v>234</v>
      </c>
      <c r="J40" s="397" t="s">
        <v>235</v>
      </c>
      <c r="K40" s="397" t="s">
        <v>236</v>
      </c>
      <c r="L40" s="397" t="s">
        <v>237</v>
      </c>
      <c r="M40" s="397" t="s">
        <v>238</v>
      </c>
      <c r="N40" s="397" t="s">
        <v>239</v>
      </c>
      <c r="O40" s="397" t="s">
        <v>240</v>
      </c>
      <c r="P40" s="397" t="s">
        <v>241</v>
      </c>
      <c r="Q40" s="397" t="s">
        <v>242</v>
      </c>
      <c r="R40" s="397" t="s">
        <v>243</v>
      </c>
      <c r="S40" s="397" t="s">
        <v>244</v>
      </c>
      <c r="T40" s="397" t="s">
        <v>245</v>
      </c>
      <c r="U40" s="397" t="s">
        <v>246</v>
      </c>
      <c r="V40" s="397" t="s">
        <v>247</v>
      </c>
      <c r="W40" s="397" t="s">
        <v>248</v>
      </c>
      <c r="X40" s="397" t="s">
        <v>249</v>
      </c>
      <c r="Y40" s="397" t="s">
        <v>250</v>
      </c>
      <c r="Z40" s="397" t="s">
        <v>279</v>
      </c>
      <c r="AA40" s="398" t="s">
        <v>85</v>
      </c>
      <c r="AB40" s="316"/>
    </row>
    <row r="41" spans="1:29" ht="12.75">
      <c r="A41" s="315" t="s">
        <v>251</v>
      </c>
      <c r="C41" s="399"/>
      <c r="E41" s="372">
        <v>694985</v>
      </c>
      <c r="F41" s="372">
        <v>996889</v>
      </c>
      <c r="G41" s="372">
        <v>908006</v>
      </c>
      <c r="H41" s="372">
        <v>1237681</v>
      </c>
      <c r="I41" s="372">
        <v>1535761</v>
      </c>
      <c r="J41" s="372">
        <v>1457115</v>
      </c>
      <c r="K41" s="372">
        <v>1454226</v>
      </c>
      <c r="L41" s="372">
        <v>1497145</v>
      </c>
      <c r="M41" s="400">
        <v>2012824</v>
      </c>
      <c r="N41" s="400">
        <v>2238229</v>
      </c>
      <c r="O41" s="400">
        <v>2440401</v>
      </c>
      <c r="P41" s="400">
        <v>3186456</v>
      </c>
      <c r="Q41" s="400">
        <v>2010646.0000000002</v>
      </c>
      <c r="R41" s="400">
        <v>2306368.9999999995</v>
      </c>
      <c r="S41" s="400">
        <v>4639983</v>
      </c>
      <c r="T41" s="400">
        <v>3408276</v>
      </c>
      <c r="U41" s="400">
        <v>3091893</v>
      </c>
      <c r="V41" s="400">
        <v>2966764</v>
      </c>
      <c r="W41" s="400">
        <v>2560059</v>
      </c>
      <c r="X41" s="400">
        <v>1948422</v>
      </c>
      <c r="Y41" s="400">
        <v>2806045.501464973</v>
      </c>
      <c r="Z41" s="400">
        <f>+O36+P36</f>
        <v>1226081.861147376</v>
      </c>
      <c r="AA41" s="401">
        <f>SUM(E41:Z41)</f>
        <v>46624257.362612344</v>
      </c>
      <c r="AB41" s="316"/>
      <c r="AC41" s="371"/>
    </row>
    <row r="42" spans="3:28" ht="12.75">
      <c r="C42" s="399"/>
      <c r="E42" s="402"/>
      <c r="F42" s="372"/>
      <c r="G42" s="372"/>
      <c r="H42" s="372"/>
      <c r="I42" s="372"/>
      <c r="J42" s="372"/>
      <c r="K42" s="372"/>
      <c r="L42" s="372"/>
      <c r="M42" s="372"/>
      <c r="N42" s="372"/>
      <c r="O42" s="372"/>
      <c r="P42" s="372"/>
      <c r="Q42" s="372"/>
      <c r="R42" s="372"/>
      <c r="S42" s="372"/>
      <c r="T42" s="372"/>
      <c r="U42" s="372"/>
      <c r="V42" s="372"/>
      <c r="W42" s="372"/>
      <c r="X42" s="372"/>
      <c r="Y42" s="372"/>
      <c r="Z42" s="372"/>
      <c r="AA42" s="401"/>
      <c r="AB42" s="316"/>
    </row>
    <row r="43" spans="1:28" ht="12.75">
      <c r="A43" s="403" t="s">
        <v>252</v>
      </c>
      <c r="C43" s="404"/>
      <c r="E43" s="402"/>
      <c r="F43" s="372"/>
      <c r="G43" s="372"/>
      <c r="H43" s="372"/>
      <c r="I43" s="372"/>
      <c r="J43" s="372"/>
      <c r="K43" s="372"/>
      <c r="L43" s="370">
        <v>-377183.8456351437</v>
      </c>
      <c r="M43" s="405">
        <v>-591868</v>
      </c>
      <c r="N43" s="405">
        <v>-658312</v>
      </c>
      <c r="O43" s="406">
        <v>-717963</v>
      </c>
      <c r="P43" s="406">
        <v>-937815</v>
      </c>
      <c r="Q43" s="406">
        <v>-591888</v>
      </c>
      <c r="R43" s="406">
        <v>-679300</v>
      </c>
      <c r="S43" s="406">
        <v>-2118583</v>
      </c>
      <c r="T43" s="406">
        <v>-1187333</v>
      </c>
      <c r="U43" s="406">
        <v>-1087534</v>
      </c>
      <c r="V43" s="406">
        <v>-1065841</v>
      </c>
      <c r="W43" s="406">
        <v>-878827</v>
      </c>
      <c r="X43" s="406">
        <v>-815080</v>
      </c>
      <c r="Y43" s="406">
        <v>-1239074.809412023</v>
      </c>
      <c r="Z43" s="406">
        <f>+Q36</f>
        <v>-523880.21485122497</v>
      </c>
      <c r="AA43" s="407">
        <f>SUM(E43:Z43)</f>
        <v>-13470482.869898392</v>
      </c>
      <c r="AB43" s="316"/>
    </row>
    <row r="44" spans="3:28" ht="12.75">
      <c r="C44" s="399"/>
      <c r="E44" s="402"/>
      <c r="F44" s="372"/>
      <c r="G44" s="372"/>
      <c r="H44" s="372"/>
      <c r="I44" s="372"/>
      <c r="J44" s="372"/>
      <c r="K44" s="372"/>
      <c r="L44" s="372"/>
      <c r="M44" s="372"/>
      <c r="N44" s="402"/>
      <c r="O44" s="402"/>
      <c r="P44" s="402"/>
      <c r="Q44" s="402"/>
      <c r="R44" s="402"/>
      <c r="S44" s="402"/>
      <c r="T44" s="402"/>
      <c r="U44" s="402"/>
      <c r="V44" s="402"/>
      <c r="W44" s="402"/>
      <c r="X44" s="402"/>
      <c r="Y44" s="402"/>
      <c r="Z44" s="402"/>
      <c r="AA44" s="401"/>
      <c r="AB44" s="316"/>
    </row>
    <row r="45" spans="1:29" ht="12.75">
      <c r="A45" s="315" t="s">
        <v>253</v>
      </c>
      <c r="C45" s="399"/>
      <c r="E45" s="408">
        <v>-1115522</v>
      </c>
      <c r="F45" s="408">
        <v>-616393</v>
      </c>
      <c r="G45" s="408">
        <v>-1577587</v>
      </c>
      <c r="H45" s="408">
        <v>-369737</v>
      </c>
      <c r="I45" s="409">
        <v>-1251358</v>
      </c>
      <c r="J45" s="409">
        <v>-1893276</v>
      </c>
      <c r="K45" s="409">
        <v>-1644004</v>
      </c>
      <c r="L45" s="409">
        <v>-881552.17</v>
      </c>
      <c r="M45" s="409">
        <v>-1096165.9</v>
      </c>
      <c r="N45" s="409">
        <v>-1620703.6</v>
      </c>
      <c r="O45" s="409">
        <v>-1708752</v>
      </c>
      <c r="P45" s="409">
        <v>-2037063</v>
      </c>
      <c r="Q45" s="409">
        <v>-2708302</v>
      </c>
      <c r="R45" s="409">
        <v>-1006536</v>
      </c>
      <c r="S45" s="409">
        <v>-1399287</v>
      </c>
      <c r="T45" s="409">
        <v>-3983090</v>
      </c>
      <c r="U45" s="409">
        <v>-2187742</v>
      </c>
      <c r="V45" s="409">
        <v>-1277084</v>
      </c>
      <c r="W45" s="409">
        <v>-1650118</v>
      </c>
      <c r="X45" s="409">
        <v>-1317217</v>
      </c>
      <c r="Y45" s="409">
        <v>-776557.2800000001</v>
      </c>
      <c r="Z45" s="409">
        <f>+W36+X36</f>
        <v>-1855548.74</v>
      </c>
      <c r="AA45" s="410">
        <f>SUM(E45:Z45)</f>
        <v>-33973595.690000005</v>
      </c>
      <c r="AB45" s="316"/>
      <c r="AC45" s="371"/>
    </row>
    <row r="46" spans="3:28" ht="12.75">
      <c r="C46" s="399"/>
      <c r="E46" s="372"/>
      <c r="F46" s="372"/>
      <c r="G46" s="372"/>
      <c r="H46" s="372"/>
      <c r="I46" s="372"/>
      <c r="J46" s="372"/>
      <c r="K46" s="372"/>
      <c r="L46" s="372"/>
      <c r="M46" s="372"/>
      <c r="N46" s="372"/>
      <c r="O46" s="372"/>
      <c r="P46" s="372"/>
      <c r="Q46" s="372"/>
      <c r="R46" s="372"/>
      <c r="S46" s="372"/>
      <c r="T46" s="372"/>
      <c r="U46" s="372"/>
      <c r="V46" s="372"/>
      <c r="W46" s="372"/>
      <c r="X46" s="372"/>
      <c r="Y46" s="372"/>
      <c r="Z46" s="372"/>
      <c r="AA46" s="401"/>
      <c r="AB46" s="316"/>
    </row>
    <row r="47" spans="1:29" s="318" customFormat="1" ht="12.75">
      <c r="A47" s="318" t="s">
        <v>254</v>
      </c>
      <c r="E47" s="411">
        <f>SUM(E41:E45)</f>
        <v>-420537</v>
      </c>
      <c r="F47" s="411">
        <f aca="true" t="shared" si="7" ref="F47:Z47">SUM(F41:F45)</f>
        <v>380496</v>
      </c>
      <c r="G47" s="411">
        <f t="shared" si="7"/>
        <v>-669581</v>
      </c>
      <c r="H47" s="411">
        <f t="shared" si="7"/>
        <v>867944</v>
      </c>
      <c r="I47" s="411">
        <f t="shared" si="7"/>
        <v>284403</v>
      </c>
      <c r="J47" s="411">
        <f t="shared" si="7"/>
        <v>-436161</v>
      </c>
      <c r="K47" s="411">
        <f t="shared" si="7"/>
        <v>-189778</v>
      </c>
      <c r="L47" s="411">
        <f t="shared" si="7"/>
        <v>238408.98436485638</v>
      </c>
      <c r="M47" s="411">
        <f t="shared" si="7"/>
        <v>324790.1000000001</v>
      </c>
      <c r="N47" s="411">
        <f t="shared" si="7"/>
        <v>-40786.60000000009</v>
      </c>
      <c r="O47" s="411">
        <f t="shared" si="7"/>
        <v>13686</v>
      </c>
      <c r="P47" s="411">
        <f t="shared" si="7"/>
        <v>211578</v>
      </c>
      <c r="Q47" s="411">
        <f t="shared" si="7"/>
        <v>-1289543.9999999998</v>
      </c>
      <c r="R47" s="411">
        <f t="shared" si="7"/>
        <v>620532.9999999995</v>
      </c>
      <c r="S47" s="411">
        <f t="shared" si="7"/>
        <v>1122113</v>
      </c>
      <c r="T47" s="411">
        <f t="shared" si="7"/>
        <v>-1762147</v>
      </c>
      <c r="U47" s="411">
        <f t="shared" si="7"/>
        <v>-183383</v>
      </c>
      <c r="V47" s="411">
        <f t="shared" si="7"/>
        <v>623839</v>
      </c>
      <c r="W47" s="411">
        <f t="shared" si="7"/>
        <v>31114</v>
      </c>
      <c r="X47" s="411">
        <f t="shared" si="7"/>
        <v>-183875</v>
      </c>
      <c r="Y47" s="411">
        <f t="shared" si="7"/>
        <v>790413.41205295</v>
      </c>
      <c r="Z47" s="411">
        <f t="shared" si="7"/>
        <v>-1153347.093703849</v>
      </c>
      <c r="AA47" s="412">
        <f>SUM(E47:Z47)</f>
        <v>-819821.1972860429</v>
      </c>
      <c r="AB47" s="349"/>
      <c r="AC47" s="413"/>
    </row>
    <row r="48" spans="1:28" ht="12.75">
      <c r="A48" s="318"/>
      <c r="E48" s="372"/>
      <c r="F48" s="372"/>
      <c r="G48" s="372"/>
      <c r="H48" s="372"/>
      <c r="I48" s="372"/>
      <c r="J48" s="372"/>
      <c r="K48" s="372"/>
      <c r="L48" s="372"/>
      <c r="M48" s="372"/>
      <c r="N48" s="372"/>
      <c r="O48" s="372"/>
      <c r="P48" s="372"/>
      <c r="Q48" s="372"/>
      <c r="R48" s="372"/>
      <c r="S48" s="372"/>
      <c r="T48" s="372"/>
      <c r="U48" s="372"/>
      <c r="V48" s="372"/>
      <c r="W48" s="372"/>
      <c r="X48" s="372"/>
      <c r="Y48" s="372"/>
      <c r="Z48" s="372"/>
      <c r="AA48" s="401"/>
      <c r="AB48" s="316"/>
    </row>
    <row r="49" spans="1:29" ht="12.75">
      <c r="A49" s="318" t="s">
        <v>255</v>
      </c>
      <c r="B49" s="414" t="s">
        <v>256</v>
      </c>
      <c r="C49" s="333"/>
      <c r="E49" s="409">
        <v>52064.964335457735</v>
      </c>
      <c r="F49" s="409">
        <v>-47107.65204912844</v>
      </c>
      <c r="G49" s="409">
        <v>82898.08241534069</v>
      </c>
      <c r="H49" s="409">
        <v>-107456.59336794273</v>
      </c>
      <c r="I49" s="409">
        <v>0</v>
      </c>
      <c r="J49" s="409">
        <v>0</v>
      </c>
      <c r="K49" s="409">
        <v>0</v>
      </c>
      <c r="L49" s="409">
        <v>0</v>
      </c>
      <c r="M49" s="409">
        <v>0</v>
      </c>
      <c r="N49" s="409">
        <v>0</v>
      </c>
      <c r="O49" s="409">
        <v>0</v>
      </c>
      <c r="P49" s="409">
        <v>0</v>
      </c>
      <c r="Q49" s="409">
        <v>0</v>
      </c>
      <c r="R49" s="409">
        <v>0</v>
      </c>
      <c r="S49" s="409">
        <v>0</v>
      </c>
      <c r="T49" s="409"/>
      <c r="U49" s="409"/>
      <c r="V49" s="409"/>
      <c r="W49" s="409"/>
      <c r="X49" s="409"/>
      <c r="Y49" s="409"/>
      <c r="Z49" s="409"/>
      <c r="AA49" s="415">
        <f>SUM(E49:Z49)</f>
        <v>-19601.198666272743</v>
      </c>
      <c r="AB49" s="316"/>
      <c r="AC49" s="371"/>
    </row>
    <row r="50" spans="1:28" ht="12.75">
      <c r="A50" s="318" t="s">
        <v>257</v>
      </c>
      <c r="E50" s="411">
        <f aca="true" t="shared" si="8" ref="E50:AA50">+E49+E47</f>
        <v>-368472.0356645423</v>
      </c>
      <c r="F50" s="411">
        <f t="shared" si="8"/>
        <v>333388.34795087157</v>
      </c>
      <c r="G50" s="411">
        <f t="shared" si="8"/>
        <v>-586682.9175846593</v>
      </c>
      <c r="H50" s="411">
        <f t="shared" si="8"/>
        <v>760487.4066320573</v>
      </c>
      <c r="I50" s="411">
        <f t="shared" si="8"/>
        <v>284403</v>
      </c>
      <c r="J50" s="411">
        <f t="shared" si="8"/>
        <v>-436161</v>
      </c>
      <c r="K50" s="411">
        <f t="shared" si="8"/>
        <v>-189778</v>
      </c>
      <c r="L50" s="411">
        <f t="shared" si="8"/>
        <v>238408.98436485638</v>
      </c>
      <c r="M50" s="411">
        <f t="shared" si="8"/>
        <v>324790.1000000001</v>
      </c>
      <c r="N50" s="411">
        <f t="shared" si="8"/>
        <v>-40786.60000000009</v>
      </c>
      <c r="O50" s="411">
        <f t="shared" si="8"/>
        <v>13686</v>
      </c>
      <c r="P50" s="411">
        <f t="shared" si="8"/>
        <v>211578</v>
      </c>
      <c r="Q50" s="411">
        <f t="shared" si="8"/>
        <v>-1289543.9999999998</v>
      </c>
      <c r="R50" s="411">
        <f t="shared" si="8"/>
        <v>620532.9999999995</v>
      </c>
      <c r="S50" s="411">
        <f t="shared" si="8"/>
        <v>1122113</v>
      </c>
      <c r="T50" s="411">
        <f t="shared" si="8"/>
        <v>-1762147</v>
      </c>
      <c r="U50" s="411">
        <f t="shared" si="8"/>
        <v>-183383</v>
      </c>
      <c r="V50" s="411">
        <f t="shared" si="8"/>
        <v>623839</v>
      </c>
      <c r="W50" s="411">
        <f t="shared" si="8"/>
        <v>31114</v>
      </c>
      <c r="X50" s="411">
        <f t="shared" si="8"/>
        <v>-183875</v>
      </c>
      <c r="Y50" s="411">
        <f>+Y49+Y47</f>
        <v>790413.41205295</v>
      </c>
      <c r="Z50" s="411">
        <f t="shared" si="8"/>
        <v>-1153347.093703849</v>
      </c>
      <c r="AA50" s="412">
        <f t="shared" si="8"/>
        <v>-839422.3959523155</v>
      </c>
      <c r="AB50" s="316"/>
    </row>
    <row r="51" spans="1:28" ht="12.75">
      <c r="A51" s="318"/>
      <c r="E51" s="369"/>
      <c r="F51" s="369"/>
      <c r="G51" s="369"/>
      <c r="H51" s="369"/>
      <c r="I51" s="369"/>
      <c r="J51" s="369"/>
      <c r="K51" s="369"/>
      <c r="L51" s="369"/>
      <c r="M51" s="369"/>
      <c r="N51" s="369"/>
      <c r="O51" s="369"/>
      <c r="P51" s="369"/>
      <c r="Q51" s="369"/>
      <c r="R51" s="369"/>
      <c r="S51" s="369"/>
      <c r="T51" s="369"/>
      <c r="U51" s="369"/>
      <c r="V51" s="369"/>
      <c r="W51" s="369"/>
      <c r="X51" s="369"/>
      <c r="Y51" s="369"/>
      <c r="Z51" s="369"/>
      <c r="AA51" s="401"/>
      <c r="AB51" s="316"/>
    </row>
    <row r="52" spans="1:28" ht="12.75">
      <c r="A52" s="315" t="s">
        <v>258</v>
      </c>
      <c r="E52" s="416">
        <v>10</v>
      </c>
      <c r="F52" s="416">
        <v>12</v>
      </c>
      <c r="G52" s="416">
        <v>12</v>
      </c>
      <c r="H52" s="416">
        <v>12</v>
      </c>
      <c r="I52" s="416">
        <v>12</v>
      </c>
      <c r="J52" s="417">
        <v>13</v>
      </c>
      <c r="K52" s="417">
        <v>14</v>
      </c>
      <c r="L52" s="417">
        <v>12</v>
      </c>
      <c r="M52" s="417">
        <v>12</v>
      </c>
      <c r="N52" s="417">
        <v>12</v>
      </c>
      <c r="O52" s="417">
        <v>12</v>
      </c>
      <c r="P52" s="417">
        <v>12</v>
      </c>
      <c r="Q52" s="417">
        <v>12</v>
      </c>
      <c r="R52" s="417">
        <v>12</v>
      </c>
      <c r="S52" s="417">
        <v>16</v>
      </c>
      <c r="T52" s="418">
        <v>13</v>
      </c>
      <c r="U52" s="418">
        <v>12</v>
      </c>
      <c r="V52" s="418">
        <v>12</v>
      </c>
      <c r="W52" s="418">
        <v>12</v>
      </c>
      <c r="X52" s="418">
        <v>12</v>
      </c>
      <c r="Y52" s="418">
        <v>12</v>
      </c>
      <c r="Z52" s="418">
        <v>12</v>
      </c>
      <c r="AA52" s="419">
        <v>12</v>
      </c>
      <c r="AB52" s="316"/>
    </row>
    <row r="53" spans="1:28" s="318" customFormat="1" ht="12.75">
      <c r="A53" s="318" t="s">
        <v>259</v>
      </c>
      <c r="E53" s="411">
        <f aca="true" t="shared" si="9" ref="E53:AA53">E50/E52</f>
        <v>-36847.20356645423</v>
      </c>
      <c r="F53" s="411">
        <f t="shared" si="9"/>
        <v>27782.3623292393</v>
      </c>
      <c r="G53" s="411">
        <f t="shared" si="9"/>
        <v>-48890.243132054944</v>
      </c>
      <c r="H53" s="411">
        <f t="shared" si="9"/>
        <v>63373.95055267144</v>
      </c>
      <c r="I53" s="411">
        <f t="shared" si="9"/>
        <v>23700.25</v>
      </c>
      <c r="J53" s="411">
        <f t="shared" si="9"/>
        <v>-33550.846153846156</v>
      </c>
      <c r="K53" s="411">
        <f t="shared" si="9"/>
        <v>-13555.57142857143</v>
      </c>
      <c r="L53" s="411">
        <f t="shared" si="9"/>
        <v>19867.415363738033</v>
      </c>
      <c r="M53" s="411">
        <f t="shared" si="9"/>
        <v>27065.841666666674</v>
      </c>
      <c r="N53" s="411">
        <f t="shared" si="9"/>
        <v>-3398.883333333341</v>
      </c>
      <c r="O53" s="411">
        <f t="shared" si="9"/>
        <v>1140.5</v>
      </c>
      <c r="P53" s="411">
        <f t="shared" si="9"/>
        <v>17631.5</v>
      </c>
      <c r="Q53" s="411">
        <f t="shared" si="9"/>
        <v>-107461.99999999999</v>
      </c>
      <c r="R53" s="411">
        <f t="shared" si="9"/>
        <v>51711.08333333329</v>
      </c>
      <c r="S53" s="411">
        <f t="shared" si="9"/>
        <v>70132.0625</v>
      </c>
      <c r="T53" s="411">
        <f t="shared" si="9"/>
        <v>-135549.76923076922</v>
      </c>
      <c r="U53" s="411">
        <f t="shared" si="9"/>
        <v>-15281.916666666666</v>
      </c>
      <c r="V53" s="411">
        <f t="shared" si="9"/>
        <v>51986.583333333336</v>
      </c>
      <c r="W53" s="411">
        <f t="shared" si="9"/>
        <v>2592.8333333333335</v>
      </c>
      <c r="X53" s="411">
        <f t="shared" si="9"/>
        <v>-15322.916666666666</v>
      </c>
      <c r="Y53" s="411">
        <f>Y50/Y52</f>
        <v>65867.78433774583</v>
      </c>
      <c r="Z53" s="411">
        <f t="shared" si="9"/>
        <v>-96112.25780865409</v>
      </c>
      <c r="AA53" s="412">
        <f t="shared" si="9"/>
        <v>-69951.86632935963</v>
      </c>
      <c r="AB53" s="349"/>
    </row>
    <row r="54" spans="1:28" ht="12.75">
      <c r="A54" s="318"/>
      <c r="F54" s="378"/>
      <c r="AA54" s="401"/>
      <c r="AB54" s="316"/>
    </row>
    <row r="55" spans="1:28" ht="13.5" thickBot="1">
      <c r="A55" s="315" t="s">
        <v>260</v>
      </c>
      <c r="C55" s="399"/>
      <c r="D55" s="399"/>
      <c r="E55" s="416">
        <v>52958</v>
      </c>
      <c r="F55" s="416">
        <v>54476.75</v>
      </c>
      <c r="G55" s="416">
        <v>57683.5</v>
      </c>
      <c r="H55" s="416">
        <v>61350.25</v>
      </c>
      <c r="I55" s="416">
        <v>63431</v>
      </c>
      <c r="J55" s="416">
        <v>65350</v>
      </c>
      <c r="K55" s="416">
        <v>66879</v>
      </c>
      <c r="L55" s="420">
        <v>71203.08333333333</v>
      </c>
      <c r="M55" s="420">
        <v>74976.66666666667</v>
      </c>
      <c r="N55" s="420">
        <v>78279.58333333333</v>
      </c>
      <c r="O55" s="420">
        <v>80389.25</v>
      </c>
      <c r="P55" s="420">
        <v>81890.16666666667</v>
      </c>
      <c r="Q55" s="420">
        <v>82954</v>
      </c>
      <c r="R55" s="420">
        <v>81453</v>
      </c>
      <c r="S55" s="420">
        <v>83978</v>
      </c>
      <c r="T55" s="420">
        <v>84863</v>
      </c>
      <c r="U55" s="420">
        <v>86826</v>
      </c>
      <c r="V55" s="420">
        <v>87329.5</v>
      </c>
      <c r="W55" s="420">
        <v>89529.16666666667</v>
      </c>
      <c r="X55" s="420">
        <v>90836</v>
      </c>
      <c r="Y55" s="420">
        <v>95289</v>
      </c>
      <c r="Z55" s="420">
        <f>+D36</f>
        <v>98051.41666666667</v>
      </c>
      <c r="AA55" s="421">
        <f>+D36</f>
        <v>98051.41666666667</v>
      </c>
      <c r="AB55" s="316"/>
    </row>
    <row r="56" spans="5:28" ht="12.75">
      <c r="E56" s="422">
        <f aca="true" t="shared" si="10" ref="E56:W56">E55*E52</f>
        <v>529580</v>
      </c>
      <c r="F56" s="422">
        <f t="shared" si="10"/>
        <v>653721</v>
      </c>
      <c r="G56" s="422">
        <f t="shared" si="10"/>
        <v>692202</v>
      </c>
      <c r="H56" s="422">
        <f t="shared" si="10"/>
        <v>736203</v>
      </c>
      <c r="I56" s="422">
        <f t="shared" si="10"/>
        <v>761172</v>
      </c>
      <c r="J56" s="422">
        <f t="shared" si="10"/>
        <v>849550</v>
      </c>
      <c r="K56" s="422">
        <f t="shared" si="10"/>
        <v>936306</v>
      </c>
      <c r="L56" s="422">
        <f t="shared" si="10"/>
        <v>854437</v>
      </c>
      <c r="M56" s="422">
        <f t="shared" si="10"/>
        <v>899720</v>
      </c>
      <c r="N56" s="422">
        <f t="shared" si="10"/>
        <v>939355</v>
      </c>
      <c r="O56" s="422">
        <f t="shared" si="10"/>
        <v>964671</v>
      </c>
      <c r="P56" s="422">
        <f t="shared" si="10"/>
        <v>982682</v>
      </c>
      <c r="Q56" s="422">
        <f t="shared" si="10"/>
        <v>995448</v>
      </c>
      <c r="R56" s="422">
        <f t="shared" si="10"/>
        <v>977436</v>
      </c>
      <c r="S56" s="422">
        <f t="shared" si="10"/>
        <v>1343648</v>
      </c>
      <c r="T56" s="422">
        <f t="shared" si="10"/>
        <v>1103219</v>
      </c>
      <c r="U56" s="422">
        <f t="shared" si="10"/>
        <v>1041912</v>
      </c>
      <c r="V56" s="422">
        <f t="shared" si="10"/>
        <v>1047954</v>
      </c>
      <c r="W56" s="422">
        <f t="shared" si="10"/>
        <v>1074350</v>
      </c>
      <c r="X56" s="422"/>
      <c r="Y56" s="422"/>
      <c r="Z56" s="422"/>
      <c r="AA56" s="423">
        <f>AA55*AA52</f>
        <v>1176617</v>
      </c>
      <c r="AB56" s="316"/>
    </row>
    <row r="57" spans="1:28" ht="13.5" thickBot="1">
      <c r="A57" s="318" t="s">
        <v>261</v>
      </c>
      <c r="D57" s="331"/>
      <c r="E57" s="343">
        <f aca="true" t="shared" si="11" ref="E57:AA57">ROUND(E53/E55,2)</f>
        <v>-0.7</v>
      </c>
      <c r="F57" s="343">
        <f t="shared" si="11"/>
        <v>0.51</v>
      </c>
      <c r="G57" s="343">
        <f t="shared" si="11"/>
        <v>-0.85</v>
      </c>
      <c r="H57" s="343">
        <f t="shared" si="11"/>
        <v>1.03</v>
      </c>
      <c r="I57" s="343">
        <f t="shared" si="11"/>
        <v>0.37</v>
      </c>
      <c r="J57" s="343">
        <f t="shared" si="11"/>
        <v>-0.51</v>
      </c>
      <c r="K57" s="343">
        <f t="shared" si="11"/>
        <v>-0.2</v>
      </c>
      <c r="L57" s="343">
        <f t="shared" si="11"/>
        <v>0.28</v>
      </c>
      <c r="M57" s="343">
        <f t="shared" si="11"/>
        <v>0.36</v>
      </c>
      <c r="N57" s="343">
        <f t="shared" si="11"/>
        <v>-0.04</v>
      </c>
      <c r="O57" s="343">
        <f t="shared" si="11"/>
        <v>0.01</v>
      </c>
      <c r="P57" s="343">
        <f t="shared" si="11"/>
        <v>0.22</v>
      </c>
      <c r="Q57" s="343">
        <f t="shared" si="11"/>
        <v>-1.3</v>
      </c>
      <c r="R57" s="343">
        <f t="shared" si="11"/>
        <v>0.63</v>
      </c>
      <c r="S57" s="343">
        <f t="shared" si="11"/>
        <v>0.84</v>
      </c>
      <c r="T57" s="343">
        <f t="shared" si="11"/>
        <v>-1.6</v>
      </c>
      <c r="U57" s="343">
        <f t="shared" si="11"/>
        <v>-0.18</v>
      </c>
      <c r="V57" s="343">
        <f t="shared" si="11"/>
        <v>0.6</v>
      </c>
      <c r="W57" s="343">
        <f t="shared" si="11"/>
        <v>0.03</v>
      </c>
      <c r="X57" s="343">
        <f t="shared" si="11"/>
        <v>-0.17</v>
      </c>
      <c r="Y57" s="343">
        <f>ROUND(Y53/Y55,2)</f>
        <v>0.69</v>
      </c>
      <c r="Z57" s="343">
        <f t="shared" si="11"/>
        <v>-0.98</v>
      </c>
      <c r="AA57" s="424">
        <f t="shared" si="11"/>
        <v>-0.71</v>
      </c>
      <c r="AB57" s="316"/>
    </row>
    <row r="58" spans="4:28" ht="13.5" thickTop="1">
      <c r="D58" s="331"/>
      <c r="E58" s="331"/>
      <c r="F58" s="331"/>
      <c r="G58" s="331"/>
      <c r="H58" s="331"/>
      <c r="I58" s="331"/>
      <c r="J58" s="331"/>
      <c r="K58" s="331"/>
      <c r="L58" s="331"/>
      <c r="M58" s="331"/>
      <c r="N58" s="331"/>
      <c r="O58" s="331"/>
      <c r="P58" s="331"/>
      <c r="Q58" s="331"/>
      <c r="R58" s="331"/>
      <c r="S58" s="331"/>
      <c r="T58" s="331"/>
      <c r="U58" s="331"/>
      <c r="V58" s="331"/>
      <c r="W58" s="331"/>
      <c r="X58" s="331"/>
      <c r="Y58" s="331"/>
      <c r="Z58" s="331"/>
      <c r="AA58" s="401"/>
      <c r="AB58" s="316"/>
    </row>
    <row r="59" spans="1:28" ht="12.75">
      <c r="A59" s="425" t="s">
        <v>262</v>
      </c>
      <c r="B59" s="321"/>
      <c r="C59" s="321"/>
      <c r="D59" s="331"/>
      <c r="E59" s="331"/>
      <c r="F59" s="331"/>
      <c r="G59" s="331"/>
      <c r="H59" s="331"/>
      <c r="I59" s="331"/>
      <c r="J59" s="331"/>
      <c r="K59" s="331"/>
      <c r="L59" s="331"/>
      <c r="M59" s="331"/>
      <c r="N59" s="331"/>
      <c r="O59" s="331"/>
      <c r="P59" s="331"/>
      <c r="Q59" s="331"/>
      <c r="R59" s="331"/>
      <c r="S59" s="331"/>
      <c r="T59" s="331"/>
      <c r="U59" s="331"/>
      <c r="V59" s="331"/>
      <c r="W59" s="331"/>
      <c r="X59" s="331"/>
      <c r="Y59" s="331"/>
      <c r="Z59" s="331"/>
      <c r="AA59" s="401"/>
      <c r="AB59" s="316"/>
    </row>
    <row r="60" spans="1:28" ht="12.75">
      <c r="A60" s="315" t="s">
        <v>302</v>
      </c>
      <c r="D60" s="331"/>
      <c r="E60" s="331">
        <v>1.04</v>
      </c>
      <c r="F60" s="331">
        <v>1.48</v>
      </c>
      <c r="G60" s="331">
        <v>1.01</v>
      </c>
      <c r="H60" s="331">
        <v>1.47</v>
      </c>
      <c r="I60" s="331">
        <v>1.96</v>
      </c>
      <c r="J60" s="331">
        <v>1.74</v>
      </c>
      <c r="K60" s="331">
        <v>1.63</v>
      </c>
      <c r="L60" s="331">
        <v>1.752282501625704</v>
      </c>
      <c r="M60" s="331">
        <v>2.120394122615925</v>
      </c>
      <c r="N60" s="331">
        <v>2.294479722788509</v>
      </c>
      <c r="O60" s="331">
        <v>2.5297754363923035</v>
      </c>
      <c r="P60" s="331">
        <v>3.242611546766909</v>
      </c>
      <c r="Q60" s="331">
        <v>2.02</v>
      </c>
      <c r="R60" s="331">
        <v>2.36</v>
      </c>
      <c r="S60" s="331">
        <v>3.91</v>
      </c>
      <c r="T60" s="331">
        <v>3.089392159781342</v>
      </c>
      <c r="U60" s="331">
        <v>2.97</v>
      </c>
      <c r="V60" s="331">
        <v>2.903127332523282</v>
      </c>
      <c r="W60" s="331">
        <v>2.38</v>
      </c>
      <c r="X60" s="331">
        <v>1.79</v>
      </c>
      <c r="Y60" s="331">
        <v>2.45</v>
      </c>
      <c r="Z60" s="331">
        <f>+B20</f>
        <v>0.73</v>
      </c>
      <c r="AA60" s="426">
        <f>+Z60</f>
        <v>0.73</v>
      </c>
      <c r="AB60" s="316"/>
    </row>
    <row r="61" spans="1:28" ht="12.75">
      <c r="A61" s="427" t="s">
        <v>303</v>
      </c>
      <c r="D61" s="331"/>
      <c r="E61" s="331"/>
      <c r="F61" s="331"/>
      <c r="G61" s="331"/>
      <c r="H61" s="331"/>
      <c r="I61" s="331"/>
      <c r="J61" s="331"/>
      <c r="K61" s="331"/>
      <c r="L61" s="331"/>
      <c r="M61" s="331"/>
      <c r="N61" s="331"/>
      <c r="O61" s="331"/>
      <c r="P61" s="331"/>
      <c r="Q61" s="331"/>
      <c r="R61" s="331"/>
      <c r="S61" s="331"/>
      <c r="T61" s="331"/>
      <c r="U61" s="331"/>
      <c r="V61" s="331"/>
      <c r="W61" s="331"/>
      <c r="X61" s="331"/>
      <c r="Y61" s="331"/>
      <c r="Z61" s="331"/>
      <c r="AA61" s="401"/>
      <c r="AB61" s="316"/>
    </row>
    <row r="62" spans="1:29" ht="12.75">
      <c r="A62" s="315" t="s">
        <v>261</v>
      </c>
      <c r="D62" s="346"/>
      <c r="E62" s="346">
        <f>+E57</f>
        <v>-0.7</v>
      </c>
      <c r="F62" s="346">
        <f>F57</f>
        <v>0.51</v>
      </c>
      <c r="G62" s="346">
        <f>G57</f>
        <v>-0.85</v>
      </c>
      <c r="H62" s="346">
        <f aca="true" t="shared" si="12" ref="H62:AA62">+H57</f>
        <v>1.03</v>
      </c>
      <c r="I62" s="346">
        <f t="shared" si="12"/>
        <v>0.37</v>
      </c>
      <c r="J62" s="346">
        <f t="shared" si="12"/>
        <v>-0.51</v>
      </c>
      <c r="K62" s="346">
        <f t="shared" si="12"/>
        <v>-0.2</v>
      </c>
      <c r="L62" s="346">
        <f t="shared" si="12"/>
        <v>0.28</v>
      </c>
      <c r="M62" s="346">
        <f t="shared" si="12"/>
        <v>0.36</v>
      </c>
      <c r="N62" s="346">
        <f t="shared" si="12"/>
        <v>-0.04</v>
      </c>
      <c r="O62" s="346">
        <f t="shared" si="12"/>
        <v>0.01</v>
      </c>
      <c r="P62" s="346">
        <f t="shared" si="12"/>
        <v>0.22</v>
      </c>
      <c r="Q62" s="346">
        <f t="shared" si="12"/>
        <v>-1.3</v>
      </c>
      <c r="R62" s="346">
        <f t="shared" si="12"/>
        <v>0.63</v>
      </c>
      <c r="S62" s="346">
        <f t="shared" si="12"/>
        <v>0.84</v>
      </c>
      <c r="T62" s="346">
        <f t="shared" si="12"/>
        <v>-1.6</v>
      </c>
      <c r="U62" s="346">
        <f t="shared" si="12"/>
        <v>-0.18</v>
      </c>
      <c r="V62" s="346">
        <f t="shared" si="12"/>
        <v>0.6</v>
      </c>
      <c r="W62" s="346">
        <f t="shared" si="12"/>
        <v>0.03</v>
      </c>
      <c r="X62" s="346">
        <f t="shared" si="12"/>
        <v>-0.17</v>
      </c>
      <c r="Y62" s="346">
        <f>+Y57</f>
        <v>0.69</v>
      </c>
      <c r="Z62" s="346">
        <f t="shared" si="12"/>
        <v>-0.98</v>
      </c>
      <c r="AA62" s="428">
        <f t="shared" si="12"/>
        <v>-0.71</v>
      </c>
      <c r="AB62" s="316"/>
      <c r="AC62" s="330"/>
    </row>
    <row r="63" spans="1:28" ht="13.5" thickBot="1">
      <c r="A63" s="315" t="s">
        <v>263</v>
      </c>
      <c r="D63" s="343">
        <v>1.83</v>
      </c>
      <c r="E63" s="343">
        <f aca="true" t="shared" si="13" ref="E63:R63">SUM(E60:E62)</f>
        <v>0.3400000000000001</v>
      </c>
      <c r="F63" s="343">
        <f t="shared" si="13"/>
        <v>1.99</v>
      </c>
      <c r="G63" s="343">
        <f t="shared" si="13"/>
        <v>0.16000000000000003</v>
      </c>
      <c r="H63" s="343">
        <f t="shared" si="13"/>
        <v>2.5</v>
      </c>
      <c r="I63" s="343">
        <f t="shared" si="13"/>
        <v>2.33</v>
      </c>
      <c r="J63" s="343">
        <f t="shared" si="13"/>
        <v>1.23</v>
      </c>
      <c r="K63" s="343">
        <f t="shared" si="13"/>
        <v>1.43</v>
      </c>
      <c r="L63" s="343">
        <f t="shared" si="13"/>
        <v>2.032282501625704</v>
      </c>
      <c r="M63" s="343">
        <f t="shared" si="13"/>
        <v>2.480394122615925</v>
      </c>
      <c r="N63" s="343">
        <f t="shared" si="13"/>
        <v>2.254479722788509</v>
      </c>
      <c r="O63" s="343">
        <f t="shared" si="13"/>
        <v>2.5397754363923033</v>
      </c>
      <c r="P63" s="343">
        <f t="shared" si="13"/>
        <v>3.4626115467669094</v>
      </c>
      <c r="Q63" s="343">
        <f t="shared" si="13"/>
        <v>0.72</v>
      </c>
      <c r="R63" s="343">
        <f t="shared" si="13"/>
        <v>2.9899999999999998</v>
      </c>
      <c r="S63" s="343">
        <f aca="true" t="shared" si="14" ref="S63:AA63">SUM(S60:S62)</f>
        <v>4.75</v>
      </c>
      <c r="T63" s="343">
        <f t="shared" si="14"/>
        <v>1.489392159781342</v>
      </c>
      <c r="U63" s="343">
        <f t="shared" si="14"/>
        <v>2.79</v>
      </c>
      <c r="V63" s="343">
        <f t="shared" si="14"/>
        <v>3.503127332523282</v>
      </c>
      <c r="W63" s="343">
        <f t="shared" si="14"/>
        <v>2.4099999999999997</v>
      </c>
      <c r="X63" s="343">
        <f t="shared" si="14"/>
        <v>1.62</v>
      </c>
      <c r="Y63" s="343">
        <f>SUM(Y60:Y62)</f>
        <v>3.14</v>
      </c>
      <c r="Z63" s="343">
        <f t="shared" si="14"/>
        <v>-0.25</v>
      </c>
      <c r="AA63" s="429">
        <f t="shared" si="14"/>
        <v>0.020000000000000018</v>
      </c>
      <c r="AB63" s="316"/>
    </row>
    <row r="64" spans="4:28" ht="13.5" thickTop="1">
      <c r="D64" s="430"/>
      <c r="E64" s="430"/>
      <c r="F64" s="430"/>
      <c r="G64" s="430"/>
      <c r="H64" s="430"/>
      <c r="I64" s="430"/>
      <c r="J64" s="430"/>
      <c r="K64" s="430"/>
      <c r="L64" s="430"/>
      <c r="M64" s="430"/>
      <c r="N64" s="430"/>
      <c r="O64" s="430"/>
      <c r="P64" s="430"/>
      <c r="Q64" s="430"/>
      <c r="R64" s="430"/>
      <c r="S64" s="430"/>
      <c r="T64" s="430"/>
      <c r="U64" s="430"/>
      <c r="V64" s="430"/>
      <c r="W64" s="430"/>
      <c r="X64" s="430"/>
      <c r="Y64" s="430"/>
      <c r="Z64" s="430"/>
      <c r="AA64" s="431"/>
      <c r="AB64" s="316"/>
    </row>
    <row r="65" spans="1:30" ht="12.75">
      <c r="A65" s="315" t="s">
        <v>264</v>
      </c>
      <c r="D65" s="430"/>
      <c r="E65" s="430"/>
      <c r="F65" s="430"/>
      <c r="G65" s="430"/>
      <c r="H65" s="430"/>
      <c r="I65" s="430"/>
      <c r="J65" s="430"/>
      <c r="K65" s="430"/>
      <c r="L65" s="430"/>
      <c r="M65" s="430"/>
      <c r="N65" s="430"/>
      <c r="O65" s="430"/>
      <c r="P65" s="430"/>
      <c r="Q65" s="430"/>
      <c r="R65" s="430"/>
      <c r="S65" s="430"/>
      <c r="T65" s="430"/>
      <c r="U65" s="430"/>
      <c r="V65" s="430"/>
      <c r="W65" s="430"/>
      <c r="X65" s="430"/>
      <c r="Y65" s="430"/>
      <c r="Z65" s="402"/>
      <c r="AA65" s="426">
        <f>ROUND(+Z65/AA55/12,2)</f>
        <v>0</v>
      </c>
      <c r="AB65" s="316"/>
      <c r="AC65" s="437">
        <f>+D35*0.5/12</f>
        <v>4155.458333333333</v>
      </c>
      <c r="AD65" s="437">
        <f>+AC65/D35</f>
        <v>0.041666666666666664</v>
      </c>
    </row>
    <row r="66" spans="4:28" ht="12.75">
      <c r="D66" s="430"/>
      <c r="E66" s="430"/>
      <c r="F66" s="430"/>
      <c r="G66" s="430"/>
      <c r="H66" s="430"/>
      <c r="I66" s="430"/>
      <c r="J66" s="430"/>
      <c r="K66" s="430"/>
      <c r="L66" s="430"/>
      <c r="M66" s="430"/>
      <c r="N66" s="430"/>
      <c r="O66" s="430"/>
      <c r="P66" s="430"/>
      <c r="Q66" s="430"/>
      <c r="R66" s="430"/>
      <c r="S66" s="430"/>
      <c r="T66" s="430"/>
      <c r="U66" s="430"/>
      <c r="V66" s="430"/>
      <c r="W66" s="430"/>
      <c r="X66" s="430"/>
      <c r="Y66" s="430"/>
      <c r="Z66" s="430"/>
      <c r="AA66" s="431"/>
      <c r="AB66" s="316"/>
    </row>
    <row r="67" spans="1:29" ht="24.75" customHeight="1">
      <c r="A67" s="432" t="s">
        <v>265</v>
      </c>
      <c r="C67" s="433">
        <f>+'[1]SC 2018-2019 Budget'!C18</f>
        <v>0.425</v>
      </c>
      <c r="D67" s="331"/>
      <c r="E67" s="331"/>
      <c r="F67" s="331"/>
      <c r="G67" s="331"/>
      <c r="H67" s="331"/>
      <c r="I67" s="331"/>
      <c r="J67" s="331"/>
      <c r="K67" s="331"/>
      <c r="L67" s="331"/>
      <c r="M67" s="331"/>
      <c r="N67" s="331"/>
      <c r="O67" s="331"/>
      <c r="P67" s="331"/>
      <c r="Q67" s="331"/>
      <c r="R67" s="331"/>
      <c r="S67" s="331"/>
      <c r="T67" s="331"/>
      <c r="U67" s="331"/>
      <c r="V67" s="331"/>
      <c r="W67" s="331"/>
      <c r="X67" s="331"/>
      <c r="Y67" s="331"/>
      <c r="Z67" s="331"/>
      <c r="AA67" s="428">
        <f>ROUND(-AA60*C67,2)</f>
        <v>-0.31</v>
      </c>
      <c r="AB67" s="316"/>
      <c r="AC67" s="372"/>
    </row>
    <row r="68" spans="4:28" ht="12.75">
      <c r="D68" s="331"/>
      <c r="E68" s="331"/>
      <c r="F68" s="331"/>
      <c r="G68" s="331"/>
      <c r="H68" s="331"/>
      <c r="I68" s="331"/>
      <c r="J68" s="331"/>
      <c r="K68" s="331"/>
      <c r="L68" s="331"/>
      <c r="M68" s="331"/>
      <c r="N68" s="331"/>
      <c r="O68" s="331"/>
      <c r="P68" s="331"/>
      <c r="Q68" s="331"/>
      <c r="R68" s="331"/>
      <c r="S68" s="331"/>
      <c r="T68" s="331"/>
      <c r="U68" s="331"/>
      <c r="V68" s="331"/>
      <c r="W68" s="331"/>
      <c r="X68" s="331"/>
      <c r="Y68" s="331"/>
      <c r="Z68" s="331"/>
      <c r="AA68" s="401"/>
      <c r="AB68" s="316"/>
    </row>
    <row r="69" spans="1:29" ht="13.5" thickBot="1">
      <c r="A69" s="315" t="s">
        <v>266</v>
      </c>
      <c r="D69" s="343">
        <v>1.83</v>
      </c>
      <c r="E69" s="343">
        <v>0.62</v>
      </c>
      <c r="F69" s="343">
        <v>2.25</v>
      </c>
      <c r="G69" s="434">
        <v>0.09</v>
      </c>
      <c r="H69" s="435">
        <v>1.96</v>
      </c>
      <c r="I69" s="435">
        <v>2.28</v>
      </c>
      <c r="J69" s="435">
        <v>1.72</v>
      </c>
      <c r="K69" s="435">
        <v>0.89</v>
      </c>
      <c r="L69" s="435">
        <v>1.27</v>
      </c>
      <c r="M69" s="435">
        <v>1.8</v>
      </c>
      <c r="N69" s="435">
        <v>1.75</v>
      </c>
      <c r="O69" s="435">
        <v>2.12</v>
      </c>
      <c r="P69" s="435">
        <v>2.82</v>
      </c>
      <c r="Q69" s="435">
        <v>0.66</v>
      </c>
      <c r="R69" s="435">
        <v>1.18</v>
      </c>
      <c r="S69" s="435">
        <v>4.26</v>
      </c>
      <c r="T69" s="435">
        <v>1.38</v>
      </c>
      <c r="U69" s="435">
        <v>1.14</v>
      </c>
      <c r="V69" s="435">
        <v>1.64</v>
      </c>
      <c r="W69" s="435">
        <v>1.04</v>
      </c>
      <c r="X69" s="435">
        <v>0.54</v>
      </c>
      <c r="Y69" s="435">
        <v>1.9</v>
      </c>
      <c r="Z69" s="430"/>
      <c r="AA69" s="436">
        <f>+AA67+AA63+AA65</f>
        <v>-0.29</v>
      </c>
      <c r="AB69" s="316"/>
      <c r="AC69" s="437"/>
    </row>
    <row r="70" spans="4:28" ht="14.25" thickBot="1" thickTop="1">
      <c r="D70" s="430"/>
      <c r="E70" s="430"/>
      <c r="F70" s="430"/>
      <c r="G70" s="438"/>
      <c r="H70" s="430"/>
      <c r="I70" s="430"/>
      <c r="J70" s="430"/>
      <c r="K70" s="430"/>
      <c r="L70" s="430"/>
      <c r="M70" s="331"/>
      <c r="N70" s="331"/>
      <c r="O70" s="331"/>
      <c r="P70" s="331"/>
      <c r="Q70" s="331"/>
      <c r="R70" s="331"/>
      <c r="S70" s="331"/>
      <c r="T70" s="331"/>
      <c r="U70" s="331"/>
      <c r="V70" s="331"/>
      <c r="W70" s="331"/>
      <c r="X70" s="331"/>
      <c r="Y70" s="331"/>
      <c r="Z70" s="331"/>
      <c r="AA70" s="439"/>
      <c r="AB70" s="316"/>
    </row>
    <row r="71" spans="1:29" ht="13.5" thickBot="1">
      <c r="A71" s="315" t="s">
        <v>267</v>
      </c>
      <c r="D71" s="440">
        <f>+D69</f>
        <v>1.83</v>
      </c>
      <c r="E71" s="440">
        <f aca="true" t="shared" si="15" ref="E71:J71">+E69</f>
        <v>0.62</v>
      </c>
      <c r="F71" s="440">
        <f t="shared" si="15"/>
        <v>2.25</v>
      </c>
      <c r="G71" s="440">
        <f t="shared" si="15"/>
        <v>0.09</v>
      </c>
      <c r="H71" s="440">
        <f t="shared" si="15"/>
        <v>1.96</v>
      </c>
      <c r="I71" s="440">
        <f t="shared" si="15"/>
        <v>2.28</v>
      </c>
      <c r="J71" s="440">
        <f t="shared" si="15"/>
        <v>1.72</v>
      </c>
      <c r="K71" s="440">
        <v>1.38</v>
      </c>
      <c r="L71" s="440">
        <v>1.82</v>
      </c>
      <c r="M71" s="440">
        <v>2.44</v>
      </c>
      <c r="N71" s="440">
        <v>2.43</v>
      </c>
      <c r="O71" s="440">
        <v>2.88</v>
      </c>
      <c r="P71" s="440">
        <v>3.79</v>
      </c>
      <c r="Q71" s="440">
        <v>1.27</v>
      </c>
      <c r="R71" s="440">
        <v>2.23</v>
      </c>
      <c r="S71" s="440">
        <v>5.26</v>
      </c>
      <c r="T71" s="440">
        <v>2.34</v>
      </c>
      <c r="U71" s="440">
        <v>2.06</v>
      </c>
      <c r="V71" s="440">
        <v>2.66</v>
      </c>
      <c r="W71" s="440">
        <v>2.11</v>
      </c>
      <c r="X71" s="440">
        <v>1.35</v>
      </c>
      <c r="Y71" s="440">
        <v>2.72</v>
      </c>
      <c r="Z71" s="440"/>
      <c r="AA71" s="440">
        <f>+AA63</f>
        <v>0.020000000000000018</v>
      </c>
      <c r="AB71" s="316"/>
      <c r="AC71" s="441"/>
    </row>
    <row r="72" spans="4:28" ht="13.5" thickTop="1">
      <c r="D72" s="442"/>
      <c r="E72" s="443"/>
      <c r="F72" s="443"/>
      <c r="G72" s="444"/>
      <c r="I72" s="444"/>
      <c r="AA72" s="329"/>
      <c r="AB72" s="316"/>
    </row>
    <row r="73" spans="1:28" ht="13.5" thickBot="1">
      <c r="A73" s="315" t="s">
        <v>268</v>
      </c>
      <c r="D73" s="443"/>
      <c r="E73" s="445">
        <v>18009.313200039374</v>
      </c>
      <c r="F73" s="445">
        <v>18469.884748281744</v>
      </c>
      <c r="G73" s="445">
        <v>18807.778949325755</v>
      </c>
      <c r="H73" s="445">
        <v>20068.977300491097</v>
      </c>
      <c r="I73" s="445">
        <v>20553.36214206744</v>
      </c>
      <c r="J73" s="445">
        <v>20954.436923076923</v>
      </c>
      <c r="K73" s="445">
        <v>19881.01714285714</v>
      </c>
      <c r="L73" s="445">
        <v>22291.68845577803</v>
      </c>
      <c r="M73" s="445">
        <v>26503.58</v>
      </c>
      <c r="N73" s="445">
        <v>27846.64</v>
      </c>
      <c r="O73" s="445">
        <v>28477.52126654699</v>
      </c>
      <c r="P73" s="445">
        <v>29219.120248299605</v>
      </c>
      <c r="Q73" s="445">
        <v>28641.23</v>
      </c>
      <c r="R73" s="445">
        <v>30257.23</v>
      </c>
      <c r="S73" s="445">
        <v>39538.72103346151</v>
      </c>
      <c r="T73" s="446">
        <v>30919.910865479345</v>
      </c>
      <c r="U73" s="446">
        <v>30090.152233183377</v>
      </c>
      <c r="V73" s="446">
        <v>30779.58651602314</v>
      </c>
      <c r="W73" s="446">
        <v>30915.700000000004</v>
      </c>
      <c r="X73" s="446">
        <v>32141.409999999996</v>
      </c>
      <c r="Y73" s="446">
        <v>32376.68</v>
      </c>
      <c r="Z73" s="446">
        <f>+V17</f>
        <v>28178.69784923909</v>
      </c>
      <c r="AA73" s="447">
        <f>SUM(E73:Z73)</f>
        <v>584922.6388741506</v>
      </c>
      <c r="AB73" s="316"/>
    </row>
    <row r="74" spans="4:28" ht="13.5" thickTop="1">
      <c r="D74" s="443"/>
      <c r="E74" s="448"/>
      <c r="F74" s="449">
        <f aca="true" t="shared" si="16" ref="F74:R74">+F73/E73-1</f>
        <v>0.02557407620860097</v>
      </c>
      <c r="G74" s="449">
        <f t="shared" si="16"/>
        <v>0.01829433186232765</v>
      </c>
      <c r="H74" s="449">
        <f t="shared" si="16"/>
        <v>0.06705727212997448</v>
      </c>
      <c r="I74" s="449">
        <f t="shared" si="16"/>
        <v>0.02413600027164753</v>
      </c>
      <c r="J74" s="449">
        <f t="shared" si="16"/>
        <v>0.0195138283574825</v>
      </c>
      <c r="K74" s="449">
        <f t="shared" si="16"/>
        <v>-0.05122637196887092</v>
      </c>
      <c r="L74" s="449">
        <f t="shared" si="16"/>
        <v>0.12125492853804998</v>
      </c>
      <c r="M74" s="449">
        <f t="shared" si="16"/>
        <v>0.18894448271953346</v>
      </c>
      <c r="N74" s="449">
        <f t="shared" si="16"/>
        <v>0.050674663573751166</v>
      </c>
      <c r="O74" s="449">
        <f t="shared" si="16"/>
        <v>0.02265556155238091</v>
      </c>
      <c r="P74" s="449">
        <f t="shared" si="16"/>
        <v>0.02604155659515861</v>
      </c>
      <c r="Q74" s="449">
        <f t="shared" si="16"/>
        <v>-0.019777811357384545</v>
      </c>
      <c r="R74" s="449">
        <f t="shared" si="16"/>
        <v>0.056422157847271226</v>
      </c>
      <c r="S74" s="449">
        <f>+S73/16*12/R73-1</f>
        <v>-0.01993537494687614</v>
      </c>
      <c r="T74" s="449">
        <f>+T73/13*16/S73-1</f>
        <v>-0.03751881910512178</v>
      </c>
      <c r="U74" s="449">
        <f>+U73/12*12/T73-1</f>
        <v>-0.02683573817227125</v>
      </c>
      <c r="V74" s="449">
        <f>+V73/12*12/U73-1</f>
        <v>0.02291228962542302</v>
      </c>
      <c r="W74" s="449">
        <f>+W73/12*12/V73-1</f>
        <v>0.004422199885823819</v>
      </c>
      <c r="X74" s="449">
        <f>+X73/12*12/W73-1</f>
        <v>0.03964684610084812</v>
      </c>
      <c r="Y74" s="449">
        <f>+Y73/12*12/X73-1</f>
        <v>0.007319840666604405</v>
      </c>
      <c r="Z74" s="449">
        <f>+Z73/12*12/W73-1</f>
        <v>-0.0885311395427214</v>
      </c>
      <c r="AA74" s="444"/>
      <c r="AB74" s="316"/>
    </row>
    <row r="75" spans="1:28" ht="13.5" thickBot="1">
      <c r="A75" s="315" t="s">
        <v>269</v>
      </c>
      <c r="D75" s="443"/>
      <c r="E75" s="450">
        <f aca="true" t="shared" si="17" ref="E75:W75">+E55</f>
        <v>52958</v>
      </c>
      <c r="F75" s="450">
        <f t="shared" si="17"/>
        <v>54476.75</v>
      </c>
      <c r="G75" s="450">
        <f t="shared" si="17"/>
        <v>57683.5</v>
      </c>
      <c r="H75" s="450">
        <f t="shared" si="17"/>
        <v>61350.25</v>
      </c>
      <c r="I75" s="450">
        <f t="shared" si="17"/>
        <v>63431</v>
      </c>
      <c r="J75" s="450">
        <f t="shared" si="17"/>
        <v>65350</v>
      </c>
      <c r="K75" s="450">
        <f t="shared" si="17"/>
        <v>66879</v>
      </c>
      <c r="L75" s="450">
        <f t="shared" si="17"/>
        <v>71203.08333333333</v>
      </c>
      <c r="M75" s="450">
        <f t="shared" si="17"/>
        <v>74976.66666666667</v>
      </c>
      <c r="N75" s="450">
        <f t="shared" si="17"/>
        <v>78279.58333333333</v>
      </c>
      <c r="O75" s="450">
        <f t="shared" si="17"/>
        <v>80389.25</v>
      </c>
      <c r="P75" s="450">
        <f t="shared" si="17"/>
        <v>81890.16666666667</v>
      </c>
      <c r="Q75" s="450">
        <f t="shared" si="17"/>
        <v>82954</v>
      </c>
      <c r="R75" s="450">
        <f t="shared" si="17"/>
        <v>81453</v>
      </c>
      <c r="S75" s="450">
        <f t="shared" si="17"/>
        <v>83978</v>
      </c>
      <c r="T75" s="450">
        <f t="shared" si="17"/>
        <v>84863</v>
      </c>
      <c r="U75" s="450">
        <f t="shared" si="17"/>
        <v>86826</v>
      </c>
      <c r="V75" s="450">
        <f t="shared" si="17"/>
        <v>87329.5</v>
      </c>
      <c r="W75" s="450">
        <f t="shared" si="17"/>
        <v>89529.16666666667</v>
      </c>
      <c r="X75" s="450">
        <f>+X55</f>
        <v>90836</v>
      </c>
      <c r="Y75" s="450">
        <f>+Y55</f>
        <v>95289</v>
      </c>
      <c r="Z75" s="451">
        <f>+Z55</f>
        <v>98051.41666666667</v>
      </c>
      <c r="AA75" s="452">
        <f>SUM(E75:Z75)</f>
        <v>1689976.3333333335</v>
      </c>
      <c r="AB75" s="316"/>
    </row>
    <row r="76" spans="5:28" ht="13.5" thickTop="1">
      <c r="E76" s="453"/>
      <c r="F76" s="449">
        <f>+F75/(E75)-1</f>
        <v>0.028678386646021403</v>
      </c>
      <c r="G76" s="449">
        <f aca="true" t="shared" si="18" ref="G76:Y76">+G75/F75-1</f>
        <v>0.058864561487240064</v>
      </c>
      <c r="H76" s="449">
        <f t="shared" si="18"/>
        <v>0.0635667045168895</v>
      </c>
      <c r="I76" s="449">
        <f t="shared" si="18"/>
        <v>0.033915917213051205</v>
      </c>
      <c r="J76" s="449">
        <f t="shared" si="18"/>
        <v>0.030253346155665106</v>
      </c>
      <c r="K76" s="449">
        <f t="shared" si="18"/>
        <v>0.023397092578423928</v>
      </c>
      <c r="L76" s="449">
        <f t="shared" si="18"/>
        <v>0.06465532279689179</v>
      </c>
      <c r="M76" s="449">
        <f t="shared" si="18"/>
        <v>0.052997470849226014</v>
      </c>
      <c r="N76" s="449">
        <f t="shared" si="18"/>
        <v>0.04405259414039908</v>
      </c>
      <c r="O76" s="449">
        <f t="shared" si="18"/>
        <v>0.026950407460438308</v>
      </c>
      <c r="P76" s="449">
        <f t="shared" si="18"/>
        <v>0.018670614126474305</v>
      </c>
      <c r="Q76" s="449">
        <f t="shared" si="18"/>
        <v>0.012990977752721511</v>
      </c>
      <c r="R76" s="449">
        <f t="shared" si="18"/>
        <v>-0.01809436555199262</v>
      </c>
      <c r="S76" s="449">
        <f t="shared" si="18"/>
        <v>0.030999472088198088</v>
      </c>
      <c r="T76" s="449">
        <f t="shared" si="18"/>
        <v>0.010538474362332906</v>
      </c>
      <c r="U76" s="449">
        <f t="shared" si="18"/>
        <v>0.023131400021210613</v>
      </c>
      <c r="V76" s="449">
        <f t="shared" si="18"/>
        <v>0.0057989542302996355</v>
      </c>
      <c r="W76" s="449">
        <f t="shared" si="18"/>
        <v>0.025188128486555827</v>
      </c>
      <c r="X76" s="449">
        <f t="shared" si="18"/>
        <v>0.014596732908270127</v>
      </c>
      <c r="Y76" s="449">
        <f t="shared" si="18"/>
        <v>0.04902241402087282</v>
      </c>
      <c r="Z76" s="449">
        <f>+Z75/W75-1</f>
        <v>0.0951896495555451</v>
      </c>
      <c r="AB76" s="316"/>
    </row>
    <row r="77" spans="1:29" ht="12.75">
      <c r="A77" s="315" t="s">
        <v>270</v>
      </c>
      <c r="B77" s="454"/>
      <c r="C77" s="454"/>
      <c r="D77" s="455"/>
      <c r="E77" s="456">
        <f aca="true" t="shared" si="19" ref="E77:AA77">+E73*2000/E75/E52</f>
        <v>68.01356999901573</v>
      </c>
      <c r="F77" s="456">
        <f t="shared" si="19"/>
        <v>56.50693414555061</v>
      </c>
      <c r="G77" s="456">
        <f t="shared" si="19"/>
        <v>54.3418798250388</v>
      </c>
      <c r="H77" s="456">
        <f t="shared" si="19"/>
        <v>54.52022689527507</v>
      </c>
      <c r="I77" s="456">
        <f t="shared" si="19"/>
        <v>54.00451446471347</v>
      </c>
      <c r="J77" s="456">
        <f t="shared" si="19"/>
        <v>49.33067370508369</v>
      </c>
      <c r="K77" s="456">
        <f t="shared" si="19"/>
        <v>42.46692244385306</v>
      </c>
      <c r="L77" s="456">
        <f t="shared" si="19"/>
        <v>52.17865906035912</v>
      </c>
      <c r="M77" s="456">
        <f t="shared" si="19"/>
        <v>58.91517360956741</v>
      </c>
      <c r="N77" s="456">
        <f t="shared" si="19"/>
        <v>59.28885245727122</v>
      </c>
      <c r="O77" s="456">
        <f t="shared" si="19"/>
        <v>59.04089843386396</v>
      </c>
      <c r="P77" s="456">
        <f t="shared" si="19"/>
        <v>59.46810921193144</v>
      </c>
      <c r="Q77" s="456">
        <f t="shared" si="19"/>
        <v>57.54440211844315</v>
      </c>
      <c r="R77" s="456">
        <f t="shared" si="19"/>
        <v>61.91142949512807</v>
      </c>
      <c r="S77" s="456">
        <f t="shared" si="19"/>
        <v>58.85279631787717</v>
      </c>
      <c r="T77" s="456">
        <f t="shared" si="19"/>
        <v>56.053985410837456</v>
      </c>
      <c r="U77" s="456">
        <f t="shared" si="19"/>
        <v>57.759488772916285</v>
      </c>
      <c r="V77" s="456">
        <f t="shared" si="19"/>
        <v>58.74224730479227</v>
      </c>
      <c r="W77" s="456">
        <f t="shared" si="19"/>
        <v>57.552380509145074</v>
      </c>
      <c r="X77" s="456">
        <f>+X73*2000/X75/X52</f>
        <v>58.97333289297928</v>
      </c>
      <c r="Y77" s="456">
        <f>+Y73*2000/Y75/Y52</f>
        <v>56.62892184127583</v>
      </c>
      <c r="Z77" s="456">
        <f t="shared" si="19"/>
        <v>47.89782545932804</v>
      </c>
      <c r="AA77" s="457">
        <f t="shared" si="19"/>
        <v>57.685486214318836</v>
      </c>
      <c r="AB77" s="316"/>
      <c r="AC77" s="458"/>
    </row>
    <row r="78" spans="2:28" ht="12.75">
      <c r="B78" s="454"/>
      <c r="C78" s="454"/>
      <c r="D78" s="455"/>
      <c r="E78" s="459"/>
      <c r="F78" s="459"/>
      <c r="G78" s="459"/>
      <c r="H78" s="459"/>
      <c r="I78" s="459"/>
      <c r="J78" s="459"/>
      <c r="K78" s="459"/>
      <c r="L78" s="459"/>
      <c r="M78" s="459"/>
      <c r="N78" s="459"/>
      <c r="O78" s="459"/>
      <c r="P78" s="459"/>
      <c r="Q78" s="459"/>
      <c r="R78" s="459"/>
      <c r="S78" s="459"/>
      <c r="T78" s="459"/>
      <c r="U78" s="459"/>
      <c r="V78" s="459"/>
      <c r="W78" s="459"/>
      <c r="X78" s="459"/>
      <c r="Y78" s="459"/>
      <c r="Z78" s="459"/>
      <c r="AB78" s="316"/>
    </row>
    <row r="79" spans="1:28" ht="12.75">
      <c r="A79" s="318" t="s">
        <v>271</v>
      </c>
      <c r="B79" s="454"/>
      <c r="C79" s="454"/>
      <c r="D79" s="455"/>
      <c r="E79" s="460">
        <f aca="true" t="shared" si="20" ref="E79:AA79">+E41/E73</f>
        <v>38.59031115070399</v>
      </c>
      <c r="F79" s="460">
        <f t="shared" si="20"/>
        <v>53.9737531438977</v>
      </c>
      <c r="G79" s="460">
        <f t="shared" si="20"/>
        <v>48.27821522394867</v>
      </c>
      <c r="H79" s="460">
        <f t="shared" si="20"/>
        <v>61.67135382477678</v>
      </c>
      <c r="I79" s="460">
        <f t="shared" si="20"/>
        <v>74.72067048615335</v>
      </c>
      <c r="J79" s="460">
        <f t="shared" si="20"/>
        <v>69.53730159149698</v>
      </c>
      <c r="K79" s="460">
        <f t="shared" si="20"/>
        <v>73.14645873249371</v>
      </c>
      <c r="L79" s="460">
        <f t="shared" si="20"/>
        <v>67.16157921236058</v>
      </c>
      <c r="M79" s="460">
        <f t="shared" si="20"/>
        <v>75.94536285286742</v>
      </c>
      <c r="N79" s="460">
        <f t="shared" si="20"/>
        <v>80.3769862360414</v>
      </c>
      <c r="O79" s="460">
        <f t="shared" si="20"/>
        <v>85.69569581418516</v>
      </c>
      <c r="P79" s="460">
        <f t="shared" si="20"/>
        <v>109.05379672358323</v>
      </c>
      <c r="Q79" s="460">
        <f t="shared" si="20"/>
        <v>70.20110518996566</v>
      </c>
      <c r="R79" s="460">
        <f t="shared" si="20"/>
        <v>76.22538480885393</v>
      </c>
      <c r="S79" s="460">
        <f t="shared" si="20"/>
        <v>117.35288544293569</v>
      </c>
      <c r="T79" s="460">
        <f t="shared" si="20"/>
        <v>110.22916640439553</v>
      </c>
      <c r="U79" s="460">
        <f t="shared" si="20"/>
        <v>102.75431563254988</v>
      </c>
      <c r="V79" s="460">
        <f t="shared" si="20"/>
        <v>96.38738968944794</v>
      </c>
      <c r="W79" s="460">
        <f t="shared" si="20"/>
        <v>82.80773199377661</v>
      </c>
      <c r="X79" s="460">
        <f>+X41/X73</f>
        <v>60.62030259406791</v>
      </c>
      <c r="Y79" s="460">
        <f>+Y41/Y73</f>
        <v>86.6687227184805</v>
      </c>
      <c r="Z79" s="460">
        <f t="shared" si="20"/>
        <v>43.51094815335776</v>
      </c>
      <c r="AA79" s="460">
        <f t="shared" si="20"/>
        <v>79.71012620122542</v>
      </c>
      <c r="AB79" s="316"/>
    </row>
    <row r="80" spans="2:26" ht="18.75" customHeight="1">
      <c r="B80" s="454"/>
      <c r="C80" s="454"/>
      <c r="D80" s="455"/>
      <c r="E80" s="461"/>
      <c r="F80" s="461"/>
      <c r="G80" s="461"/>
      <c r="H80" s="461"/>
      <c r="I80" s="461"/>
      <c r="J80" s="461"/>
      <c r="K80" s="461"/>
      <c r="L80" s="461"/>
      <c r="M80" s="461"/>
      <c r="N80" s="461"/>
      <c r="O80" s="461"/>
      <c r="P80" s="461"/>
      <c r="Q80" s="461"/>
      <c r="R80" s="461"/>
      <c r="S80" s="461"/>
      <c r="T80" s="461"/>
      <c r="U80" s="461"/>
      <c r="V80" s="461"/>
      <c r="W80" s="461"/>
      <c r="X80" s="461"/>
      <c r="Y80" s="461"/>
      <c r="Z80" s="461"/>
    </row>
    <row r="81" spans="1:3" s="318" customFormat="1" ht="12.75">
      <c r="A81" s="318" t="s">
        <v>272</v>
      </c>
      <c r="C81" s="484">
        <v>0.45</v>
      </c>
    </row>
    <row r="82" spans="1:3" s="318" customFormat="1" ht="12.75">
      <c r="A82" s="318" t="s">
        <v>282</v>
      </c>
      <c r="C82" s="433">
        <v>0.425</v>
      </c>
    </row>
  </sheetData>
  <sheetProtection/>
  <mergeCells count="2">
    <mergeCell ref="O19:R19"/>
    <mergeCell ref="O20:R2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A1:AD76"/>
  <sheetViews>
    <sheetView zoomScale="98" zoomScaleNormal="98" zoomScalePageLayoutView="0" workbookViewId="0" topLeftCell="A34">
      <selection activeCell="O75" sqref="O75"/>
    </sheetView>
  </sheetViews>
  <sheetFormatPr defaultColWidth="12.57421875" defaultRowHeight="12.75"/>
  <cols>
    <col min="1" max="1" width="26.8515625" style="315" customWidth="1"/>
    <col min="2" max="2" width="14.7109375" style="315" customWidth="1"/>
    <col min="3" max="3" width="11.28125" style="315" bestFit="1" customWidth="1"/>
    <col min="4" max="4" width="10.421875" style="315" bestFit="1" customWidth="1"/>
    <col min="5" max="5" width="11.8515625" style="315" hidden="1" customWidth="1"/>
    <col min="6" max="6" width="11.28125" style="315" hidden="1" customWidth="1"/>
    <col min="7" max="7" width="14.8515625" style="315" hidden="1" customWidth="1"/>
    <col min="8" max="8" width="11.28125" style="315" hidden="1" customWidth="1"/>
    <col min="9" max="11" width="11.8515625" style="315" hidden="1" customWidth="1"/>
    <col min="12" max="12" width="11.28125" style="315" hidden="1" customWidth="1"/>
    <col min="13" max="13" width="11.8515625" style="315" hidden="1" customWidth="1"/>
    <col min="14" max="14" width="12.00390625" style="315" hidden="1" customWidth="1"/>
    <col min="15" max="15" width="12.8515625" style="315" customWidth="1"/>
    <col min="16" max="17" width="11.8515625" style="315" bestFit="1" customWidth="1"/>
    <col min="18" max="18" width="11.8515625" style="315" customWidth="1"/>
    <col min="19" max="19" width="12.28125" style="315" bestFit="1" customWidth="1"/>
    <col min="20" max="20" width="12.28125" style="315" customWidth="1"/>
    <col min="21" max="21" width="10.28125" style="315" bestFit="1" customWidth="1"/>
    <col min="22" max="22" width="14.140625" style="315" bestFit="1" customWidth="1"/>
    <col min="23" max="26" width="12.28125" style="315" customWidth="1"/>
    <col min="27" max="27" width="12.8515625" style="315" bestFit="1" customWidth="1"/>
    <col min="28" max="28" width="2.7109375" style="315" customWidth="1"/>
    <col min="29" max="16384" width="12.57421875" style="315" customWidth="1"/>
  </cols>
  <sheetData>
    <row r="1" spans="1:28" ht="12.75">
      <c r="A1" s="312" t="s">
        <v>180</v>
      </c>
      <c r="B1" s="313"/>
      <c r="C1" s="313"/>
      <c r="D1" s="314"/>
      <c r="AB1" s="316"/>
    </row>
    <row r="2" spans="1:28" ht="12.75">
      <c r="A2" s="317" t="s">
        <v>274</v>
      </c>
      <c r="B2" s="318"/>
      <c r="C2" s="318"/>
      <c r="D2" s="319"/>
      <c r="AB2" s="316"/>
    </row>
    <row r="3" spans="1:28" ht="13.5" thickBot="1">
      <c r="A3" s="320" t="s">
        <v>182</v>
      </c>
      <c r="B3" s="321"/>
      <c r="C3" s="321"/>
      <c r="D3" s="322"/>
      <c r="AB3" s="316"/>
    </row>
    <row r="4" spans="22:28" ht="13.5" thickBot="1">
      <c r="V4" s="480"/>
      <c r="W4" s="481"/>
      <c r="X4" s="328"/>
      <c r="AB4" s="316"/>
    </row>
    <row r="5" spans="1:28" ht="12.75">
      <c r="A5" s="526"/>
      <c r="B5" s="329"/>
      <c r="C5" s="329"/>
      <c r="D5" s="483"/>
      <c r="U5" s="333"/>
      <c r="V5" s="325"/>
      <c r="W5" s="327" t="s">
        <v>184</v>
      </c>
      <c r="X5" s="464"/>
      <c r="AB5" s="316"/>
    </row>
    <row r="6" spans="1:28" ht="12.75">
      <c r="A6" s="329"/>
      <c r="B6" s="329"/>
      <c r="C6" s="329"/>
      <c r="D6" s="342"/>
      <c r="U6" s="333"/>
      <c r="V6" s="332"/>
      <c r="W6" s="366" t="s">
        <v>185</v>
      </c>
      <c r="X6" s="335" t="s">
        <v>186</v>
      </c>
      <c r="Y6" s="366"/>
      <c r="AB6" s="316"/>
    </row>
    <row r="7" spans="1:28" ht="12.75">
      <c r="A7" s="329"/>
      <c r="B7" s="329"/>
      <c r="C7" s="329"/>
      <c r="D7" s="342"/>
      <c r="U7" s="465"/>
      <c r="V7" s="466" t="s">
        <v>187</v>
      </c>
      <c r="W7" s="339">
        <f aca="true" t="shared" si="0" ref="W7:W16">+X7*$W$17</f>
        <v>1549.541648038874</v>
      </c>
      <c r="X7" s="340">
        <f>+'NS(SC) - Old Method'!W7</f>
        <v>0.25290422345048286</v>
      </c>
      <c r="Y7" s="339"/>
      <c r="AB7" s="316"/>
    </row>
    <row r="8" spans="1:28" ht="12.75">
      <c r="A8" s="329"/>
      <c r="B8" s="329"/>
      <c r="C8" s="329"/>
      <c r="D8" s="342"/>
      <c r="U8" s="465"/>
      <c r="V8" s="466" t="s">
        <v>1</v>
      </c>
      <c r="W8" s="339">
        <f t="shared" si="0"/>
        <v>1485.2023418304161</v>
      </c>
      <c r="X8" s="340">
        <f>+'NS(SC) - Old Method'!W8</f>
        <v>0.2424032586686801</v>
      </c>
      <c r="Y8" s="339"/>
      <c r="AB8" s="316"/>
    </row>
    <row r="9" spans="1:28" ht="12.75">
      <c r="A9" s="333"/>
      <c r="B9" s="333"/>
      <c r="C9" s="329"/>
      <c r="D9" s="430"/>
      <c r="U9" s="465"/>
      <c r="V9" s="466" t="s">
        <v>188</v>
      </c>
      <c r="W9" s="339">
        <f t="shared" si="0"/>
        <v>752.759940782322</v>
      </c>
      <c r="X9" s="340">
        <f>+'NS(SC) - Old Method'!W9</f>
        <v>0.12285966531401586</v>
      </c>
      <c r="Y9" s="339"/>
      <c r="AB9" s="316"/>
    </row>
    <row r="10" spans="1:28" ht="12.75">
      <c r="A10" s="329"/>
      <c r="B10" s="329"/>
      <c r="C10" s="329"/>
      <c r="D10" s="329"/>
      <c r="U10" s="465"/>
      <c r="V10" s="466" t="s">
        <v>189</v>
      </c>
      <c r="W10" s="339">
        <f t="shared" si="0"/>
        <v>28.056048529162137</v>
      </c>
      <c r="X10" s="340">
        <f>+'NS(SC) - Old Method'!W10</f>
        <v>0.004579091614179579</v>
      </c>
      <c r="Y10" s="339"/>
      <c r="AB10" s="316"/>
    </row>
    <row r="11" spans="1:28" ht="12.75">
      <c r="A11" s="329"/>
      <c r="B11" s="329"/>
      <c r="C11" s="329"/>
      <c r="D11" s="342"/>
      <c r="K11" s="345"/>
      <c r="L11" s="345"/>
      <c r="M11" s="345"/>
      <c r="U11" s="465"/>
      <c r="V11" s="466" t="s">
        <v>190</v>
      </c>
      <c r="W11" s="339">
        <f t="shared" si="0"/>
        <v>66.40901999810973</v>
      </c>
      <c r="X11" s="340">
        <f>+'NS(SC) - Old Method'!W11</f>
        <v>0.010838767485847004</v>
      </c>
      <c r="Y11" s="339"/>
      <c r="AB11" s="316"/>
    </row>
    <row r="12" spans="1:28" ht="12.75">
      <c r="A12" s="526"/>
      <c r="B12" s="329"/>
      <c r="C12" s="329"/>
      <c r="D12" s="342"/>
      <c r="K12" s="345"/>
      <c r="L12" s="345"/>
      <c r="M12" s="345"/>
      <c r="U12" s="465"/>
      <c r="V12" s="466" t="s">
        <v>191</v>
      </c>
      <c r="W12" s="339">
        <f t="shared" si="0"/>
        <v>1232.6268918063035</v>
      </c>
      <c r="X12" s="340">
        <f>+'NS(SC) - Old Method'!W12</f>
        <v>0.2011798439048054</v>
      </c>
      <c r="Y12" s="339"/>
      <c r="AA12" s="329"/>
      <c r="AB12" s="316"/>
    </row>
    <row r="13" spans="1:28" ht="12.75">
      <c r="A13" s="329"/>
      <c r="B13" s="329"/>
      <c r="C13" s="329"/>
      <c r="D13" s="342"/>
      <c r="K13" s="345"/>
      <c r="L13" s="345"/>
      <c r="M13" s="345"/>
      <c r="U13" s="465"/>
      <c r="V13" s="466" t="s">
        <v>192</v>
      </c>
      <c r="W13" s="339">
        <f t="shared" si="0"/>
        <v>66.46583060743268</v>
      </c>
      <c r="X13" s="340">
        <f>+'NS(SC) - Old Method'!W13</f>
        <v>0.010848039674853833</v>
      </c>
      <c r="Y13" s="339"/>
      <c r="AA13" s="329"/>
      <c r="AB13" s="316"/>
    </row>
    <row r="14" spans="1:28" ht="12.75">
      <c r="A14" s="329"/>
      <c r="B14" s="329"/>
      <c r="C14" s="329"/>
      <c r="D14" s="342"/>
      <c r="E14" s="347"/>
      <c r="K14" s="345"/>
      <c r="L14" s="345"/>
      <c r="M14" s="345"/>
      <c r="U14" s="465"/>
      <c r="V14" s="466" t="s">
        <v>193</v>
      </c>
      <c r="W14" s="339">
        <f t="shared" si="0"/>
        <v>19.63774914766983</v>
      </c>
      <c r="X14" s="340">
        <f>+'NS(SC) - Old Method'!W14</f>
        <v>0.0032051217886221177</v>
      </c>
      <c r="Y14" s="339"/>
      <c r="AA14" s="329"/>
      <c r="AB14" s="316"/>
    </row>
    <row r="15" spans="1:28" s="318" customFormat="1" ht="12.75">
      <c r="A15" s="329"/>
      <c r="B15" s="329"/>
      <c r="C15" s="329"/>
      <c r="D15" s="342"/>
      <c r="J15" s="315"/>
      <c r="K15" s="345"/>
      <c r="L15" s="345"/>
      <c r="M15" s="348"/>
      <c r="U15" s="465"/>
      <c r="V15" s="466" t="s">
        <v>194</v>
      </c>
      <c r="W15" s="339">
        <f t="shared" si="0"/>
        <v>15.232990199823053</v>
      </c>
      <c r="X15" s="340">
        <f>+'NS(SC) - Old Method'!W15</f>
        <v>0.0024862110432403274</v>
      </c>
      <c r="Y15" s="339"/>
      <c r="AA15" s="333"/>
      <c r="AB15" s="349"/>
    </row>
    <row r="16" spans="1:28" ht="15">
      <c r="A16" s="333"/>
      <c r="B16" s="333"/>
      <c r="C16" s="329"/>
      <c r="D16" s="430"/>
      <c r="K16" s="345"/>
      <c r="L16" s="345"/>
      <c r="M16" s="345"/>
      <c r="U16" s="465"/>
      <c r="V16" s="466" t="s">
        <v>195</v>
      </c>
      <c r="W16" s="350">
        <f t="shared" si="0"/>
        <v>29.95984951658705</v>
      </c>
      <c r="X16" s="351">
        <f>+'NS(SC) - Old Method'!W16</f>
        <v>0.004889815311692536</v>
      </c>
      <c r="Y16" s="350"/>
      <c r="AA16" s="329"/>
      <c r="AB16" s="316"/>
    </row>
    <row r="17" spans="11:28" ht="15.75" thickBot="1">
      <c r="K17" s="345"/>
      <c r="L17" s="345"/>
      <c r="M17" s="345"/>
      <c r="N17" s="353"/>
      <c r="U17" s="465"/>
      <c r="V17" s="467"/>
      <c r="W17" s="356">
        <f>+'2018-2019 Recy. Tons &amp; Revenue'!C112</f>
        <v>6126.99</v>
      </c>
      <c r="X17" s="357">
        <f>+W17/$W$17</f>
        <v>1</v>
      </c>
      <c r="AA17" s="329"/>
      <c r="AB17" s="316"/>
    </row>
    <row r="18" spans="1:28" ht="14.25" thickBot="1" thickTop="1">
      <c r="A18" s="359"/>
      <c r="B18" s="359"/>
      <c r="C18" s="359"/>
      <c r="D18" s="359"/>
      <c r="E18" s="359"/>
      <c r="F18" s="360"/>
      <c r="G18" s="360"/>
      <c r="H18" s="361"/>
      <c r="I18" s="362"/>
      <c r="J18" s="359"/>
      <c r="K18" s="359"/>
      <c r="L18" s="359"/>
      <c r="M18" s="359"/>
      <c r="N18" s="359"/>
      <c r="O18" s="359"/>
      <c r="P18" s="359"/>
      <c r="Q18" s="359"/>
      <c r="R18" s="359"/>
      <c r="S18" s="359"/>
      <c r="T18" s="359"/>
      <c r="U18" s="359"/>
      <c r="V18" s="359"/>
      <c r="W18" s="359"/>
      <c r="X18" s="359"/>
      <c r="Y18" s="359"/>
      <c r="Z18" s="359"/>
      <c r="AA18" s="359"/>
      <c r="AB18" s="316"/>
    </row>
    <row r="19" spans="1:28" ht="14.25" thickBot="1" thickTop="1">
      <c r="A19" s="318" t="s">
        <v>196</v>
      </c>
      <c r="B19" s="363">
        <f>+D36</f>
        <v>20947.666666666668</v>
      </c>
      <c r="O19" s="555" t="s">
        <v>197</v>
      </c>
      <c r="P19" s="555"/>
      <c r="Q19" s="555"/>
      <c r="R19" s="555"/>
      <c r="AB19" s="316"/>
    </row>
    <row r="20" spans="1:28" ht="14.25" thickBot="1" thickTop="1">
      <c r="A20" s="318" t="s">
        <v>281</v>
      </c>
      <c r="B20" s="364">
        <f>SUM(P30:P35)/SUM(D30:D35)</f>
        <v>0.7240355318077921</v>
      </c>
      <c r="D20" s="365"/>
      <c r="O20" s="556" t="s">
        <v>198</v>
      </c>
      <c r="P20" s="556"/>
      <c r="Q20" s="556"/>
      <c r="R20" s="556"/>
      <c r="AB20" s="316"/>
    </row>
    <row r="21" spans="4:28" ht="13.5" thickTop="1">
      <c r="D21" s="365"/>
      <c r="Q21" s="365" t="s">
        <v>97</v>
      </c>
      <c r="T21" s="365"/>
      <c r="V21" s="365"/>
      <c r="AA21" s="365"/>
      <c r="AB21" s="316"/>
    </row>
    <row r="22" spans="1:28" ht="12.75">
      <c r="A22" s="318"/>
      <c r="D22" s="365" t="s">
        <v>85</v>
      </c>
      <c r="P22" s="365"/>
      <c r="Q22" s="365" t="s">
        <v>200</v>
      </c>
      <c r="R22" s="365" t="s">
        <v>201</v>
      </c>
      <c r="S22" s="366"/>
      <c r="T22" s="365" t="s">
        <v>202</v>
      </c>
      <c r="V22" s="365" t="s">
        <v>203</v>
      </c>
      <c r="X22" s="365" t="s">
        <v>85</v>
      </c>
      <c r="Y22" s="365"/>
      <c r="AB22" s="316"/>
    </row>
    <row r="23" spans="4:28" ht="12.75">
      <c r="D23" s="324" t="s">
        <v>99</v>
      </c>
      <c r="P23" s="324" t="s">
        <v>184</v>
      </c>
      <c r="Q23" s="367" t="s">
        <v>283</v>
      </c>
      <c r="R23" s="324" t="s">
        <v>184</v>
      </c>
      <c r="S23" s="324" t="s">
        <v>204</v>
      </c>
      <c r="T23" s="324" t="s">
        <v>57</v>
      </c>
      <c r="V23" s="324" t="s">
        <v>205</v>
      </c>
      <c r="X23" s="324" t="s">
        <v>206</v>
      </c>
      <c r="Y23" s="324"/>
      <c r="AB23" s="316"/>
    </row>
    <row r="24" spans="1:28" ht="12.75">
      <c r="A24" s="368" t="s">
        <v>126</v>
      </c>
      <c r="D24" s="370">
        <f>+'Customer Counts'!F6</f>
        <v>20858</v>
      </c>
      <c r="P24" s="371">
        <f>+'2018-2019 Recy. Tons &amp; Revenue'!J88</f>
        <v>28817.655758975165</v>
      </c>
      <c r="Q24" s="372">
        <f>-P24*$C$75</f>
        <v>-13688.386485513203</v>
      </c>
      <c r="R24" s="371">
        <f>+Q24+P24+O24</f>
        <v>15129.269273461961</v>
      </c>
      <c r="S24" s="331">
        <f aca="true" t="shared" si="1" ref="S24:S35">R24/D24</f>
        <v>0.7253461153256286</v>
      </c>
      <c r="T24" s="373">
        <f>ROUND((SUM($E$40:$Y$40)+R24)/(SUM($E$52:$Y$52)+D24),2)</f>
        <v>2.91</v>
      </c>
      <c r="V24" s="331">
        <v>-0.62</v>
      </c>
      <c r="X24" s="372">
        <f aca="true" t="shared" si="2" ref="X24:X35">+V24*D24</f>
        <v>-12931.96</v>
      </c>
      <c r="Y24" s="372"/>
      <c r="AB24" s="316"/>
    </row>
    <row r="25" spans="1:28" ht="12.75">
      <c r="A25" s="368" t="s">
        <v>61</v>
      </c>
      <c r="D25" s="370">
        <f>+'Customer Counts'!F7</f>
        <v>20845</v>
      </c>
      <c r="P25" s="371">
        <f>+'2018-2019 Recy. Tons &amp; Revenue'!J89</f>
        <v>37913.83078312171</v>
      </c>
      <c r="Q25" s="372">
        <f>-P25*$C$75</f>
        <v>-18009.06962198281</v>
      </c>
      <c r="R25" s="371">
        <f aca="true" t="shared" si="3" ref="R25:R35">+Q25+P25+O25</f>
        <v>19904.7611611389</v>
      </c>
      <c r="S25" s="331">
        <f t="shared" si="1"/>
        <v>0.95489379520935</v>
      </c>
      <c r="T25" s="373">
        <f>ROUND((SUM($E$40:$Y$40)+R25+R24)/(SUM($E$52:$Y$52)+D25+D24),2)</f>
        <v>2.9</v>
      </c>
      <c r="V25" s="331">
        <f>+V24</f>
        <v>-0.62</v>
      </c>
      <c r="X25" s="372">
        <f t="shared" si="2"/>
        <v>-12923.9</v>
      </c>
      <c r="Y25" s="372"/>
      <c r="AB25" s="316"/>
    </row>
    <row r="26" spans="1:28" ht="12.75">
      <c r="A26" s="368" t="s">
        <v>78</v>
      </c>
      <c r="D26" s="370">
        <f>+'Customer Counts'!F8</f>
        <v>20830</v>
      </c>
      <c r="P26" s="371">
        <f>+'2018-2019 Recy. Tons &amp; Revenue'!J90</f>
        <v>46306.78950839522</v>
      </c>
      <c r="Q26" s="372">
        <f>-P26*$C$75</f>
        <v>-21995.725016487726</v>
      </c>
      <c r="R26" s="371">
        <f t="shared" si="3"/>
        <v>24311.06449190749</v>
      </c>
      <c r="S26" s="331">
        <f t="shared" si="1"/>
        <v>1.1671178344650739</v>
      </c>
      <c r="T26" s="373">
        <f>ROUND((SUM($E$40:$Y$40)+R26+R25+R24)/(SUM($E$52:$Y$52)+D26+D25+D24),2)</f>
        <v>2.9</v>
      </c>
      <c r="V26" s="331">
        <f>+V25</f>
        <v>-0.62</v>
      </c>
      <c r="X26" s="372">
        <f t="shared" si="2"/>
        <v>-12914.6</v>
      </c>
      <c r="Y26" s="372"/>
      <c r="AB26" s="316"/>
    </row>
    <row r="27" spans="1:28" ht="12.75">
      <c r="A27" s="368" t="s">
        <v>127</v>
      </c>
      <c r="D27" s="370">
        <f>+'Customer Counts'!F9</f>
        <v>20794</v>
      </c>
      <c r="P27" s="371">
        <f>+'2018-2019 Recy. Tons &amp; Revenue'!J91</f>
        <v>30980.895300838096</v>
      </c>
      <c r="Q27" s="372">
        <f>-P27*$C$76</f>
        <v>-15490.447650419048</v>
      </c>
      <c r="R27" s="371">
        <f t="shared" si="3"/>
        <v>15490.447650419048</v>
      </c>
      <c r="S27" s="331">
        <f t="shared" si="1"/>
        <v>0.7449479489477276</v>
      </c>
      <c r="T27" s="373">
        <f>ROUND((SUM($E$40:$Y$40)+R27+R26+R25+R24)/(SUM($E$52:$Y$52)+D27+D26+D25+D24),2)</f>
        <v>2.89</v>
      </c>
      <c r="V27" s="331">
        <v>-1.62</v>
      </c>
      <c r="X27" s="372">
        <f t="shared" si="2"/>
        <v>-33686.28</v>
      </c>
      <c r="Y27" s="372"/>
      <c r="AB27" s="316"/>
    </row>
    <row r="28" spans="1:28" ht="12.75">
      <c r="A28" s="368" t="s">
        <v>89</v>
      </c>
      <c r="D28" s="370">
        <f>+'Customer Counts'!F10</f>
        <v>20793</v>
      </c>
      <c r="P28" s="371">
        <f>+'2018-2019 Recy. Tons &amp; Revenue'!J92</f>
        <v>17385.641094748513</v>
      </c>
      <c r="Q28" s="372">
        <f aca="true" t="shared" si="4" ref="Q28:Q35">-P28*$C$76</f>
        <v>-8692.820547374256</v>
      </c>
      <c r="R28" s="371">
        <f t="shared" si="3"/>
        <v>8692.820547374256</v>
      </c>
      <c r="S28" s="331">
        <f t="shared" si="1"/>
        <v>0.4180647596486441</v>
      </c>
      <c r="T28" s="373">
        <f>ROUND((SUM($E$40:$Y$40)+R28+R27+R26+R25+R24)/(SUM($E$52:$Y$52)+D28+D27+D26+D25+D24),2)</f>
        <v>2.88</v>
      </c>
      <c r="V28" s="331">
        <f aca="true" t="shared" si="5" ref="V28:V34">+V27</f>
        <v>-1.62</v>
      </c>
      <c r="X28" s="372">
        <f t="shared" si="2"/>
        <v>-33684.66</v>
      </c>
      <c r="Y28" s="372"/>
      <c r="AB28" s="316"/>
    </row>
    <row r="29" spans="1:28" ht="12.75">
      <c r="A29" s="368" t="s">
        <v>90</v>
      </c>
      <c r="D29" s="370">
        <f>+'Customer Counts'!F11</f>
        <v>20846</v>
      </c>
      <c r="P29" s="371">
        <f>+'2018-2019 Recy. Tons &amp; Revenue'!J93</f>
        <v>16234.804167093864</v>
      </c>
      <c r="Q29" s="372">
        <f t="shared" si="4"/>
        <v>-8117.402083546932</v>
      </c>
      <c r="R29" s="371">
        <f t="shared" si="3"/>
        <v>8117.402083546932</v>
      </c>
      <c r="S29" s="331">
        <f t="shared" si="1"/>
        <v>0.38939854569447047</v>
      </c>
      <c r="T29" s="373">
        <f>ROUND((SUM($E$40:$Y$40)+R29+R28+R27+R26+R25+R24)/(SUM($E$52:$Y$52)+D29+D28+D27+D26+D25+D24),2)</f>
        <v>2.87</v>
      </c>
      <c r="V29" s="331">
        <f t="shared" si="5"/>
        <v>-1.62</v>
      </c>
      <c r="X29" s="372">
        <f t="shared" si="2"/>
        <v>-33770.520000000004</v>
      </c>
      <c r="Y29" s="372"/>
      <c r="AB29" s="316"/>
    </row>
    <row r="30" spans="1:28" ht="12.75">
      <c r="A30" s="368" t="s">
        <v>91</v>
      </c>
      <c r="D30" s="370">
        <f>+'Customer Counts'!F12</f>
        <v>20940</v>
      </c>
      <c r="P30" s="371">
        <f>+'2018-2019 Recy. Tons &amp; Revenue'!J94</f>
        <v>20927.134029730343</v>
      </c>
      <c r="Q30" s="372">
        <f t="shared" si="4"/>
        <v>-10463.567014865172</v>
      </c>
      <c r="R30" s="371">
        <f t="shared" si="3"/>
        <v>10463.567014865172</v>
      </c>
      <c r="S30" s="331">
        <f t="shared" si="1"/>
        <v>0.49969278963061947</v>
      </c>
      <c r="T30" s="373">
        <f>ROUND((SUM($E$40:$Y$40)+R30+R29+R28+R27+R26+R25+R24)/(SUM($E$52:$Y$52)+D30+D29+D28+D27+D26+D25+D24),2)</f>
        <v>2.86</v>
      </c>
      <c r="V30" s="331">
        <f t="shared" si="5"/>
        <v>-1.62</v>
      </c>
      <c r="X30" s="372">
        <f t="shared" si="2"/>
        <v>-33922.8</v>
      </c>
      <c r="Y30" s="372"/>
      <c r="AB30" s="316"/>
    </row>
    <row r="31" spans="1:28" ht="12.75">
      <c r="A31" s="368" t="s">
        <v>66</v>
      </c>
      <c r="D31" s="370">
        <f>+'Customer Counts'!F13</f>
        <v>21026</v>
      </c>
      <c r="P31" s="371">
        <f>+'2018-2019 Recy. Tons &amp; Revenue'!J95</f>
        <v>18971.083854554698</v>
      </c>
      <c r="Q31" s="372">
        <f t="shared" si="4"/>
        <v>-9485.541927277349</v>
      </c>
      <c r="R31" s="371">
        <f t="shared" si="3"/>
        <v>9485.541927277349</v>
      </c>
      <c r="S31" s="331">
        <f t="shared" si="1"/>
        <v>0.451133925962016</v>
      </c>
      <c r="T31" s="373">
        <f>ROUND((SUM($E$40:$Y$40)+R31+R30+R29+R28+R27+R26+R25+R24)/(SUM($E$52:$Y$52)+D31+D30+D29+D28+D27+D26+D25+D24),2)</f>
        <v>2.85</v>
      </c>
      <c r="V31" s="331">
        <f t="shared" si="5"/>
        <v>-1.62</v>
      </c>
      <c r="X31" s="372">
        <f t="shared" si="2"/>
        <v>-34062.12</v>
      </c>
      <c r="Y31" s="372"/>
      <c r="AB31" s="316"/>
    </row>
    <row r="32" spans="1:28" ht="12.75">
      <c r="A32" s="368" t="s">
        <v>73</v>
      </c>
      <c r="D32" s="370">
        <f>+'Customer Counts'!F14</f>
        <v>21060</v>
      </c>
      <c r="P32" s="371">
        <f>+'2018-2019 Recy. Tons &amp; Revenue'!J96</f>
        <v>9669.668395895153</v>
      </c>
      <c r="Q32" s="372">
        <f t="shared" si="4"/>
        <v>-4834.834197947576</v>
      </c>
      <c r="R32" s="371">
        <f t="shared" si="3"/>
        <v>4834.834197947576</v>
      </c>
      <c r="S32" s="331">
        <f t="shared" si="1"/>
        <v>0.2295742734068175</v>
      </c>
      <c r="T32" s="373">
        <f>ROUND((SUM($E$40:$Y$40)+R32+R31+R30+R29+R28+R27+R26+R25+R24)/(SUM($E$52:$Y$52)+D32+D31+D30+D29+D28+D27+D26+D25+D24),2)</f>
        <v>2.84</v>
      </c>
      <c r="V32" s="331">
        <f t="shared" si="5"/>
        <v>-1.62</v>
      </c>
      <c r="X32" s="372">
        <f t="shared" si="2"/>
        <v>-34117.200000000004</v>
      </c>
      <c r="Y32" s="372"/>
      <c r="AB32" s="316"/>
    </row>
    <row r="33" spans="1:28" ht="12.75">
      <c r="A33" s="368" t="s">
        <v>74</v>
      </c>
      <c r="D33" s="370">
        <f>+'Customer Counts'!F15</f>
        <v>21091</v>
      </c>
      <c r="P33" s="371">
        <f>+'2018-2019 Recy. Tons &amp; Revenue'!J97</f>
        <v>11731.27504942074</v>
      </c>
      <c r="Q33" s="372">
        <f t="shared" si="4"/>
        <v>-5865.63752471037</v>
      </c>
      <c r="R33" s="371">
        <f t="shared" si="3"/>
        <v>5865.63752471037</v>
      </c>
      <c r="S33" s="331">
        <f t="shared" si="1"/>
        <v>0.27811092526245174</v>
      </c>
      <c r="T33" s="373">
        <f>ROUND((SUM($E$40:$Y$40)+R33+R32+R31+R30+R29+R28+R27+R26+R25+R24)/(SUM($E$52:$Y$52)+D33+D32+D31+D30+D29+D28+D27+D26+D25+D24),2)</f>
        <v>2.83</v>
      </c>
      <c r="V33" s="331">
        <f t="shared" si="5"/>
        <v>-1.62</v>
      </c>
      <c r="X33" s="372">
        <f t="shared" si="2"/>
        <v>-34167.420000000006</v>
      </c>
      <c r="Y33" s="372"/>
      <c r="AB33" s="316"/>
    </row>
    <row r="34" spans="1:28" ht="12.75">
      <c r="A34" s="368" t="s">
        <v>75</v>
      </c>
      <c r="D34" s="370">
        <f>+'Customer Counts'!F16</f>
        <v>21146</v>
      </c>
      <c r="P34" s="371">
        <f>+'2018-2019 Recy. Tons &amp; Revenue'!J98</f>
        <v>15148.687102836091</v>
      </c>
      <c r="Q34" s="372">
        <f t="shared" si="4"/>
        <v>-7574.3435514180455</v>
      </c>
      <c r="R34" s="371">
        <f t="shared" si="3"/>
        <v>7574.3435514180455</v>
      </c>
      <c r="S34" s="331">
        <f t="shared" si="1"/>
        <v>0.35819273391743334</v>
      </c>
      <c r="T34" s="373">
        <f>ROUND((SUM($E$40:$Y$40)+R34+R33+R32+R31+R30+R29+R28+R27+R26+R25+R24)/(SUM($E$52:$Y$52)+D34+D33+D32+D31+D30+D29+D28+D27+D26+D25+D24),2)</f>
        <v>2.82</v>
      </c>
      <c r="V34" s="331">
        <f t="shared" si="5"/>
        <v>-1.62</v>
      </c>
      <c r="X34" s="372">
        <f t="shared" si="2"/>
        <v>-34256.520000000004</v>
      </c>
      <c r="Y34" s="372"/>
      <c r="AB34" s="316"/>
    </row>
    <row r="35" spans="1:28" ht="15">
      <c r="A35" s="368" t="s">
        <v>76</v>
      </c>
      <c r="D35" s="375">
        <f>+'Customer Counts'!F17</f>
        <v>21143</v>
      </c>
      <c r="O35" s="468"/>
      <c r="P35" s="376">
        <f>+'2018-2019 Recy. Tons &amp; Revenue'!J99</f>
        <v>15074.587001258758</v>
      </c>
      <c r="Q35" s="377">
        <f t="shared" si="4"/>
        <v>-7537.293500629379</v>
      </c>
      <c r="R35" s="376">
        <f t="shared" si="3"/>
        <v>7537.293500629379</v>
      </c>
      <c r="S35" s="331">
        <f t="shared" si="1"/>
        <v>0.3564912027919112</v>
      </c>
      <c r="T35" s="373">
        <f>ROUND((SUM($E$40:$Y$40)+R35+R34+R33+R32+R31+R30+R29+R28+R27+R26+R25+R24)/(SUM($E$52:$Y$52)+D35+D34+D33+D32+D31+D30+D29+D28+D27+D26+D25+D24),2)</f>
        <v>2.81</v>
      </c>
      <c r="V35" s="331">
        <f>+V34</f>
        <v>-1.62</v>
      </c>
      <c r="W35" s="468"/>
      <c r="X35" s="377">
        <f t="shared" si="2"/>
        <v>-34251.66</v>
      </c>
      <c r="Y35" s="377"/>
      <c r="AB35" s="316"/>
    </row>
    <row r="36" spans="1:28" ht="15.75" thickBot="1">
      <c r="A36" s="378"/>
      <c r="D36" s="379">
        <f>AVERAGE(D24:D35)</f>
        <v>20947.666666666668</v>
      </c>
      <c r="P36" s="384">
        <f>SUM(P24:P35)</f>
        <v>269162.0520468683</v>
      </c>
      <c r="Q36" s="381">
        <f>SUM(Q24:Q35)</f>
        <v>-131755.06912217187</v>
      </c>
      <c r="R36" s="381">
        <f>SUM(R24:R35)</f>
        <v>137406.98292469647</v>
      </c>
      <c r="T36" s="318"/>
      <c r="U36" s="318"/>
      <c r="V36" s="382"/>
      <c r="X36" s="381">
        <f>SUM(X24:X35)</f>
        <v>-344689.64</v>
      </c>
      <c r="Y36" s="381"/>
      <c r="AB36" s="316"/>
    </row>
    <row r="37" spans="1:28" ht="12.75">
      <c r="A37" s="359"/>
      <c r="B37" s="359"/>
      <c r="C37" s="359"/>
      <c r="D37" s="359"/>
      <c r="E37" s="387"/>
      <c r="F37" s="388"/>
      <c r="G37" s="387"/>
      <c r="H37" s="387"/>
      <c r="I37" s="387"/>
      <c r="J37" s="387"/>
      <c r="K37" s="387"/>
      <c r="L37" s="387"/>
      <c r="M37" s="387"/>
      <c r="N37" s="387"/>
      <c r="O37" s="387"/>
      <c r="P37" s="387"/>
      <c r="Q37" s="387"/>
      <c r="R37" s="387"/>
      <c r="S37" s="387"/>
      <c r="T37" s="387"/>
      <c r="U37" s="387"/>
      <c r="V37" s="387"/>
      <c r="W37" s="387"/>
      <c r="X37" s="387"/>
      <c r="Y37" s="387"/>
      <c r="Z37" s="387"/>
      <c r="AA37" s="389"/>
      <c r="AB37" s="316"/>
    </row>
    <row r="38" spans="4:28" s="390" customFormat="1" ht="12.75">
      <c r="D38" s="391" t="s">
        <v>207</v>
      </c>
      <c r="E38" s="392" t="s">
        <v>208</v>
      </c>
      <c r="F38" s="392" t="s">
        <v>209</v>
      </c>
      <c r="G38" s="392" t="s">
        <v>210</v>
      </c>
      <c r="H38" s="392" t="s">
        <v>211</v>
      </c>
      <c r="I38" s="392" t="s">
        <v>212</v>
      </c>
      <c r="J38" s="391" t="s">
        <v>213</v>
      </c>
      <c r="K38" s="391" t="s">
        <v>214</v>
      </c>
      <c r="L38" s="391" t="s">
        <v>215</v>
      </c>
      <c r="M38" s="391" t="s">
        <v>216</v>
      </c>
      <c r="N38" s="391" t="s">
        <v>217</v>
      </c>
      <c r="O38" s="391" t="s">
        <v>218</v>
      </c>
      <c r="P38" s="391" t="s">
        <v>219</v>
      </c>
      <c r="Q38" s="391" t="s">
        <v>220</v>
      </c>
      <c r="R38" s="391" t="s">
        <v>221</v>
      </c>
      <c r="S38" s="391" t="s">
        <v>222</v>
      </c>
      <c r="T38" s="391" t="s">
        <v>223</v>
      </c>
      <c r="U38" s="391" t="s">
        <v>224</v>
      </c>
      <c r="V38" s="391" t="s">
        <v>225</v>
      </c>
      <c r="W38" s="391" t="s">
        <v>226</v>
      </c>
      <c r="X38" s="391" t="s">
        <v>227</v>
      </c>
      <c r="Y38" s="391" t="s">
        <v>228</v>
      </c>
      <c r="Z38" s="391" t="s">
        <v>278</v>
      </c>
      <c r="AA38" s="393" t="s">
        <v>202</v>
      </c>
      <c r="AB38" s="394"/>
    </row>
    <row r="39" spans="1:28" ht="12.75">
      <c r="A39" s="333"/>
      <c r="B39" s="329"/>
      <c r="C39" s="395"/>
      <c r="D39" s="396" t="s">
        <v>229</v>
      </c>
      <c r="E39" s="397" t="s">
        <v>230</v>
      </c>
      <c r="F39" s="397" t="s">
        <v>231</v>
      </c>
      <c r="G39" s="397" t="s">
        <v>232</v>
      </c>
      <c r="H39" s="397" t="s">
        <v>233</v>
      </c>
      <c r="I39" s="397" t="s">
        <v>234</v>
      </c>
      <c r="J39" s="397" t="s">
        <v>235</v>
      </c>
      <c r="K39" s="397" t="s">
        <v>236</v>
      </c>
      <c r="L39" s="397" t="s">
        <v>237</v>
      </c>
      <c r="M39" s="397" t="s">
        <v>238</v>
      </c>
      <c r="N39" s="397" t="s">
        <v>239</v>
      </c>
      <c r="O39" s="397" t="s">
        <v>240</v>
      </c>
      <c r="P39" s="397" t="s">
        <v>241</v>
      </c>
      <c r="Q39" s="397" t="s">
        <v>242</v>
      </c>
      <c r="R39" s="397" t="s">
        <v>243</v>
      </c>
      <c r="S39" s="397" t="s">
        <v>244</v>
      </c>
      <c r="T39" s="397" t="s">
        <v>245</v>
      </c>
      <c r="U39" s="397" t="s">
        <v>246</v>
      </c>
      <c r="V39" s="397" t="s">
        <v>247</v>
      </c>
      <c r="W39" s="397" t="s">
        <v>248</v>
      </c>
      <c r="X39" s="397" t="s">
        <v>249</v>
      </c>
      <c r="Y39" s="397" t="s">
        <v>250</v>
      </c>
      <c r="Z39" s="397" t="s">
        <v>279</v>
      </c>
      <c r="AA39" s="398" t="s">
        <v>85</v>
      </c>
      <c r="AB39" s="316"/>
    </row>
    <row r="40" spans="1:30" ht="12.75">
      <c r="A40" s="315" t="s">
        <v>251</v>
      </c>
      <c r="C40" s="399"/>
      <c r="E40" s="372">
        <v>262090</v>
      </c>
      <c r="F40" s="372">
        <v>390585</v>
      </c>
      <c r="G40" s="372">
        <v>374749</v>
      </c>
      <c r="H40" s="372">
        <v>488766</v>
      </c>
      <c r="I40" s="372">
        <v>657293</v>
      </c>
      <c r="J40" s="372">
        <v>577893</v>
      </c>
      <c r="K40" s="372">
        <v>648218</v>
      </c>
      <c r="L40" s="372">
        <v>687608</v>
      </c>
      <c r="M40" s="400">
        <v>835612</v>
      </c>
      <c r="N40" s="400">
        <v>890278</v>
      </c>
      <c r="O40" s="400">
        <v>854851</v>
      </c>
      <c r="P40" s="400">
        <v>877681</v>
      </c>
      <c r="Q40" s="400">
        <v>601344</v>
      </c>
      <c r="R40" s="400">
        <v>673205</v>
      </c>
      <c r="S40" s="400">
        <v>1370720</v>
      </c>
      <c r="T40" s="400">
        <v>988545</v>
      </c>
      <c r="U40" s="400">
        <v>855101</v>
      </c>
      <c r="V40" s="400">
        <v>769844</v>
      </c>
      <c r="W40" s="400">
        <v>640356</v>
      </c>
      <c r="X40" s="400">
        <v>478956</v>
      </c>
      <c r="Y40" s="400">
        <v>671010.9438888064</v>
      </c>
      <c r="Z40" s="400">
        <f>+P36</f>
        <v>269162.0520468683</v>
      </c>
      <c r="AA40" s="401">
        <f>SUM(E40:Z40)</f>
        <v>14863867.995935675</v>
      </c>
      <c r="AB40" s="316"/>
      <c r="AD40" s="371"/>
    </row>
    <row r="41" spans="3:28" ht="12.75">
      <c r="C41" s="399"/>
      <c r="E41" s="402"/>
      <c r="F41" s="372"/>
      <c r="G41" s="372"/>
      <c r="H41" s="372"/>
      <c r="I41" s="372"/>
      <c r="J41" s="372"/>
      <c r="K41" s="372"/>
      <c r="L41" s="372"/>
      <c r="M41" s="372"/>
      <c r="N41" s="372"/>
      <c r="O41" s="372"/>
      <c r="P41" s="372"/>
      <c r="Q41" s="372"/>
      <c r="R41" s="372"/>
      <c r="S41" s="372"/>
      <c r="T41" s="372"/>
      <c r="U41" s="372"/>
      <c r="V41" s="372"/>
      <c r="W41" s="372"/>
      <c r="X41" s="372"/>
      <c r="Y41" s="372"/>
      <c r="Z41" s="372"/>
      <c r="AA41" s="401"/>
      <c r="AB41" s="316"/>
    </row>
    <row r="42" spans="1:28" ht="12.75">
      <c r="A42" s="403" t="s">
        <v>252</v>
      </c>
      <c r="C42" s="404"/>
      <c r="E42" s="402"/>
      <c r="F42" s="372"/>
      <c r="G42" s="372"/>
      <c r="H42" s="372"/>
      <c r="I42" s="372"/>
      <c r="J42" s="372"/>
      <c r="K42" s="372"/>
      <c r="L42" s="370">
        <v>-178288.5</v>
      </c>
      <c r="M42" s="405">
        <v>-250683.6</v>
      </c>
      <c r="N42" s="405">
        <v>-267083.4</v>
      </c>
      <c r="O42" s="405">
        <v>-256455</v>
      </c>
      <c r="P42" s="405">
        <v>-263304</v>
      </c>
      <c r="Q42" s="405">
        <v>-180403</v>
      </c>
      <c r="R42" s="405">
        <v>-201962</v>
      </c>
      <c r="S42" s="405">
        <v>-638738</v>
      </c>
      <c r="T42" s="405">
        <v>-358144</v>
      </c>
      <c r="U42" s="405">
        <v>-306024</v>
      </c>
      <c r="V42" s="405">
        <v>-275350</v>
      </c>
      <c r="W42" s="405">
        <v>-229922</v>
      </c>
      <c r="X42" s="405">
        <v>-213256</v>
      </c>
      <c r="Y42" s="405">
        <v>-318730.19834718306</v>
      </c>
      <c r="Z42" s="405">
        <f>+Q36</f>
        <v>-131755.06912217187</v>
      </c>
      <c r="AA42" s="479">
        <f>SUM(E42:Z42)</f>
        <v>-4070098.767469355</v>
      </c>
      <c r="AB42" s="316"/>
    </row>
    <row r="43" spans="3:28" ht="12.75">
      <c r="C43" s="399"/>
      <c r="E43" s="402"/>
      <c r="F43" s="372"/>
      <c r="G43" s="372"/>
      <c r="H43" s="372"/>
      <c r="I43" s="372"/>
      <c r="J43" s="372"/>
      <c r="K43" s="372"/>
      <c r="L43" s="372"/>
      <c r="M43" s="372"/>
      <c r="N43" s="402"/>
      <c r="O43" s="402"/>
      <c r="P43" s="402"/>
      <c r="Q43" s="402"/>
      <c r="R43" s="402"/>
      <c r="S43" s="402"/>
      <c r="T43" s="402"/>
      <c r="U43" s="402"/>
      <c r="V43" s="402"/>
      <c r="W43" s="402"/>
      <c r="X43" s="402"/>
      <c r="Y43" s="402"/>
      <c r="Z43" s="402"/>
      <c r="AA43" s="401"/>
      <c r="AB43" s="316"/>
    </row>
    <row r="44" spans="1:28" ht="12.75">
      <c r="A44" s="315" t="s">
        <v>253</v>
      </c>
      <c r="C44" s="399"/>
      <c r="E44" s="408">
        <v>-410726</v>
      </c>
      <c r="F44" s="408">
        <v>-202603</v>
      </c>
      <c r="G44" s="408">
        <v>-545358</v>
      </c>
      <c r="H44" s="408">
        <v>-282869</v>
      </c>
      <c r="I44" s="409">
        <v>-564399</v>
      </c>
      <c r="J44" s="409">
        <v>-785801</v>
      </c>
      <c r="K44" s="409">
        <v>-630366</v>
      </c>
      <c r="L44" s="409">
        <v>-424143.14</v>
      </c>
      <c r="M44" s="409">
        <v>-542753.27</v>
      </c>
      <c r="N44" s="409">
        <v>-691911.65</v>
      </c>
      <c r="O44" s="409">
        <v>-623059</v>
      </c>
      <c r="P44" s="409">
        <v>-518173</v>
      </c>
      <c r="Q44" s="409">
        <v>-675732</v>
      </c>
      <c r="R44" s="409">
        <v>-335425</v>
      </c>
      <c r="S44" s="409">
        <v>-464286</v>
      </c>
      <c r="T44" s="409">
        <v>-1142646</v>
      </c>
      <c r="U44" s="409">
        <v>-606127</v>
      </c>
      <c r="V44" s="409">
        <v>-304881</v>
      </c>
      <c r="W44" s="409">
        <v>-348318</v>
      </c>
      <c r="X44" s="409">
        <v>-303015</v>
      </c>
      <c r="Y44" s="409">
        <v>-185683.49</v>
      </c>
      <c r="Z44" s="470">
        <f>+X36</f>
        <v>-344689.64</v>
      </c>
      <c r="AA44" s="410">
        <f>SUM(E44:Z44)</f>
        <v>-10932965.190000001</v>
      </c>
      <c r="AB44" s="316"/>
    </row>
    <row r="45" spans="3:28" ht="12.75">
      <c r="C45" s="399"/>
      <c r="E45" s="372"/>
      <c r="F45" s="372"/>
      <c r="G45" s="372"/>
      <c r="H45" s="372"/>
      <c r="I45" s="372"/>
      <c r="J45" s="372"/>
      <c r="K45" s="372"/>
      <c r="L45" s="372"/>
      <c r="M45" s="372"/>
      <c r="N45" s="372"/>
      <c r="O45" s="372"/>
      <c r="P45" s="372"/>
      <c r="Q45" s="372"/>
      <c r="R45" s="372"/>
      <c r="S45" s="372"/>
      <c r="T45" s="372"/>
      <c r="U45" s="372"/>
      <c r="V45" s="372"/>
      <c r="W45" s="372"/>
      <c r="X45" s="372"/>
      <c r="Y45" s="372"/>
      <c r="Z45" s="372"/>
      <c r="AA45" s="401"/>
      <c r="AB45" s="316"/>
    </row>
    <row r="46" spans="1:28" s="318" customFormat="1" ht="12.75">
      <c r="A46" s="318" t="s">
        <v>254</v>
      </c>
      <c r="E46" s="411">
        <f>SUM(E40:E44)</f>
        <v>-148636</v>
      </c>
      <c r="F46" s="411">
        <f aca="true" t="shared" si="6" ref="F46:Z46">SUM(F40:F44)</f>
        <v>187982</v>
      </c>
      <c r="G46" s="411">
        <f t="shared" si="6"/>
        <v>-170609</v>
      </c>
      <c r="H46" s="411">
        <f t="shared" si="6"/>
        <v>205897</v>
      </c>
      <c r="I46" s="411">
        <f t="shared" si="6"/>
        <v>92894</v>
      </c>
      <c r="J46" s="411">
        <f t="shared" si="6"/>
        <v>-207908</v>
      </c>
      <c r="K46" s="411">
        <f t="shared" si="6"/>
        <v>17852</v>
      </c>
      <c r="L46" s="411">
        <f t="shared" si="6"/>
        <v>85176.35999999999</v>
      </c>
      <c r="M46" s="411">
        <f t="shared" si="6"/>
        <v>42175.130000000005</v>
      </c>
      <c r="N46" s="411">
        <f t="shared" si="6"/>
        <v>-68717.05000000005</v>
      </c>
      <c r="O46" s="411">
        <f t="shared" si="6"/>
        <v>-24663</v>
      </c>
      <c r="P46" s="411">
        <f t="shared" si="6"/>
        <v>96204</v>
      </c>
      <c r="Q46" s="411">
        <f t="shared" si="6"/>
        <v>-254791</v>
      </c>
      <c r="R46" s="411">
        <f t="shared" si="6"/>
        <v>135818</v>
      </c>
      <c r="S46" s="411">
        <f t="shared" si="6"/>
        <v>267696</v>
      </c>
      <c r="T46" s="411">
        <f t="shared" si="6"/>
        <v>-512245</v>
      </c>
      <c r="U46" s="411">
        <f t="shared" si="6"/>
        <v>-57050</v>
      </c>
      <c r="V46" s="411">
        <f t="shared" si="6"/>
        <v>189613</v>
      </c>
      <c r="W46" s="411">
        <f t="shared" si="6"/>
        <v>62116</v>
      </c>
      <c r="X46" s="411">
        <f t="shared" si="6"/>
        <v>-37315</v>
      </c>
      <c r="Y46" s="411">
        <f>SUM(Y40:Y44)</f>
        <v>166597.25554162334</v>
      </c>
      <c r="Z46" s="411">
        <f t="shared" si="6"/>
        <v>-207282.65707530358</v>
      </c>
      <c r="AA46" s="412">
        <f>SUM(E46:Z46)</f>
        <v>-139195.9615336803</v>
      </c>
      <c r="AB46" s="349"/>
    </row>
    <row r="47" spans="1:28" ht="12.75">
      <c r="A47" s="318"/>
      <c r="E47" s="369"/>
      <c r="F47" s="369"/>
      <c r="G47" s="369"/>
      <c r="H47" s="369"/>
      <c r="I47" s="369"/>
      <c r="J47" s="369"/>
      <c r="K47" s="369"/>
      <c r="L47" s="369"/>
      <c r="M47" s="369"/>
      <c r="N47" s="369"/>
      <c r="O47" s="369"/>
      <c r="P47" s="369"/>
      <c r="Q47" s="369"/>
      <c r="R47" s="369"/>
      <c r="S47" s="369"/>
      <c r="T47" s="369"/>
      <c r="U47" s="369"/>
      <c r="V47" s="369"/>
      <c r="W47" s="369"/>
      <c r="X47" s="369"/>
      <c r="Y47" s="369"/>
      <c r="Z47" s="369"/>
      <c r="AA47" s="401"/>
      <c r="AB47" s="316"/>
    </row>
    <row r="48" spans="1:28" ht="12.75">
      <c r="A48" s="315" t="s">
        <v>258</v>
      </c>
      <c r="E48" s="416">
        <v>10</v>
      </c>
      <c r="F48" s="416">
        <v>12</v>
      </c>
      <c r="G48" s="416">
        <v>12</v>
      </c>
      <c r="H48" s="416">
        <v>12</v>
      </c>
      <c r="I48" s="416">
        <v>12</v>
      </c>
      <c r="J48" s="417">
        <v>13</v>
      </c>
      <c r="K48" s="417">
        <v>14</v>
      </c>
      <c r="L48" s="417">
        <v>12</v>
      </c>
      <c r="M48" s="417">
        <v>12</v>
      </c>
      <c r="N48" s="417">
        <v>12</v>
      </c>
      <c r="O48" s="417">
        <v>12</v>
      </c>
      <c r="P48" s="417">
        <v>12</v>
      </c>
      <c r="Q48" s="417">
        <v>12</v>
      </c>
      <c r="R48" s="417">
        <v>12</v>
      </c>
      <c r="S48" s="417">
        <v>16</v>
      </c>
      <c r="T48" s="418">
        <v>13</v>
      </c>
      <c r="U48" s="418">
        <v>12</v>
      </c>
      <c r="V48" s="418">
        <v>12</v>
      </c>
      <c r="W48" s="418">
        <v>12</v>
      </c>
      <c r="X48" s="418">
        <v>12</v>
      </c>
      <c r="Y48" s="418">
        <v>12</v>
      </c>
      <c r="Z48" s="418">
        <v>12</v>
      </c>
      <c r="AA48" s="419">
        <v>12</v>
      </c>
      <c r="AB48" s="316"/>
    </row>
    <row r="49" spans="1:28" s="318" customFormat="1" ht="12.75">
      <c r="A49" s="318" t="s">
        <v>259</v>
      </c>
      <c r="E49" s="411">
        <f>+E46/E48</f>
        <v>-14863.6</v>
      </c>
      <c r="F49" s="411">
        <f aca="true" t="shared" si="7" ref="F49:AA49">+F46/F48</f>
        <v>15665.166666666666</v>
      </c>
      <c r="G49" s="411">
        <f t="shared" si="7"/>
        <v>-14217.416666666666</v>
      </c>
      <c r="H49" s="411">
        <f t="shared" si="7"/>
        <v>17158.083333333332</v>
      </c>
      <c r="I49" s="411">
        <f t="shared" si="7"/>
        <v>7741.166666666667</v>
      </c>
      <c r="J49" s="411">
        <f t="shared" si="7"/>
        <v>-15992.923076923076</v>
      </c>
      <c r="K49" s="411">
        <f t="shared" si="7"/>
        <v>1275.142857142857</v>
      </c>
      <c r="L49" s="411">
        <f t="shared" si="7"/>
        <v>7098.029999999999</v>
      </c>
      <c r="M49" s="411">
        <f t="shared" si="7"/>
        <v>3514.594166666667</v>
      </c>
      <c r="N49" s="411">
        <f t="shared" si="7"/>
        <v>-5726.420833333337</v>
      </c>
      <c r="O49" s="411">
        <f t="shared" si="7"/>
        <v>-2055.25</v>
      </c>
      <c r="P49" s="411">
        <f t="shared" si="7"/>
        <v>8017</v>
      </c>
      <c r="Q49" s="411">
        <f t="shared" si="7"/>
        <v>-21232.583333333332</v>
      </c>
      <c r="R49" s="411">
        <f t="shared" si="7"/>
        <v>11318.166666666666</v>
      </c>
      <c r="S49" s="411">
        <f t="shared" si="7"/>
        <v>16731</v>
      </c>
      <c r="T49" s="411">
        <f t="shared" si="7"/>
        <v>-39403.46153846154</v>
      </c>
      <c r="U49" s="411">
        <f t="shared" si="7"/>
        <v>-4754.166666666667</v>
      </c>
      <c r="V49" s="411">
        <f t="shared" si="7"/>
        <v>15801.083333333334</v>
      </c>
      <c r="W49" s="411">
        <f t="shared" si="7"/>
        <v>5176.333333333333</v>
      </c>
      <c r="X49" s="411">
        <f t="shared" si="7"/>
        <v>-3109.5833333333335</v>
      </c>
      <c r="Y49" s="411">
        <f>+Y46/Y48</f>
        <v>13883.10462846861</v>
      </c>
      <c r="Z49" s="411">
        <f t="shared" si="7"/>
        <v>-17273.554756275298</v>
      </c>
      <c r="AA49" s="411">
        <f t="shared" si="7"/>
        <v>-11599.663461140024</v>
      </c>
      <c r="AB49" s="349"/>
    </row>
    <row r="50" spans="1:28" ht="12.75">
      <c r="A50" s="318"/>
      <c r="F50" s="378"/>
      <c r="AA50" s="401"/>
      <c r="AB50" s="316"/>
    </row>
    <row r="51" spans="1:28" ht="13.5" thickBot="1">
      <c r="A51" s="315" t="s">
        <v>260</v>
      </c>
      <c r="C51" s="399"/>
      <c r="D51" s="399"/>
      <c r="E51" s="416">
        <v>19015</v>
      </c>
      <c r="F51" s="416">
        <v>19513</v>
      </c>
      <c r="G51" s="416">
        <v>20215</v>
      </c>
      <c r="H51" s="416">
        <v>20447</v>
      </c>
      <c r="I51" s="416">
        <v>20711.674242424244</v>
      </c>
      <c r="J51" s="416">
        <v>21314</v>
      </c>
      <c r="K51" s="416">
        <v>22270</v>
      </c>
      <c r="L51" s="420">
        <v>23056.666666666668</v>
      </c>
      <c r="M51" s="420">
        <v>24000.25</v>
      </c>
      <c r="N51" s="420">
        <v>24843.083333333332</v>
      </c>
      <c r="O51" s="420">
        <v>23590</v>
      </c>
      <c r="P51" s="420">
        <v>20465</v>
      </c>
      <c r="Q51" s="420">
        <v>20537</v>
      </c>
      <c r="R51" s="420">
        <v>20666</v>
      </c>
      <c r="S51" s="420">
        <v>20890.916666666668</v>
      </c>
      <c r="T51" s="420">
        <v>21113</v>
      </c>
      <c r="U51" s="420">
        <v>21536</v>
      </c>
      <c r="V51" s="420">
        <v>20705</v>
      </c>
      <c r="W51" s="420">
        <v>20397.916666666668</v>
      </c>
      <c r="X51" s="420">
        <v>20572</v>
      </c>
      <c r="Y51" s="420">
        <v>20714</v>
      </c>
      <c r="Z51" s="420">
        <f>+B19</f>
        <v>20947.666666666668</v>
      </c>
      <c r="AA51" s="421">
        <f>+Z51</f>
        <v>20947.666666666668</v>
      </c>
      <c r="AB51" s="316"/>
    </row>
    <row r="52" spans="5:28" ht="12.75">
      <c r="E52" s="422">
        <f aca="true" t="shared" si="8" ref="E52:W52">E51*E48</f>
        <v>190150</v>
      </c>
      <c r="F52" s="422">
        <f t="shared" si="8"/>
        <v>234156</v>
      </c>
      <c r="G52" s="422">
        <f t="shared" si="8"/>
        <v>242580</v>
      </c>
      <c r="H52" s="422">
        <f t="shared" si="8"/>
        <v>245364</v>
      </c>
      <c r="I52" s="422">
        <f t="shared" si="8"/>
        <v>248540.09090909094</v>
      </c>
      <c r="J52" s="422">
        <f t="shared" si="8"/>
        <v>277082</v>
      </c>
      <c r="K52" s="422">
        <f t="shared" si="8"/>
        <v>311780</v>
      </c>
      <c r="L52" s="422">
        <f t="shared" si="8"/>
        <v>276680</v>
      </c>
      <c r="M52" s="422">
        <f t="shared" si="8"/>
        <v>288003</v>
      </c>
      <c r="N52" s="422">
        <f t="shared" si="8"/>
        <v>298117</v>
      </c>
      <c r="O52" s="422">
        <f t="shared" si="8"/>
        <v>283080</v>
      </c>
      <c r="P52" s="422">
        <f t="shared" si="8"/>
        <v>245580</v>
      </c>
      <c r="Q52" s="422">
        <f t="shared" si="8"/>
        <v>246444</v>
      </c>
      <c r="R52" s="422">
        <f t="shared" si="8"/>
        <v>247992</v>
      </c>
      <c r="S52" s="422">
        <f t="shared" si="8"/>
        <v>334254.6666666667</v>
      </c>
      <c r="T52" s="422">
        <f t="shared" si="8"/>
        <v>274469</v>
      </c>
      <c r="U52" s="422">
        <f t="shared" si="8"/>
        <v>258432</v>
      </c>
      <c r="V52" s="422">
        <f t="shared" si="8"/>
        <v>248460</v>
      </c>
      <c r="W52" s="422">
        <f t="shared" si="8"/>
        <v>244775</v>
      </c>
      <c r="X52" s="422"/>
      <c r="Y52" s="422"/>
      <c r="Z52" s="422"/>
      <c r="AA52" s="423">
        <f>AA51*AA48</f>
        <v>251372</v>
      </c>
      <c r="AB52" s="316"/>
    </row>
    <row r="53" spans="1:28" ht="13.5" thickBot="1">
      <c r="A53" s="318" t="s">
        <v>261</v>
      </c>
      <c r="D53" s="331"/>
      <c r="E53" s="343">
        <f aca="true" t="shared" si="9" ref="E53:AA53">ROUND(E49/E51,2)</f>
        <v>-0.78</v>
      </c>
      <c r="F53" s="343">
        <f t="shared" si="9"/>
        <v>0.8</v>
      </c>
      <c r="G53" s="343">
        <f t="shared" si="9"/>
        <v>-0.7</v>
      </c>
      <c r="H53" s="343">
        <f t="shared" si="9"/>
        <v>0.84</v>
      </c>
      <c r="I53" s="343">
        <f t="shared" si="9"/>
        <v>0.37</v>
      </c>
      <c r="J53" s="343">
        <f t="shared" si="9"/>
        <v>-0.75</v>
      </c>
      <c r="K53" s="343">
        <f t="shared" si="9"/>
        <v>0.06</v>
      </c>
      <c r="L53" s="343">
        <f t="shared" si="9"/>
        <v>0.31</v>
      </c>
      <c r="M53" s="343">
        <f t="shared" si="9"/>
        <v>0.15</v>
      </c>
      <c r="N53" s="343">
        <f t="shared" si="9"/>
        <v>-0.23</v>
      </c>
      <c r="O53" s="343">
        <f t="shared" si="9"/>
        <v>-0.09</v>
      </c>
      <c r="P53" s="343">
        <f t="shared" si="9"/>
        <v>0.39</v>
      </c>
      <c r="Q53" s="343">
        <f t="shared" si="9"/>
        <v>-1.03</v>
      </c>
      <c r="R53" s="343">
        <f t="shared" si="9"/>
        <v>0.55</v>
      </c>
      <c r="S53" s="343">
        <f t="shared" si="9"/>
        <v>0.8</v>
      </c>
      <c r="T53" s="343">
        <f t="shared" si="9"/>
        <v>-1.87</v>
      </c>
      <c r="U53" s="343">
        <f t="shared" si="9"/>
        <v>-0.22</v>
      </c>
      <c r="V53" s="343">
        <f t="shared" si="9"/>
        <v>0.76</v>
      </c>
      <c r="W53" s="343">
        <f t="shared" si="9"/>
        <v>0.25</v>
      </c>
      <c r="X53" s="343">
        <f t="shared" si="9"/>
        <v>-0.15</v>
      </c>
      <c r="Y53" s="343">
        <f t="shared" si="9"/>
        <v>0.67</v>
      </c>
      <c r="Z53" s="343">
        <f t="shared" si="9"/>
        <v>-0.82</v>
      </c>
      <c r="AA53" s="424">
        <f t="shared" si="9"/>
        <v>-0.55</v>
      </c>
      <c r="AB53" s="316"/>
    </row>
    <row r="54" spans="4:28" ht="13.5" thickTop="1">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401"/>
      <c r="AB54" s="316"/>
    </row>
    <row r="55" spans="1:28" ht="12.75">
      <c r="A55" s="425" t="s">
        <v>262</v>
      </c>
      <c r="B55" s="321"/>
      <c r="C55" s="321"/>
      <c r="D55" s="331"/>
      <c r="E55" s="331"/>
      <c r="F55" s="331"/>
      <c r="G55" s="331"/>
      <c r="H55" s="331"/>
      <c r="I55" s="331"/>
      <c r="J55" s="331"/>
      <c r="K55" s="331"/>
      <c r="L55" s="331"/>
      <c r="M55" s="331"/>
      <c r="N55" s="331"/>
      <c r="O55" s="331"/>
      <c r="P55" s="331"/>
      <c r="Q55" s="331"/>
      <c r="R55" s="331"/>
      <c r="S55" s="331"/>
      <c r="T55" s="331"/>
      <c r="U55" s="331"/>
      <c r="V55" s="331"/>
      <c r="W55" s="331"/>
      <c r="X55" s="331"/>
      <c r="Y55" s="331"/>
      <c r="Z55" s="331"/>
      <c r="AA55" s="401"/>
      <c r="AB55" s="316"/>
    </row>
    <row r="56" spans="1:28" ht="12.75">
      <c r="A56" s="315" t="s">
        <v>302</v>
      </c>
      <c r="D56" s="331"/>
      <c r="E56" s="331">
        <v>1.26</v>
      </c>
      <c r="F56" s="331">
        <v>1.77</v>
      </c>
      <c r="G56" s="331">
        <v>1.46</v>
      </c>
      <c r="H56" s="331">
        <v>1.99</v>
      </c>
      <c r="I56" s="331">
        <v>2.490813520586243</v>
      </c>
      <c r="J56" s="331">
        <v>2.12</v>
      </c>
      <c r="K56" s="331">
        <v>2.19</v>
      </c>
      <c r="L56" s="331">
        <v>2.4852103513083708</v>
      </c>
      <c r="M56" s="331">
        <v>2.901400332635424</v>
      </c>
      <c r="N56" s="331">
        <v>2.986337578870041</v>
      </c>
      <c r="O56" s="331">
        <v>3.02</v>
      </c>
      <c r="P56" s="331">
        <v>3.57</v>
      </c>
      <c r="Q56" s="331">
        <v>2.44</v>
      </c>
      <c r="R56" s="331">
        <v>2.71</v>
      </c>
      <c r="S56" s="331">
        <v>4.5378892740465355</v>
      </c>
      <c r="T56" s="331">
        <v>3.605421713563053</v>
      </c>
      <c r="U56" s="331">
        <v>3.3087916255305188</v>
      </c>
      <c r="V56" s="331">
        <v>3.1</v>
      </c>
      <c r="W56" s="331">
        <v>2.62</v>
      </c>
      <c r="X56" s="331">
        <v>1.94</v>
      </c>
      <c r="Y56" s="331">
        <v>2.7</v>
      </c>
      <c r="Z56" s="331">
        <f>+B20</f>
        <v>0.7240355318077921</v>
      </c>
      <c r="AA56" s="476">
        <f>+Z56</f>
        <v>0.7240355318077921</v>
      </c>
      <c r="AB56" s="316"/>
    </row>
    <row r="57" spans="1:28" ht="12.75">
      <c r="A57" s="427" t="s">
        <v>303</v>
      </c>
      <c r="D57" s="331"/>
      <c r="E57" s="331"/>
      <c r="F57" s="331"/>
      <c r="G57" s="331"/>
      <c r="H57" s="331"/>
      <c r="I57" s="331"/>
      <c r="J57" s="331"/>
      <c r="K57" s="331"/>
      <c r="L57" s="331"/>
      <c r="M57" s="331"/>
      <c r="N57" s="331"/>
      <c r="O57" s="331"/>
      <c r="P57" s="331"/>
      <c r="Q57" s="331"/>
      <c r="R57" s="331"/>
      <c r="S57" s="331"/>
      <c r="T57" s="331"/>
      <c r="U57" s="331"/>
      <c r="V57" s="331"/>
      <c r="W57" s="331"/>
      <c r="X57" s="331"/>
      <c r="Y57" s="331"/>
      <c r="Z57" s="331"/>
      <c r="AA57" s="401"/>
      <c r="AB57" s="316"/>
    </row>
    <row r="58" spans="1:28" ht="12.75">
      <c r="A58" s="315" t="s">
        <v>261</v>
      </c>
      <c r="D58" s="346"/>
      <c r="E58" s="346">
        <v>-0.78</v>
      </c>
      <c r="F58" s="346">
        <v>0.8</v>
      </c>
      <c r="G58" s="346">
        <v>-0.7</v>
      </c>
      <c r="H58" s="346">
        <v>0.84</v>
      </c>
      <c r="I58" s="346">
        <v>0.37</v>
      </c>
      <c r="J58" s="346">
        <v>-0.75</v>
      </c>
      <c r="K58" s="346">
        <v>0.06</v>
      </c>
      <c r="L58" s="346">
        <v>0.31</v>
      </c>
      <c r="M58" s="346">
        <v>0.15</v>
      </c>
      <c r="N58" s="346">
        <v>-0.23</v>
      </c>
      <c r="O58" s="346">
        <v>-0.02</v>
      </c>
      <c r="P58" s="346">
        <v>0.39</v>
      </c>
      <c r="Q58" s="346">
        <v>-1.03</v>
      </c>
      <c r="R58" s="346">
        <v>0.55</v>
      </c>
      <c r="S58" s="346">
        <v>0.8</v>
      </c>
      <c r="T58" s="346">
        <f aca="true" t="shared" si="10" ref="T58:AA58">+T53</f>
        <v>-1.87</v>
      </c>
      <c r="U58" s="346">
        <f t="shared" si="10"/>
        <v>-0.22</v>
      </c>
      <c r="V58" s="346">
        <f t="shared" si="10"/>
        <v>0.76</v>
      </c>
      <c r="W58" s="346">
        <f t="shared" si="10"/>
        <v>0.25</v>
      </c>
      <c r="X58" s="346">
        <f>+X53</f>
        <v>-0.15</v>
      </c>
      <c r="Y58" s="346">
        <f>+Y53</f>
        <v>0.67</v>
      </c>
      <c r="Z58" s="346">
        <f t="shared" si="10"/>
        <v>-0.82</v>
      </c>
      <c r="AA58" s="473">
        <f t="shared" si="10"/>
        <v>-0.55</v>
      </c>
      <c r="AB58" s="316"/>
    </row>
    <row r="59" spans="1:28" ht="13.5" thickBot="1">
      <c r="A59" s="315" t="s">
        <v>263</v>
      </c>
      <c r="D59" s="343">
        <v>2.16</v>
      </c>
      <c r="E59" s="343">
        <f aca="true" t="shared" si="11" ref="E59:R59">SUM(E56:E58)</f>
        <v>0.48</v>
      </c>
      <c r="F59" s="343">
        <f t="shared" si="11"/>
        <v>2.5700000000000003</v>
      </c>
      <c r="G59" s="343">
        <f t="shared" si="11"/>
        <v>0.76</v>
      </c>
      <c r="H59" s="343">
        <f t="shared" si="11"/>
        <v>2.83</v>
      </c>
      <c r="I59" s="343">
        <f t="shared" si="11"/>
        <v>2.8608135205862433</v>
      </c>
      <c r="J59" s="343">
        <f t="shared" si="11"/>
        <v>1.37</v>
      </c>
      <c r="K59" s="343">
        <f t="shared" si="11"/>
        <v>2.25</v>
      </c>
      <c r="L59" s="343">
        <f t="shared" si="11"/>
        <v>2.795210351308371</v>
      </c>
      <c r="M59" s="343">
        <f t="shared" si="11"/>
        <v>3.0514003326354238</v>
      </c>
      <c r="N59" s="343">
        <f t="shared" si="11"/>
        <v>2.756337578870041</v>
      </c>
      <c r="O59" s="343">
        <f t="shared" si="11"/>
        <v>3</v>
      </c>
      <c r="P59" s="343">
        <f t="shared" si="11"/>
        <v>3.96</v>
      </c>
      <c r="Q59" s="343">
        <f t="shared" si="11"/>
        <v>1.41</v>
      </c>
      <c r="R59" s="343">
        <f t="shared" si="11"/>
        <v>3.26</v>
      </c>
      <c r="S59" s="343">
        <f aca="true" t="shared" si="12" ref="S59:AA59">SUM(S56:S58)</f>
        <v>5.337889274046535</v>
      </c>
      <c r="T59" s="343">
        <f t="shared" si="12"/>
        <v>1.7354217135630527</v>
      </c>
      <c r="U59" s="343">
        <f t="shared" si="12"/>
        <v>3.0887916255305186</v>
      </c>
      <c r="V59" s="343">
        <f t="shared" si="12"/>
        <v>3.8600000000000003</v>
      </c>
      <c r="W59" s="343">
        <f t="shared" si="12"/>
        <v>2.87</v>
      </c>
      <c r="X59" s="343">
        <f>SUM(X56:X58)</f>
        <v>1.79</v>
      </c>
      <c r="Y59" s="343">
        <f>SUM(Y56:Y58)</f>
        <v>3.37</v>
      </c>
      <c r="Z59" s="343">
        <f t="shared" si="12"/>
        <v>-0.09596446819220783</v>
      </c>
      <c r="AA59" s="429">
        <f t="shared" si="12"/>
        <v>0.17403553180779208</v>
      </c>
      <c r="AB59" s="316"/>
    </row>
    <row r="60" spans="4:28" ht="13.5" thickTop="1">
      <c r="D60" s="430"/>
      <c r="E60" s="430"/>
      <c r="F60" s="430"/>
      <c r="G60" s="430"/>
      <c r="H60" s="430"/>
      <c r="I60" s="430"/>
      <c r="J60" s="430"/>
      <c r="K60" s="430"/>
      <c r="L60" s="430"/>
      <c r="M60" s="430"/>
      <c r="N60" s="430"/>
      <c r="O60" s="430"/>
      <c r="P60" s="430"/>
      <c r="Q60" s="430"/>
      <c r="R60" s="430"/>
      <c r="S60" s="430"/>
      <c r="T60" s="430"/>
      <c r="U60" s="430"/>
      <c r="V60" s="430"/>
      <c r="W60" s="430"/>
      <c r="X60" s="430"/>
      <c r="Y60" s="430"/>
      <c r="Z60" s="430"/>
      <c r="AA60" s="431"/>
      <c r="AB60" s="316"/>
    </row>
    <row r="61" spans="1:30" ht="12.75">
      <c r="A61" s="315" t="s">
        <v>264</v>
      </c>
      <c r="D61" s="430"/>
      <c r="E61" s="430"/>
      <c r="F61" s="430"/>
      <c r="G61" s="430"/>
      <c r="H61" s="430"/>
      <c r="I61" s="430"/>
      <c r="J61" s="430"/>
      <c r="K61" s="430"/>
      <c r="L61" s="430"/>
      <c r="M61" s="430"/>
      <c r="N61" s="430"/>
      <c r="O61" s="430"/>
      <c r="P61" s="430"/>
      <c r="Q61" s="430"/>
      <c r="R61" s="430"/>
      <c r="S61" s="430"/>
      <c r="T61" s="430"/>
      <c r="U61" s="430"/>
      <c r="V61" s="430"/>
      <c r="W61" s="475"/>
      <c r="X61" s="475"/>
      <c r="Y61" s="475"/>
      <c r="Z61" s="475"/>
      <c r="AA61" s="476"/>
      <c r="AB61" s="316"/>
      <c r="AD61" s="371"/>
    </row>
    <row r="62" spans="4:30" ht="12.75">
      <c r="D62" s="430"/>
      <c r="E62" s="430"/>
      <c r="F62" s="430"/>
      <c r="G62" s="430"/>
      <c r="H62" s="430"/>
      <c r="I62" s="430"/>
      <c r="J62" s="430"/>
      <c r="K62" s="430"/>
      <c r="L62" s="430"/>
      <c r="M62" s="430"/>
      <c r="N62" s="430"/>
      <c r="O62" s="430"/>
      <c r="P62" s="430"/>
      <c r="Q62" s="430"/>
      <c r="R62" s="430"/>
      <c r="S62" s="430"/>
      <c r="T62" s="430"/>
      <c r="U62" s="430"/>
      <c r="V62" s="430"/>
      <c r="W62" s="475"/>
      <c r="X62" s="475"/>
      <c r="Y62" s="475"/>
      <c r="Z62" s="475"/>
      <c r="AA62" s="476"/>
      <c r="AB62" s="316"/>
      <c r="AC62" s="437">
        <f>+D35*0.5/12</f>
        <v>880.9583333333334</v>
      </c>
      <c r="AD62" s="437">
        <f>+AC62/D32</f>
        <v>0.04183088002532447</v>
      </c>
    </row>
    <row r="63" spans="1:28" ht="38.25">
      <c r="A63" s="432" t="s">
        <v>265</v>
      </c>
      <c r="C63" s="433">
        <v>0.5</v>
      </c>
      <c r="D63" s="331"/>
      <c r="E63" s="331"/>
      <c r="F63" s="331"/>
      <c r="G63" s="331"/>
      <c r="H63" s="331"/>
      <c r="I63" s="331"/>
      <c r="J63" s="331"/>
      <c r="K63" s="331"/>
      <c r="L63" s="331"/>
      <c r="M63" s="331"/>
      <c r="N63" s="331"/>
      <c r="O63" s="331"/>
      <c r="P63" s="331"/>
      <c r="Q63" s="331"/>
      <c r="R63" s="331"/>
      <c r="S63" s="331"/>
      <c r="T63" s="331"/>
      <c r="U63" s="331"/>
      <c r="V63" s="331"/>
      <c r="W63" s="331"/>
      <c r="X63" s="331"/>
      <c r="Y63" s="331"/>
      <c r="Z63" s="331"/>
      <c r="AA63" s="428">
        <f>ROUND(-AA56*C63,2)</f>
        <v>-0.36</v>
      </c>
      <c r="AB63" s="316"/>
    </row>
    <row r="64" spans="4:28" ht="12.75">
      <c r="D64" s="331"/>
      <c r="E64" s="331"/>
      <c r="F64" s="331"/>
      <c r="G64" s="331"/>
      <c r="H64" s="331"/>
      <c r="I64" s="331"/>
      <c r="J64" s="331"/>
      <c r="K64" s="331"/>
      <c r="L64" s="331"/>
      <c r="M64" s="331"/>
      <c r="N64" s="331"/>
      <c r="O64" s="331"/>
      <c r="P64" s="331"/>
      <c r="Q64" s="331"/>
      <c r="R64" s="331"/>
      <c r="S64" s="331"/>
      <c r="T64" s="331"/>
      <c r="U64" s="331"/>
      <c r="V64" s="331"/>
      <c r="W64" s="331"/>
      <c r="X64" s="331"/>
      <c r="Y64" s="331"/>
      <c r="Z64" s="331"/>
      <c r="AA64" s="401"/>
      <c r="AB64" s="316"/>
    </row>
    <row r="65" spans="1:29" ht="13.5" thickBot="1">
      <c r="A65" s="315" t="s">
        <v>266</v>
      </c>
      <c r="D65" s="343">
        <v>2.16</v>
      </c>
      <c r="E65" s="343">
        <v>0.61</v>
      </c>
      <c r="F65" s="343">
        <v>2.57</v>
      </c>
      <c r="G65" s="434">
        <v>0.87</v>
      </c>
      <c r="H65" s="435">
        <v>2.56</v>
      </c>
      <c r="I65" s="435">
        <v>2.89</v>
      </c>
      <c r="J65" s="435">
        <v>1.96</v>
      </c>
      <c r="K65" s="435">
        <v>1.45</v>
      </c>
      <c r="L65" s="435">
        <v>1.97</v>
      </c>
      <c r="M65" s="435">
        <v>2.39</v>
      </c>
      <c r="N65" s="435">
        <v>2.16</v>
      </c>
      <c r="O65" s="435">
        <v>2.1</v>
      </c>
      <c r="P65" s="435">
        <v>2.87</v>
      </c>
      <c r="Q65" s="435">
        <v>1.05</v>
      </c>
      <c r="R65" s="435">
        <v>1.505</v>
      </c>
      <c r="S65" s="435">
        <v>4.9</v>
      </c>
      <c r="T65" s="435">
        <v>1.5</v>
      </c>
      <c r="U65" s="435">
        <v>1.13</v>
      </c>
      <c r="V65" s="435">
        <v>1.52</v>
      </c>
      <c r="W65" s="435">
        <v>1.13</v>
      </c>
      <c r="X65" s="435">
        <v>0.62</v>
      </c>
      <c r="Y65" s="435">
        <v>1.62</v>
      </c>
      <c r="Z65" s="435"/>
      <c r="AA65" s="436">
        <f>+AA63+AA59+AA61</f>
        <v>-0.1859644681922079</v>
      </c>
      <c r="AB65" s="316"/>
      <c r="AC65" s="330"/>
    </row>
    <row r="66" spans="4:28" ht="14.25" thickBot="1" thickTop="1">
      <c r="D66" s="430"/>
      <c r="E66" s="430"/>
      <c r="F66" s="430"/>
      <c r="G66" s="438"/>
      <c r="H66" s="430"/>
      <c r="I66" s="430"/>
      <c r="J66" s="430"/>
      <c r="K66" s="430"/>
      <c r="L66" s="430"/>
      <c r="M66" s="331"/>
      <c r="N66" s="331"/>
      <c r="O66" s="331"/>
      <c r="P66" s="331"/>
      <c r="Q66" s="331"/>
      <c r="R66" s="331"/>
      <c r="S66" s="331"/>
      <c r="T66" s="331"/>
      <c r="U66" s="331"/>
      <c r="V66" s="331"/>
      <c r="W66" s="331"/>
      <c r="X66" s="331"/>
      <c r="Y66" s="331"/>
      <c r="Z66" s="331"/>
      <c r="AA66" s="439"/>
      <c r="AB66" s="316"/>
    </row>
    <row r="67" spans="1:28" ht="13.5" thickBot="1">
      <c r="A67" s="315" t="s">
        <v>275</v>
      </c>
      <c r="D67" s="443"/>
      <c r="E67" s="445">
        <v>7810.308000000001</v>
      </c>
      <c r="F67" s="445">
        <v>8167.99</v>
      </c>
      <c r="G67" s="445">
        <v>8903.55</v>
      </c>
      <c r="H67" s="445">
        <v>9011.56</v>
      </c>
      <c r="I67" s="445">
        <v>8698.39223</v>
      </c>
      <c r="J67" s="445">
        <v>8345.086153846154</v>
      </c>
      <c r="K67" s="445">
        <v>7749.8657142857155</v>
      </c>
      <c r="L67" s="445">
        <v>10344.54</v>
      </c>
      <c r="M67" s="445">
        <v>10726.52</v>
      </c>
      <c r="N67" s="445">
        <v>10762.96</v>
      </c>
      <c r="O67" s="445">
        <v>9784.27</v>
      </c>
      <c r="P67" s="445">
        <v>8049.7</v>
      </c>
      <c r="Q67" s="445">
        <v>8059.959999999999</v>
      </c>
      <c r="R67" s="445">
        <v>8644.85</v>
      </c>
      <c r="S67" s="445">
        <v>11672.96</v>
      </c>
      <c r="T67" s="446">
        <v>8958.309894235463</v>
      </c>
      <c r="U67" s="446">
        <v>8289.830508989748</v>
      </c>
      <c r="V67" s="446">
        <v>7790.159877328698</v>
      </c>
      <c r="W67" s="446">
        <v>7886.729999999999</v>
      </c>
      <c r="X67" s="446">
        <v>7899.340000000001</v>
      </c>
      <c r="Y67" s="446">
        <v>7749.76</v>
      </c>
      <c r="Z67" s="446">
        <f>+W17</f>
        <v>6126.99</v>
      </c>
      <c r="AA67" s="447">
        <f>SUM(E67:W67)</f>
        <v>169657.5423786858</v>
      </c>
      <c r="AB67" s="316"/>
    </row>
    <row r="68" spans="4:28" ht="13.5" thickTop="1">
      <c r="D68" s="443"/>
      <c r="E68" s="448"/>
      <c r="F68" s="449">
        <f aca="true" t="shared" si="13" ref="F68:R68">+F67/E67-1</f>
        <v>0.045796145299263236</v>
      </c>
      <c r="G68" s="449">
        <f t="shared" si="13"/>
        <v>0.09005397900829948</v>
      </c>
      <c r="H68" s="449">
        <f t="shared" si="13"/>
        <v>0.012131116240151396</v>
      </c>
      <c r="I68" s="449">
        <f t="shared" si="13"/>
        <v>-0.034751782155364896</v>
      </c>
      <c r="J68" s="449">
        <f t="shared" si="13"/>
        <v>-0.040617399952984856</v>
      </c>
      <c r="K68" s="449">
        <f t="shared" si="13"/>
        <v>-0.07132585914479839</v>
      </c>
      <c r="L68" s="449">
        <f t="shared" si="13"/>
        <v>0.3348024832135339</v>
      </c>
      <c r="M68" s="449">
        <f t="shared" si="13"/>
        <v>0.036925759869457675</v>
      </c>
      <c r="N68" s="449">
        <f t="shared" si="13"/>
        <v>0.0033971875314640076</v>
      </c>
      <c r="O68" s="449">
        <f t="shared" si="13"/>
        <v>-0.0909313051428231</v>
      </c>
      <c r="P68" s="449">
        <f t="shared" si="13"/>
        <v>-0.17728149366278734</v>
      </c>
      <c r="Q68" s="449">
        <f t="shared" si="13"/>
        <v>0.0012745816614283534</v>
      </c>
      <c r="R68" s="449">
        <f t="shared" si="13"/>
        <v>0.0725673576543806</v>
      </c>
      <c r="S68" s="449">
        <f>+S67/16*12/R67-1</f>
        <v>0.01270930091326039</v>
      </c>
      <c r="T68" s="449">
        <f>+T67/13*16/S67-1</f>
        <v>-0.05545704110006622</v>
      </c>
      <c r="U68" s="449">
        <f>+U67/12*12/T67-1</f>
        <v>-0.07462114987514235</v>
      </c>
      <c r="V68" s="449">
        <f>+V67/12*12/U67-1</f>
        <v>-0.06027513241907556</v>
      </c>
      <c r="W68" s="449">
        <f>+W67/12*12/V67-1</f>
        <v>0.01239642371812466</v>
      </c>
      <c r="X68" s="449">
        <f>+X67/12*12/W67-1</f>
        <v>0.0015988882591393416</v>
      </c>
      <c r="Y68" s="449">
        <f>+Y67/12*12/X67-1</f>
        <v>-0.01893575919000834</v>
      </c>
      <c r="Z68" s="449">
        <f>+Z67/12*12/W67-1</f>
        <v>-0.22312669509416438</v>
      </c>
      <c r="AA68" s="444"/>
      <c r="AB68" s="316"/>
    </row>
    <row r="69" spans="1:28" ht="13.5" thickBot="1">
      <c r="A69" s="315" t="s">
        <v>276</v>
      </c>
      <c r="D69" s="443"/>
      <c r="E69" s="450">
        <f aca="true" t="shared" si="14" ref="E69:W69">+E51</f>
        <v>19015</v>
      </c>
      <c r="F69" s="450">
        <f t="shared" si="14"/>
        <v>19513</v>
      </c>
      <c r="G69" s="450">
        <f t="shared" si="14"/>
        <v>20215</v>
      </c>
      <c r="H69" s="450">
        <f t="shared" si="14"/>
        <v>20447</v>
      </c>
      <c r="I69" s="450">
        <f t="shared" si="14"/>
        <v>20711.674242424244</v>
      </c>
      <c r="J69" s="450">
        <f t="shared" si="14"/>
        <v>21314</v>
      </c>
      <c r="K69" s="450">
        <f t="shared" si="14"/>
        <v>22270</v>
      </c>
      <c r="L69" s="450">
        <f t="shared" si="14"/>
        <v>23056.666666666668</v>
      </c>
      <c r="M69" s="450">
        <f t="shared" si="14"/>
        <v>24000.25</v>
      </c>
      <c r="N69" s="450">
        <f t="shared" si="14"/>
        <v>24843.083333333332</v>
      </c>
      <c r="O69" s="450">
        <f t="shared" si="14"/>
        <v>23590</v>
      </c>
      <c r="P69" s="450">
        <f t="shared" si="14"/>
        <v>20465</v>
      </c>
      <c r="Q69" s="450">
        <f t="shared" si="14"/>
        <v>20537</v>
      </c>
      <c r="R69" s="450">
        <f t="shared" si="14"/>
        <v>20666</v>
      </c>
      <c r="S69" s="450">
        <f t="shared" si="14"/>
        <v>20890.916666666668</v>
      </c>
      <c r="T69" s="450">
        <f t="shared" si="14"/>
        <v>21113</v>
      </c>
      <c r="U69" s="450">
        <f t="shared" si="14"/>
        <v>21536</v>
      </c>
      <c r="V69" s="450">
        <f t="shared" si="14"/>
        <v>20705</v>
      </c>
      <c r="W69" s="450">
        <f t="shared" si="14"/>
        <v>20397.916666666668</v>
      </c>
      <c r="X69" s="450">
        <f>+X51</f>
        <v>20572</v>
      </c>
      <c r="Y69" s="450">
        <f>+Y51</f>
        <v>20714</v>
      </c>
      <c r="Z69" s="451">
        <f>+Z51</f>
        <v>20947.666666666668</v>
      </c>
      <c r="AA69" s="452">
        <f>SUM(E69:Z69)</f>
        <v>467520.1742424243</v>
      </c>
      <c r="AB69" s="316"/>
    </row>
    <row r="70" spans="5:28" ht="13.5" thickTop="1">
      <c r="E70" s="453"/>
      <c r="F70" s="449">
        <f>+F69/(E69)-1</f>
        <v>0.02618985011832753</v>
      </c>
      <c r="G70" s="449">
        <f aca="true" t="shared" si="15" ref="G70:V70">+G69/F69-1</f>
        <v>0.035976015989340526</v>
      </c>
      <c r="H70" s="449">
        <f t="shared" si="15"/>
        <v>0.011476626267623136</v>
      </c>
      <c r="I70" s="449">
        <f t="shared" si="15"/>
        <v>0.012944404676688226</v>
      </c>
      <c r="J70" s="449">
        <f t="shared" si="15"/>
        <v>0.02908146152385882</v>
      </c>
      <c r="K70" s="449">
        <f t="shared" si="15"/>
        <v>0.04485314816552499</v>
      </c>
      <c r="L70" s="449">
        <f t="shared" si="15"/>
        <v>0.03532405328543642</v>
      </c>
      <c r="M70" s="449">
        <f t="shared" si="15"/>
        <v>0.04092453375740912</v>
      </c>
      <c r="N70" s="449">
        <f t="shared" si="15"/>
        <v>0.03511768974628726</v>
      </c>
      <c r="O70" s="449">
        <f t="shared" si="15"/>
        <v>-0.050439927947751984</v>
      </c>
      <c r="P70" s="449">
        <f t="shared" si="15"/>
        <v>-0.13247138618058496</v>
      </c>
      <c r="Q70" s="449">
        <f t="shared" si="15"/>
        <v>0.0035182018079649158</v>
      </c>
      <c r="R70" s="449">
        <f t="shared" si="15"/>
        <v>0.006281345863563326</v>
      </c>
      <c r="S70" s="449">
        <f t="shared" si="15"/>
        <v>0.010883415594051371</v>
      </c>
      <c r="T70" s="449">
        <f t="shared" si="15"/>
        <v>0.010630616974681928</v>
      </c>
      <c r="U70" s="449">
        <f t="shared" si="15"/>
        <v>0.020035049495571444</v>
      </c>
      <c r="V70" s="449">
        <f t="shared" si="15"/>
        <v>-0.03858655274888556</v>
      </c>
      <c r="W70" s="449">
        <f>+W69/V69-1</f>
        <v>-0.014831361184898917</v>
      </c>
      <c r="X70" s="449">
        <f>+X69/W69-1</f>
        <v>0.00853436829741594</v>
      </c>
      <c r="Y70" s="449">
        <f>+Y69/X69-1</f>
        <v>0.006902586039276626</v>
      </c>
      <c r="Z70" s="449">
        <f>+Z69/W69-1</f>
        <v>0.02695128178939843</v>
      </c>
      <c r="AB70" s="316"/>
    </row>
    <row r="71" spans="1:28" ht="12.75">
      <c r="A71" s="315" t="s">
        <v>270</v>
      </c>
      <c r="B71" s="454"/>
      <c r="C71" s="454"/>
      <c r="D71" s="455"/>
      <c r="E71" s="456">
        <f aca="true" t="shared" si="16" ref="E71:AA71">+E67*2000/E69/E48</f>
        <v>82.14891401525112</v>
      </c>
      <c r="F71" s="456">
        <f t="shared" si="16"/>
        <v>69.76537009515025</v>
      </c>
      <c r="G71" s="456">
        <f t="shared" si="16"/>
        <v>73.40712342320059</v>
      </c>
      <c r="H71" s="456">
        <f t="shared" si="16"/>
        <v>73.45462252001109</v>
      </c>
      <c r="I71" s="456">
        <f t="shared" si="16"/>
        <v>69.99588837506002</v>
      </c>
      <c r="J71" s="456">
        <f t="shared" si="16"/>
        <v>60.23549818354245</v>
      </c>
      <c r="K71" s="456">
        <f t="shared" si="16"/>
        <v>49.713680892204216</v>
      </c>
      <c r="L71" s="456">
        <f t="shared" si="16"/>
        <v>74.77620355645512</v>
      </c>
      <c r="M71" s="456">
        <f t="shared" si="16"/>
        <v>74.48894629569831</v>
      </c>
      <c r="N71" s="456">
        <f t="shared" si="16"/>
        <v>72.20628142641984</v>
      </c>
      <c r="O71" s="456">
        <f t="shared" si="16"/>
        <v>69.12724318213932</v>
      </c>
      <c r="P71" s="456">
        <f t="shared" si="16"/>
        <v>65.5566414203111</v>
      </c>
      <c r="Q71" s="456">
        <f t="shared" si="16"/>
        <v>65.4100728765967</v>
      </c>
      <c r="R71" s="456">
        <f t="shared" si="16"/>
        <v>69.7187812510081</v>
      </c>
      <c r="S71" s="456">
        <f t="shared" si="16"/>
        <v>69.84470922370568</v>
      </c>
      <c r="T71" s="456">
        <f t="shared" si="16"/>
        <v>65.27738938995269</v>
      </c>
      <c r="U71" s="456">
        <f t="shared" si="16"/>
        <v>64.15482996679782</v>
      </c>
      <c r="V71" s="456">
        <f t="shared" si="16"/>
        <v>62.70755757328099</v>
      </c>
      <c r="W71" s="456">
        <f t="shared" si="16"/>
        <v>64.44064957614134</v>
      </c>
      <c r="X71" s="456">
        <f>+X67*2000/X69/X48</f>
        <v>63.99750469894355</v>
      </c>
      <c r="Y71" s="456">
        <f>+Y67*2000/Y69/Y48</f>
        <v>62.35525087702359</v>
      </c>
      <c r="Z71" s="456">
        <f t="shared" si="16"/>
        <v>48.748388842034906</v>
      </c>
      <c r="AA71" s="457">
        <f t="shared" si="16"/>
        <v>60.481362347482666</v>
      </c>
      <c r="AB71" s="316"/>
    </row>
    <row r="72" spans="2:28" ht="12.75">
      <c r="B72" s="454"/>
      <c r="C72" s="454"/>
      <c r="D72" s="455"/>
      <c r="E72" s="459"/>
      <c r="F72" s="459"/>
      <c r="G72" s="459"/>
      <c r="H72" s="459"/>
      <c r="I72" s="459"/>
      <c r="J72" s="459"/>
      <c r="K72" s="459"/>
      <c r="L72" s="459"/>
      <c r="M72" s="459"/>
      <c r="N72" s="459"/>
      <c r="O72" s="459"/>
      <c r="P72" s="459"/>
      <c r="Q72" s="459"/>
      <c r="R72" s="459"/>
      <c r="S72" s="459"/>
      <c r="T72" s="459"/>
      <c r="U72" s="459"/>
      <c r="V72" s="459"/>
      <c r="W72" s="459"/>
      <c r="X72" s="459"/>
      <c r="Y72" s="459"/>
      <c r="Z72" s="459"/>
      <c r="AB72" s="316"/>
    </row>
    <row r="73" spans="1:28" ht="12.75">
      <c r="A73" s="315" t="s">
        <v>271</v>
      </c>
      <c r="B73" s="454"/>
      <c r="C73" s="454"/>
      <c r="D73" s="455"/>
      <c r="E73" s="460">
        <f aca="true" t="shared" si="17" ref="E73:AA73">+E40/E67</f>
        <v>33.5569352706705</v>
      </c>
      <c r="F73" s="460">
        <f t="shared" si="17"/>
        <v>47.818986066339455</v>
      </c>
      <c r="G73" s="460">
        <f t="shared" si="17"/>
        <v>42.08984056921116</v>
      </c>
      <c r="H73" s="460">
        <f t="shared" si="17"/>
        <v>54.23766806191159</v>
      </c>
      <c r="I73" s="460">
        <f t="shared" si="17"/>
        <v>75.56488401765255</v>
      </c>
      <c r="J73" s="460">
        <f t="shared" si="17"/>
        <v>69.24949477407802</v>
      </c>
      <c r="K73" s="460">
        <f t="shared" si="17"/>
        <v>83.64248154714569</v>
      </c>
      <c r="L73" s="460">
        <f t="shared" si="17"/>
        <v>66.47062121660315</v>
      </c>
      <c r="M73" s="460">
        <f t="shared" si="17"/>
        <v>77.90150020696368</v>
      </c>
      <c r="N73" s="460">
        <f t="shared" si="17"/>
        <v>82.71683626065693</v>
      </c>
      <c r="O73" s="460">
        <f t="shared" si="17"/>
        <v>87.36993153296055</v>
      </c>
      <c r="P73" s="460">
        <f t="shared" si="17"/>
        <v>109.03275898480689</v>
      </c>
      <c r="Q73" s="460">
        <f t="shared" si="17"/>
        <v>74.60880699159799</v>
      </c>
      <c r="R73" s="460">
        <f t="shared" si="17"/>
        <v>77.8735316402251</v>
      </c>
      <c r="S73" s="460">
        <f t="shared" si="17"/>
        <v>117.42694226657164</v>
      </c>
      <c r="T73" s="460">
        <f t="shared" si="17"/>
        <v>110.34949802709033</v>
      </c>
      <c r="U73" s="460">
        <f t="shared" si="17"/>
        <v>103.15060109765841</v>
      </c>
      <c r="V73" s="460">
        <f t="shared" si="17"/>
        <v>98.82261880663546</v>
      </c>
      <c r="W73" s="460">
        <f t="shared" si="17"/>
        <v>81.1941070633837</v>
      </c>
      <c r="X73" s="460">
        <f>+X40/X67</f>
        <v>60.63240726440436</v>
      </c>
      <c r="Y73" s="460">
        <f>+Y40/Y67</f>
        <v>86.58473860981583</v>
      </c>
      <c r="Z73" s="460">
        <f t="shared" si="17"/>
        <v>43.930551877327744</v>
      </c>
      <c r="AA73" s="460">
        <f t="shared" si="17"/>
        <v>87.61100619245464</v>
      </c>
      <c r="AB73" s="316"/>
    </row>
    <row r="74" spans="2:28" ht="15">
      <c r="B74" s="454"/>
      <c r="C74" s="454"/>
      <c r="D74" s="455"/>
      <c r="E74" s="461"/>
      <c r="F74" s="461"/>
      <c r="G74" s="461"/>
      <c r="H74" s="461"/>
      <c r="I74" s="461"/>
      <c r="J74" s="461"/>
      <c r="K74" s="461"/>
      <c r="L74" s="461"/>
      <c r="M74" s="461"/>
      <c r="N74" s="461"/>
      <c r="O74" s="461"/>
      <c r="P74" s="461"/>
      <c r="Q74" s="461"/>
      <c r="R74" s="461"/>
      <c r="S74" s="461"/>
      <c r="T74" s="461"/>
      <c r="U74" s="461"/>
      <c r="V74" s="461"/>
      <c r="W74" s="461"/>
      <c r="X74" s="461"/>
      <c r="Y74" s="461"/>
      <c r="Z74" s="461"/>
      <c r="AB74" s="316"/>
    </row>
    <row r="75" spans="1:3" ht="12.75">
      <c r="A75" s="318" t="s">
        <v>272</v>
      </c>
      <c r="B75" s="318"/>
      <c r="C75" s="462">
        <v>0.475</v>
      </c>
    </row>
    <row r="76" spans="1:3" ht="12.75">
      <c r="A76" s="318" t="s">
        <v>282</v>
      </c>
      <c r="B76" s="318"/>
      <c r="C76" s="462">
        <v>0.5</v>
      </c>
    </row>
  </sheetData>
  <sheetProtection/>
  <mergeCells count="2">
    <mergeCell ref="O19:R19"/>
    <mergeCell ref="O20:R20"/>
  </mergeCell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AG89"/>
  <sheetViews>
    <sheetView zoomScalePageLayoutView="0" workbookViewId="0" topLeftCell="A19">
      <selection activeCell="S54" sqref="S54"/>
    </sheetView>
  </sheetViews>
  <sheetFormatPr defaultColWidth="9.140625" defaultRowHeight="12.75"/>
  <cols>
    <col min="1" max="1" width="25.00390625" style="0" customWidth="1"/>
    <col min="2" max="2" width="10.00390625" style="0" customWidth="1"/>
    <col min="3" max="3" width="13.57421875" style="0" customWidth="1"/>
    <col min="4" max="4" width="10.421875" style="0" bestFit="1" customWidth="1"/>
    <col min="5" max="5" width="10.28125" style="0" hidden="1" customWidth="1"/>
    <col min="6" max="6" width="10.7109375" style="0" hidden="1" customWidth="1"/>
    <col min="7" max="7" width="14.140625" style="0" hidden="1" customWidth="1"/>
    <col min="8" max="9" width="10.28125" style="0" hidden="1" customWidth="1"/>
    <col min="10" max="10" width="11.28125" style="0" hidden="1" customWidth="1"/>
    <col min="11" max="14" width="10.28125" style="0" hidden="1" customWidth="1"/>
    <col min="15" max="15" width="12.7109375" style="0" customWidth="1"/>
    <col min="16" max="20" width="12.8515625" style="0" bestFit="1" customWidth="1"/>
    <col min="21" max="21" width="10.28125" style="0" customWidth="1"/>
    <col min="22" max="22" width="14.28125" style="0" bestFit="1" customWidth="1"/>
    <col min="23" max="26" width="10.28125" style="0" customWidth="1"/>
    <col min="27" max="27" width="14.57421875" style="0" bestFit="1" customWidth="1"/>
    <col min="28" max="28" width="3.57421875" style="0" customWidth="1"/>
    <col min="29" max="29" width="10.28125" style="0" bestFit="1" customWidth="1"/>
    <col min="30" max="30" width="9.7109375" style="0" bestFit="1" customWidth="1"/>
  </cols>
  <sheetData>
    <row r="1" spans="1:33" ht="12.75">
      <c r="A1" s="312" t="s">
        <v>273</v>
      </c>
      <c r="B1" s="313"/>
      <c r="C1" s="313"/>
      <c r="D1" s="314"/>
      <c r="E1" s="315"/>
      <c r="F1" s="315"/>
      <c r="G1" s="315"/>
      <c r="H1" s="315"/>
      <c r="I1" s="315"/>
      <c r="J1" s="315"/>
      <c r="K1" s="315"/>
      <c r="L1" s="315"/>
      <c r="M1" s="315"/>
      <c r="N1" s="315"/>
      <c r="O1" s="315"/>
      <c r="P1" s="315"/>
      <c r="Q1" s="315"/>
      <c r="R1" s="315"/>
      <c r="S1" s="315"/>
      <c r="T1" s="315"/>
      <c r="U1" s="315"/>
      <c r="V1" s="315"/>
      <c r="W1" s="315"/>
      <c r="X1" s="315"/>
      <c r="Y1" s="315"/>
      <c r="Z1" s="315"/>
      <c r="AA1" s="315"/>
      <c r="AB1" s="316"/>
      <c r="AC1" s="315"/>
      <c r="AD1" s="315"/>
      <c r="AE1" s="315"/>
      <c r="AF1" s="315"/>
      <c r="AG1" s="315"/>
    </row>
    <row r="2" spans="1:33" ht="12.75">
      <c r="A2" s="317" t="s">
        <v>274</v>
      </c>
      <c r="B2" s="318"/>
      <c r="C2" s="318"/>
      <c r="D2" s="319"/>
      <c r="E2" s="315"/>
      <c r="F2" s="315"/>
      <c r="G2" s="315"/>
      <c r="H2" s="315"/>
      <c r="I2" s="315"/>
      <c r="J2" s="315"/>
      <c r="K2" s="315"/>
      <c r="L2" s="315"/>
      <c r="M2" s="315"/>
      <c r="N2" s="315"/>
      <c r="O2" s="315"/>
      <c r="P2" s="315"/>
      <c r="Q2" s="315"/>
      <c r="R2" s="315"/>
      <c r="S2" s="315"/>
      <c r="T2" s="315"/>
      <c r="U2" s="315"/>
      <c r="V2" s="315"/>
      <c r="W2" s="315"/>
      <c r="X2" s="315"/>
      <c r="Y2" s="315"/>
      <c r="Z2" s="315"/>
      <c r="AA2" s="315"/>
      <c r="AB2" s="316"/>
      <c r="AC2" s="315"/>
      <c r="AD2" s="315"/>
      <c r="AE2" s="315"/>
      <c r="AF2" s="315"/>
      <c r="AG2" s="315"/>
    </row>
    <row r="3" spans="1:33" ht="12.75">
      <c r="A3" s="320" t="s">
        <v>182</v>
      </c>
      <c r="B3" s="321"/>
      <c r="C3" s="321"/>
      <c r="D3" s="322"/>
      <c r="E3" s="315"/>
      <c r="F3" s="315"/>
      <c r="G3" s="315"/>
      <c r="H3" s="315"/>
      <c r="I3" s="315"/>
      <c r="J3" s="315"/>
      <c r="K3" s="315"/>
      <c r="L3" s="315"/>
      <c r="M3" s="315"/>
      <c r="N3" s="315"/>
      <c r="O3" s="315"/>
      <c r="P3" s="315"/>
      <c r="Q3" s="315"/>
      <c r="R3" s="315"/>
      <c r="S3" s="315"/>
      <c r="T3" s="315"/>
      <c r="U3" s="315"/>
      <c r="V3" s="315"/>
      <c r="W3" s="315"/>
      <c r="X3" s="315"/>
      <c r="Y3" s="315"/>
      <c r="Z3" s="315"/>
      <c r="AA3" s="315"/>
      <c r="AB3" s="316"/>
      <c r="AC3" s="315"/>
      <c r="AD3" s="315"/>
      <c r="AE3" s="315"/>
      <c r="AF3" s="315"/>
      <c r="AG3" s="315"/>
    </row>
    <row r="4" spans="1:33" ht="13.5" thickBot="1">
      <c r="A4" s="315"/>
      <c r="B4" s="315"/>
      <c r="C4" s="315"/>
      <c r="D4" s="315"/>
      <c r="E4" s="315"/>
      <c r="J4" s="315"/>
      <c r="K4" s="315"/>
      <c r="L4" s="315"/>
      <c r="M4" s="315"/>
      <c r="N4" s="315"/>
      <c r="O4" s="315"/>
      <c r="P4" s="315"/>
      <c r="Q4" s="315"/>
      <c r="R4" s="315"/>
      <c r="S4" s="315"/>
      <c r="T4" s="315"/>
      <c r="U4" s="315"/>
      <c r="V4" s="315"/>
      <c r="W4" s="315"/>
      <c r="X4" s="315"/>
      <c r="Y4" s="315"/>
      <c r="Z4" s="315"/>
      <c r="AA4" s="315"/>
      <c r="AB4" s="316"/>
      <c r="AC4" s="315"/>
      <c r="AD4" s="315"/>
      <c r="AE4" s="315"/>
      <c r="AF4" s="315"/>
      <c r="AG4" s="315"/>
    </row>
    <row r="5" spans="1:33" ht="12.75">
      <c r="A5" s="323"/>
      <c r="B5" s="315"/>
      <c r="C5" s="315"/>
      <c r="D5" s="324"/>
      <c r="E5" s="315"/>
      <c r="J5" s="315"/>
      <c r="K5" s="315"/>
      <c r="L5" s="315"/>
      <c r="M5" s="315"/>
      <c r="N5" s="315"/>
      <c r="O5" s="315"/>
      <c r="P5" s="315"/>
      <c r="Q5" s="315"/>
      <c r="R5" s="315"/>
      <c r="S5" s="315"/>
      <c r="T5" s="315"/>
      <c r="U5" s="333"/>
      <c r="V5" s="325"/>
      <c r="W5" s="327" t="s">
        <v>184</v>
      </c>
      <c r="X5" s="464"/>
      <c r="Y5" s="315"/>
      <c r="Z5" s="315"/>
      <c r="AA5" s="329"/>
      <c r="AB5" s="316"/>
      <c r="AC5" s="315"/>
      <c r="AD5" s="315"/>
      <c r="AE5" s="315"/>
      <c r="AF5" s="315"/>
      <c r="AG5" s="315"/>
    </row>
    <row r="6" spans="1:33" ht="12.75">
      <c r="A6" s="315"/>
      <c r="B6" s="315"/>
      <c r="C6" s="315"/>
      <c r="D6" s="324"/>
      <c r="E6" s="315"/>
      <c r="J6" s="315"/>
      <c r="K6" s="315"/>
      <c r="L6" s="315"/>
      <c r="M6" s="315"/>
      <c r="N6" s="315"/>
      <c r="O6" s="315"/>
      <c r="P6" s="315"/>
      <c r="Q6" s="315"/>
      <c r="R6" s="315"/>
      <c r="S6" s="315"/>
      <c r="T6" s="315"/>
      <c r="U6" s="333"/>
      <c r="V6" s="332"/>
      <c r="W6" s="366" t="s">
        <v>185</v>
      </c>
      <c r="X6" s="335" t="s">
        <v>186</v>
      </c>
      <c r="Y6" s="315"/>
      <c r="Z6" s="315"/>
      <c r="AA6" s="12"/>
      <c r="AB6" s="316"/>
      <c r="AC6" s="315"/>
      <c r="AD6" s="315"/>
      <c r="AE6" s="315"/>
      <c r="AF6" s="315"/>
      <c r="AG6" s="315"/>
    </row>
    <row r="7" spans="1:33" ht="12.75">
      <c r="A7" s="315"/>
      <c r="B7" s="315"/>
      <c r="C7" s="315"/>
      <c r="D7" s="324"/>
      <c r="E7" s="315"/>
      <c r="J7" s="315"/>
      <c r="K7" s="315"/>
      <c r="L7" s="315"/>
      <c r="M7" s="315"/>
      <c r="N7" s="315"/>
      <c r="O7" s="315"/>
      <c r="P7" s="315"/>
      <c r="Q7" s="315"/>
      <c r="R7" s="315"/>
      <c r="S7" s="315"/>
      <c r="T7" s="315"/>
      <c r="U7" s="465"/>
      <c r="V7" s="466" t="s">
        <v>187</v>
      </c>
      <c r="W7" s="339">
        <f aca="true" t="shared" si="0" ref="W7:W16">+$W$17*X7</f>
        <v>1320.7467842099256</v>
      </c>
      <c r="X7" s="340">
        <f>+'NS(SC) - Old Method'!W7</f>
        <v>0.25290422345048286</v>
      </c>
      <c r="Y7" s="315"/>
      <c r="Z7" s="315"/>
      <c r="AA7" s="12"/>
      <c r="AB7" s="316"/>
      <c r="AC7" s="315"/>
      <c r="AD7" s="315"/>
      <c r="AE7" s="315"/>
      <c r="AF7" s="315"/>
      <c r="AG7" s="315"/>
    </row>
    <row r="8" spans="1:33" ht="12.75">
      <c r="A8" s="315"/>
      <c r="B8" s="315"/>
      <c r="C8" s="315"/>
      <c r="D8" s="324"/>
      <c r="E8" s="315"/>
      <c r="J8" s="315"/>
      <c r="K8" s="315"/>
      <c r="L8" s="315"/>
      <c r="M8" s="315"/>
      <c r="N8" s="315"/>
      <c r="O8" s="315"/>
      <c r="P8" s="315"/>
      <c r="Q8" s="315"/>
      <c r="R8" s="315"/>
      <c r="S8" s="315"/>
      <c r="T8" s="315"/>
      <c r="U8" s="465"/>
      <c r="V8" s="466" t="s">
        <v>1</v>
      </c>
      <c r="W8" s="339">
        <f t="shared" si="0"/>
        <v>1265.9073858106215</v>
      </c>
      <c r="X8" s="340">
        <f>+'NS(SC) - Old Method'!W8</f>
        <v>0.2424032586686801</v>
      </c>
      <c r="Y8" s="315"/>
      <c r="Z8" s="315"/>
      <c r="AA8" s="12"/>
      <c r="AB8" s="316"/>
      <c r="AC8" s="315"/>
      <c r="AD8" s="315"/>
      <c r="AE8" s="315"/>
      <c r="AF8" s="315"/>
      <c r="AG8" s="315"/>
    </row>
    <row r="9" spans="1:33" ht="12.75">
      <c r="A9" s="318"/>
      <c r="B9" s="318"/>
      <c r="C9" s="315"/>
      <c r="D9" s="324"/>
      <c r="E9" s="315"/>
      <c r="J9" s="315"/>
      <c r="K9" s="315"/>
      <c r="L9" s="315"/>
      <c r="M9" s="315"/>
      <c r="N9" s="315"/>
      <c r="O9" s="315"/>
      <c r="P9" s="315"/>
      <c r="Q9" s="315"/>
      <c r="R9" s="315"/>
      <c r="S9" s="315"/>
      <c r="T9" s="315"/>
      <c r="U9" s="465"/>
      <c r="V9" s="466" t="s">
        <v>188</v>
      </c>
      <c r="W9" s="339">
        <f t="shared" si="0"/>
        <v>641.6124873626912</v>
      </c>
      <c r="X9" s="340">
        <f>+'NS(SC) - Old Method'!W9</f>
        <v>0.12285966531401586</v>
      </c>
      <c r="Y9" s="339"/>
      <c r="AA9" s="12"/>
      <c r="AB9" s="316"/>
      <c r="AC9" s="315"/>
      <c r="AD9" s="315"/>
      <c r="AE9" s="315"/>
      <c r="AF9" s="315"/>
      <c r="AG9" s="315"/>
    </row>
    <row r="10" spans="1:33" ht="12.75">
      <c r="A10" s="315"/>
      <c r="B10" s="315"/>
      <c r="C10" s="315"/>
      <c r="D10" s="324"/>
      <c r="E10" s="315"/>
      <c r="J10" s="315"/>
      <c r="K10" s="315"/>
      <c r="L10" s="315"/>
      <c r="M10" s="315"/>
      <c r="N10" s="315"/>
      <c r="O10" s="315"/>
      <c r="P10" s="315"/>
      <c r="Q10" s="315"/>
      <c r="R10" s="315"/>
      <c r="S10" s="315"/>
      <c r="T10" s="315"/>
      <c r="U10" s="465"/>
      <c r="V10" s="466" t="s">
        <v>189</v>
      </c>
      <c r="W10" s="339">
        <f t="shared" si="0"/>
        <v>23.9134817185623</v>
      </c>
      <c r="X10" s="340">
        <f>+'NS(SC) - Old Method'!W10</f>
        <v>0.004579091614179579</v>
      </c>
      <c r="Y10" s="339"/>
      <c r="AA10" s="12"/>
      <c r="AB10" s="316"/>
      <c r="AC10" s="315"/>
      <c r="AD10" s="315"/>
      <c r="AE10" s="315"/>
      <c r="AF10" s="315"/>
      <c r="AG10" s="315"/>
    </row>
    <row r="11" spans="1:33" ht="12.75">
      <c r="A11" s="315"/>
      <c r="B11" s="315"/>
      <c r="C11" s="315"/>
      <c r="D11" s="324"/>
      <c r="E11" s="315"/>
      <c r="J11" s="315"/>
      <c r="K11" s="345"/>
      <c r="L11" s="345"/>
      <c r="M11" s="345"/>
      <c r="N11" s="315"/>
      <c r="O11" s="315"/>
      <c r="P11" s="315"/>
      <c r="Q11" s="315"/>
      <c r="R11" s="315"/>
      <c r="S11" s="315"/>
      <c r="T11" s="315"/>
      <c r="U11" s="465"/>
      <c r="V11" s="466" t="s">
        <v>190</v>
      </c>
      <c r="W11" s="339">
        <f t="shared" si="0"/>
        <v>56.60351221668852</v>
      </c>
      <c r="X11" s="340">
        <f>+'NS(SC) - Old Method'!W11</f>
        <v>0.010838767485847004</v>
      </c>
      <c r="Y11" s="339"/>
      <c r="AA11" s="12"/>
      <c r="AB11" s="316"/>
      <c r="AC11" s="315"/>
      <c r="AD11" s="315"/>
      <c r="AE11" s="315"/>
      <c r="AF11" s="315"/>
      <c r="AG11" s="315"/>
    </row>
    <row r="12" spans="1:33" ht="12.75">
      <c r="A12" s="323"/>
      <c r="B12" s="315"/>
      <c r="C12" s="315"/>
      <c r="D12" s="324"/>
      <c r="E12" s="315"/>
      <c r="J12" s="315"/>
      <c r="K12" s="345"/>
      <c r="L12" s="345"/>
      <c r="M12" s="345"/>
      <c r="N12" s="315"/>
      <c r="O12" s="315"/>
      <c r="P12" s="315"/>
      <c r="Q12" s="315"/>
      <c r="R12" s="315"/>
      <c r="S12" s="315"/>
      <c r="T12" s="315"/>
      <c r="U12" s="465"/>
      <c r="V12" s="466" t="s">
        <v>191</v>
      </c>
      <c r="W12" s="339">
        <f t="shared" si="0"/>
        <v>1050.6255224209433</v>
      </c>
      <c r="X12" s="340">
        <f>+'NS(SC) - Old Method'!W12</f>
        <v>0.2011798439048054</v>
      </c>
      <c r="Y12" s="339"/>
      <c r="AA12" s="12"/>
      <c r="AB12" s="316"/>
      <c r="AC12" s="315"/>
      <c r="AD12" s="315"/>
      <c r="AE12" s="315"/>
      <c r="AF12" s="315"/>
      <c r="AG12" s="315"/>
    </row>
    <row r="13" spans="1:33" ht="12.75">
      <c r="A13" s="315"/>
      <c r="B13" s="315"/>
      <c r="C13" s="315"/>
      <c r="D13" s="324"/>
      <c r="E13" s="315"/>
      <c r="J13" s="315"/>
      <c r="K13" s="345"/>
      <c r="L13" s="345"/>
      <c r="M13" s="345"/>
      <c r="N13" s="315"/>
      <c r="O13" s="315"/>
      <c r="P13" s="315"/>
      <c r="Q13" s="315"/>
      <c r="R13" s="315"/>
      <c r="S13" s="315"/>
      <c r="T13" s="315"/>
      <c r="U13" s="465"/>
      <c r="V13" s="466" t="s">
        <v>192</v>
      </c>
      <c r="W13" s="339">
        <f t="shared" si="0"/>
        <v>56.65193455478266</v>
      </c>
      <c r="X13" s="340">
        <f>+'NS(SC) - Old Method'!W13</f>
        <v>0.010848039674853833</v>
      </c>
      <c r="Y13" s="339"/>
      <c r="AA13" s="12"/>
      <c r="AB13" s="316"/>
      <c r="AC13" s="315"/>
      <c r="AD13" s="315"/>
      <c r="AE13" s="315"/>
      <c r="AF13" s="315"/>
      <c r="AG13" s="315"/>
    </row>
    <row r="14" spans="1:33" ht="12.75">
      <c r="A14" s="315"/>
      <c r="B14" s="315"/>
      <c r="C14" s="315"/>
      <c r="D14" s="324"/>
      <c r="E14" s="347"/>
      <c r="J14" s="315"/>
      <c r="K14" s="345"/>
      <c r="L14" s="345"/>
      <c r="M14" s="345"/>
      <c r="N14" s="315"/>
      <c r="O14" s="315"/>
      <c r="P14" s="315"/>
      <c r="Q14" s="315"/>
      <c r="R14" s="315"/>
      <c r="S14" s="315"/>
      <c r="T14" s="315"/>
      <c r="U14" s="465"/>
      <c r="V14" s="466" t="s">
        <v>193</v>
      </c>
      <c r="W14" s="339">
        <f t="shared" si="0"/>
        <v>16.738171619157058</v>
      </c>
      <c r="X14" s="340">
        <f>+'NS(SC) - Old Method'!W14</f>
        <v>0.0032051217886221177</v>
      </c>
      <c r="Y14" s="339"/>
      <c r="AA14" s="12"/>
      <c r="AB14" s="316"/>
      <c r="AC14" s="315"/>
      <c r="AD14" s="315"/>
      <c r="AE14" s="315"/>
      <c r="AF14" s="315"/>
      <c r="AG14" s="315"/>
    </row>
    <row r="15" spans="1:33" ht="12.75">
      <c r="A15" s="315"/>
      <c r="B15" s="315"/>
      <c r="C15" s="315"/>
      <c r="D15" s="324"/>
      <c r="E15" s="318"/>
      <c r="J15" s="315"/>
      <c r="K15" s="345"/>
      <c r="L15" s="345"/>
      <c r="M15" s="348"/>
      <c r="N15" s="318"/>
      <c r="O15" s="318"/>
      <c r="P15" s="318"/>
      <c r="Q15" s="318"/>
      <c r="R15" s="318"/>
      <c r="S15" s="318"/>
      <c r="T15" s="318"/>
      <c r="U15" s="465"/>
      <c r="V15" s="466" t="s">
        <v>194</v>
      </c>
      <c r="W15" s="339">
        <f t="shared" si="0"/>
        <v>12.983789655334826</v>
      </c>
      <c r="X15" s="340">
        <f>+'NS(SC) - Old Method'!W15</f>
        <v>0.0024862110432403274</v>
      </c>
      <c r="Y15" s="339"/>
      <c r="AA15" s="12"/>
      <c r="AB15" s="349"/>
      <c r="AC15" s="318"/>
      <c r="AD15" s="318"/>
      <c r="AE15" s="318"/>
      <c r="AF15" s="318"/>
      <c r="AG15" s="318"/>
    </row>
    <row r="16" spans="1:33" ht="15">
      <c r="A16" s="318"/>
      <c r="B16" s="318"/>
      <c r="C16" s="315"/>
      <c r="D16" s="324"/>
      <c r="E16" s="315"/>
      <c r="J16" s="315"/>
      <c r="K16" s="345"/>
      <c r="L16" s="345"/>
      <c r="M16" s="345"/>
      <c r="N16" s="315"/>
      <c r="O16" s="315"/>
      <c r="P16" s="315"/>
      <c r="Q16" s="315"/>
      <c r="R16" s="315"/>
      <c r="S16" s="315"/>
      <c r="T16" s="315"/>
      <c r="U16" s="465"/>
      <c r="V16" s="466" t="s">
        <v>195</v>
      </c>
      <c r="W16" s="350">
        <f t="shared" si="0"/>
        <v>25.536180298558165</v>
      </c>
      <c r="X16" s="351">
        <f>+'NS(SC) - Old Method'!W16</f>
        <v>0.004889815311692536</v>
      </c>
      <c r="Y16" s="350"/>
      <c r="AA16" s="12"/>
      <c r="AB16" s="316"/>
      <c r="AC16" s="315"/>
      <c r="AD16" s="315"/>
      <c r="AE16" s="315"/>
      <c r="AF16" s="315"/>
      <c r="AG16" s="315"/>
    </row>
    <row r="17" spans="1:33" ht="15.75" thickBot="1">
      <c r="A17" s="315"/>
      <c r="B17" s="315"/>
      <c r="C17" s="315"/>
      <c r="D17" s="315"/>
      <c r="E17" s="315"/>
      <c r="J17" s="315"/>
      <c r="K17" s="345"/>
      <c r="L17" s="345"/>
      <c r="M17" s="345"/>
      <c r="N17" s="353"/>
      <c r="O17" s="315"/>
      <c r="P17" s="315"/>
      <c r="Q17" s="315"/>
      <c r="R17" s="315"/>
      <c r="S17" s="315"/>
      <c r="T17" s="315"/>
      <c r="U17" s="465"/>
      <c r="V17" s="467"/>
      <c r="W17" s="356">
        <f>+'2018-2019 Recy. Tons &amp; Revenue'!D112</f>
        <v>5222.32</v>
      </c>
      <c r="X17" s="357">
        <f>+W17/$W$17</f>
        <v>1</v>
      </c>
      <c r="AA17" s="12"/>
      <c r="AB17" s="316"/>
      <c r="AC17" s="315"/>
      <c r="AD17" s="315"/>
      <c r="AE17" s="315"/>
      <c r="AF17" s="315"/>
      <c r="AG17" s="315"/>
    </row>
    <row r="18" spans="1:33" ht="14.25" thickBot="1" thickTop="1">
      <c r="A18" s="359"/>
      <c r="B18" s="359"/>
      <c r="C18" s="359"/>
      <c r="D18" s="359"/>
      <c r="E18" s="359"/>
      <c r="F18" s="360"/>
      <c r="G18" s="360"/>
      <c r="H18" s="361"/>
      <c r="I18" s="362"/>
      <c r="J18" s="359"/>
      <c r="K18" s="359"/>
      <c r="L18" s="359"/>
      <c r="M18" s="359"/>
      <c r="N18" s="359"/>
      <c r="O18" s="359"/>
      <c r="P18" s="359"/>
      <c r="Q18" s="359"/>
      <c r="R18" s="359"/>
      <c r="S18" s="359"/>
      <c r="T18" s="359"/>
      <c r="U18" s="359"/>
      <c r="V18" s="359"/>
      <c r="W18" s="359"/>
      <c r="X18" s="359"/>
      <c r="Y18" s="359"/>
      <c r="Z18" s="359"/>
      <c r="AA18" s="359"/>
      <c r="AB18" s="316"/>
      <c r="AC18" s="315"/>
      <c r="AD18" s="315"/>
      <c r="AE18" s="315"/>
      <c r="AF18" s="315"/>
      <c r="AG18" s="315"/>
    </row>
    <row r="19" spans="1:33" ht="14.25" thickBot="1" thickTop="1">
      <c r="A19" s="318" t="s">
        <v>196</v>
      </c>
      <c r="B19" s="363">
        <f>+D36</f>
        <v>17428.916666666668</v>
      </c>
      <c r="C19" s="315"/>
      <c r="D19" s="315"/>
      <c r="E19" s="315"/>
      <c r="F19" s="315"/>
      <c r="G19" s="315"/>
      <c r="H19" s="315"/>
      <c r="I19" s="315"/>
      <c r="J19" s="315"/>
      <c r="K19" s="315"/>
      <c r="L19" s="315"/>
      <c r="M19" s="315"/>
      <c r="N19" s="315"/>
      <c r="O19" s="315"/>
      <c r="P19" s="315"/>
      <c r="Q19" s="315"/>
      <c r="R19" s="315"/>
      <c r="S19" s="315"/>
      <c r="T19" s="315"/>
      <c r="U19" s="315"/>
      <c r="V19" s="315"/>
      <c r="W19" s="315"/>
      <c r="X19" s="315"/>
      <c r="Y19" s="315"/>
      <c r="Z19" s="315"/>
      <c r="AA19" s="315"/>
      <c r="AB19" s="316"/>
      <c r="AC19" s="315"/>
      <c r="AD19" s="315"/>
      <c r="AE19" s="315"/>
      <c r="AF19" s="315"/>
      <c r="AG19" s="315"/>
    </row>
    <row r="20" spans="1:33" ht="14.25" thickBot="1" thickTop="1">
      <c r="A20" s="318" t="s">
        <v>281</v>
      </c>
      <c r="B20" s="364">
        <f>ROUND(SUM(P30:P35)/SUM(D30:D35),2)</f>
        <v>0.81</v>
      </c>
      <c r="C20" s="315"/>
      <c r="D20" s="365"/>
      <c r="O20" s="556" t="s">
        <v>198</v>
      </c>
      <c r="P20" s="556"/>
      <c r="Q20" s="556"/>
      <c r="R20" s="556"/>
      <c r="S20" s="315"/>
      <c r="T20" s="315"/>
      <c r="U20" s="315"/>
      <c r="V20" s="315"/>
      <c r="W20" s="315"/>
      <c r="X20" s="315"/>
      <c r="Y20" s="315"/>
      <c r="Z20" s="315"/>
      <c r="AA20" s="315"/>
      <c r="AB20" s="316"/>
      <c r="AC20" s="315"/>
      <c r="AD20" s="315"/>
      <c r="AE20" s="315"/>
      <c r="AF20" s="315"/>
      <c r="AG20" s="315"/>
    </row>
    <row r="21" spans="1:33" ht="13.5" thickTop="1">
      <c r="A21" s="315"/>
      <c r="B21" s="315"/>
      <c r="C21" s="315"/>
      <c r="D21" s="365"/>
      <c r="O21" s="315"/>
      <c r="P21" s="315"/>
      <c r="Q21" s="365" t="s">
        <v>97</v>
      </c>
      <c r="R21" s="315"/>
      <c r="S21" s="315"/>
      <c r="T21" s="365"/>
      <c r="U21" s="315"/>
      <c r="V21" s="365"/>
      <c r="W21" s="315"/>
      <c r="X21" s="315"/>
      <c r="Y21" s="315"/>
      <c r="Z21" s="315"/>
      <c r="AA21" s="365"/>
      <c r="AB21" s="316"/>
      <c r="AC21" s="315"/>
      <c r="AD21" s="315"/>
      <c r="AE21" s="315"/>
      <c r="AF21" s="315"/>
      <c r="AG21" s="315"/>
    </row>
    <row r="22" spans="1:33" ht="12.75">
      <c r="A22" s="318"/>
      <c r="B22" s="315"/>
      <c r="C22" s="315"/>
      <c r="D22" s="365" t="s">
        <v>85</v>
      </c>
      <c r="O22" s="315"/>
      <c r="P22" s="365"/>
      <c r="Q22" s="365" t="s">
        <v>200</v>
      </c>
      <c r="R22" s="365" t="s">
        <v>201</v>
      </c>
      <c r="S22" s="366"/>
      <c r="T22" s="365" t="s">
        <v>202</v>
      </c>
      <c r="U22" s="315"/>
      <c r="V22" s="365" t="s">
        <v>203</v>
      </c>
      <c r="W22" s="315"/>
      <c r="X22" s="365" t="s">
        <v>85</v>
      </c>
      <c r="Y22" s="365"/>
      <c r="AB22" s="316"/>
      <c r="AC22" s="315"/>
      <c r="AD22" s="315"/>
      <c r="AE22" s="315"/>
      <c r="AF22" s="315"/>
      <c r="AG22" s="315"/>
    </row>
    <row r="23" spans="1:33" ht="12.75">
      <c r="A23" s="315"/>
      <c r="B23" s="315"/>
      <c r="C23" s="315"/>
      <c r="D23" s="324" t="s">
        <v>99</v>
      </c>
      <c r="O23" s="315"/>
      <c r="P23" s="324" t="s">
        <v>184</v>
      </c>
      <c r="Q23" s="367" t="s">
        <v>283</v>
      </c>
      <c r="R23" s="324" t="s">
        <v>184</v>
      </c>
      <c r="S23" s="324" t="s">
        <v>204</v>
      </c>
      <c r="T23" s="324" t="s">
        <v>57</v>
      </c>
      <c r="U23" s="315"/>
      <c r="V23" s="324" t="s">
        <v>205</v>
      </c>
      <c r="W23" s="315"/>
      <c r="X23" s="324" t="s">
        <v>206</v>
      </c>
      <c r="Y23" s="324"/>
      <c r="AB23" s="316"/>
      <c r="AC23" s="315"/>
      <c r="AD23" s="315"/>
      <c r="AE23" s="315"/>
      <c r="AF23" s="315"/>
      <c r="AG23" s="315"/>
    </row>
    <row r="24" spans="1:33" ht="12.75">
      <c r="A24" s="368" t="s">
        <v>126</v>
      </c>
      <c r="B24" s="315"/>
      <c r="C24" s="315"/>
      <c r="D24" s="370">
        <f>+'Customer Counts'!D6</f>
        <v>17284</v>
      </c>
      <c r="O24" s="315"/>
      <c r="P24" s="371">
        <f>+'2018-2019 Recy. Tons &amp; Revenue'!L88</f>
        <v>20739.00452732167</v>
      </c>
      <c r="Q24" s="372">
        <f>-P24*$D$76</f>
        <v>-9851.027150477794</v>
      </c>
      <c r="R24" s="371">
        <f aca="true" t="shared" si="1" ref="R24:R35">+P24+Q24</f>
        <v>10887.977376843877</v>
      </c>
      <c r="S24" s="331">
        <f aca="true" t="shared" si="2" ref="S24:S35">R24/D24</f>
        <v>0.6299454626732167</v>
      </c>
      <c r="T24" s="373">
        <f>ROUND((SUM($E$40:$Y$40)+R24)/(SUM($E$52:$Y$52)+D24),2)</f>
        <v>2.41</v>
      </c>
      <c r="U24" s="315"/>
      <c r="V24" s="331">
        <v>-0.49</v>
      </c>
      <c r="W24" s="315"/>
      <c r="X24" s="372">
        <f aca="true" t="shared" si="3" ref="X24:X35">+V24*D24</f>
        <v>-8469.16</v>
      </c>
      <c r="Y24" s="372"/>
      <c r="AB24" s="316"/>
      <c r="AC24" s="315"/>
      <c r="AD24" s="315"/>
      <c r="AE24" s="315"/>
      <c r="AF24" s="315"/>
      <c r="AG24" s="315"/>
    </row>
    <row r="25" spans="1:33" ht="12.75">
      <c r="A25" s="368" t="s">
        <v>61</v>
      </c>
      <c r="B25" s="315"/>
      <c r="C25" s="315"/>
      <c r="D25" s="370">
        <f>+'Customer Counts'!D7</f>
        <v>17286</v>
      </c>
      <c r="O25" s="315"/>
      <c r="P25" s="371">
        <f>+'2018-2019 Recy. Tons &amp; Revenue'!L89</f>
        <v>28566.893329206956</v>
      </c>
      <c r="Q25" s="372">
        <f>-P25*$D$76</f>
        <v>-13569.274331373303</v>
      </c>
      <c r="R25" s="371">
        <f t="shared" si="1"/>
        <v>14997.618997833653</v>
      </c>
      <c r="S25" s="331">
        <f t="shared" si="2"/>
        <v>0.8676165103455775</v>
      </c>
      <c r="T25" s="373">
        <f>ROUND((SUM($E$40:$Y$40)+R25+R24)/(SUM($E$52:$Y$52)+D25+D24),2)</f>
        <v>2.4</v>
      </c>
      <c r="U25" s="315"/>
      <c r="V25" s="331">
        <f>+V24</f>
        <v>-0.49</v>
      </c>
      <c r="W25" s="315"/>
      <c r="X25" s="372">
        <f t="shared" si="3"/>
        <v>-8470.14</v>
      </c>
      <c r="Y25" s="372"/>
      <c r="AB25" s="316"/>
      <c r="AC25" s="315"/>
      <c r="AD25" s="315"/>
      <c r="AE25" s="315"/>
      <c r="AF25" s="315"/>
      <c r="AG25" s="315"/>
    </row>
    <row r="26" spans="1:33" ht="12.75">
      <c r="A26" s="368" t="s">
        <v>78</v>
      </c>
      <c r="B26" s="315"/>
      <c r="C26" s="315"/>
      <c r="D26" s="370">
        <f>+'Customer Counts'!D8</f>
        <v>17277</v>
      </c>
      <c r="O26" s="315"/>
      <c r="P26" s="371">
        <f>+'2018-2019 Recy. Tons &amp; Revenue'!L90</f>
        <v>30288.960823465706</v>
      </c>
      <c r="Q26" s="372">
        <f>-P26*$D$76</f>
        <v>-14387.25639114621</v>
      </c>
      <c r="R26" s="371">
        <f t="shared" si="1"/>
        <v>15901.704432319497</v>
      </c>
      <c r="S26" s="331">
        <f t="shared" si="2"/>
        <v>0.9203973162192219</v>
      </c>
      <c r="T26" s="373">
        <f>ROUND((SUM($E$40:$Y$40)+R26+R25+R24)/(SUM($E$52:$Y$52)+D26+D25+D24),2)</f>
        <v>2.4</v>
      </c>
      <c r="U26" s="315"/>
      <c r="V26" s="331">
        <f>+V25</f>
        <v>-0.49</v>
      </c>
      <c r="W26" s="315"/>
      <c r="X26" s="372">
        <f t="shared" si="3"/>
        <v>-8465.73</v>
      </c>
      <c r="Y26" s="372"/>
      <c r="AB26" s="316"/>
      <c r="AC26" s="315"/>
      <c r="AD26" s="315"/>
      <c r="AE26" s="315"/>
      <c r="AF26" s="315"/>
      <c r="AG26" s="315"/>
    </row>
    <row r="27" spans="1:33" ht="12.75">
      <c r="A27" s="368" t="s">
        <v>127</v>
      </c>
      <c r="B27" s="315"/>
      <c r="C27" s="315"/>
      <c r="D27" s="370">
        <f>+'Customer Counts'!D9</f>
        <v>17293</v>
      </c>
      <c r="O27" s="315"/>
      <c r="P27" s="371">
        <f>+'2018-2019 Recy. Tons &amp; Revenue'!L91</f>
        <v>29700.348106546484</v>
      </c>
      <c r="Q27" s="372">
        <f>-P27*$D$77</f>
        <v>-14850.174053273242</v>
      </c>
      <c r="R27" s="371">
        <f t="shared" si="1"/>
        <v>14850.174053273242</v>
      </c>
      <c r="S27" s="331">
        <f t="shared" si="2"/>
        <v>0.8587390304327325</v>
      </c>
      <c r="T27" s="373">
        <f>ROUND((SUM($E$40:$Y$40)+R27+R26+R25+R24)/(SUM($E$52:$Y$52)+D27+D26+D25+D24),2)</f>
        <v>2.39</v>
      </c>
      <c r="U27" s="315"/>
      <c r="V27" s="331">
        <v>-1.42</v>
      </c>
      <c r="W27" s="315"/>
      <c r="X27" s="372">
        <f t="shared" si="3"/>
        <v>-24556.059999999998</v>
      </c>
      <c r="Y27" s="372"/>
      <c r="AB27" s="316"/>
      <c r="AC27" s="315"/>
      <c r="AD27" s="315"/>
      <c r="AE27" s="315"/>
      <c r="AF27" s="315"/>
      <c r="AG27" s="315"/>
    </row>
    <row r="28" spans="1:33" ht="12.75">
      <c r="A28" s="368" t="s">
        <v>89</v>
      </c>
      <c r="B28" s="315"/>
      <c r="C28" s="315"/>
      <c r="D28" s="370">
        <f>+'Customer Counts'!D10</f>
        <v>17308</v>
      </c>
      <c r="O28" s="315"/>
      <c r="P28" s="371">
        <f>+'2018-2019 Recy. Tons &amp; Revenue'!L92</f>
        <v>15796.724234730194</v>
      </c>
      <c r="Q28" s="372">
        <f aca="true" t="shared" si="4" ref="Q28:Q35">-P28*$D$77</f>
        <v>-7898.362117365097</v>
      </c>
      <c r="R28" s="371">
        <f t="shared" si="1"/>
        <v>7898.362117365097</v>
      </c>
      <c r="S28" s="331">
        <f t="shared" si="2"/>
        <v>0.45634169848423256</v>
      </c>
      <c r="T28" s="373">
        <f>ROUND((SUM($E$40:$Y$40)+R28+R27+R26+R25+R24)/(SUM($E$52:$Y$52)+D28+D27+D26+D25+D24),2)</f>
        <v>2.39</v>
      </c>
      <c r="U28" s="315"/>
      <c r="V28" s="331">
        <f aca="true" t="shared" si="5" ref="V28:V35">+V27</f>
        <v>-1.42</v>
      </c>
      <c r="W28" s="315"/>
      <c r="X28" s="372">
        <f t="shared" si="3"/>
        <v>-24577.36</v>
      </c>
      <c r="Y28" s="372"/>
      <c r="AB28" s="316"/>
      <c r="AC28" s="315"/>
      <c r="AD28" s="315"/>
      <c r="AE28" s="315"/>
      <c r="AF28" s="315"/>
      <c r="AG28" s="315"/>
    </row>
    <row r="29" spans="1:33" ht="12.75">
      <c r="A29" s="368" t="s">
        <v>90</v>
      </c>
      <c r="B29" s="315"/>
      <c r="C29" s="315"/>
      <c r="D29" s="370">
        <f>+'Customer Counts'!D11</f>
        <v>17364</v>
      </c>
      <c r="O29" s="315"/>
      <c r="P29" s="371">
        <f>+'2018-2019 Recy. Tons &amp; Revenue'!L93</f>
        <v>13421.014735045808</v>
      </c>
      <c r="Q29" s="372">
        <f t="shared" si="4"/>
        <v>-6710.507367522904</v>
      </c>
      <c r="R29" s="371">
        <f t="shared" si="1"/>
        <v>6710.507367522904</v>
      </c>
      <c r="S29" s="331">
        <f t="shared" si="2"/>
        <v>0.3864609172726851</v>
      </c>
      <c r="T29" s="373">
        <f>ROUND((SUM($E$40:$Y$40)+R29+R28+R27+R26+R25+R24)/(SUM($E$52:$Y$52)+D29+D28+D27+D26+D25+D24),2)</f>
        <v>2.38</v>
      </c>
      <c r="U29" s="315"/>
      <c r="V29" s="331">
        <f t="shared" si="5"/>
        <v>-1.42</v>
      </c>
      <c r="W29" s="315"/>
      <c r="X29" s="372">
        <f t="shared" si="3"/>
        <v>-24656.879999999997</v>
      </c>
      <c r="Y29" s="372"/>
      <c r="AB29" s="316"/>
      <c r="AC29" s="315"/>
      <c r="AD29" s="315"/>
      <c r="AE29" s="315"/>
      <c r="AF29" s="315"/>
      <c r="AG29" s="315"/>
    </row>
    <row r="30" spans="1:33" ht="12.75">
      <c r="A30" s="368" t="s">
        <v>91</v>
      </c>
      <c r="B30" s="315"/>
      <c r="C30" s="315"/>
      <c r="D30" s="370">
        <f>+'Customer Counts'!D12</f>
        <v>17426</v>
      </c>
      <c r="O30" s="315"/>
      <c r="P30" s="371">
        <f>+'2018-2019 Recy. Tons &amp; Revenue'!L94</f>
        <v>17248.185536851135</v>
      </c>
      <c r="Q30" s="372">
        <f t="shared" si="4"/>
        <v>-8624.092768425568</v>
      </c>
      <c r="R30" s="371">
        <f t="shared" si="1"/>
        <v>8624.092768425568</v>
      </c>
      <c r="S30" s="331">
        <f t="shared" si="2"/>
        <v>0.4948980126492349</v>
      </c>
      <c r="T30" s="373">
        <f>ROUND((SUM($E$40:$Y$40)+R30+R29+R28+R27+R26+R25+R24)/(SUM($E$52:$Y$52)+D30+D29+D28+D27+D26+D25+D24),2)</f>
        <v>2.37</v>
      </c>
      <c r="U30" s="315"/>
      <c r="V30" s="331">
        <f t="shared" si="5"/>
        <v>-1.42</v>
      </c>
      <c r="W30" s="315"/>
      <c r="X30" s="372">
        <f t="shared" si="3"/>
        <v>-24744.92</v>
      </c>
      <c r="Y30" s="372"/>
      <c r="AB30" s="316"/>
      <c r="AC30" s="315"/>
      <c r="AD30" s="315"/>
      <c r="AE30" s="315"/>
      <c r="AF30" s="315"/>
      <c r="AG30" s="315"/>
    </row>
    <row r="31" spans="1:33" ht="12.75">
      <c r="A31" s="368" t="s">
        <v>66</v>
      </c>
      <c r="B31" s="315"/>
      <c r="C31" s="315"/>
      <c r="D31" s="370">
        <f>+'Customer Counts'!D13</f>
        <v>17482</v>
      </c>
      <c r="O31" s="315"/>
      <c r="P31" s="371">
        <f>+'2018-2019 Recy. Tons &amp; Revenue'!L95</f>
        <v>18939.90161780616</v>
      </c>
      <c r="Q31" s="372">
        <f t="shared" si="4"/>
        <v>-9469.95080890308</v>
      </c>
      <c r="R31" s="371">
        <f t="shared" si="1"/>
        <v>9469.95080890308</v>
      </c>
      <c r="S31" s="331">
        <f t="shared" si="2"/>
        <v>0.5416972205069832</v>
      </c>
      <c r="T31" s="373">
        <f>ROUND((SUM($E$40:$Y$40)+R31+R30+R29+R28+R27+R26+R25+R24)/(SUM($E$52:$Y$52)+D31+D30+D29+D28+D27+D26+D25+D24),2)</f>
        <v>2.37</v>
      </c>
      <c r="U31" s="315"/>
      <c r="V31" s="331">
        <f t="shared" si="5"/>
        <v>-1.42</v>
      </c>
      <c r="W31" s="315"/>
      <c r="X31" s="372">
        <f t="shared" si="3"/>
        <v>-24824.44</v>
      </c>
      <c r="Y31" s="372"/>
      <c r="AB31" s="316"/>
      <c r="AC31" s="315"/>
      <c r="AD31" s="315"/>
      <c r="AE31" s="315"/>
      <c r="AF31" s="315"/>
      <c r="AG31" s="315"/>
    </row>
    <row r="32" spans="1:33" ht="12.75">
      <c r="A32" s="368" t="s">
        <v>73</v>
      </c>
      <c r="B32" s="315"/>
      <c r="C32" s="315"/>
      <c r="D32" s="370">
        <f>+'Customer Counts'!D14</f>
        <v>17528</v>
      </c>
      <c r="O32" s="315"/>
      <c r="P32" s="371">
        <f>+'2018-2019 Recy. Tons &amp; Revenue'!L96</f>
        <v>8492.198105968013</v>
      </c>
      <c r="Q32" s="372">
        <f t="shared" si="4"/>
        <v>-4246.099052984006</v>
      </c>
      <c r="R32" s="371">
        <f t="shared" si="1"/>
        <v>4246.099052984006</v>
      </c>
      <c r="S32" s="331">
        <f t="shared" si="2"/>
        <v>0.24224663697991822</v>
      </c>
      <c r="T32" s="373">
        <f>ROUND((SUM($E$40:$Y$40)+R32+R31+R30+R29+R28+R27+R26+R25+R24)/(SUM($E$52:$Y$52)+D32+D31+D30+D29+D28+D27+D26+D25+D24),2)</f>
        <v>2.36</v>
      </c>
      <c r="U32" s="315"/>
      <c r="V32" s="331">
        <f t="shared" si="5"/>
        <v>-1.42</v>
      </c>
      <c r="W32" s="315"/>
      <c r="X32" s="372">
        <f t="shared" si="3"/>
        <v>-24889.76</v>
      </c>
      <c r="Y32" s="372"/>
      <c r="AB32" s="316"/>
      <c r="AC32" s="315"/>
      <c r="AD32" s="315"/>
      <c r="AE32" s="315"/>
      <c r="AF32" s="315"/>
      <c r="AG32" s="315"/>
    </row>
    <row r="33" spans="1:33" ht="12.75">
      <c r="A33" s="368" t="s">
        <v>74</v>
      </c>
      <c r="B33" s="315"/>
      <c r="C33" s="315"/>
      <c r="D33" s="370">
        <f>+'Customer Counts'!D15</f>
        <v>17609</v>
      </c>
      <c r="O33" s="315"/>
      <c r="P33" s="371">
        <f>+'2018-2019 Recy. Tons &amp; Revenue'!L97</f>
        <v>10360.628743126108</v>
      </c>
      <c r="Q33" s="372">
        <f t="shared" si="4"/>
        <v>-5180.314371563054</v>
      </c>
      <c r="R33" s="371">
        <f t="shared" si="1"/>
        <v>5180.314371563054</v>
      </c>
      <c r="S33" s="331">
        <f t="shared" si="2"/>
        <v>0.2941856080165287</v>
      </c>
      <c r="T33" s="373">
        <f>ROUND((SUM($E$40:$Y$40)+R33+R32+R31+R30+R29+R28+R27+R26+R25+R24)/(SUM($E$52:$Y$52)+D33+D32+D31+D30+D29+D28+D27+D26+D25+D24),2)</f>
        <v>2.35</v>
      </c>
      <c r="U33" s="315"/>
      <c r="V33" s="331">
        <f t="shared" si="5"/>
        <v>-1.42</v>
      </c>
      <c r="W33" s="315"/>
      <c r="X33" s="372">
        <f t="shared" si="3"/>
        <v>-25004.78</v>
      </c>
      <c r="Y33" s="372"/>
      <c r="AB33" s="316"/>
      <c r="AC33" s="315"/>
      <c r="AD33" s="315"/>
      <c r="AE33" s="315"/>
      <c r="AF33" s="315"/>
      <c r="AG33" s="315"/>
    </row>
    <row r="34" spans="1:33" ht="12.75">
      <c r="A34" s="368" t="s">
        <v>75</v>
      </c>
      <c r="B34" s="315"/>
      <c r="C34" s="315"/>
      <c r="D34" s="370">
        <f>+'Customer Counts'!D16</f>
        <v>17643</v>
      </c>
      <c r="O34" s="315"/>
      <c r="P34" s="371">
        <f>+'2018-2019 Recy. Tons &amp; Revenue'!L98</f>
        <v>15242.0938824816</v>
      </c>
      <c r="Q34" s="372">
        <f t="shared" si="4"/>
        <v>-7621.0469412408</v>
      </c>
      <c r="R34" s="371">
        <f t="shared" si="1"/>
        <v>7621.0469412408</v>
      </c>
      <c r="S34" s="331">
        <f t="shared" si="2"/>
        <v>0.4319586771660602</v>
      </c>
      <c r="T34" s="373">
        <f>ROUND((SUM($E$40:$Y$40)+R34+R33+R32+R31+R30+R29+R28+R27+R26+R25+R24)/(SUM($E$52:$Y$52)+D34+D33+D32+D31+D30+D29+D28+D27+D26+D25+D24),2)</f>
        <v>2.35</v>
      </c>
      <c r="U34" s="315"/>
      <c r="V34" s="331">
        <f t="shared" si="5"/>
        <v>-1.42</v>
      </c>
      <c r="W34" s="315"/>
      <c r="X34" s="372">
        <f t="shared" si="3"/>
        <v>-25053.059999999998</v>
      </c>
      <c r="Y34" s="372"/>
      <c r="AB34" s="316"/>
      <c r="AC34" s="315"/>
      <c r="AD34" s="315"/>
      <c r="AE34" s="315"/>
      <c r="AF34" s="315"/>
      <c r="AG34" s="315"/>
    </row>
    <row r="35" spans="1:33" ht="15">
      <c r="A35" s="368" t="s">
        <v>76</v>
      </c>
      <c r="B35" s="315"/>
      <c r="C35" s="315"/>
      <c r="D35" s="375">
        <f>+'Customer Counts'!D17</f>
        <v>17647</v>
      </c>
      <c r="O35" s="468"/>
      <c r="P35" s="376">
        <f>+'2018-2019 Recy. Tons &amp; Revenue'!L99</f>
        <v>15001.712616584166</v>
      </c>
      <c r="Q35" s="377">
        <f t="shared" si="4"/>
        <v>-7500.856308292083</v>
      </c>
      <c r="R35" s="376">
        <f t="shared" si="1"/>
        <v>7500.856308292083</v>
      </c>
      <c r="S35" s="331">
        <f t="shared" si="2"/>
        <v>0.4250499409696879</v>
      </c>
      <c r="T35" s="373">
        <f>ROUND((SUM($E$40:$Y$40)+R35+R34+R33+R32+R31+R30+R29+R28+R27+R26+R25+R24)/(SUM($E$52:$Y$52)+D35+D34+D33+D32+D31+D30+D29+D28+D27+D26+D25+D24),2)</f>
        <v>2.34</v>
      </c>
      <c r="U35" s="315"/>
      <c r="V35" s="331">
        <f t="shared" si="5"/>
        <v>-1.42</v>
      </c>
      <c r="W35" s="315"/>
      <c r="X35" s="377">
        <f t="shared" si="3"/>
        <v>-25058.739999999998</v>
      </c>
      <c r="Y35" s="377"/>
      <c r="AB35" s="316"/>
      <c r="AC35" s="315"/>
      <c r="AD35" s="315"/>
      <c r="AE35" s="315"/>
      <c r="AF35" s="315"/>
      <c r="AG35" s="315"/>
    </row>
    <row r="36" spans="1:33" ht="15.75" thickBot="1">
      <c r="A36" s="378"/>
      <c r="B36" s="315"/>
      <c r="C36" s="315"/>
      <c r="D36" s="379">
        <f>AVERAGE(D24:D35)</f>
        <v>17428.916666666668</v>
      </c>
      <c r="O36" s="315"/>
      <c r="P36" s="384">
        <f>SUM(P24:P35)</f>
        <v>223797.66625913404</v>
      </c>
      <c r="Q36" s="381">
        <f>SUM(Q24:Q35)</f>
        <v>-109908.96166256716</v>
      </c>
      <c r="R36" s="381">
        <f>SUM(R24:R35)</f>
        <v>113888.70459656688</v>
      </c>
      <c r="S36" s="315"/>
      <c r="T36" s="318"/>
      <c r="U36" s="318"/>
      <c r="V36" s="469"/>
      <c r="W36" s="315"/>
      <c r="X36" s="381">
        <f>SUM(X24:X35)</f>
        <v>-248771.02999999997</v>
      </c>
      <c r="Y36" s="381"/>
      <c r="AB36" s="316"/>
      <c r="AC36" s="315"/>
      <c r="AD36" s="368"/>
      <c r="AE36" s="315"/>
      <c r="AF36" s="315"/>
      <c r="AG36" s="315"/>
    </row>
    <row r="37" spans="1:33" ht="12.75">
      <c r="A37" s="359"/>
      <c r="B37" s="359"/>
      <c r="C37" s="359"/>
      <c r="D37" s="359"/>
      <c r="E37" s="387"/>
      <c r="F37" s="388"/>
      <c r="G37" s="387"/>
      <c r="H37" s="387"/>
      <c r="I37" s="387"/>
      <c r="J37" s="387"/>
      <c r="K37" s="387"/>
      <c r="L37" s="387"/>
      <c r="M37" s="387"/>
      <c r="N37" s="387"/>
      <c r="O37" s="387"/>
      <c r="P37" s="387"/>
      <c r="Q37" s="387"/>
      <c r="R37" s="387"/>
      <c r="S37" s="387"/>
      <c r="T37" s="387"/>
      <c r="U37" s="387"/>
      <c r="V37" s="387"/>
      <c r="W37" s="387"/>
      <c r="X37" s="387"/>
      <c r="Y37" s="387"/>
      <c r="Z37" s="387"/>
      <c r="AA37" s="389"/>
      <c r="AB37" s="316"/>
      <c r="AC37" s="315"/>
      <c r="AD37" s="315"/>
      <c r="AE37" s="315"/>
      <c r="AF37" s="315"/>
      <c r="AG37" s="315"/>
    </row>
    <row r="38" spans="1:33" ht="12.75">
      <c r="A38" s="390"/>
      <c r="B38" s="390"/>
      <c r="C38" s="390"/>
      <c r="D38" s="391" t="s">
        <v>207</v>
      </c>
      <c r="E38" s="392" t="s">
        <v>208</v>
      </c>
      <c r="F38" s="392" t="s">
        <v>209</v>
      </c>
      <c r="G38" s="392" t="s">
        <v>210</v>
      </c>
      <c r="H38" s="392" t="s">
        <v>211</v>
      </c>
      <c r="I38" s="392" t="s">
        <v>212</v>
      </c>
      <c r="J38" s="391" t="s">
        <v>213</v>
      </c>
      <c r="K38" s="391" t="s">
        <v>214</v>
      </c>
      <c r="L38" s="391" t="s">
        <v>215</v>
      </c>
      <c r="M38" s="391" t="s">
        <v>216</v>
      </c>
      <c r="N38" s="391" t="s">
        <v>217</v>
      </c>
      <c r="O38" s="391" t="s">
        <v>218</v>
      </c>
      <c r="P38" s="391" t="s">
        <v>219</v>
      </c>
      <c r="Q38" s="391" t="s">
        <v>220</v>
      </c>
      <c r="R38" s="391" t="s">
        <v>221</v>
      </c>
      <c r="S38" s="391" t="s">
        <v>222</v>
      </c>
      <c r="T38" s="391" t="s">
        <v>223</v>
      </c>
      <c r="U38" s="391" t="s">
        <v>224</v>
      </c>
      <c r="V38" s="391" t="s">
        <v>225</v>
      </c>
      <c r="W38" s="391" t="s">
        <v>226</v>
      </c>
      <c r="X38" s="391" t="s">
        <v>227</v>
      </c>
      <c r="Y38" s="391" t="s">
        <v>228</v>
      </c>
      <c r="Z38" s="391" t="s">
        <v>278</v>
      </c>
      <c r="AA38" s="393" t="s">
        <v>202</v>
      </c>
      <c r="AB38" s="394"/>
      <c r="AC38" s="315"/>
      <c r="AD38" s="315"/>
      <c r="AE38" s="315"/>
      <c r="AF38" s="315"/>
      <c r="AG38" s="315"/>
    </row>
    <row r="39" spans="1:33" ht="12.75">
      <c r="A39" s="333"/>
      <c r="B39" s="329"/>
      <c r="C39" s="395"/>
      <c r="D39" s="396" t="s">
        <v>229</v>
      </c>
      <c r="E39" s="397" t="s">
        <v>230</v>
      </c>
      <c r="F39" s="397" t="s">
        <v>231</v>
      </c>
      <c r="G39" s="397" t="s">
        <v>232</v>
      </c>
      <c r="H39" s="397" t="s">
        <v>233</v>
      </c>
      <c r="I39" s="397" t="s">
        <v>234</v>
      </c>
      <c r="J39" s="397" t="s">
        <v>235</v>
      </c>
      <c r="K39" s="397" t="s">
        <v>236</v>
      </c>
      <c r="L39" s="397" t="s">
        <v>237</v>
      </c>
      <c r="M39" s="397" t="s">
        <v>238</v>
      </c>
      <c r="N39" s="397" t="s">
        <v>239</v>
      </c>
      <c r="O39" s="397" t="s">
        <v>240</v>
      </c>
      <c r="P39" s="397" t="s">
        <v>241</v>
      </c>
      <c r="Q39" s="397" t="s">
        <v>242</v>
      </c>
      <c r="R39" s="397" t="s">
        <v>243</v>
      </c>
      <c r="S39" s="397" t="s">
        <v>244</v>
      </c>
      <c r="T39" s="397" t="s">
        <v>245</v>
      </c>
      <c r="U39" s="397" t="s">
        <v>246</v>
      </c>
      <c r="V39" s="397" t="s">
        <v>247</v>
      </c>
      <c r="W39" s="397" t="s">
        <v>248</v>
      </c>
      <c r="X39" s="397" t="s">
        <v>249</v>
      </c>
      <c r="Y39" s="397" t="s">
        <v>250</v>
      </c>
      <c r="Z39" s="397" t="s">
        <v>279</v>
      </c>
      <c r="AA39" s="398" t="s">
        <v>85</v>
      </c>
      <c r="AB39" s="316"/>
      <c r="AC39" s="315"/>
      <c r="AD39" s="315"/>
      <c r="AE39" s="315"/>
      <c r="AF39" s="315"/>
      <c r="AG39" s="315"/>
    </row>
    <row r="40" spans="1:33" ht="12.75">
      <c r="A40" s="315" t="s">
        <v>251</v>
      </c>
      <c r="B40" s="315"/>
      <c r="C40" s="399"/>
      <c r="D40" s="315"/>
      <c r="E40" s="372">
        <v>267270</v>
      </c>
      <c r="F40" s="372">
        <v>426954</v>
      </c>
      <c r="G40" s="372">
        <v>375567</v>
      </c>
      <c r="H40" s="372">
        <v>465726</v>
      </c>
      <c r="I40" s="372">
        <v>560897</v>
      </c>
      <c r="J40" s="372">
        <v>550588</v>
      </c>
      <c r="K40" s="372">
        <v>847366</v>
      </c>
      <c r="L40" s="372">
        <v>768504</v>
      </c>
      <c r="M40" s="400">
        <v>701634</v>
      </c>
      <c r="N40" s="400">
        <v>677860</v>
      </c>
      <c r="O40" s="400">
        <v>772811</v>
      </c>
      <c r="P40" s="400">
        <v>914968</v>
      </c>
      <c r="Q40" s="400">
        <v>555140</v>
      </c>
      <c r="R40" s="400">
        <v>524701</v>
      </c>
      <c r="S40" s="400">
        <v>995333</v>
      </c>
      <c r="T40" s="400">
        <v>660980</v>
      </c>
      <c r="U40" s="400">
        <v>540356</v>
      </c>
      <c r="V40" s="400">
        <v>541882</v>
      </c>
      <c r="W40" s="400">
        <v>443528</v>
      </c>
      <c r="X40" s="400">
        <v>335204</v>
      </c>
      <c r="Y40" s="400">
        <v>477597.24893143907</v>
      </c>
      <c r="Z40" s="400">
        <f>+P36</f>
        <v>223797.66625913404</v>
      </c>
      <c r="AA40" s="401">
        <f>SUM(E40:Z40)</f>
        <v>12628663.915190574</v>
      </c>
      <c r="AB40" s="316"/>
      <c r="AC40" s="371"/>
      <c r="AD40" s="315"/>
      <c r="AE40" s="315"/>
      <c r="AF40" s="315"/>
      <c r="AG40" s="315"/>
    </row>
    <row r="41" spans="1:33" ht="12.75">
      <c r="A41" s="315"/>
      <c r="B41" s="315"/>
      <c r="C41" s="399"/>
      <c r="D41" s="315"/>
      <c r="E41" s="402"/>
      <c r="F41" s="372"/>
      <c r="G41" s="372"/>
      <c r="H41" s="372"/>
      <c r="I41" s="372"/>
      <c r="J41" s="372"/>
      <c r="K41" s="372"/>
      <c r="L41" s="372"/>
      <c r="M41" s="372"/>
      <c r="N41" s="372"/>
      <c r="O41" s="372"/>
      <c r="P41" s="372"/>
      <c r="Q41" s="372"/>
      <c r="R41" s="372"/>
      <c r="S41" s="372"/>
      <c r="T41" s="372"/>
      <c r="U41" s="372"/>
      <c r="V41" s="372"/>
      <c r="W41" s="372"/>
      <c r="X41" s="372"/>
      <c r="Y41" s="372"/>
      <c r="Z41" s="372"/>
      <c r="AA41" s="401"/>
      <c r="AB41" s="316"/>
      <c r="AC41" s="315"/>
      <c r="AD41" s="315"/>
      <c r="AE41" s="315"/>
      <c r="AF41" s="315"/>
      <c r="AG41" s="315"/>
    </row>
    <row r="42" spans="1:33" ht="12.75">
      <c r="A42" s="403" t="s">
        <v>252</v>
      </c>
      <c r="B42" s="315"/>
      <c r="C42" s="404"/>
      <c r="D42" s="315"/>
      <c r="E42" s="402"/>
      <c r="F42" s="372"/>
      <c r="G42" s="372"/>
      <c r="H42" s="372"/>
      <c r="I42" s="372"/>
      <c r="J42" s="372"/>
      <c r="K42" s="372"/>
      <c r="L42" s="370">
        <v>-201327.3</v>
      </c>
      <c r="M42" s="405">
        <v>-210490.2</v>
      </c>
      <c r="N42" s="405">
        <v>-203358</v>
      </c>
      <c r="O42" s="406">
        <v>-231843</v>
      </c>
      <c r="P42" s="406">
        <v>-274490</v>
      </c>
      <c r="Q42" s="406">
        <v>-166542</v>
      </c>
      <c r="R42" s="406">
        <v>-157410</v>
      </c>
      <c r="S42" s="406">
        <v>-456270</v>
      </c>
      <c r="T42" s="406">
        <v>-232791</v>
      </c>
      <c r="U42" s="406">
        <v>-193554</v>
      </c>
      <c r="V42" s="406">
        <v>-193552</v>
      </c>
      <c r="W42" s="406">
        <v>-155235</v>
      </c>
      <c r="X42" s="406">
        <v>-149459</v>
      </c>
      <c r="Y42" s="406">
        <v>-226858.69324243354</v>
      </c>
      <c r="Z42" s="406">
        <f>+Q36</f>
        <v>-109908.96166256716</v>
      </c>
      <c r="AA42" s="407">
        <f>SUM(E42:Z42)</f>
        <v>-3163089.1549050007</v>
      </c>
      <c r="AB42" s="316"/>
      <c r="AC42" s="315"/>
      <c r="AD42" s="315"/>
      <c r="AE42" s="315"/>
      <c r="AF42" s="315"/>
      <c r="AG42" s="315"/>
    </row>
    <row r="43" spans="1:33" ht="12.75">
      <c r="A43" s="315"/>
      <c r="B43" s="315"/>
      <c r="C43" s="399"/>
      <c r="D43" s="315"/>
      <c r="E43" s="402"/>
      <c r="F43" s="372"/>
      <c r="G43" s="372"/>
      <c r="H43" s="372"/>
      <c r="I43" s="372"/>
      <c r="J43" s="372"/>
      <c r="K43" s="372"/>
      <c r="L43" s="372"/>
      <c r="M43" s="372"/>
      <c r="N43" s="402"/>
      <c r="O43" s="402"/>
      <c r="P43" s="402"/>
      <c r="Q43" s="402"/>
      <c r="R43" s="402"/>
      <c r="S43" s="402"/>
      <c r="T43" s="402"/>
      <c r="U43" s="402"/>
      <c r="V43" s="402"/>
      <c r="W43" s="402"/>
      <c r="X43" s="402"/>
      <c r="Y43" s="402"/>
      <c r="Z43" s="402"/>
      <c r="AA43" s="401"/>
      <c r="AB43" s="316"/>
      <c r="AC43" s="315"/>
      <c r="AD43" s="315"/>
      <c r="AE43" s="315"/>
      <c r="AF43" s="315"/>
      <c r="AG43" s="315"/>
    </row>
    <row r="44" spans="1:33" ht="12.75">
      <c r="A44" s="315" t="s">
        <v>253</v>
      </c>
      <c r="B44" s="315"/>
      <c r="C44" s="399"/>
      <c r="D44" s="315"/>
      <c r="E44" s="408">
        <v>-398059</v>
      </c>
      <c r="F44" s="408">
        <v>-269365</v>
      </c>
      <c r="G44" s="408">
        <v>-597853</v>
      </c>
      <c r="H44" s="408">
        <v>-237180</v>
      </c>
      <c r="I44" s="409">
        <v>-497028</v>
      </c>
      <c r="J44" s="409">
        <v>-685915</v>
      </c>
      <c r="K44" s="409">
        <v>-628452</v>
      </c>
      <c r="L44" s="409">
        <v>-676257.82</v>
      </c>
      <c r="M44" s="409">
        <v>-517207.08</v>
      </c>
      <c r="N44" s="409">
        <v>-475295.07</v>
      </c>
      <c r="O44" s="409">
        <v>-479254</v>
      </c>
      <c r="P44" s="409">
        <v>-581952</v>
      </c>
      <c r="Q44" s="409">
        <v>-706470</v>
      </c>
      <c r="R44" s="409">
        <v>-225966</v>
      </c>
      <c r="S44" s="409">
        <v>-350381</v>
      </c>
      <c r="T44" s="409">
        <v>-596977</v>
      </c>
      <c r="U44" s="409">
        <v>-489827</v>
      </c>
      <c r="V44" s="409">
        <v>-295116</v>
      </c>
      <c r="W44" s="409">
        <v>-268982</v>
      </c>
      <c r="X44" s="409">
        <v>-201008</v>
      </c>
      <c r="Y44" s="409">
        <v>-119548.81999999998</v>
      </c>
      <c r="Z44" s="470">
        <f>+X36</f>
        <v>-248771.02999999997</v>
      </c>
      <c r="AA44" s="410">
        <f>SUM(E44:Z44)</f>
        <v>-9546864.819999998</v>
      </c>
      <c r="AB44" s="316"/>
      <c r="AC44" s="371"/>
      <c r="AD44" s="315"/>
      <c r="AE44" s="315"/>
      <c r="AF44" s="315"/>
      <c r="AG44" s="315"/>
    </row>
    <row r="45" spans="1:33" ht="12.75">
      <c r="A45" s="315"/>
      <c r="B45" s="315"/>
      <c r="C45" s="399"/>
      <c r="D45" s="315"/>
      <c r="E45" s="372"/>
      <c r="F45" s="372"/>
      <c r="G45" s="372"/>
      <c r="H45" s="372"/>
      <c r="I45" s="372"/>
      <c r="J45" s="372"/>
      <c r="K45" s="372"/>
      <c r="L45" s="372"/>
      <c r="M45" s="372"/>
      <c r="N45" s="372"/>
      <c r="O45" s="372"/>
      <c r="P45" s="372"/>
      <c r="Q45" s="372"/>
      <c r="R45" s="372"/>
      <c r="S45" s="372"/>
      <c r="T45" s="402"/>
      <c r="U45" s="402"/>
      <c r="V45" s="402"/>
      <c r="W45" s="372"/>
      <c r="X45" s="372"/>
      <c r="Y45" s="372"/>
      <c r="Z45" s="372"/>
      <c r="AA45" s="401"/>
      <c r="AB45" s="316"/>
      <c r="AC45" s="315"/>
      <c r="AD45" s="315"/>
      <c r="AE45" s="315"/>
      <c r="AF45" s="315"/>
      <c r="AG45" s="315"/>
    </row>
    <row r="46" spans="1:33" ht="12.75">
      <c r="A46" s="318" t="s">
        <v>254</v>
      </c>
      <c r="B46" s="318"/>
      <c r="C46" s="318"/>
      <c r="D46" s="318"/>
      <c r="E46" s="411">
        <f>SUM(E40:E44)</f>
        <v>-130789</v>
      </c>
      <c r="F46" s="411">
        <f aca="true" t="shared" si="6" ref="F46:W46">SUM(F40:F44)</f>
        <v>157589</v>
      </c>
      <c r="G46" s="411">
        <f t="shared" si="6"/>
        <v>-222286</v>
      </c>
      <c r="H46" s="411">
        <f t="shared" si="6"/>
        <v>228546</v>
      </c>
      <c r="I46" s="411">
        <f t="shared" si="6"/>
        <v>63869</v>
      </c>
      <c r="J46" s="411">
        <f t="shared" si="6"/>
        <v>-135327</v>
      </c>
      <c r="K46" s="411">
        <f t="shared" si="6"/>
        <v>218914</v>
      </c>
      <c r="L46" s="411">
        <f t="shared" si="6"/>
        <v>-109081.12</v>
      </c>
      <c r="M46" s="411">
        <f t="shared" si="6"/>
        <v>-26063.280000000028</v>
      </c>
      <c r="N46" s="411">
        <f t="shared" si="6"/>
        <v>-793.070000000007</v>
      </c>
      <c r="O46" s="411">
        <f t="shared" si="6"/>
        <v>61714</v>
      </c>
      <c r="P46" s="411">
        <f t="shared" si="6"/>
        <v>58526</v>
      </c>
      <c r="Q46" s="411">
        <f t="shared" si="6"/>
        <v>-317872</v>
      </c>
      <c r="R46" s="411">
        <f t="shared" si="6"/>
        <v>141325</v>
      </c>
      <c r="S46" s="411">
        <f t="shared" si="6"/>
        <v>188682</v>
      </c>
      <c r="T46" s="471">
        <f t="shared" si="6"/>
        <v>-168788</v>
      </c>
      <c r="U46" s="471">
        <f t="shared" si="6"/>
        <v>-143025</v>
      </c>
      <c r="V46" s="471">
        <f t="shared" si="6"/>
        <v>53214</v>
      </c>
      <c r="W46" s="471">
        <f t="shared" si="6"/>
        <v>19311</v>
      </c>
      <c r="X46" s="471">
        <f>SUM(X40:X44)</f>
        <v>-15263</v>
      </c>
      <c r="Y46" s="471">
        <f>SUM(Y40:Y44)</f>
        <v>131189.73568900555</v>
      </c>
      <c r="Z46" s="471">
        <f>SUM(Z40:Z44)</f>
        <v>-134882.3254034331</v>
      </c>
      <c r="AA46" s="412">
        <f>SUM(E46:Z46)</f>
        <v>-81290.05971442757</v>
      </c>
      <c r="AB46" s="349"/>
      <c r="AC46" s="413"/>
      <c r="AD46" s="318"/>
      <c r="AE46" s="318"/>
      <c r="AF46" s="318"/>
      <c r="AG46" s="318"/>
    </row>
    <row r="47" spans="1:33" ht="12.75">
      <c r="A47" s="318"/>
      <c r="B47" s="315"/>
      <c r="C47" s="315"/>
      <c r="D47" s="315"/>
      <c r="E47" s="369"/>
      <c r="F47" s="369"/>
      <c r="G47" s="369"/>
      <c r="H47" s="369"/>
      <c r="I47" s="369"/>
      <c r="J47" s="369"/>
      <c r="K47" s="369"/>
      <c r="L47" s="369"/>
      <c r="M47" s="369"/>
      <c r="N47" s="369"/>
      <c r="O47" s="369"/>
      <c r="P47" s="369"/>
      <c r="Q47" s="369"/>
      <c r="R47" s="369"/>
      <c r="S47" s="369"/>
      <c r="T47" s="420"/>
      <c r="U47" s="420"/>
      <c r="V47" s="420"/>
      <c r="W47" s="369"/>
      <c r="X47" s="369"/>
      <c r="Y47" s="369"/>
      <c r="Z47" s="369"/>
      <c r="AA47" s="401"/>
      <c r="AB47" s="316"/>
      <c r="AC47" s="315"/>
      <c r="AD47" s="315"/>
      <c r="AE47" s="315"/>
      <c r="AF47" s="315"/>
      <c r="AG47" s="315"/>
    </row>
    <row r="48" spans="1:33" ht="12.75">
      <c r="A48" s="315" t="s">
        <v>258</v>
      </c>
      <c r="B48" s="315"/>
      <c r="C48" s="315"/>
      <c r="D48" s="315"/>
      <c r="E48" s="416">
        <v>10</v>
      </c>
      <c r="F48" s="416">
        <v>12</v>
      </c>
      <c r="G48" s="416">
        <v>12</v>
      </c>
      <c r="H48" s="416">
        <v>12</v>
      </c>
      <c r="I48" s="416">
        <v>12</v>
      </c>
      <c r="J48" s="417">
        <v>13</v>
      </c>
      <c r="K48" s="417">
        <v>14</v>
      </c>
      <c r="L48" s="417">
        <v>12</v>
      </c>
      <c r="M48" s="417">
        <v>12</v>
      </c>
      <c r="N48" s="417">
        <v>12</v>
      </c>
      <c r="O48" s="417">
        <v>12</v>
      </c>
      <c r="P48" s="417">
        <v>12</v>
      </c>
      <c r="Q48" s="417">
        <v>12</v>
      </c>
      <c r="R48" s="417">
        <v>12</v>
      </c>
      <c r="S48" s="417">
        <v>16</v>
      </c>
      <c r="T48" s="418">
        <v>13</v>
      </c>
      <c r="U48" s="418">
        <v>12</v>
      </c>
      <c r="V48" s="418">
        <v>12</v>
      </c>
      <c r="W48" s="418">
        <v>12</v>
      </c>
      <c r="X48" s="418">
        <v>12</v>
      </c>
      <c r="Y48" s="418">
        <v>12</v>
      </c>
      <c r="Z48" s="472">
        <v>12</v>
      </c>
      <c r="AA48" s="419">
        <v>12</v>
      </c>
      <c r="AB48" s="316"/>
      <c r="AC48" s="315"/>
      <c r="AD48" s="315"/>
      <c r="AE48" s="315"/>
      <c r="AF48" s="315"/>
      <c r="AG48" s="315"/>
    </row>
    <row r="49" spans="1:33" ht="12.75">
      <c r="A49" s="318" t="s">
        <v>259</v>
      </c>
      <c r="B49" s="318"/>
      <c r="C49" s="318"/>
      <c r="D49" s="318"/>
      <c r="E49" s="411">
        <f>+E46/E48</f>
        <v>-13078.9</v>
      </c>
      <c r="F49" s="411">
        <f aca="true" t="shared" si="7" ref="F49:Z49">+F46/F48</f>
        <v>13132.416666666666</v>
      </c>
      <c r="G49" s="411">
        <f t="shared" si="7"/>
        <v>-18523.833333333332</v>
      </c>
      <c r="H49" s="411">
        <f t="shared" si="7"/>
        <v>19045.5</v>
      </c>
      <c r="I49" s="411">
        <f t="shared" si="7"/>
        <v>5322.416666666667</v>
      </c>
      <c r="J49" s="411">
        <f t="shared" si="7"/>
        <v>-10409.76923076923</v>
      </c>
      <c r="K49" s="411">
        <f t="shared" si="7"/>
        <v>15636.714285714286</v>
      </c>
      <c r="L49" s="411">
        <f t="shared" si="7"/>
        <v>-9090.093333333332</v>
      </c>
      <c r="M49" s="411">
        <f t="shared" si="7"/>
        <v>-2171.9400000000023</v>
      </c>
      <c r="N49" s="411">
        <f t="shared" si="7"/>
        <v>-66.08916666666725</v>
      </c>
      <c r="O49" s="411">
        <f t="shared" si="7"/>
        <v>5142.833333333333</v>
      </c>
      <c r="P49" s="411">
        <f t="shared" si="7"/>
        <v>4877.166666666667</v>
      </c>
      <c r="Q49" s="411">
        <f t="shared" si="7"/>
        <v>-26489.333333333332</v>
      </c>
      <c r="R49" s="411">
        <f t="shared" si="7"/>
        <v>11777.083333333334</v>
      </c>
      <c r="S49" s="411">
        <f t="shared" si="7"/>
        <v>11792.625</v>
      </c>
      <c r="T49" s="411">
        <f t="shared" si="7"/>
        <v>-12983.692307692309</v>
      </c>
      <c r="U49" s="411">
        <f t="shared" si="7"/>
        <v>-11918.75</v>
      </c>
      <c r="V49" s="411">
        <f t="shared" si="7"/>
        <v>4434.5</v>
      </c>
      <c r="W49" s="411">
        <f t="shared" si="7"/>
        <v>1609.25</v>
      </c>
      <c r="X49" s="411">
        <f>+X46/X48</f>
        <v>-1271.9166666666667</v>
      </c>
      <c r="Y49" s="411">
        <f>+Y46/Y48</f>
        <v>10932.477974083797</v>
      </c>
      <c r="Z49" s="411">
        <f t="shared" si="7"/>
        <v>-11240.193783619425</v>
      </c>
      <c r="AA49" s="412">
        <f>+AA46/AA48</f>
        <v>-6774.171642868964</v>
      </c>
      <c r="AB49" s="349"/>
      <c r="AC49" s="318"/>
      <c r="AD49" s="318"/>
      <c r="AE49" s="318"/>
      <c r="AF49" s="318"/>
      <c r="AG49" s="318"/>
    </row>
    <row r="50" spans="1:33" ht="12.75">
      <c r="A50" s="318"/>
      <c r="B50" s="315"/>
      <c r="C50" s="315"/>
      <c r="D50" s="315"/>
      <c r="E50" s="315"/>
      <c r="F50" s="378"/>
      <c r="G50" s="315"/>
      <c r="H50" s="315"/>
      <c r="I50" s="315"/>
      <c r="J50" s="315"/>
      <c r="K50" s="315"/>
      <c r="L50" s="315"/>
      <c r="M50" s="315"/>
      <c r="N50" s="315"/>
      <c r="O50" s="315"/>
      <c r="P50" s="315"/>
      <c r="Q50" s="315"/>
      <c r="R50" s="315"/>
      <c r="S50" s="315"/>
      <c r="T50" s="315"/>
      <c r="U50" s="315"/>
      <c r="V50" s="315"/>
      <c r="W50" s="315"/>
      <c r="X50" s="315"/>
      <c r="Y50" s="315"/>
      <c r="Z50" s="315"/>
      <c r="AA50" s="401"/>
      <c r="AB50" s="316"/>
      <c r="AC50" s="315"/>
      <c r="AD50" s="315"/>
      <c r="AE50" s="315"/>
      <c r="AF50" s="315"/>
      <c r="AG50" s="315"/>
    </row>
    <row r="51" spans="1:33" ht="13.5" thickBot="1">
      <c r="A51" s="315" t="s">
        <v>260</v>
      </c>
      <c r="B51" s="315"/>
      <c r="C51" s="399"/>
      <c r="D51" s="399"/>
      <c r="E51" s="416">
        <v>20805</v>
      </c>
      <c r="F51" s="416">
        <v>20925</v>
      </c>
      <c r="G51" s="416">
        <v>22176</v>
      </c>
      <c r="H51" s="416">
        <v>22125</v>
      </c>
      <c r="I51" s="416">
        <v>22176</v>
      </c>
      <c r="J51" s="416">
        <v>22979</v>
      </c>
      <c r="K51" s="416">
        <v>31853</v>
      </c>
      <c r="L51" s="420">
        <v>31960.25</v>
      </c>
      <c r="M51" s="420">
        <v>26315.583333333332</v>
      </c>
      <c r="N51" s="420">
        <v>23549.583333333332</v>
      </c>
      <c r="O51" s="420">
        <v>23844</v>
      </c>
      <c r="P51" s="420">
        <v>23908</v>
      </c>
      <c r="Q51" s="420">
        <v>23119</v>
      </c>
      <c r="R51" s="420">
        <v>18604</v>
      </c>
      <c r="S51" s="420">
        <v>18935.25</v>
      </c>
      <c r="T51" s="420">
        <v>15470</v>
      </c>
      <c r="U51" s="420">
        <v>15900</v>
      </c>
      <c r="V51" s="420">
        <v>15987</v>
      </c>
      <c r="W51" s="420">
        <v>16329</v>
      </c>
      <c r="X51" s="420">
        <v>16723</v>
      </c>
      <c r="Y51" s="420">
        <v>17056</v>
      </c>
      <c r="Z51" s="420">
        <f>+B19</f>
        <v>17428.916666666668</v>
      </c>
      <c r="AA51" s="421">
        <f>+Z51</f>
        <v>17428.916666666668</v>
      </c>
      <c r="AB51" s="316"/>
      <c r="AC51" s="315"/>
      <c r="AD51" s="315"/>
      <c r="AE51" s="315"/>
      <c r="AF51" s="315"/>
      <c r="AG51" s="315"/>
    </row>
    <row r="52" spans="1:33" ht="12.75">
      <c r="A52" s="315"/>
      <c r="B52" s="315"/>
      <c r="C52" s="315"/>
      <c r="D52" s="315"/>
      <c r="E52" s="422">
        <f aca="true" t="shared" si="8" ref="E52:W52">E51*E48</f>
        <v>208050</v>
      </c>
      <c r="F52" s="422">
        <f t="shared" si="8"/>
        <v>251100</v>
      </c>
      <c r="G52" s="422">
        <f t="shared" si="8"/>
        <v>266112</v>
      </c>
      <c r="H52" s="422">
        <f t="shared" si="8"/>
        <v>265500</v>
      </c>
      <c r="I52" s="422">
        <f t="shared" si="8"/>
        <v>266112</v>
      </c>
      <c r="J52" s="422">
        <f t="shared" si="8"/>
        <v>298727</v>
      </c>
      <c r="K52" s="422">
        <f t="shared" si="8"/>
        <v>445942</v>
      </c>
      <c r="L52" s="422">
        <f t="shared" si="8"/>
        <v>383523</v>
      </c>
      <c r="M52" s="422">
        <f t="shared" si="8"/>
        <v>315787</v>
      </c>
      <c r="N52" s="422">
        <f t="shared" si="8"/>
        <v>282595</v>
      </c>
      <c r="O52" s="422">
        <f t="shared" si="8"/>
        <v>286128</v>
      </c>
      <c r="P52" s="422">
        <f t="shared" si="8"/>
        <v>286896</v>
      </c>
      <c r="Q52" s="422">
        <f t="shared" si="8"/>
        <v>277428</v>
      </c>
      <c r="R52" s="422">
        <f t="shared" si="8"/>
        <v>223248</v>
      </c>
      <c r="S52" s="422">
        <f t="shared" si="8"/>
        <v>302964</v>
      </c>
      <c r="T52" s="422">
        <f t="shared" si="8"/>
        <v>201110</v>
      </c>
      <c r="U52" s="422">
        <f t="shared" si="8"/>
        <v>190800</v>
      </c>
      <c r="V52" s="422">
        <f t="shared" si="8"/>
        <v>191844</v>
      </c>
      <c r="W52" s="422">
        <f t="shared" si="8"/>
        <v>195948</v>
      </c>
      <c r="X52" s="422"/>
      <c r="Y52" s="422"/>
      <c r="Z52" s="422"/>
      <c r="AA52" s="423">
        <f>AA51*AA48</f>
        <v>209147</v>
      </c>
      <c r="AB52" s="316"/>
      <c r="AC52" s="315"/>
      <c r="AD52" s="315"/>
      <c r="AE52" s="315"/>
      <c r="AF52" s="315"/>
      <c r="AG52" s="315"/>
    </row>
    <row r="53" spans="1:33" ht="13.5" thickBot="1">
      <c r="A53" s="318" t="s">
        <v>261</v>
      </c>
      <c r="B53" s="315"/>
      <c r="C53" s="315"/>
      <c r="D53" s="331"/>
      <c r="E53" s="343">
        <f aca="true" t="shared" si="9" ref="E53:AA53">ROUND(E49/E51,2)</f>
        <v>-0.63</v>
      </c>
      <c r="F53" s="343">
        <f t="shared" si="9"/>
        <v>0.63</v>
      </c>
      <c r="G53" s="343">
        <f t="shared" si="9"/>
        <v>-0.84</v>
      </c>
      <c r="H53" s="343">
        <f t="shared" si="9"/>
        <v>0.86</v>
      </c>
      <c r="I53" s="343">
        <f t="shared" si="9"/>
        <v>0.24</v>
      </c>
      <c r="J53" s="343">
        <f t="shared" si="9"/>
        <v>-0.45</v>
      </c>
      <c r="K53" s="343">
        <f t="shared" si="9"/>
        <v>0.49</v>
      </c>
      <c r="L53" s="343">
        <f t="shared" si="9"/>
        <v>-0.28</v>
      </c>
      <c r="M53" s="343">
        <f t="shared" si="9"/>
        <v>-0.08</v>
      </c>
      <c r="N53" s="343">
        <f t="shared" si="9"/>
        <v>0</v>
      </c>
      <c r="O53" s="343">
        <f t="shared" si="9"/>
        <v>0.22</v>
      </c>
      <c r="P53" s="343">
        <f t="shared" si="9"/>
        <v>0.2</v>
      </c>
      <c r="Q53" s="343">
        <f t="shared" si="9"/>
        <v>-1.15</v>
      </c>
      <c r="R53" s="343">
        <f t="shared" si="9"/>
        <v>0.63</v>
      </c>
      <c r="S53" s="343">
        <f t="shared" si="9"/>
        <v>0.62</v>
      </c>
      <c r="T53" s="343">
        <f t="shared" si="9"/>
        <v>-0.84</v>
      </c>
      <c r="U53" s="343">
        <f t="shared" si="9"/>
        <v>-0.75</v>
      </c>
      <c r="V53" s="343">
        <f t="shared" si="9"/>
        <v>0.28</v>
      </c>
      <c r="W53" s="343">
        <f t="shared" si="9"/>
        <v>0.1</v>
      </c>
      <c r="X53" s="343">
        <f t="shared" si="9"/>
        <v>-0.08</v>
      </c>
      <c r="Y53" s="343">
        <f t="shared" si="9"/>
        <v>0.64</v>
      </c>
      <c r="Z53" s="343">
        <f t="shared" si="9"/>
        <v>-0.64</v>
      </c>
      <c r="AA53" s="424">
        <f t="shared" si="9"/>
        <v>-0.39</v>
      </c>
      <c r="AB53" s="316"/>
      <c r="AC53" s="315"/>
      <c r="AD53" s="315"/>
      <c r="AE53" s="315"/>
      <c r="AF53" s="315"/>
      <c r="AG53" s="315"/>
    </row>
    <row r="54" spans="1:33" ht="13.5" thickTop="1">
      <c r="A54" s="315"/>
      <c r="B54" s="315"/>
      <c r="C54" s="315"/>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401"/>
      <c r="AB54" s="316"/>
      <c r="AC54" s="315"/>
      <c r="AD54" s="315"/>
      <c r="AE54" s="315"/>
      <c r="AF54" s="315"/>
      <c r="AG54" s="315"/>
    </row>
    <row r="55" spans="1:33" ht="12.75">
      <c r="A55" s="425" t="s">
        <v>262</v>
      </c>
      <c r="B55" s="321"/>
      <c r="C55" s="321"/>
      <c r="D55" s="331"/>
      <c r="E55" s="331"/>
      <c r="F55" s="331"/>
      <c r="G55" s="331"/>
      <c r="H55" s="331"/>
      <c r="I55" s="331"/>
      <c r="J55" s="331"/>
      <c r="K55" s="331"/>
      <c r="L55" s="331"/>
      <c r="M55" s="331"/>
      <c r="N55" s="331"/>
      <c r="O55" s="331"/>
      <c r="P55" s="331"/>
      <c r="Q55" s="331"/>
      <c r="R55" s="331"/>
      <c r="S55" s="331"/>
      <c r="T55" s="331"/>
      <c r="U55" s="331"/>
      <c r="V55" s="331"/>
      <c r="W55" s="331"/>
      <c r="X55" s="331"/>
      <c r="Y55" s="331"/>
      <c r="Z55" s="331"/>
      <c r="AA55" s="401"/>
      <c r="AB55" s="316"/>
      <c r="AC55" s="315"/>
      <c r="AD55" s="315"/>
      <c r="AE55" s="315"/>
      <c r="AF55" s="315"/>
      <c r="AG55" s="315"/>
    </row>
    <row r="56" spans="1:33" ht="12.75">
      <c r="A56" s="315" t="s">
        <v>302</v>
      </c>
      <c r="B56" s="315"/>
      <c r="C56" s="315"/>
      <c r="D56" s="331"/>
      <c r="E56" s="331">
        <v>1.34</v>
      </c>
      <c r="F56" s="331">
        <v>1.93</v>
      </c>
      <c r="G56" s="331">
        <v>2.13</v>
      </c>
      <c r="H56" s="331">
        <v>1.75</v>
      </c>
      <c r="I56" s="331">
        <v>2.04</v>
      </c>
      <c r="J56" s="331">
        <v>1.84</v>
      </c>
      <c r="K56" s="331">
        <v>1.96</v>
      </c>
      <c r="L56" s="331">
        <v>2</v>
      </c>
      <c r="M56" s="331">
        <v>2.2218584045575023</v>
      </c>
      <c r="N56" s="331">
        <v>2.3986977830464093</v>
      </c>
      <c r="O56" s="331">
        <v>2.7</v>
      </c>
      <c r="P56" s="331">
        <v>3.19</v>
      </c>
      <c r="Q56" s="331">
        <v>2</v>
      </c>
      <c r="R56" s="331">
        <v>2.35</v>
      </c>
      <c r="S56" s="331">
        <v>3.469490324482997</v>
      </c>
      <c r="T56" s="331">
        <v>3.29</v>
      </c>
      <c r="U56" s="331">
        <v>2.832145840338845</v>
      </c>
      <c r="V56" s="331">
        <v>2.82</v>
      </c>
      <c r="W56" s="331">
        <v>2.26</v>
      </c>
      <c r="X56" s="331">
        <v>1.67</v>
      </c>
      <c r="Y56" s="331">
        <v>2.33</v>
      </c>
      <c r="Z56" s="331">
        <f>+B20</f>
        <v>0.81</v>
      </c>
      <c r="AA56" s="426">
        <f>+Z56</f>
        <v>0.81</v>
      </c>
      <c r="AB56" s="316"/>
      <c r="AC56" s="315"/>
      <c r="AD56" s="315"/>
      <c r="AE56" s="315"/>
      <c r="AF56" s="315"/>
      <c r="AG56" s="315"/>
    </row>
    <row r="57" spans="1:33" ht="12.75">
      <c r="A57" s="427" t="s">
        <v>303</v>
      </c>
      <c r="B57" s="315"/>
      <c r="C57" s="315"/>
      <c r="D57" s="331"/>
      <c r="E57" s="331"/>
      <c r="F57" s="331"/>
      <c r="G57" s="331"/>
      <c r="H57" s="331"/>
      <c r="I57" s="331"/>
      <c r="J57" s="331"/>
      <c r="K57" s="331"/>
      <c r="L57" s="331"/>
      <c r="M57" s="331"/>
      <c r="N57" s="331"/>
      <c r="O57" s="331"/>
      <c r="P57" s="331"/>
      <c r="Q57" s="331"/>
      <c r="R57" s="331"/>
      <c r="S57" s="331"/>
      <c r="T57" s="331"/>
      <c r="U57" s="331"/>
      <c r="V57" s="331"/>
      <c r="W57" s="331"/>
      <c r="X57" s="331"/>
      <c r="Y57" s="331"/>
      <c r="Z57" s="331"/>
      <c r="AA57" s="401"/>
      <c r="AB57" s="316"/>
      <c r="AC57" s="315"/>
      <c r="AD57" s="315"/>
      <c r="AE57" s="315"/>
      <c r="AF57" s="315"/>
      <c r="AG57" s="315"/>
    </row>
    <row r="58" spans="1:33" ht="12.75">
      <c r="A58" s="315" t="s">
        <v>261</v>
      </c>
      <c r="B58" s="315"/>
      <c r="C58" s="315"/>
      <c r="D58" s="346"/>
      <c r="E58" s="346">
        <v>-0.63</v>
      </c>
      <c r="F58" s="346">
        <v>0.63</v>
      </c>
      <c r="G58" s="346">
        <v>-0.84</v>
      </c>
      <c r="H58" s="346">
        <v>0.86</v>
      </c>
      <c r="I58" s="346">
        <v>0.24</v>
      </c>
      <c r="J58" s="346">
        <v>-0.45</v>
      </c>
      <c r="K58" s="346">
        <v>0.49</v>
      </c>
      <c r="L58" s="346">
        <v>-0.28</v>
      </c>
      <c r="M58" s="346">
        <v>-0.08</v>
      </c>
      <c r="N58" s="346">
        <v>0</v>
      </c>
      <c r="O58" s="346">
        <v>0.21</v>
      </c>
      <c r="P58" s="346">
        <v>0.21</v>
      </c>
      <c r="Q58" s="346">
        <v>-1.15</v>
      </c>
      <c r="R58" s="346">
        <v>0.63</v>
      </c>
      <c r="S58" s="346">
        <v>0.62</v>
      </c>
      <c r="T58" s="346">
        <f>+T53</f>
        <v>-0.84</v>
      </c>
      <c r="U58" s="346">
        <v>-0.75</v>
      </c>
      <c r="V58" s="346">
        <v>0.25</v>
      </c>
      <c r="W58" s="346">
        <f>+W53</f>
        <v>0.1</v>
      </c>
      <c r="X58" s="346">
        <f>+X53</f>
        <v>-0.08</v>
      </c>
      <c r="Y58" s="346">
        <f>+Y53</f>
        <v>0.64</v>
      </c>
      <c r="Z58" s="346">
        <f>+Z53</f>
        <v>-0.64</v>
      </c>
      <c r="AA58" s="473">
        <f>+AA53</f>
        <v>-0.39</v>
      </c>
      <c r="AB58" s="316"/>
      <c r="AC58" s="330"/>
      <c r="AD58" s="315"/>
      <c r="AE58" s="315"/>
      <c r="AF58" s="315"/>
      <c r="AG58" s="315"/>
    </row>
    <row r="59" spans="1:33" ht="13.5" thickBot="1">
      <c r="A59" s="315" t="s">
        <v>263</v>
      </c>
      <c r="B59" s="315"/>
      <c r="C59" s="315"/>
      <c r="D59" s="343">
        <v>1.91</v>
      </c>
      <c r="E59" s="343">
        <f aca="true" t="shared" si="10" ref="E59:R59">SUM(E56:E58)</f>
        <v>0.7100000000000001</v>
      </c>
      <c r="F59" s="343">
        <f t="shared" si="10"/>
        <v>2.56</v>
      </c>
      <c r="G59" s="343">
        <f t="shared" si="10"/>
        <v>1.29</v>
      </c>
      <c r="H59" s="343">
        <f t="shared" si="10"/>
        <v>2.61</v>
      </c>
      <c r="I59" s="343">
        <f t="shared" si="10"/>
        <v>2.2800000000000002</v>
      </c>
      <c r="J59" s="343">
        <f t="shared" si="10"/>
        <v>1.3900000000000001</v>
      </c>
      <c r="K59" s="343">
        <f t="shared" si="10"/>
        <v>2.45</v>
      </c>
      <c r="L59" s="343">
        <f t="shared" si="10"/>
        <v>1.72</v>
      </c>
      <c r="M59" s="343">
        <f t="shared" si="10"/>
        <v>2.141858404557502</v>
      </c>
      <c r="N59" s="343">
        <f t="shared" si="10"/>
        <v>2.3986977830464093</v>
      </c>
      <c r="O59" s="343">
        <f t="shared" si="10"/>
        <v>2.91</v>
      </c>
      <c r="P59" s="343">
        <f t="shared" si="10"/>
        <v>3.4</v>
      </c>
      <c r="Q59" s="343">
        <f t="shared" si="10"/>
        <v>0.8500000000000001</v>
      </c>
      <c r="R59" s="343">
        <f t="shared" si="10"/>
        <v>2.98</v>
      </c>
      <c r="S59" s="343">
        <f aca="true" t="shared" si="11" ref="S59:AA59">SUM(S56:S58)</f>
        <v>4.0894903244829965</v>
      </c>
      <c r="T59" s="343">
        <f t="shared" si="11"/>
        <v>2.45</v>
      </c>
      <c r="U59" s="343">
        <f t="shared" si="11"/>
        <v>2.082145840338845</v>
      </c>
      <c r="V59" s="343">
        <f t="shared" si="11"/>
        <v>3.07</v>
      </c>
      <c r="W59" s="343">
        <f t="shared" si="11"/>
        <v>2.36</v>
      </c>
      <c r="X59" s="343">
        <f>SUM(X56:X58)</f>
        <v>1.5899999999999999</v>
      </c>
      <c r="Y59" s="343">
        <f>SUM(Y56:Y58)</f>
        <v>2.97</v>
      </c>
      <c r="Z59" s="343">
        <f t="shared" si="11"/>
        <v>0.17000000000000004</v>
      </c>
      <c r="AA59" s="429">
        <f t="shared" si="11"/>
        <v>0.42000000000000004</v>
      </c>
      <c r="AB59" s="316"/>
      <c r="AC59" s="315"/>
      <c r="AD59" s="330"/>
      <c r="AE59" s="474"/>
      <c r="AF59" s="315"/>
      <c r="AG59" s="315"/>
    </row>
    <row r="60" spans="1:33" ht="13.5" thickTop="1">
      <c r="A60" s="315"/>
      <c r="B60" s="315"/>
      <c r="C60" s="315"/>
      <c r="D60" s="430"/>
      <c r="E60" s="430"/>
      <c r="F60" s="430"/>
      <c r="G60" s="430"/>
      <c r="H60" s="430"/>
      <c r="I60" s="430"/>
      <c r="J60" s="430"/>
      <c r="K60" s="430"/>
      <c r="L60" s="430"/>
      <c r="M60" s="430"/>
      <c r="N60" s="430"/>
      <c r="O60" s="430"/>
      <c r="P60" s="430"/>
      <c r="Q60" s="430"/>
      <c r="R60" s="430"/>
      <c r="S60" s="430"/>
      <c r="T60" s="430"/>
      <c r="U60" s="430"/>
      <c r="V60" s="430"/>
      <c r="W60" s="430"/>
      <c r="X60" s="430"/>
      <c r="Y60" s="430"/>
      <c r="Z60" s="430"/>
      <c r="AA60" s="431"/>
      <c r="AB60" s="316"/>
      <c r="AC60" s="315"/>
      <c r="AD60" s="330"/>
      <c r="AE60" s="474"/>
      <c r="AF60" s="315"/>
      <c r="AG60" s="315"/>
    </row>
    <row r="61" spans="1:33" ht="12.75">
      <c r="A61" s="315" t="s">
        <v>264</v>
      </c>
      <c r="B61" s="315"/>
      <c r="C61" s="315"/>
      <c r="D61" s="430"/>
      <c r="E61" s="430"/>
      <c r="F61" s="430"/>
      <c r="G61" s="430"/>
      <c r="H61" s="430"/>
      <c r="I61" s="430"/>
      <c r="J61" s="430"/>
      <c r="K61" s="430"/>
      <c r="L61" s="430"/>
      <c r="M61" s="430"/>
      <c r="N61" s="430"/>
      <c r="O61" s="430"/>
      <c r="P61" s="430"/>
      <c r="Q61" s="430"/>
      <c r="R61" s="430"/>
      <c r="S61" s="430"/>
      <c r="T61" s="430"/>
      <c r="U61" s="430"/>
      <c r="V61" s="430"/>
      <c r="W61" s="475"/>
      <c r="X61" s="475"/>
      <c r="Y61" s="475"/>
      <c r="Z61" s="475"/>
      <c r="AA61" s="476"/>
      <c r="AB61" s="316"/>
      <c r="AC61" s="315"/>
      <c r="AD61" s="330"/>
      <c r="AE61" s="474"/>
      <c r="AF61" s="315"/>
      <c r="AG61" s="315"/>
    </row>
    <row r="62" spans="1:33" ht="12.75">
      <c r="A62" s="315"/>
      <c r="B62" s="315"/>
      <c r="C62" s="315"/>
      <c r="D62" s="430"/>
      <c r="E62" s="430"/>
      <c r="F62" s="430"/>
      <c r="G62" s="430"/>
      <c r="H62" s="430"/>
      <c r="I62" s="430"/>
      <c r="J62" s="430"/>
      <c r="K62" s="430"/>
      <c r="L62" s="430"/>
      <c r="M62" s="430"/>
      <c r="N62" s="430"/>
      <c r="O62" s="430"/>
      <c r="P62" s="430"/>
      <c r="Q62" s="430"/>
      <c r="R62" s="430"/>
      <c r="S62" s="430"/>
      <c r="T62" s="430"/>
      <c r="U62" s="430"/>
      <c r="V62" s="430"/>
      <c r="W62" s="430"/>
      <c r="X62" s="430"/>
      <c r="Y62" s="430"/>
      <c r="Z62" s="430"/>
      <c r="AA62" s="431"/>
      <c r="AB62" s="316"/>
      <c r="AC62" s="437"/>
      <c r="AD62" s="330"/>
      <c r="AE62" s="474"/>
      <c r="AF62" s="315"/>
      <c r="AG62" s="315"/>
    </row>
    <row r="63" spans="1:33" ht="38.25">
      <c r="A63" s="432" t="s">
        <v>265</v>
      </c>
      <c r="B63" s="315"/>
      <c r="C63" s="433">
        <f>+D77</f>
        <v>0.5</v>
      </c>
      <c r="D63" s="331"/>
      <c r="E63" s="331"/>
      <c r="F63" s="331"/>
      <c r="G63" s="331"/>
      <c r="H63" s="331"/>
      <c r="I63" s="331"/>
      <c r="J63" s="331"/>
      <c r="K63" s="331"/>
      <c r="L63" s="331"/>
      <c r="M63" s="331"/>
      <c r="N63" s="331"/>
      <c r="O63" s="331"/>
      <c r="P63" s="331"/>
      <c r="Q63" s="331"/>
      <c r="R63" s="331"/>
      <c r="S63" s="331"/>
      <c r="T63" s="331"/>
      <c r="U63" s="331"/>
      <c r="V63" s="331"/>
      <c r="W63" s="331"/>
      <c r="X63" s="331"/>
      <c r="Y63" s="331"/>
      <c r="Z63" s="331"/>
      <c r="AA63" s="428">
        <f>ROUND(-AA56*C63,2)</f>
        <v>-0.41</v>
      </c>
      <c r="AB63" s="316"/>
      <c r="AC63" s="372"/>
      <c r="AD63" s="372"/>
      <c r="AE63" s="330"/>
      <c r="AF63" s="315"/>
      <c r="AG63" s="315"/>
    </row>
    <row r="64" spans="1:33" ht="12.75">
      <c r="A64" s="315"/>
      <c r="B64" s="315"/>
      <c r="C64" s="315"/>
      <c r="D64" s="331"/>
      <c r="E64" s="331"/>
      <c r="F64" s="331"/>
      <c r="G64" s="331"/>
      <c r="H64" s="331"/>
      <c r="I64" s="331"/>
      <c r="J64" s="331"/>
      <c r="K64" s="331"/>
      <c r="L64" s="331"/>
      <c r="M64" s="331"/>
      <c r="N64" s="331"/>
      <c r="O64" s="331"/>
      <c r="P64" s="331"/>
      <c r="Q64" s="331"/>
      <c r="R64" s="331"/>
      <c r="S64" s="331"/>
      <c r="T64" s="331"/>
      <c r="U64" s="331"/>
      <c r="V64" s="331"/>
      <c r="W64" s="331"/>
      <c r="X64" s="331"/>
      <c r="Y64" s="331"/>
      <c r="Z64" s="331"/>
      <c r="AA64" s="401"/>
      <c r="AB64" s="316"/>
      <c r="AC64" s="315"/>
      <c r="AD64" s="315"/>
      <c r="AE64" s="315"/>
      <c r="AF64" s="315"/>
      <c r="AG64" s="315"/>
    </row>
    <row r="65" spans="1:33" ht="13.5" thickBot="1">
      <c r="A65" s="315" t="s">
        <v>266</v>
      </c>
      <c r="B65" s="315"/>
      <c r="C65" s="315"/>
      <c r="D65" s="343">
        <v>1.91</v>
      </c>
      <c r="E65" s="343">
        <v>0.91</v>
      </c>
      <c r="F65" s="343">
        <v>2.56</v>
      </c>
      <c r="G65" s="434">
        <v>0.56</v>
      </c>
      <c r="H65" s="435">
        <v>2.13</v>
      </c>
      <c r="I65" s="435">
        <v>2.33</v>
      </c>
      <c r="J65" s="435">
        <v>1.7</v>
      </c>
      <c r="K65" s="435">
        <v>1.84</v>
      </c>
      <c r="L65" s="435">
        <v>1.59</v>
      </c>
      <c r="M65" s="435">
        <v>1.7</v>
      </c>
      <c r="N65" s="435">
        <v>1.67</v>
      </c>
      <c r="O65" s="435">
        <v>2.1</v>
      </c>
      <c r="P65" s="435">
        <v>2.64</v>
      </c>
      <c r="Q65" s="435">
        <v>0.68</v>
      </c>
      <c r="R65" s="435">
        <v>1.315</v>
      </c>
      <c r="S65" s="435">
        <v>3.41</v>
      </c>
      <c r="T65" s="435">
        <v>2.29</v>
      </c>
      <c r="U65" s="435">
        <v>1.29</v>
      </c>
      <c r="V65" s="435">
        <v>1.4</v>
      </c>
      <c r="W65" s="435">
        <v>0.87</v>
      </c>
      <c r="X65" s="435">
        <v>0.49</v>
      </c>
      <c r="Y65" s="435">
        <v>1.42</v>
      </c>
      <c r="Z65" s="477"/>
      <c r="AA65" s="436">
        <f>+AA63+AA59</f>
        <v>0.010000000000000064</v>
      </c>
      <c r="AB65" s="316"/>
      <c r="AC65" s="437"/>
      <c r="AD65" s="331"/>
      <c r="AE65" s="331"/>
      <c r="AF65" s="315"/>
      <c r="AG65" s="330"/>
    </row>
    <row r="66" spans="1:33" ht="14.25" thickBot="1" thickTop="1">
      <c r="A66" s="315"/>
      <c r="B66" s="315"/>
      <c r="C66" s="315"/>
      <c r="D66" s="430"/>
      <c r="E66" s="430"/>
      <c r="F66" s="430"/>
      <c r="G66" s="438"/>
      <c r="H66" s="430"/>
      <c r="I66" s="430"/>
      <c r="J66" s="430"/>
      <c r="K66" s="430"/>
      <c r="L66" s="430"/>
      <c r="M66" s="331"/>
      <c r="N66" s="331"/>
      <c r="O66" s="331"/>
      <c r="P66" s="331"/>
      <c r="Q66" s="331"/>
      <c r="R66" s="331"/>
      <c r="S66" s="331"/>
      <c r="T66" s="331"/>
      <c r="U66" s="331"/>
      <c r="V66" s="331"/>
      <c r="W66" s="331"/>
      <c r="X66" s="331"/>
      <c r="Y66" s="331"/>
      <c r="Z66" s="331"/>
      <c r="AA66" s="439"/>
      <c r="AB66" s="316"/>
      <c r="AC66" s="315"/>
      <c r="AD66" s="330"/>
      <c r="AE66" s="330"/>
      <c r="AF66" s="315"/>
      <c r="AG66" s="315"/>
    </row>
    <row r="67" spans="1:33" ht="13.5" thickBot="1">
      <c r="A67" s="315" t="s">
        <v>275</v>
      </c>
      <c r="B67" s="315"/>
      <c r="C67" s="315"/>
      <c r="D67" s="443"/>
      <c r="E67" s="445">
        <v>7896.18</v>
      </c>
      <c r="F67" s="445">
        <v>7528.25</v>
      </c>
      <c r="G67" s="445">
        <v>8162.79</v>
      </c>
      <c r="H67" s="445">
        <v>8325.95</v>
      </c>
      <c r="I67" s="445">
        <v>8424.47</v>
      </c>
      <c r="J67" s="445">
        <v>9054.611076923078</v>
      </c>
      <c r="K67" s="445">
        <v>11958.96857142857</v>
      </c>
      <c r="L67" s="445">
        <v>11706.094141667125</v>
      </c>
      <c r="M67" s="445">
        <v>9059.515480630878</v>
      </c>
      <c r="N67" s="445">
        <v>8199.202012675878</v>
      </c>
      <c r="O67" s="445">
        <v>8698.76487207301</v>
      </c>
      <c r="P67" s="445">
        <v>8784.742061640472</v>
      </c>
      <c r="Q67" s="445">
        <v>8384.623158593984</v>
      </c>
      <c r="R67" s="445">
        <v>6824.62</v>
      </c>
      <c r="S67" s="445">
        <v>8776.103530275153</v>
      </c>
      <c r="T67" s="446">
        <v>6061.080429599028</v>
      </c>
      <c r="U67" s="446">
        <v>5237.642272109166</v>
      </c>
      <c r="V67" s="446">
        <v>5476.424782415852</v>
      </c>
      <c r="W67" s="446">
        <v>5478.72</v>
      </c>
      <c r="X67" s="446">
        <v>5509.889999999999</v>
      </c>
      <c r="Y67" s="446">
        <v>5519.46</v>
      </c>
      <c r="Z67" s="446">
        <f>+W17</f>
        <v>5222.32</v>
      </c>
      <c r="AA67" s="447">
        <f>SUM(E67:Z67)</f>
        <v>170290.42239003218</v>
      </c>
      <c r="AB67" s="316"/>
      <c r="AC67" s="315"/>
      <c r="AD67" s="315"/>
      <c r="AE67" s="315"/>
      <c r="AF67" s="315"/>
      <c r="AG67" s="315"/>
    </row>
    <row r="68" spans="1:33" ht="13.5" thickTop="1">
      <c r="A68" s="315"/>
      <c r="B68" s="315"/>
      <c r="C68" s="315"/>
      <c r="D68" s="443"/>
      <c r="E68" s="448"/>
      <c r="F68" s="449">
        <f aca="true" t="shared" si="12" ref="F68:R68">+F67/E67-1</f>
        <v>-0.04659594892720276</v>
      </c>
      <c r="G68" s="449">
        <f t="shared" si="12"/>
        <v>0.08428784910171694</v>
      </c>
      <c r="H68" s="449">
        <f t="shared" si="12"/>
        <v>0.019988263816660856</v>
      </c>
      <c r="I68" s="449">
        <f t="shared" si="12"/>
        <v>0.01183288393516646</v>
      </c>
      <c r="J68" s="449">
        <f t="shared" si="12"/>
        <v>0.07479889855659505</v>
      </c>
      <c r="K68" s="449">
        <f t="shared" si="12"/>
        <v>0.32076004919831913</v>
      </c>
      <c r="L68" s="449">
        <f t="shared" si="12"/>
        <v>-0.021145170526293722</v>
      </c>
      <c r="M68" s="449">
        <f t="shared" si="12"/>
        <v>-0.2260855439062216</v>
      </c>
      <c r="N68" s="449">
        <f t="shared" si="12"/>
        <v>-0.09496241490997381</v>
      </c>
      <c r="O68" s="449">
        <f t="shared" si="12"/>
        <v>0.060928229189232574</v>
      </c>
      <c r="P68" s="449">
        <f t="shared" si="12"/>
        <v>0.009883838778478538</v>
      </c>
      <c r="Q68" s="449">
        <f t="shared" si="12"/>
        <v>-0.045547029182979815</v>
      </c>
      <c r="R68" s="449">
        <f t="shared" si="12"/>
        <v>-0.18605525007943002</v>
      </c>
      <c r="S68" s="449">
        <f>+S67/16*12/R67-1</f>
        <v>-0.035539319741412</v>
      </c>
      <c r="T68" s="449">
        <f>+T67/13*16/S67-1</f>
        <v>-0.14998822971563652</v>
      </c>
      <c r="U68" s="449">
        <f>+U67/12*12/T67-1</f>
        <v>-0.13585666236478855</v>
      </c>
      <c r="V68" s="449">
        <f>+V67/12*12/U67-1</f>
        <v>0.04558969435125815</v>
      </c>
      <c r="W68" s="478">
        <f>+W67/12*12/V67-1</f>
        <v>0.0004191087571434604</v>
      </c>
      <c r="X68" s="478">
        <f>+X67/12*12/W67-1</f>
        <v>0.005689285088487761</v>
      </c>
      <c r="Y68" s="478">
        <f>+Y67/12*12/X67-1</f>
        <v>0.001736876779754315</v>
      </c>
      <c r="Z68" s="478">
        <f>+Z67/12*12/W67-1</f>
        <v>-0.04679925238011806</v>
      </c>
      <c r="AA68" s="444"/>
      <c r="AB68" s="316"/>
      <c r="AC68" s="315"/>
      <c r="AD68" s="315"/>
      <c r="AE68" s="315"/>
      <c r="AF68" s="315"/>
      <c r="AG68" s="315"/>
    </row>
    <row r="69" spans="1:33" ht="13.5" thickBot="1">
      <c r="A69" s="315" t="s">
        <v>276</v>
      </c>
      <c r="B69" s="315"/>
      <c r="C69" s="315"/>
      <c r="D69" s="443"/>
      <c r="E69" s="450">
        <f aca="true" t="shared" si="13" ref="E69:W69">+E51</f>
        <v>20805</v>
      </c>
      <c r="F69" s="450">
        <f t="shared" si="13"/>
        <v>20925</v>
      </c>
      <c r="G69" s="450">
        <f t="shared" si="13"/>
        <v>22176</v>
      </c>
      <c r="H69" s="450">
        <f t="shared" si="13"/>
        <v>22125</v>
      </c>
      <c r="I69" s="450">
        <f t="shared" si="13"/>
        <v>22176</v>
      </c>
      <c r="J69" s="450">
        <f t="shared" si="13"/>
        <v>22979</v>
      </c>
      <c r="K69" s="450">
        <f t="shared" si="13"/>
        <v>31853</v>
      </c>
      <c r="L69" s="450">
        <f t="shared" si="13"/>
        <v>31960.25</v>
      </c>
      <c r="M69" s="450">
        <f t="shared" si="13"/>
        <v>26315.583333333332</v>
      </c>
      <c r="N69" s="450">
        <f t="shared" si="13"/>
        <v>23549.583333333332</v>
      </c>
      <c r="O69" s="450">
        <f t="shared" si="13"/>
        <v>23844</v>
      </c>
      <c r="P69" s="450">
        <f t="shared" si="13"/>
        <v>23908</v>
      </c>
      <c r="Q69" s="450">
        <f t="shared" si="13"/>
        <v>23119</v>
      </c>
      <c r="R69" s="450">
        <f t="shared" si="13"/>
        <v>18604</v>
      </c>
      <c r="S69" s="450">
        <f t="shared" si="13"/>
        <v>18935.25</v>
      </c>
      <c r="T69" s="450">
        <f t="shared" si="13"/>
        <v>15470</v>
      </c>
      <c r="U69" s="450">
        <f t="shared" si="13"/>
        <v>15900</v>
      </c>
      <c r="V69" s="450">
        <f t="shared" si="13"/>
        <v>15987</v>
      </c>
      <c r="W69" s="451">
        <f t="shared" si="13"/>
        <v>16329</v>
      </c>
      <c r="X69" s="451">
        <f>+X51</f>
        <v>16723</v>
      </c>
      <c r="Y69" s="451">
        <f>+Y51</f>
        <v>17056</v>
      </c>
      <c r="Z69" s="451">
        <f>+Z51</f>
        <v>17428.916666666668</v>
      </c>
      <c r="AA69" s="452">
        <f>SUM(E69:Z69)</f>
        <v>468168.5833333334</v>
      </c>
      <c r="AB69" s="316"/>
      <c r="AC69" s="315"/>
      <c r="AD69" s="315"/>
      <c r="AE69" s="315"/>
      <c r="AF69" s="315"/>
      <c r="AG69" s="315"/>
    </row>
    <row r="70" spans="1:33" ht="13.5" thickTop="1">
      <c r="A70" s="315"/>
      <c r="B70" s="315"/>
      <c r="C70" s="315"/>
      <c r="D70" s="315"/>
      <c r="E70" s="453"/>
      <c r="F70" s="449">
        <f>+F69/(E69)-1</f>
        <v>0.005767844268204758</v>
      </c>
      <c r="G70" s="449">
        <f aca="true" t="shared" si="14" ref="G70:V70">+G69/F69-1</f>
        <v>0.05978494623655917</v>
      </c>
      <c r="H70" s="449">
        <f t="shared" si="14"/>
        <v>-0.0022997835497835517</v>
      </c>
      <c r="I70" s="449">
        <f t="shared" si="14"/>
        <v>0.002305084745762631</v>
      </c>
      <c r="J70" s="449">
        <f t="shared" si="14"/>
        <v>0.03621031746031744</v>
      </c>
      <c r="K70" s="449">
        <f t="shared" si="14"/>
        <v>0.38617868488620055</v>
      </c>
      <c r="L70" s="449">
        <f t="shared" si="14"/>
        <v>0.0033670297931120974</v>
      </c>
      <c r="M70" s="449">
        <f t="shared" si="14"/>
        <v>-0.17661522255510098</v>
      </c>
      <c r="N70" s="449">
        <f t="shared" si="14"/>
        <v>-0.10510882335244964</v>
      </c>
      <c r="O70" s="449">
        <f t="shared" si="14"/>
        <v>0.012501990481077252</v>
      </c>
      <c r="P70" s="449">
        <f t="shared" si="14"/>
        <v>0.002684113403791377</v>
      </c>
      <c r="Q70" s="449">
        <f t="shared" si="14"/>
        <v>-0.03300150577212646</v>
      </c>
      <c r="R70" s="449">
        <f t="shared" si="14"/>
        <v>-0.19529391409663044</v>
      </c>
      <c r="S70" s="449">
        <f t="shared" si="14"/>
        <v>0.017805310685873987</v>
      </c>
      <c r="T70" s="449">
        <f t="shared" si="14"/>
        <v>-0.1830052415468505</v>
      </c>
      <c r="U70" s="449">
        <f t="shared" si="14"/>
        <v>0.02779573367808652</v>
      </c>
      <c r="V70" s="449">
        <f t="shared" si="14"/>
        <v>0.005471698113207468</v>
      </c>
      <c r="W70" s="449">
        <f>+W69/V69-1</f>
        <v>0.021392381309814246</v>
      </c>
      <c r="X70" s="449">
        <f>+X69/W69-1</f>
        <v>0.024128850511360156</v>
      </c>
      <c r="Y70" s="449">
        <f>+Y69/X69-1</f>
        <v>0.0199126950905939</v>
      </c>
      <c r="Z70" s="449">
        <f>+Z69/W69-1</f>
        <v>0.06735970767754718</v>
      </c>
      <c r="AA70" s="315"/>
      <c r="AB70" s="316"/>
      <c r="AC70" s="315"/>
      <c r="AD70" s="315"/>
      <c r="AE70" s="315"/>
      <c r="AF70" s="315"/>
      <c r="AG70" s="315"/>
    </row>
    <row r="71" spans="1:33" ht="12.75">
      <c r="A71" s="315" t="s">
        <v>270</v>
      </c>
      <c r="B71" s="454"/>
      <c r="C71" s="454"/>
      <c r="D71" s="455"/>
      <c r="E71" s="456">
        <f aca="true" t="shared" si="15" ref="E71:AA71">+E67*2000/E69/E48</f>
        <v>75.90656092285508</v>
      </c>
      <c r="F71" s="456">
        <f t="shared" si="15"/>
        <v>59.96216646754281</v>
      </c>
      <c r="G71" s="456">
        <f t="shared" si="15"/>
        <v>61.348529942279946</v>
      </c>
      <c r="H71" s="456">
        <f t="shared" si="15"/>
        <v>62.7190207156309</v>
      </c>
      <c r="I71" s="456">
        <f t="shared" si="15"/>
        <v>63.31522065897065</v>
      </c>
      <c r="J71" s="456">
        <f t="shared" si="15"/>
        <v>60.62131027274453</v>
      </c>
      <c r="K71" s="456">
        <f t="shared" si="15"/>
        <v>53.634636663191934</v>
      </c>
      <c r="L71" s="456">
        <f t="shared" si="15"/>
        <v>61.04506974375527</v>
      </c>
      <c r="M71" s="456">
        <f t="shared" si="15"/>
        <v>57.37738083347876</v>
      </c>
      <c r="N71" s="456">
        <f t="shared" si="15"/>
        <v>58.027934058818296</v>
      </c>
      <c r="O71" s="456">
        <f t="shared" si="15"/>
        <v>60.80331091031294</v>
      </c>
      <c r="P71" s="456">
        <f t="shared" si="15"/>
        <v>61.2399061795248</v>
      </c>
      <c r="Q71" s="456">
        <f t="shared" si="15"/>
        <v>60.445399589039205</v>
      </c>
      <c r="R71" s="456">
        <f t="shared" si="15"/>
        <v>61.139360710958215</v>
      </c>
      <c r="S71" s="456">
        <f t="shared" si="15"/>
        <v>57.93495946894782</v>
      </c>
      <c r="T71" s="456">
        <f t="shared" si="15"/>
        <v>60.27627099198477</v>
      </c>
      <c r="U71" s="456">
        <f t="shared" si="15"/>
        <v>54.90191060911075</v>
      </c>
      <c r="V71" s="456">
        <f t="shared" si="15"/>
        <v>57.092479122785726</v>
      </c>
      <c r="W71" s="456">
        <f t="shared" si="15"/>
        <v>55.92014207851062</v>
      </c>
      <c r="X71" s="456">
        <f>+X67*2000/X69/X48</f>
        <v>54.91329306942533</v>
      </c>
      <c r="Y71" s="456">
        <f>+Y67*2000/Y69/Y48</f>
        <v>53.93468574108818</v>
      </c>
      <c r="Z71" s="456">
        <f>+Z67*2000/Z69/Z48</f>
        <v>49.93922934586678</v>
      </c>
      <c r="AA71" s="457">
        <f t="shared" si="15"/>
        <v>60.62289968910137</v>
      </c>
      <c r="AB71" s="316"/>
      <c r="AC71" s="458"/>
      <c r="AD71" s="315"/>
      <c r="AE71" s="315"/>
      <c r="AF71" s="315"/>
      <c r="AG71" s="315"/>
    </row>
    <row r="72" spans="1:33" ht="12.75">
      <c r="A72" s="315"/>
      <c r="B72" s="454"/>
      <c r="C72" s="454"/>
      <c r="D72" s="455"/>
      <c r="E72" s="459"/>
      <c r="F72" s="459"/>
      <c r="G72" s="459"/>
      <c r="H72" s="459"/>
      <c r="I72" s="459"/>
      <c r="J72" s="459"/>
      <c r="K72" s="459"/>
      <c r="L72" s="459"/>
      <c r="M72" s="459"/>
      <c r="N72" s="459"/>
      <c r="O72" s="459"/>
      <c r="P72" s="459"/>
      <c r="Q72" s="459"/>
      <c r="R72" s="459"/>
      <c r="S72" s="459"/>
      <c r="T72" s="459"/>
      <c r="U72" s="459"/>
      <c r="V72" s="459"/>
      <c r="W72" s="459"/>
      <c r="X72" s="459"/>
      <c r="Y72" s="459"/>
      <c r="Z72" s="459"/>
      <c r="AA72" s="315"/>
      <c r="AB72" s="316"/>
      <c r="AC72" s="315"/>
      <c r="AD72" s="315"/>
      <c r="AE72" s="315"/>
      <c r="AF72" s="315"/>
      <c r="AG72" s="315"/>
    </row>
    <row r="73" spans="1:33" ht="12.75">
      <c r="A73" s="315" t="s">
        <v>271</v>
      </c>
      <c r="B73" s="454"/>
      <c r="C73" s="454"/>
      <c r="D73" s="455"/>
      <c r="E73" s="460">
        <f aca="true" t="shared" si="16" ref="E73:AA73">+E40/E67</f>
        <v>33.84801258329977</v>
      </c>
      <c r="F73" s="460">
        <f t="shared" si="16"/>
        <v>56.713578852987084</v>
      </c>
      <c r="G73" s="460">
        <f t="shared" si="16"/>
        <v>46.00963641108004</v>
      </c>
      <c r="H73" s="460">
        <f t="shared" si="16"/>
        <v>55.93667989838997</v>
      </c>
      <c r="I73" s="460">
        <f t="shared" si="16"/>
        <v>66.57949995667384</v>
      </c>
      <c r="J73" s="460">
        <f t="shared" si="16"/>
        <v>60.8074709473993</v>
      </c>
      <c r="K73" s="460">
        <f t="shared" si="16"/>
        <v>70.85611062014667</v>
      </c>
      <c r="L73" s="460">
        <f t="shared" si="16"/>
        <v>65.64990770615428</v>
      </c>
      <c r="M73" s="460">
        <f t="shared" si="16"/>
        <v>77.44718815262074</v>
      </c>
      <c r="N73" s="460">
        <f t="shared" si="16"/>
        <v>82.67389911262532</v>
      </c>
      <c r="O73" s="460">
        <f t="shared" si="16"/>
        <v>88.84146328418126</v>
      </c>
      <c r="P73" s="460">
        <f t="shared" si="16"/>
        <v>104.1542248571312</v>
      </c>
      <c r="Q73" s="460">
        <f t="shared" si="16"/>
        <v>66.20929641077528</v>
      </c>
      <c r="R73" s="460">
        <f t="shared" si="16"/>
        <v>76.88354809498551</v>
      </c>
      <c r="S73" s="460">
        <f t="shared" si="16"/>
        <v>113.41399934109411</v>
      </c>
      <c r="T73" s="460">
        <f t="shared" si="16"/>
        <v>109.05316431244376</v>
      </c>
      <c r="U73" s="460">
        <f t="shared" si="16"/>
        <v>103.1677941957655</v>
      </c>
      <c r="V73" s="460">
        <f t="shared" si="16"/>
        <v>98.94813158758586</v>
      </c>
      <c r="W73" s="460">
        <f t="shared" si="16"/>
        <v>80.95467554465276</v>
      </c>
      <c r="X73" s="460">
        <f>+X40/X67</f>
        <v>60.8367862153328</v>
      </c>
      <c r="Y73" s="460">
        <f>+Y40/Y67</f>
        <v>86.52970561095452</v>
      </c>
      <c r="Z73" s="460">
        <f>+Z40/Z67</f>
        <v>42.85406988831287</v>
      </c>
      <c r="AA73" s="460">
        <f t="shared" si="16"/>
        <v>74.15956656837668</v>
      </c>
      <c r="AB73" s="316"/>
      <c r="AC73" s="315"/>
      <c r="AD73" s="474"/>
      <c r="AE73" s="315"/>
      <c r="AF73" s="315"/>
      <c r="AG73" s="315"/>
    </row>
    <row r="74" spans="1:33" ht="15">
      <c r="A74" s="315"/>
      <c r="B74" s="454"/>
      <c r="C74" s="454"/>
      <c r="D74" s="455"/>
      <c r="E74" s="461"/>
      <c r="F74" s="461"/>
      <c r="G74" s="461"/>
      <c r="H74" s="461"/>
      <c r="I74" s="461"/>
      <c r="J74" s="461"/>
      <c r="K74" s="461"/>
      <c r="L74" s="461"/>
      <c r="M74" s="461"/>
      <c r="N74" s="461"/>
      <c r="O74" s="461"/>
      <c r="P74" s="461"/>
      <c r="Q74" s="461"/>
      <c r="R74" s="461"/>
      <c r="S74" s="461"/>
      <c r="T74" s="461"/>
      <c r="U74" s="461"/>
      <c r="V74" s="461"/>
      <c r="W74" s="461"/>
      <c r="X74" s="461"/>
      <c r="Y74" s="461"/>
      <c r="Z74" s="461"/>
      <c r="AA74" s="315"/>
      <c r="AB74" s="315"/>
      <c r="AC74" s="315"/>
      <c r="AD74" s="315"/>
      <c r="AE74" s="315"/>
      <c r="AF74" s="315"/>
      <c r="AG74" s="315"/>
    </row>
    <row r="75" spans="1:33" ht="12.75">
      <c r="A75" s="315"/>
      <c r="B75" s="315"/>
      <c r="C75" s="315"/>
      <c r="D75" s="315"/>
      <c r="E75" s="315"/>
      <c r="F75" s="315"/>
      <c r="G75" s="315"/>
      <c r="H75" s="315"/>
      <c r="I75" s="315"/>
      <c r="J75" s="315"/>
      <c r="K75" s="315"/>
      <c r="L75" s="315"/>
      <c r="M75" s="315"/>
      <c r="N75" s="315"/>
      <c r="O75" s="315"/>
      <c r="P75" s="315"/>
      <c r="Q75" s="315"/>
      <c r="R75" s="315"/>
      <c r="S75" s="315"/>
      <c r="T75" s="315"/>
      <c r="U75" s="315"/>
      <c r="V75" s="315"/>
      <c r="W75" s="315"/>
      <c r="X75" s="315"/>
      <c r="Y75" s="315"/>
      <c r="Z75" s="315"/>
      <c r="AA75" s="315"/>
      <c r="AB75" s="315"/>
      <c r="AC75" s="315"/>
      <c r="AD75" s="315"/>
      <c r="AE75" s="315"/>
      <c r="AF75" s="315"/>
      <c r="AG75" s="315"/>
    </row>
    <row r="76" spans="1:33" ht="12.75">
      <c r="A76" s="318" t="s">
        <v>272</v>
      </c>
      <c r="B76" s="318"/>
      <c r="D76" s="462">
        <v>0.475</v>
      </c>
      <c r="E76" s="315"/>
      <c r="F76" s="315"/>
      <c r="G76" s="315"/>
      <c r="H76" s="315"/>
      <c r="I76" s="315"/>
      <c r="J76" s="315"/>
      <c r="K76" s="315"/>
      <c r="L76" s="315"/>
      <c r="M76" s="315"/>
      <c r="N76" s="315"/>
      <c r="O76" s="315"/>
      <c r="P76" s="315"/>
      <c r="Q76" s="315"/>
      <c r="R76" s="315"/>
      <c r="S76" s="315"/>
      <c r="T76" s="315"/>
      <c r="U76" s="315"/>
      <c r="V76" s="315"/>
      <c r="W76" s="315"/>
      <c r="X76" s="315"/>
      <c r="Y76" s="315"/>
      <c r="Z76" s="315"/>
      <c r="AA76" s="315"/>
      <c r="AB76" s="315"/>
      <c r="AC76" s="315"/>
      <c r="AD76" s="315"/>
      <c r="AE76" s="315"/>
      <c r="AF76" s="315"/>
      <c r="AG76" s="315"/>
    </row>
    <row r="77" spans="1:33" ht="12.75">
      <c r="A77" s="318" t="s">
        <v>277</v>
      </c>
      <c r="B77" s="318"/>
      <c r="D77" s="463">
        <f>+'[1]KC 2018-2019 Budget'!C19</f>
        <v>0.5</v>
      </c>
      <c r="E77" s="315"/>
      <c r="F77" s="315"/>
      <c r="G77" s="315"/>
      <c r="H77" s="315"/>
      <c r="I77" s="315"/>
      <c r="J77" s="315"/>
      <c r="K77" s="315"/>
      <c r="L77" s="315"/>
      <c r="M77" s="315"/>
      <c r="N77" s="315"/>
      <c r="O77" s="315"/>
      <c r="P77" s="315"/>
      <c r="Q77" s="315"/>
      <c r="R77" s="315"/>
      <c r="S77" s="315"/>
      <c r="T77" s="315"/>
      <c r="U77" s="315"/>
      <c r="V77" s="315"/>
      <c r="W77" s="315"/>
      <c r="X77" s="315"/>
      <c r="Y77" s="315"/>
      <c r="Z77" s="315"/>
      <c r="AA77" s="315"/>
      <c r="AB77" s="315"/>
      <c r="AC77" s="315"/>
      <c r="AD77" s="315"/>
      <c r="AE77" s="315"/>
      <c r="AF77" s="315"/>
      <c r="AG77" s="315"/>
    </row>
    <row r="78" spans="1:33" ht="12.75">
      <c r="A78" s="315"/>
      <c r="B78" s="315"/>
      <c r="C78" s="315"/>
      <c r="D78" s="315"/>
      <c r="E78" s="315"/>
      <c r="F78" s="315"/>
      <c r="G78" s="315"/>
      <c r="H78" s="315"/>
      <c r="I78" s="315"/>
      <c r="J78" s="315"/>
      <c r="K78" s="315"/>
      <c r="L78" s="315"/>
      <c r="M78" s="315"/>
      <c r="N78" s="315"/>
      <c r="O78" s="315"/>
      <c r="P78" s="315"/>
      <c r="Q78" s="315"/>
      <c r="R78" s="315"/>
      <c r="S78" s="315"/>
      <c r="T78" s="315"/>
      <c r="U78" s="315"/>
      <c r="V78" s="315"/>
      <c r="W78" s="315"/>
      <c r="X78" s="315"/>
      <c r="Y78" s="315"/>
      <c r="Z78" s="315"/>
      <c r="AA78" s="315"/>
      <c r="AB78" s="315"/>
      <c r="AC78" s="315"/>
      <c r="AD78" s="315"/>
      <c r="AE78" s="315"/>
      <c r="AF78" s="315"/>
      <c r="AG78" s="315"/>
    </row>
    <row r="79" spans="1:33" ht="12.75">
      <c r="A79" s="315"/>
      <c r="B79" s="315"/>
      <c r="C79" s="315"/>
      <c r="D79" s="315"/>
      <c r="E79" s="315"/>
      <c r="F79" s="315"/>
      <c r="G79" s="315"/>
      <c r="H79" s="315"/>
      <c r="I79" s="315"/>
      <c r="J79" s="315"/>
      <c r="K79" s="315"/>
      <c r="L79" s="315"/>
      <c r="M79" s="315"/>
      <c r="N79" s="315"/>
      <c r="O79" s="315"/>
      <c r="P79" s="315"/>
      <c r="Q79" s="315"/>
      <c r="R79" s="315"/>
      <c r="S79" s="315"/>
      <c r="T79" s="315"/>
      <c r="U79" s="315"/>
      <c r="V79" s="315"/>
      <c r="W79" s="315"/>
      <c r="X79" s="315"/>
      <c r="Y79" s="315"/>
      <c r="Z79" s="315"/>
      <c r="AA79" s="315"/>
      <c r="AB79" s="315"/>
      <c r="AC79" s="315"/>
      <c r="AD79" s="315"/>
      <c r="AE79" s="315"/>
      <c r="AF79" s="315"/>
      <c r="AG79" s="315"/>
    </row>
    <row r="80" spans="1:33" ht="12.75">
      <c r="A80" s="315"/>
      <c r="B80" s="315"/>
      <c r="C80" s="315"/>
      <c r="D80" s="315"/>
      <c r="E80" s="315"/>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row>
    <row r="81" spans="1:33" ht="12.75">
      <c r="A81" s="315"/>
      <c r="B81" s="315"/>
      <c r="C81" s="315"/>
      <c r="D81" s="315"/>
      <c r="E81" s="315"/>
      <c r="F81" s="315"/>
      <c r="G81" s="315"/>
      <c r="H81" s="315"/>
      <c r="I81" s="315"/>
      <c r="J81" s="315"/>
      <c r="K81" s="315"/>
      <c r="L81" s="315"/>
      <c r="M81" s="315"/>
      <c r="N81" s="315"/>
      <c r="O81" s="315"/>
      <c r="P81" s="315"/>
      <c r="Q81" s="315"/>
      <c r="R81" s="315"/>
      <c r="S81" s="315"/>
      <c r="T81" s="315"/>
      <c r="U81" s="315"/>
      <c r="V81" s="315"/>
      <c r="W81" s="315"/>
      <c r="X81" s="315"/>
      <c r="Y81" s="315"/>
      <c r="Z81" s="315"/>
      <c r="AA81" s="315"/>
      <c r="AB81" s="315"/>
      <c r="AC81" s="315"/>
      <c r="AD81" s="315"/>
      <c r="AE81" s="315"/>
      <c r="AF81" s="315"/>
      <c r="AG81" s="315"/>
    </row>
    <row r="82" spans="1:33" ht="12.75">
      <c r="A82" s="315"/>
      <c r="B82" s="315"/>
      <c r="C82" s="315"/>
      <c r="D82" s="315"/>
      <c r="E82" s="315"/>
      <c r="F82" s="315"/>
      <c r="G82" s="315"/>
      <c r="H82" s="315"/>
      <c r="I82" s="315"/>
      <c r="J82" s="315"/>
      <c r="K82" s="315"/>
      <c r="L82" s="315"/>
      <c r="M82" s="315"/>
      <c r="N82" s="315"/>
      <c r="O82" s="315"/>
      <c r="P82" s="315"/>
      <c r="Q82" s="315"/>
      <c r="R82" s="315"/>
      <c r="S82" s="315"/>
      <c r="T82" s="315"/>
      <c r="U82" s="315"/>
      <c r="V82" s="315"/>
      <c r="W82" s="315"/>
      <c r="X82" s="315"/>
      <c r="Y82" s="315"/>
      <c r="Z82" s="315"/>
      <c r="AA82" s="315"/>
      <c r="AB82" s="315"/>
      <c r="AC82" s="315"/>
      <c r="AD82" s="315"/>
      <c r="AE82" s="315"/>
      <c r="AF82" s="315"/>
      <c r="AG82" s="315"/>
    </row>
    <row r="83" spans="1:33" ht="12.75">
      <c r="A83" s="315"/>
      <c r="B83" s="315"/>
      <c r="C83" s="315"/>
      <c r="D83" s="315"/>
      <c r="E83" s="315"/>
      <c r="F83" s="315"/>
      <c r="G83" s="315"/>
      <c r="H83" s="315"/>
      <c r="I83" s="315"/>
      <c r="J83" s="315"/>
      <c r="K83" s="315"/>
      <c r="L83" s="315"/>
      <c r="M83" s="315"/>
      <c r="N83" s="315"/>
      <c r="O83" s="315"/>
      <c r="P83" s="315"/>
      <c r="Q83" s="315"/>
      <c r="R83" s="315"/>
      <c r="S83" s="315"/>
      <c r="T83" s="315"/>
      <c r="U83" s="315"/>
      <c r="V83" s="315"/>
      <c r="W83" s="315"/>
      <c r="X83" s="315"/>
      <c r="Y83" s="315"/>
      <c r="Z83" s="315"/>
      <c r="AA83" s="315"/>
      <c r="AB83" s="315"/>
      <c r="AC83" s="315"/>
      <c r="AD83" s="315"/>
      <c r="AE83" s="315"/>
      <c r="AF83" s="315"/>
      <c r="AG83" s="315"/>
    </row>
    <row r="84" spans="1:33" ht="12.75">
      <c r="A84" s="315"/>
      <c r="B84" s="315"/>
      <c r="C84" s="315"/>
      <c r="D84" s="315"/>
      <c r="E84" s="315"/>
      <c r="F84" s="315"/>
      <c r="G84" s="315"/>
      <c r="H84" s="315"/>
      <c r="I84" s="315"/>
      <c r="J84" s="315"/>
      <c r="K84" s="315"/>
      <c r="L84" s="315"/>
      <c r="M84" s="315"/>
      <c r="N84" s="315"/>
      <c r="O84" s="315"/>
      <c r="P84" s="315"/>
      <c r="Q84" s="315"/>
      <c r="R84" s="315"/>
      <c r="S84" s="315"/>
      <c r="T84" s="315"/>
      <c r="U84" s="315"/>
      <c r="V84" s="315"/>
      <c r="W84" s="315"/>
      <c r="X84" s="315"/>
      <c r="Y84" s="315"/>
      <c r="Z84" s="315"/>
      <c r="AA84" s="315"/>
      <c r="AB84" s="315"/>
      <c r="AC84" s="315"/>
      <c r="AD84" s="315"/>
      <c r="AE84" s="315"/>
      <c r="AF84" s="315"/>
      <c r="AG84" s="315"/>
    </row>
    <row r="85" spans="1:33" ht="12.75">
      <c r="A85" s="315"/>
      <c r="B85" s="315"/>
      <c r="C85" s="315"/>
      <c r="D85" s="315"/>
      <c r="E85" s="315"/>
      <c r="F85" s="315"/>
      <c r="G85" s="315"/>
      <c r="H85" s="315"/>
      <c r="I85" s="315"/>
      <c r="J85" s="315"/>
      <c r="K85" s="315"/>
      <c r="L85" s="315"/>
      <c r="M85" s="315"/>
      <c r="N85" s="315"/>
      <c r="O85" s="315"/>
      <c r="P85" s="315"/>
      <c r="Q85" s="315"/>
      <c r="R85" s="315"/>
      <c r="S85" s="315"/>
      <c r="T85" s="315"/>
      <c r="U85" s="315"/>
      <c r="V85" s="315"/>
      <c r="W85" s="315"/>
      <c r="X85" s="315"/>
      <c r="Y85" s="315"/>
      <c r="Z85" s="315"/>
      <c r="AA85" s="315"/>
      <c r="AB85" s="315"/>
      <c r="AC85" s="315"/>
      <c r="AD85" s="315"/>
      <c r="AE85" s="315"/>
      <c r="AF85" s="315"/>
      <c r="AG85" s="315"/>
    </row>
    <row r="86" spans="1:33" ht="12.75">
      <c r="A86" s="315"/>
      <c r="B86" s="315"/>
      <c r="C86" s="315"/>
      <c r="D86" s="315"/>
      <c r="E86" s="315"/>
      <c r="F86" s="315"/>
      <c r="G86" s="315"/>
      <c r="H86" s="315"/>
      <c r="I86" s="315"/>
      <c r="J86" s="315"/>
      <c r="K86" s="315"/>
      <c r="L86" s="315"/>
      <c r="M86" s="315"/>
      <c r="N86" s="315"/>
      <c r="O86" s="315"/>
      <c r="P86" s="315"/>
      <c r="Q86" s="315"/>
      <c r="R86" s="315"/>
      <c r="S86" s="315"/>
      <c r="T86" s="315"/>
      <c r="U86" s="315"/>
      <c r="V86" s="315"/>
      <c r="W86" s="315"/>
      <c r="X86" s="315"/>
      <c r="Y86" s="315"/>
      <c r="Z86" s="315"/>
      <c r="AA86" s="315"/>
      <c r="AB86" s="315"/>
      <c r="AC86" s="315"/>
      <c r="AD86" s="315"/>
      <c r="AE86" s="315"/>
      <c r="AF86" s="315"/>
      <c r="AG86" s="315"/>
    </row>
    <row r="87" spans="1:33" ht="12.75">
      <c r="A87" s="315"/>
      <c r="B87" s="315"/>
      <c r="C87" s="315"/>
      <c r="D87" s="315"/>
      <c r="E87" s="315"/>
      <c r="F87" s="315"/>
      <c r="G87" s="315"/>
      <c r="H87" s="315"/>
      <c r="I87" s="315"/>
      <c r="J87" s="315"/>
      <c r="K87" s="315"/>
      <c r="L87" s="315"/>
      <c r="M87" s="315"/>
      <c r="N87" s="315"/>
      <c r="O87" s="315"/>
      <c r="P87" s="315"/>
      <c r="Q87" s="315"/>
      <c r="R87" s="315"/>
      <c r="S87" s="315"/>
      <c r="T87" s="315"/>
      <c r="U87" s="315"/>
      <c r="V87" s="315"/>
      <c r="W87" s="315"/>
      <c r="X87" s="315"/>
      <c r="Y87" s="315"/>
      <c r="Z87" s="315"/>
      <c r="AA87" s="315"/>
      <c r="AB87" s="315"/>
      <c r="AC87" s="315"/>
      <c r="AD87" s="315"/>
      <c r="AE87" s="315"/>
      <c r="AF87" s="315"/>
      <c r="AG87" s="315"/>
    </row>
    <row r="88" spans="1:33" ht="12.75">
      <c r="A88" s="315"/>
      <c r="B88" s="315"/>
      <c r="C88" s="315"/>
      <c r="D88" s="315"/>
      <c r="E88" s="315"/>
      <c r="F88" s="315"/>
      <c r="G88" s="315"/>
      <c r="H88" s="315"/>
      <c r="I88" s="315"/>
      <c r="J88" s="315"/>
      <c r="K88" s="315"/>
      <c r="L88" s="315"/>
      <c r="M88" s="315"/>
      <c r="N88" s="315"/>
      <c r="O88" s="315"/>
      <c r="P88" s="315"/>
      <c r="Q88" s="315"/>
      <c r="R88" s="315"/>
      <c r="S88" s="315"/>
      <c r="T88" s="315"/>
      <c r="U88" s="315"/>
      <c r="V88" s="315"/>
      <c r="W88" s="315"/>
      <c r="X88" s="315"/>
      <c r="Y88" s="315"/>
      <c r="Z88" s="315"/>
      <c r="AA88" s="315"/>
      <c r="AB88" s="315"/>
      <c r="AC88" s="315"/>
      <c r="AD88" s="315"/>
      <c r="AE88" s="315"/>
      <c r="AF88" s="315"/>
      <c r="AG88" s="315"/>
    </row>
    <row r="89" spans="1:33" ht="12.75">
      <c r="A89" s="315"/>
      <c r="B89" s="315"/>
      <c r="C89" s="315"/>
      <c r="D89" s="315"/>
      <c r="E89" s="315"/>
      <c r="F89" s="315"/>
      <c r="G89" s="315"/>
      <c r="H89" s="315"/>
      <c r="I89" s="315"/>
      <c r="J89" s="315"/>
      <c r="K89" s="315"/>
      <c r="L89" s="315"/>
      <c r="M89" s="315"/>
      <c r="N89" s="315"/>
      <c r="O89" s="315"/>
      <c r="P89" s="315"/>
      <c r="Q89" s="315"/>
      <c r="R89" s="315"/>
      <c r="S89" s="315"/>
      <c r="T89" s="315"/>
      <c r="U89" s="315"/>
      <c r="V89" s="315"/>
      <c r="W89" s="315"/>
      <c r="X89" s="315"/>
      <c r="Y89" s="315"/>
      <c r="Z89" s="315"/>
      <c r="AA89" s="315"/>
      <c r="AB89" s="315"/>
      <c r="AC89" s="315"/>
      <c r="AD89" s="315"/>
      <c r="AE89" s="315"/>
      <c r="AF89" s="315"/>
      <c r="AG89" s="315"/>
    </row>
  </sheetData>
  <sheetProtection/>
  <mergeCells count="1">
    <mergeCell ref="O20:R20"/>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Cly Lewis</dc:creator>
  <cp:keywords/>
  <dc:description/>
  <cp:lastModifiedBy>Weinstein, Mike</cp:lastModifiedBy>
  <cp:lastPrinted>2018-11-12T19:03:55Z</cp:lastPrinted>
  <dcterms:created xsi:type="dcterms:W3CDTF">2003-10-21T02:01:02Z</dcterms:created>
  <dcterms:modified xsi:type="dcterms:W3CDTF">2018-11-12T19:04:09Z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DocumentSetType">
    <vt:lpwstr>Workpapers</vt:lpwstr>
  </property>
  <property fmtid="{D5CDD505-2E9C-101B-9397-08002B2CF9AE}" pid="5" name="IsDocumentOrder">
    <vt:lpwstr>0</vt:lpwstr>
  </property>
  <property fmtid="{D5CDD505-2E9C-101B-9397-08002B2CF9AE}" pid="6" name="IsHighlyConfidential">
    <vt:lpwstr>0</vt:lpwstr>
  </property>
  <property fmtid="{D5CDD505-2E9C-101B-9397-08002B2CF9AE}" pid="7" name="CaseCompanyNames">
    <vt:lpwstr>Waste Management of Washington, Inc.</vt:lpwstr>
  </property>
  <property fmtid="{D5CDD505-2E9C-101B-9397-08002B2CF9AE}" pid="8" name="IsConfidential">
    <vt:lpwstr>0</vt:lpwstr>
  </property>
  <property fmtid="{D5CDD505-2E9C-101B-9397-08002B2CF9AE}" pid="9" name="IsEFSEC">
    <vt:lpwstr>0</vt:lpwstr>
  </property>
  <property fmtid="{D5CDD505-2E9C-101B-9397-08002B2CF9AE}" pid="10" name="DocketNumber">
    <vt:lpwstr>180924</vt:lpwstr>
  </property>
  <property fmtid="{D5CDD505-2E9C-101B-9397-08002B2CF9AE}" pid="11" name="Date1">
    <vt:lpwstr>2018-11-13T00:00:00Z</vt:lpwstr>
  </property>
  <property fmtid="{D5CDD505-2E9C-101B-9397-08002B2CF9AE}" pid="12" name="Nickname">
    <vt:lpwstr/>
  </property>
  <property fmtid="{D5CDD505-2E9C-101B-9397-08002B2CF9AE}" pid="13" name="CaseType">
    <vt:lpwstr>Tariff Revision</vt:lpwstr>
  </property>
  <property fmtid="{D5CDD505-2E9C-101B-9397-08002B2CF9AE}" pid="14" name="OpenedDate">
    <vt:lpwstr>2018-11-13T00:00:00Z</vt:lpwstr>
  </property>
  <property fmtid="{D5CDD505-2E9C-101B-9397-08002B2CF9AE}" pid="15" name="Prefix">
    <vt:lpwstr>TG</vt:lpwstr>
  </property>
  <property fmtid="{D5CDD505-2E9C-101B-9397-08002B2CF9AE}" pid="16" name="IndustryCode">
    <vt:lpwstr>227</vt:lpwstr>
  </property>
  <property fmtid="{D5CDD505-2E9C-101B-9397-08002B2CF9AE}" pid="17" name="CaseStatus">
    <vt:lpwstr>Closed</vt:lpwstr>
  </property>
  <property fmtid="{D5CDD505-2E9C-101B-9397-08002B2CF9AE}" pid="18" name="_docset_NoMedatataSyncRequired">
    <vt:lpwstr>False</vt:lpwstr>
  </property>
</Properties>
</file>