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charts/chart9.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chartsheets/sheet1.xml" ContentType="application/vnd.openxmlformats-officedocument.spreadsheetml.chartshee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drawings/drawing5.xml" ContentType="application/vnd.openxmlformats-officedocument.drawing+xml"/>
  <Override PartName="/xl/charts/chart6.xml" ContentType="application/vnd.openxmlformats-officedocument.drawingml.chart+xml"/>
  <Override PartName="/xl/charts/chart4.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harts/chart1.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chartsheets/sheet9.xml" ContentType="application/vnd.openxmlformats-officedocument.spreadsheetml.chartsheet+xml"/>
  <Override PartName="/xl/chartsheets/sheet8.xml" ContentType="application/vnd.openxmlformats-officedocument.spreadsheetml.chartsheet+xml"/>
  <Override PartName="/xl/chartsheets/sheet7.xml" ContentType="application/vnd.openxmlformats-officedocument.spreadsheetml.chartsheet+xml"/>
  <Override PartName="/xl/worksheets/sheet4.xml" ContentType="application/vnd.openxmlformats-officedocument.spreadsheetml.work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pivotTables/pivotTable3.xml" ContentType="application/vnd.openxmlformats-officedocument.spreadsheetml.pivotTable+xml"/>
  <Override PartName="/xl/drawings/drawing1.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drawings/drawing2.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pivotCache/pivotCacheDefinition2.xml" ContentType="application/vnd.openxmlformats-officedocument.spreadsheetml.pivotCacheDefinition+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5" yWindow="5850" windowWidth="19140" windowHeight="5700" tabRatio="833" firstSheet="4" activeTab="4"/>
  </bookViews>
  <sheets>
    <sheet name="Chart Emissions - Short Ton" sheetId="14" r:id="rId1"/>
    <sheet name="Pivot Tables &amp; Chart Data" sheetId="10" r:id="rId2"/>
    <sheet name="2005-2017 Working data" sheetId="2" r:id="rId3"/>
    <sheet name="Emission Rates Net-by-Count" sheetId="15" r:id="rId4"/>
    <sheet name="Year to Year Comparison" sheetId="25" r:id="rId5"/>
    <sheet name="Chart Generation MWh" sheetId="11" r:id="rId6"/>
    <sheet name="Chart Emissions Metric Tons" sheetId="18" r:id="rId7"/>
    <sheet name="Chart Gen % with % labels" sheetId="24" r:id="rId8"/>
    <sheet name="Chart Gen % with MWh labels" sheetId="13" r:id="rId9"/>
    <sheet name="Chart Emissions %" sheetId="23" r:id="rId10"/>
    <sheet name="Chart Emissions % Metric Tons" sheetId="19" r:id="rId11"/>
    <sheet name="Chart Metric tons with Pop" sheetId="21" r:id="rId12"/>
    <sheet name="Chart Metric tons with aMW" sheetId="22" r:id="rId13"/>
  </sheets>
  <definedNames>
    <definedName name="_xlnm._FilterDatabase" localSheetId="2" hidden="1">'2005-2017 Working data'!$A$1:$Q$2331</definedName>
    <definedName name="_xlnm.Print_Area" localSheetId="2">'2005-2017 Working data'!$B$1:$I$2061</definedName>
    <definedName name="_xlnm.Print_Area" localSheetId="1">'Pivot Tables &amp; Chart Data'!$AE$127:$AM$141</definedName>
    <definedName name="_xlnm.Print_Area" localSheetId="4">'Year to Year Comparison'!$K$15:$U$31</definedName>
    <definedName name="_xlnm.Print_Titles" localSheetId="2">'2005-2017 Working data'!$1:$1</definedName>
  </definedNames>
  <calcPr calcId="145621"/>
  <pivotCaches>
    <pivotCache cacheId="14" r:id="rId14"/>
    <pivotCache cacheId="15" r:id="rId15"/>
    <pivotCache cacheId="16" r:id="rId16"/>
  </pivotCaches>
</workbook>
</file>

<file path=xl/calcChain.xml><?xml version="1.0" encoding="utf-8"?>
<calcChain xmlns="http://schemas.openxmlformats.org/spreadsheetml/2006/main">
  <c r="H2330" i="2" l="1"/>
  <c r="H2329" i="2"/>
  <c r="H2327" i="2"/>
  <c r="H2319" i="2"/>
  <c r="H2318" i="2"/>
  <c r="H2301" i="2"/>
  <c r="H2299" i="2"/>
  <c r="H2293" i="2"/>
  <c r="H2292" i="2"/>
  <c r="H2291" i="2"/>
  <c r="H2290" i="2"/>
  <c r="H2289" i="2"/>
  <c r="H2284" i="2"/>
  <c r="H2278" i="2"/>
  <c r="H2192" i="2" l="1"/>
  <c r="H2191" i="2"/>
  <c r="H2190" i="2"/>
  <c r="H2189" i="2"/>
  <c r="H2185" i="2"/>
  <c r="H2184" i="2"/>
  <c r="H2183" i="2"/>
  <c r="H2182" i="2"/>
  <c r="H2181" i="2"/>
  <c r="H2180" i="2"/>
  <c r="H2179" i="2"/>
  <c r="H2178" i="2"/>
  <c r="H2177" i="2"/>
  <c r="H2176" i="2"/>
  <c r="H2175" i="2"/>
  <c r="H2171" i="2"/>
  <c r="H2168" i="2"/>
  <c r="H2167" i="2"/>
  <c r="H2166" i="2"/>
  <c r="H2165" i="2"/>
  <c r="H2164" i="2"/>
  <c r="H2160" i="2"/>
  <c r="H2159" i="2"/>
  <c r="H2158" i="2"/>
  <c r="H2156" i="2"/>
  <c r="H2154" i="2"/>
  <c r="H2153" i="2"/>
  <c r="H2152" i="2"/>
  <c r="H2151" i="2"/>
  <c r="H2149" i="2"/>
  <c r="H2148" i="2"/>
  <c r="H2144" i="2"/>
  <c r="H2143" i="2"/>
  <c r="H2138" i="2"/>
  <c r="H2137" i="2"/>
  <c r="H2136" i="2"/>
  <c r="H2135" i="2"/>
  <c r="H2134" i="2"/>
  <c r="H2132" i="2"/>
  <c r="H2131" i="2"/>
  <c r="H2129" i="2"/>
  <c r="H2128" i="2"/>
  <c r="H2127" i="2"/>
  <c r="H2126" i="2"/>
  <c r="H2124" i="2"/>
  <c r="H2123" i="2"/>
  <c r="H2122" i="2"/>
  <c r="H2121" i="2"/>
  <c r="H2120" i="2"/>
  <c r="H2119" i="2"/>
  <c r="H2118" i="2"/>
  <c r="H2302" i="2" l="1"/>
  <c r="J2302" i="2" s="1"/>
  <c r="I2318" i="2"/>
  <c r="H2258" i="2"/>
  <c r="I2258" i="2" s="1"/>
  <c r="I2290" i="2"/>
  <c r="H2262" i="2"/>
  <c r="I2262" i="2" s="1"/>
  <c r="I2278" i="2"/>
  <c r="H2326" i="2"/>
  <c r="J2326" i="2" s="1"/>
  <c r="H2266" i="2"/>
  <c r="J2266" i="2" s="1"/>
  <c r="H2282" i="2"/>
  <c r="I2282" i="2" s="1"/>
  <c r="H2298" i="2"/>
  <c r="J2298" i="2" s="1"/>
  <c r="H2314" i="2"/>
  <c r="I2314" i="2" s="1"/>
  <c r="H2263" i="2"/>
  <c r="I2263" i="2" s="1"/>
  <c r="H2267" i="2"/>
  <c r="I2267" i="2" s="1"/>
  <c r="H2271" i="2"/>
  <c r="J2271" i="2" s="1"/>
  <c r="H2275" i="2"/>
  <c r="J2275" i="2" s="1"/>
  <c r="H2283" i="2"/>
  <c r="J2291" i="2"/>
  <c r="I2299" i="2"/>
  <c r="H2307" i="2"/>
  <c r="J2307" i="2" s="1"/>
  <c r="H2315" i="2"/>
  <c r="I2315" i="2" s="1"/>
  <c r="J2319" i="2"/>
  <c r="H2323" i="2"/>
  <c r="I2323" i="2" s="1"/>
  <c r="I2327" i="2"/>
  <c r="H2260" i="2"/>
  <c r="J2260" i="2" s="1"/>
  <c r="H2264" i="2"/>
  <c r="J2264" i="2" s="1"/>
  <c r="H2268" i="2"/>
  <c r="J2268" i="2" s="1"/>
  <c r="I2284" i="2"/>
  <c r="H2288" i="2"/>
  <c r="I2288" i="2" s="1"/>
  <c r="I2292" i="2"/>
  <c r="H2296" i="2"/>
  <c r="J2296" i="2" s="1"/>
  <c r="H2300" i="2"/>
  <c r="J2300" i="2" s="1"/>
  <c r="H2312" i="2"/>
  <c r="I2312" i="2" s="1"/>
  <c r="H2320" i="2"/>
  <c r="I2320" i="2" s="1"/>
  <c r="H2328" i="2"/>
  <c r="J2328" i="2" s="1"/>
  <c r="H2257" i="2"/>
  <c r="J2257" i="2" s="1"/>
  <c r="H2261" i="2"/>
  <c r="I2261" i="2" s="1"/>
  <c r="H2265" i="2"/>
  <c r="I2265" i="2" s="1"/>
  <c r="H2269" i="2"/>
  <c r="I2269" i="2" s="1"/>
  <c r="H2273" i="2"/>
  <c r="J2273" i="2" s="1"/>
  <c r="H2281" i="2"/>
  <c r="J2281" i="2" s="1"/>
  <c r="H2285" i="2"/>
  <c r="J2285" i="2" s="1"/>
  <c r="J2289" i="2"/>
  <c r="H2305" i="2"/>
  <c r="J2305" i="2" s="1"/>
  <c r="H2317" i="2"/>
  <c r="J2317" i="2" s="1"/>
  <c r="H2321" i="2"/>
  <c r="I2321" i="2" s="1"/>
  <c r="I2329" i="2"/>
  <c r="J2329" i="2"/>
  <c r="J2327" i="2"/>
  <c r="I2326" i="2"/>
  <c r="J2320" i="2"/>
  <c r="J2314" i="2"/>
  <c r="J2299" i="2"/>
  <c r="J2292" i="2"/>
  <c r="J2284" i="2"/>
  <c r="J2283" i="2"/>
  <c r="I2283" i="2"/>
  <c r="J2278" i="2"/>
  <c r="I2266" i="2"/>
  <c r="J2258" i="2"/>
  <c r="J2265" i="2" l="1"/>
  <c r="J2267" i="2"/>
  <c r="J2262" i="2"/>
  <c r="J2288" i="2"/>
  <c r="J2315" i="2"/>
  <c r="J2263" i="2"/>
  <c r="I2268" i="2"/>
  <c r="I2300" i="2"/>
  <c r="J2321" i="2"/>
  <c r="I2257" i="2"/>
  <c r="I2298" i="2"/>
  <c r="I2273" i="2"/>
  <c r="I2289" i="2"/>
  <c r="I2305" i="2"/>
  <c r="J2269" i="2"/>
  <c r="I2260" i="2"/>
  <c r="I2271" i="2"/>
  <c r="I2281" i="2"/>
  <c r="J2312" i="2"/>
  <c r="J2318" i="2"/>
  <c r="J2261" i="2"/>
  <c r="J2282" i="2"/>
  <c r="J2290" i="2"/>
  <c r="I2302" i="2"/>
  <c r="I2319" i="2"/>
  <c r="J2323" i="2"/>
  <c r="I2264" i="2"/>
  <c r="I2275" i="2"/>
  <c r="I2285" i="2"/>
  <c r="I2291" i="2"/>
  <c r="I2296" i="2"/>
  <c r="I2307" i="2"/>
  <c r="I2317" i="2"/>
  <c r="I2328" i="2"/>
  <c r="I2217" i="2"/>
  <c r="H2217" i="2" s="1"/>
  <c r="I2216" i="2"/>
  <c r="H2216" i="2" s="1"/>
  <c r="I2215" i="2"/>
  <c r="H2215" i="2" s="1"/>
  <c r="I2214" i="2"/>
  <c r="H2214" i="2" s="1"/>
  <c r="I2213" i="2"/>
  <c r="H2213" i="2" s="1"/>
  <c r="I2212" i="2"/>
  <c r="H2212" i="2" s="1"/>
  <c r="I2211" i="2"/>
  <c r="H2211" i="2" s="1"/>
  <c r="I2210" i="2"/>
  <c r="H2210" i="2" s="1"/>
  <c r="I2209" i="2"/>
  <c r="H2209" i="2" s="1"/>
  <c r="I2208" i="2"/>
  <c r="H2208" i="2" s="1"/>
  <c r="I2207" i="2"/>
  <c r="H2207" i="2" s="1"/>
  <c r="I2206" i="2"/>
  <c r="H2206" i="2" s="1"/>
  <c r="I2205" i="2"/>
  <c r="H2205" i="2" s="1"/>
  <c r="I2204" i="2"/>
  <c r="H2204" i="2" s="1"/>
  <c r="I2203" i="2"/>
  <c r="H2203" i="2" s="1"/>
  <c r="I2202" i="2"/>
  <c r="H2202" i="2" s="1"/>
  <c r="I2201" i="2"/>
  <c r="H2201" i="2" s="1"/>
  <c r="L210" i="10" l="1"/>
  <c r="L209" i="10"/>
  <c r="L208" i="10"/>
  <c r="L207" i="10"/>
  <c r="L206" i="10"/>
  <c r="L205" i="10"/>
  <c r="L204" i="10"/>
  <c r="L203" i="10"/>
  <c r="L202" i="10"/>
  <c r="L201" i="10"/>
  <c r="L200" i="10"/>
  <c r="L199" i="10"/>
  <c r="X182" i="10" l="1"/>
  <c r="W182" i="10"/>
  <c r="V182" i="10"/>
  <c r="U182" i="10"/>
  <c r="T182" i="10"/>
  <c r="S182" i="10"/>
  <c r="R182" i="10"/>
  <c r="Q182" i="10"/>
  <c r="P182" i="10"/>
  <c r="O182" i="10"/>
  <c r="N182" i="10"/>
  <c r="M182" i="10"/>
  <c r="L189" i="10"/>
  <c r="L188" i="10"/>
  <c r="L187" i="10"/>
  <c r="L186" i="10"/>
  <c r="L185" i="10"/>
  <c r="L184" i="10"/>
  <c r="L183" i="10"/>
  <c r="AF145" i="10" l="1"/>
  <c r="H2245" i="2" l="1"/>
  <c r="H2227" i="2"/>
  <c r="I2227" i="2" s="1"/>
  <c r="H2222" i="2"/>
  <c r="J2222" i="2" s="1"/>
  <c r="J2256" i="2"/>
  <c r="I2256" i="2"/>
  <c r="J2255" i="2"/>
  <c r="I2255" i="2"/>
  <c r="J2254" i="2"/>
  <c r="I2254" i="2"/>
  <c r="J2253" i="2"/>
  <c r="I2253" i="2"/>
  <c r="J2252" i="2"/>
  <c r="I2252" i="2"/>
  <c r="J2251" i="2"/>
  <c r="I2251" i="2"/>
  <c r="J2250" i="2"/>
  <c r="I2250" i="2"/>
  <c r="J2249" i="2"/>
  <c r="I2249" i="2"/>
  <c r="J2248" i="2"/>
  <c r="I2248" i="2"/>
  <c r="J2247" i="2"/>
  <c r="I2247" i="2"/>
  <c r="J2246" i="2"/>
  <c r="I2246" i="2"/>
  <c r="G2245" i="2"/>
  <c r="N2244" i="2"/>
  <c r="P2244" i="2" s="1"/>
  <c r="H2244" i="2" s="1"/>
  <c r="J2243" i="2"/>
  <c r="I2243" i="2"/>
  <c r="J2242" i="2"/>
  <c r="I2242" i="2"/>
  <c r="J2241" i="2"/>
  <c r="I2241" i="2"/>
  <c r="J2240" i="2"/>
  <c r="I2240" i="2"/>
  <c r="J2239" i="2"/>
  <c r="I2239" i="2"/>
  <c r="J2238" i="2"/>
  <c r="I2238" i="2"/>
  <c r="J2237" i="2"/>
  <c r="I2237" i="2"/>
  <c r="J2236" i="2"/>
  <c r="I2236" i="2"/>
  <c r="J2235" i="2"/>
  <c r="I2235" i="2"/>
  <c r="J2234" i="2"/>
  <c r="I2234" i="2"/>
  <c r="J2233" i="2"/>
  <c r="I2233" i="2"/>
  <c r="J2232" i="2"/>
  <c r="I2232" i="2"/>
  <c r="J2231" i="2"/>
  <c r="I2231" i="2"/>
  <c r="J2230" i="2"/>
  <c r="I2230" i="2"/>
  <c r="J2229" i="2"/>
  <c r="I2229" i="2"/>
  <c r="J2228" i="2"/>
  <c r="I2228" i="2"/>
  <c r="J2226" i="2"/>
  <c r="I2226" i="2"/>
  <c r="J2225" i="2"/>
  <c r="I2225" i="2"/>
  <c r="J2224" i="2"/>
  <c r="I2224" i="2"/>
  <c r="J2223" i="2"/>
  <c r="I2223" i="2"/>
  <c r="J2221" i="2"/>
  <c r="I2221" i="2"/>
  <c r="J2220" i="2"/>
  <c r="I2220" i="2"/>
  <c r="J2219" i="2"/>
  <c r="I2219" i="2"/>
  <c r="J2218" i="2"/>
  <c r="I2218" i="2"/>
  <c r="I2200" i="2"/>
  <c r="H2200" i="2" s="1"/>
  <c r="J2197" i="2"/>
  <c r="I2197" i="2"/>
  <c r="J2196" i="2"/>
  <c r="I2196" i="2"/>
  <c r="J2195" i="2"/>
  <c r="I2195" i="2"/>
  <c r="J2194" i="2"/>
  <c r="I2194" i="2"/>
  <c r="H2117" i="2"/>
  <c r="H2088" i="2"/>
  <c r="H2083" i="2"/>
  <c r="H2061" i="2"/>
  <c r="H2060" i="2"/>
  <c r="H2059" i="2"/>
  <c r="H2058" i="2"/>
  <c r="H2057" i="2"/>
  <c r="H2056" i="2"/>
  <c r="H2055" i="2"/>
  <c r="H2054" i="2"/>
  <c r="H2053" i="2"/>
  <c r="H2052" i="2"/>
  <c r="H2051" i="2"/>
  <c r="H2050" i="2"/>
  <c r="H2049" i="2"/>
  <c r="H2048" i="2"/>
  <c r="H2047" i="2"/>
  <c r="H2046" i="2"/>
  <c r="H2045" i="2"/>
  <c r="H2044" i="2"/>
  <c r="H2043" i="2"/>
  <c r="H2042" i="2"/>
  <c r="H2041" i="2"/>
  <c r="H2040" i="2"/>
  <c r="H2039" i="2"/>
  <c r="H2038" i="2"/>
  <c r="H2037" i="2"/>
  <c r="H2036" i="2"/>
  <c r="H2035" i="2"/>
  <c r="H2034" i="2"/>
  <c r="H2033" i="2"/>
  <c r="H2032" i="2"/>
  <c r="H2031" i="2"/>
  <c r="H2030" i="2"/>
  <c r="H2029" i="2"/>
  <c r="H2028" i="2"/>
  <c r="H2027" i="2"/>
  <c r="H2026" i="2"/>
  <c r="H2025" i="2"/>
  <c r="H2024" i="2"/>
  <c r="H2023" i="2"/>
  <c r="H2022" i="2"/>
  <c r="H2021" i="2"/>
  <c r="H2020" i="2"/>
  <c r="H2019" i="2"/>
  <c r="H2018" i="2"/>
  <c r="H2017" i="2"/>
  <c r="H2016" i="2"/>
  <c r="H2015" i="2"/>
  <c r="H2014" i="2"/>
  <c r="H2013" i="2"/>
  <c r="H2012" i="2"/>
  <c r="H2011" i="2"/>
  <c r="H2010" i="2"/>
  <c r="H2009" i="2"/>
  <c r="H2008" i="2"/>
  <c r="H2007" i="2"/>
  <c r="H2006" i="2"/>
  <c r="H2005" i="2"/>
  <c r="H2004" i="2"/>
  <c r="H2003" i="2"/>
  <c r="H2002" i="2"/>
  <c r="H2001" i="2"/>
  <c r="H2000" i="2"/>
  <c r="H1999" i="2"/>
  <c r="H1998" i="2"/>
  <c r="H1997" i="2"/>
  <c r="H1996" i="2"/>
  <c r="H1995" i="2"/>
  <c r="H1994" i="2"/>
  <c r="H1993" i="2"/>
  <c r="H1992" i="2"/>
  <c r="H1991" i="2"/>
  <c r="H1990" i="2"/>
  <c r="H1989" i="2"/>
  <c r="H1988" i="2"/>
  <c r="H1987" i="2"/>
  <c r="H1986" i="2"/>
  <c r="H1985" i="2"/>
  <c r="H1984" i="2"/>
  <c r="H1983" i="2"/>
  <c r="H1982" i="2"/>
  <c r="H1981" i="2"/>
  <c r="H1980" i="2"/>
  <c r="H1979" i="2"/>
  <c r="H1978" i="2"/>
  <c r="H1977" i="2"/>
  <c r="H1976" i="2"/>
  <c r="H1975" i="2"/>
  <c r="H1974" i="2"/>
  <c r="H1973" i="2"/>
  <c r="H1972" i="2"/>
  <c r="H1971" i="2"/>
  <c r="H1970" i="2"/>
  <c r="H1969" i="2"/>
  <c r="H1968" i="2"/>
  <c r="H1967" i="2"/>
  <c r="H1966" i="2"/>
  <c r="H1965" i="2"/>
  <c r="H1964" i="2"/>
  <c r="H1963" i="2"/>
  <c r="H1962" i="2"/>
  <c r="H1961" i="2"/>
  <c r="H1960" i="2"/>
  <c r="H1959" i="2"/>
  <c r="H1958" i="2"/>
  <c r="H1957" i="2"/>
  <c r="H1956" i="2"/>
  <c r="H1955" i="2"/>
  <c r="H1954" i="2"/>
  <c r="H1953" i="2"/>
  <c r="H1952" i="2"/>
  <c r="H1951" i="2"/>
  <c r="H1950" i="2"/>
  <c r="H1949" i="2"/>
  <c r="H1948" i="2"/>
  <c r="H1947" i="2"/>
  <c r="H1916" i="2"/>
  <c r="H1911" i="2"/>
  <c r="H1910" i="2"/>
  <c r="H1888" i="2"/>
  <c r="H1887" i="2"/>
  <c r="H1886" i="2"/>
  <c r="H1885" i="2"/>
  <c r="H1884" i="2"/>
  <c r="H1883" i="2"/>
  <c r="H1882" i="2"/>
  <c r="H1881" i="2"/>
  <c r="H1880" i="2"/>
  <c r="H1879" i="2"/>
  <c r="H1878" i="2"/>
  <c r="H1877" i="2"/>
  <c r="H1876" i="2"/>
  <c r="H1875" i="2"/>
  <c r="H1874" i="2"/>
  <c r="H1873" i="2"/>
  <c r="H1872" i="2"/>
  <c r="H1871" i="2"/>
  <c r="H1870" i="2"/>
  <c r="H1869" i="2"/>
  <c r="H1868" i="2"/>
  <c r="H1867" i="2"/>
  <c r="H1866" i="2"/>
  <c r="H1865" i="2"/>
  <c r="H1864" i="2"/>
  <c r="H1863" i="2"/>
  <c r="H1862" i="2"/>
  <c r="H1861" i="2"/>
  <c r="H1860" i="2"/>
  <c r="H1859" i="2"/>
  <c r="H1858" i="2"/>
  <c r="H1857" i="2"/>
  <c r="H1856" i="2"/>
  <c r="H1855" i="2"/>
  <c r="H1854" i="2"/>
  <c r="H1853" i="2"/>
  <c r="H1852" i="2"/>
  <c r="H1851" i="2"/>
  <c r="H1850" i="2"/>
  <c r="H1849" i="2"/>
  <c r="H1848" i="2"/>
  <c r="H1847" i="2"/>
  <c r="H1846" i="2"/>
  <c r="H1845" i="2"/>
  <c r="H1844" i="2"/>
  <c r="H1843" i="2"/>
  <c r="H1842" i="2"/>
  <c r="H1841" i="2"/>
  <c r="H1840" i="2"/>
  <c r="H1839" i="2"/>
  <c r="H1838" i="2"/>
  <c r="H1837" i="2"/>
  <c r="H1836" i="2"/>
  <c r="H1835" i="2"/>
  <c r="H1834" i="2"/>
  <c r="H1833" i="2"/>
  <c r="H1832" i="2"/>
  <c r="H1831" i="2"/>
  <c r="H1830" i="2"/>
  <c r="H1829" i="2"/>
  <c r="H1828" i="2"/>
  <c r="H1827" i="2"/>
  <c r="H1826" i="2"/>
  <c r="H1825" i="2"/>
  <c r="H1824" i="2"/>
  <c r="H1823" i="2"/>
  <c r="H1822" i="2"/>
  <c r="H1821" i="2"/>
  <c r="H1820" i="2"/>
  <c r="H1819" i="2"/>
  <c r="H1818" i="2"/>
  <c r="H1817" i="2"/>
  <c r="H1816" i="2"/>
  <c r="H1815" i="2"/>
  <c r="H1814" i="2"/>
  <c r="H1813" i="2"/>
  <c r="H1812" i="2"/>
  <c r="H1811" i="2"/>
  <c r="H1810" i="2"/>
  <c r="H1809" i="2"/>
  <c r="H1808" i="2"/>
  <c r="H1807" i="2"/>
  <c r="H1806" i="2"/>
  <c r="H1805" i="2"/>
  <c r="H1804" i="2"/>
  <c r="H1803" i="2"/>
  <c r="H1802" i="2"/>
  <c r="H1801" i="2"/>
  <c r="H1800" i="2"/>
  <c r="H1799" i="2"/>
  <c r="H1798" i="2"/>
  <c r="H1797" i="2"/>
  <c r="H1796" i="2"/>
  <c r="H1795" i="2"/>
  <c r="H1794" i="2"/>
  <c r="H1793" i="2"/>
  <c r="H1792" i="2"/>
  <c r="H1791" i="2"/>
  <c r="H1790" i="2"/>
  <c r="H1789" i="2"/>
  <c r="H1788" i="2"/>
  <c r="H1787" i="2"/>
  <c r="H1786" i="2"/>
  <c r="H1785" i="2"/>
  <c r="H1784" i="2"/>
  <c r="H1783" i="2"/>
  <c r="H1782" i="2"/>
  <c r="H1751" i="2"/>
  <c r="H1746" i="2"/>
  <c r="H1745" i="2"/>
  <c r="H1722" i="2"/>
  <c r="H1721" i="2"/>
  <c r="H1720" i="2"/>
  <c r="H1719" i="2"/>
  <c r="H1718" i="2"/>
  <c r="H1717" i="2"/>
  <c r="H1716" i="2"/>
  <c r="H1715" i="2"/>
  <c r="H1714" i="2"/>
  <c r="H1713" i="2"/>
  <c r="H1712" i="2"/>
  <c r="H1711" i="2"/>
  <c r="H1710" i="2"/>
  <c r="H1709" i="2"/>
  <c r="H1708" i="2"/>
  <c r="H1707" i="2"/>
  <c r="H1706" i="2"/>
  <c r="H1705" i="2"/>
  <c r="H1704" i="2"/>
  <c r="H1703" i="2"/>
  <c r="H1702" i="2"/>
  <c r="H1701" i="2"/>
  <c r="H1700" i="2"/>
  <c r="H1699" i="2"/>
  <c r="H1698" i="2"/>
  <c r="H1697" i="2"/>
  <c r="H1696" i="2"/>
  <c r="H1695" i="2"/>
  <c r="H1694" i="2"/>
  <c r="H1693" i="2"/>
  <c r="H1692" i="2"/>
  <c r="H1691" i="2"/>
  <c r="H1690" i="2"/>
  <c r="H1689" i="2"/>
  <c r="H1688" i="2"/>
  <c r="H1687" i="2"/>
  <c r="H1686" i="2"/>
  <c r="H1685" i="2"/>
  <c r="H1684" i="2"/>
  <c r="H1683" i="2"/>
  <c r="H1682" i="2"/>
  <c r="H1681" i="2"/>
  <c r="H1680" i="2"/>
  <c r="H1679" i="2"/>
  <c r="H1678" i="2"/>
  <c r="H1677" i="2"/>
  <c r="H1676" i="2"/>
  <c r="H1675" i="2"/>
  <c r="H1674" i="2"/>
  <c r="H1673" i="2"/>
  <c r="H1672" i="2"/>
  <c r="H1671" i="2"/>
  <c r="H1670" i="2"/>
  <c r="H1669" i="2"/>
  <c r="H1668" i="2"/>
  <c r="H1667" i="2"/>
  <c r="H1666" i="2"/>
  <c r="H1665" i="2"/>
  <c r="H1664" i="2"/>
  <c r="H1663" i="2"/>
  <c r="H1662" i="2"/>
  <c r="H1661" i="2"/>
  <c r="H1660" i="2"/>
  <c r="H1659" i="2"/>
  <c r="H1658" i="2"/>
  <c r="H1657" i="2"/>
  <c r="H1656" i="2"/>
  <c r="H1655" i="2"/>
  <c r="H1654" i="2"/>
  <c r="H1653" i="2"/>
  <c r="H1652" i="2"/>
  <c r="H1651" i="2"/>
  <c r="H1650" i="2"/>
  <c r="H1649" i="2"/>
  <c r="H1648" i="2"/>
  <c r="H1647" i="2"/>
  <c r="H1646" i="2"/>
  <c r="H1645" i="2"/>
  <c r="H1644" i="2"/>
  <c r="H1643" i="2"/>
  <c r="H1642" i="2"/>
  <c r="H1641" i="2"/>
  <c r="H1640" i="2"/>
  <c r="H1639" i="2"/>
  <c r="H1638" i="2"/>
  <c r="H1637" i="2"/>
  <c r="H1636" i="2"/>
  <c r="H1635" i="2"/>
  <c r="H1634" i="2"/>
  <c r="H1633" i="2"/>
  <c r="H1632" i="2"/>
  <c r="H1631" i="2"/>
  <c r="H1630" i="2"/>
  <c r="H1629" i="2"/>
  <c r="H1628" i="2"/>
  <c r="H1627" i="2"/>
  <c r="H1626" i="2"/>
  <c r="H1625" i="2"/>
  <c r="H1624" i="2"/>
  <c r="H1623" i="2"/>
  <c r="H1622" i="2"/>
  <c r="H1621" i="2"/>
  <c r="H1620" i="2"/>
  <c r="H1619" i="2"/>
  <c r="H1618" i="2"/>
  <c r="H1617" i="2"/>
  <c r="H1616" i="2"/>
  <c r="H1615" i="2"/>
  <c r="H1614" i="2"/>
  <c r="H1613" i="2"/>
  <c r="H1612" i="2"/>
  <c r="H1597" i="2"/>
  <c r="H1591" i="2"/>
  <c r="H1580" i="2"/>
  <c r="H1575" i="2"/>
  <c r="H1574" i="2"/>
  <c r="H1551" i="2"/>
  <c r="H1550" i="2"/>
  <c r="H1549" i="2"/>
  <c r="H1548" i="2"/>
  <c r="H1547" i="2"/>
  <c r="H1546" i="2"/>
  <c r="H1545" i="2"/>
  <c r="H1544" i="2"/>
  <c r="H1543" i="2"/>
  <c r="H1542" i="2"/>
  <c r="H1541" i="2"/>
  <c r="H1540" i="2"/>
  <c r="H1539" i="2"/>
  <c r="H1538" i="2"/>
  <c r="H1537" i="2"/>
  <c r="H1536" i="2"/>
  <c r="H1535" i="2"/>
  <c r="H1534" i="2"/>
  <c r="H1533" i="2"/>
  <c r="H1532" i="2"/>
  <c r="H1531" i="2"/>
  <c r="H1530" i="2"/>
  <c r="H1529" i="2"/>
  <c r="H1528" i="2"/>
  <c r="H1527" i="2"/>
  <c r="H1526" i="2"/>
  <c r="H1525" i="2"/>
  <c r="H1524" i="2"/>
  <c r="H1523" i="2"/>
  <c r="H1522" i="2"/>
  <c r="H1521" i="2"/>
  <c r="H1520" i="2"/>
  <c r="H1519" i="2"/>
  <c r="H1518" i="2"/>
  <c r="H1517" i="2"/>
  <c r="H1516" i="2"/>
  <c r="H1515" i="2"/>
  <c r="H1514" i="2"/>
  <c r="H1513" i="2"/>
  <c r="H1512" i="2"/>
  <c r="H1511" i="2"/>
  <c r="H1510" i="2"/>
  <c r="H1509" i="2"/>
  <c r="H1508" i="2"/>
  <c r="H1507" i="2"/>
  <c r="H1506" i="2"/>
  <c r="H1505" i="2"/>
  <c r="H1504" i="2"/>
  <c r="H1503" i="2"/>
  <c r="H1502" i="2"/>
  <c r="H1501" i="2"/>
  <c r="H1500" i="2"/>
  <c r="H1499" i="2"/>
  <c r="H1498" i="2"/>
  <c r="H1497" i="2"/>
  <c r="H1496" i="2"/>
  <c r="H1495" i="2"/>
  <c r="H1494" i="2"/>
  <c r="H1493" i="2"/>
  <c r="H1492" i="2"/>
  <c r="H1491" i="2"/>
  <c r="H1490" i="2"/>
  <c r="H1489" i="2"/>
  <c r="H1488" i="2"/>
  <c r="H1487" i="2"/>
  <c r="H1486" i="2"/>
  <c r="H1485" i="2"/>
  <c r="H1484" i="2"/>
  <c r="H1483" i="2"/>
  <c r="H1482" i="2"/>
  <c r="H1481" i="2"/>
  <c r="H1480" i="2"/>
  <c r="H1479" i="2"/>
  <c r="H1478" i="2"/>
  <c r="H1477" i="2"/>
  <c r="H1476" i="2"/>
  <c r="H1475" i="2"/>
  <c r="H1474" i="2"/>
  <c r="H1473" i="2"/>
  <c r="H1472" i="2"/>
  <c r="H1471" i="2"/>
  <c r="H1470" i="2"/>
  <c r="H1469" i="2"/>
  <c r="H1468" i="2"/>
  <c r="H1467" i="2"/>
  <c r="H1466" i="2"/>
  <c r="H1465" i="2"/>
  <c r="H1464" i="2"/>
  <c r="H1463" i="2"/>
  <c r="H1462" i="2"/>
  <c r="H1461" i="2"/>
  <c r="H1460" i="2"/>
  <c r="H1459" i="2"/>
  <c r="H1458" i="2"/>
  <c r="H1457" i="2"/>
  <c r="H1456" i="2"/>
  <c r="H1455" i="2"/>
  <c r="H1454" i="2"/>
  <c r="H1453" i="2"/>
  <c r="H1452" i="2"/>
  <c r="H1451" i="2"/>
  <c r="H1450" i="2"/>
  <c r="H1449" i="2"/>
  <c r="H1448" i="2"/>
  <c r="H1447" i="2"/>
  <c r="H1446" i="2"/>
  <c r="H1445" i="2"/>
  <c r="H1444" i="2"/>
  <c r="H1443" i="2"/>
  <c r="H1442" i="2"/>
  <c r="H1441" i="2"/>
  <c r="H1440" i="2"/>
  <c r="H1439" i="2"/>
  <c r="H1438" i="2"/>
  <c r="H1437" i="2"/>
  <c r="H1436" i="2"/>
  <c r="H1435" i="2"/>
  <c r="H1434" i="2"/>
  <c r="H1433" i="2"/>
  <c r="H1417" i="2"/>
  <c r="H1414" i="2"/>
  <c r="H1410" i="2"/>
  <c r="H1399" i="2"/>
  <c r="H1395" i="2"/>
  <c r="H1394" i="2"/>
  <c r="H1385" i="2"/>
  <c r="H1377" i="2"/>
  <c r="H1369" i="2"/>
  <c r="H1368" i="2"/>
  <c r="H1367" i="2"/>
  <c r="H1366" i="2"/>
  <c r="H1365" i="2"/>
  <c r="H1364" i="2"/>
  <c r="H1363" i="2"/>
  <c r="H1362" i="2"/>
  <c r="H1361" i="2"/>
  <c r="H1360" i="2"/>
  <c r="H1359" i="2"/>
  <c r="H1358" i="2"/>
  <c r="H1357" i="2"/>
  <c r="H1356" i="2"/>
  <c r="H1355" i="2"/>
  <c r="H1354" i="2"/>
  <c r="H1353" i="2"/>
  <c r="H1352" i="2"/>
  <c r="H1351" i="2"/>
  <c r="H1350" i="2"/>
  <c r="H1349" i="2"/>
  <c r="H1348" i="2"/>
  <c r="H1347" i="2"/>
  <c r="H1346" i="2"/>
  <c r="H1345" i="2"/>
  <c r="H1344" i="2"/>
  <c r="H1343" i="2"/>
  <c r="H1342" i="2"/>
  <c r="H1341" i="2"/>
  <c r="H1340" i="2"/>
  <c r="H1339" i="2"/>
  <c r="H1338" i="2"/>
  <c r="H1337" i="2"/>
  <c r="H1336" i="2"/>
  <c r="H1335" i="2"/>
  <c r="H1334" i="2"/>
  <c r="H1333" i="2"/>
  <c r="H1332" i="2"/>
  <c r="H1331" i="2"/>
  <c r="H1330" i="2"/>
  <c r="H1329" i="2"/>
  <c r="H1328" i="2"/>
  <c r="H1327" i="2"/>
  <c r="H1326" i="2"/>
  <c r="H1325" i="2"/>
  <c r="H1324" i="2"/>
  <c r="H1323" i="2"/>
  <c r="H1322" i="2"/>
  <c r="H1321" i="2"/>
  <c r="H1320" i="2"/>
  <c r="H1319" i="2"/>
  <c r="H1318" i="2"/>
  <c r="H1317" i="2"/>
  <c r="H1316" i="2"/>
  <c r="H1315" i="2"/>
  <c r="H1314" i="2"/>
  <c r="H1313" i="2"/>
  <c r="H1312" i="2"/>
  <c r="H1311" i="2"/>
  <c r="H1310" i="2"/>
  <c r="H1309" i="2"/>
  <c r="H1308" i="2"/>
  <c r="H1307" i="2"/>
  <c r="H1306" i="2"/>
  <c r="H1305" i="2"/>
  <c r="H1304" i="2"/>
  <c r="H1303" i="2"/>
  <c r="H1302" i="2"/>
  <c r="H1301" i="2"/>
  <c r="H1300" i="2"/>
  <c r="H1299" i="2"/>
  <c r="H1298" i="2"/>
  <c r="H1297" i="2"/>
  <c r="H1296" i="2"/>
  <c r="H1295" i="2"/>
  <c r="H1294" i="2"/>
  <c r="H1293" i="2"/>
  <c r="H1292" i="2"/>
  <c r="H1291" i="2"/>
  <c r="H1290" i="2"/>
  <c r="H1289" i="2"/>
  <c r="H1288" i="2"/>
  <c r="H1287" i="2"/>
  <c r="H1286" i="2"/>
  <c r="H1285" i="2"/>
  <c r="H1284" i="2"/>
  <c r="H1283" i="2"/>
  <c r="H1282" i="2"/>
  <c r="H1281" i="2"/>
  <c r="H1280" i="2"/>
  <c r="H1279" i="2"/>
  <c r="H1278" i="2"/>
  <c r="H1277" i="2"/>
  <c r="H1276" i="2"/>
  <c r="H1275" i="2"/>
  <c r="H1274" i="2"/>
  <c r="H1273" i="2"/>
  <c r="H1272" i="2"/>
  <c r="H1271" i="2"/>
  <c r="H1270" i="2"/>
  <c r="H1269" i="2"/>
  <c r="H1268" i="2"/>
  <c r="H1267" i="2"/>
  <c r="H1266" i="2"/>
  <c r="H1265" i="2"/>
  <c r="H1264" i="2"/>
  <c r="H1263" i="2"/>
  <c r="H1262" i="2"/>
  <c r="H1261" i="2"/>
  <c r="H1260" i="2"/>
  <c r="H1259" i="2"/>
  <c r="H1258" i="2"/>
  <c r="H1257" i="2"/>
  <c r="H1256" i="2"/>
  <c r="H1255" i="2"/>
  <c r="H1254" i="2"/>
  <c r="H1253" i="2"/>
  <c r="H1252" i="2"/>
  <c r="H1251" i="2"/>
  <c r="H1250" i="2"/>
  <c r="H1249" i="2"/>
  <c r="H1248" i="2"/>
  <c r="H1247" i="2"/>
  <c r="H1246" i="2"/>
  <c r="H1245" i="2"/>
  <c r="H1244" i="2"/>
  <c r="H1243" i="2"/>
  <c r="H1242" i="2"/>
  <c r="H1241" i="2"/>
  <c r="H1225" i="2"/>
  <c r="H1224" i="2"/>
  <c r="H1222" i="2"/>
  <c r="H1219" i="2"/>
  <c r="H1210" i="2"/>
  <c r="H1206" i="2"/>
  <c r="H1205" i="2"/>
  <c r="H1184" i="2"/>
  <c r="H1183" i="2"/>
  <c r="H1182" i="2"/>
  <c r="H1181" i="2"/>
  <c r="H1180" i="2"/>
  <c r="H1179" i="2"/>
  <c r="H1178" i="2"/>
  <c r="H1177" i="2"/>
  <c r="H1176" i="2"/>
  <c r="H1175" i="2"/>
  <c r="H1174" i="2"/>
  <c r="H1173" i="2"/>
  <c r="H1172" i="2"/>
  <c r="H1171" i="2"/>
  <c r="H1170" i="2"/>
  <c r="H1169" i="2"/>
  <c r="H1168" i="2"/>
  <c r="H1167" i="2"/>
  <c r="H1166" i="2"/>
  <c r="H1165" i="2"/>
  <c r="H1164" i="2"/>
  <c r="H1163" i="2"/>
  <c r="H1162" i="2"/>
  <c r="H1161" i="2"/>
  <c r="H1160" i="2"/>
  <c r="H1159" i="2"/>
  <c r="H1158" i="2"/>
  <c r="H1157" i="2"/>
  <c r="H1156" i="2"/>
  <c r="H1155" i="2"/>
  <c r="H1154" i="2"/>
  <c r="H1153" i="2"/>
  <c r="H1152" i="2"/>
  <c r="H1151" i="2"/>
  <c r="H1150" i="2"/>
  <c r="H1149" i="2"/>
  <c r="H1148" i="2"/>
  <c r="H1147" i="2"/>
  <c r="H1146" i="2"/>
  <c r="H1145" i="2"/>
  <c r="H1144" i="2"/>
  <c r="H1143" i="2"/>
  <c r="H1142" i="2"/>
  <c r="H1141" i="2"/>
  <c r="H1140" i="2"/>
  <c r="H1139" i="2"/>
  <c r="H1138" i="2"/>
  <c r="H1137" i="2"/>
  <c r="H1136" i="2"/>
  <c r="H1135" i="2"/>
  <c r="H1134" i="2"/>
  <c r="H1133" i="2"/>
  <c r="H1132" i="2"/>
  <c r="H1131" i="2"/>
  <c r="H1130" i="2"/>
  <c r="H1129" i="2"/>
  <c r="H1128" i="2"/>
  <c r="H1127" i="2"/>
  <c r="H1126" i="2"/>
  <c r="H1125" i="2"/>
  <c r="H1124" i="2"/>
  <c r="H1123" i="2"/>
  <c r="H1122" i="2"/>
  <c r="H1121" i="2"/>
  <c r="H1120" i="2"/>
  <c r="H1119" i="2"/>
  <c r="H1118" i="2"/>
  <c r="H1117" i="2"/>
  <c r="H1116" i="2"/>
  <c r="H1115" i="2"/>
  <c r="H1114" i="2"/>
  <c r="H1113" i="2"/>
  <c r="H1112" i="2"/>
  <c r="H1111" i="2"/>
  <c r="H1110" i="2"/>
  <c r="H1109" i="2"/>
  <c r="H1108" i="2"/>
  <c r="H1107" i="2"/>
  <c r="H1106" i="2"/>
  <c r="H1105" i="2"/>
  <c r="H1104" i="2"/>
  <c r="H1103" i="2"/>
  <c r="H1102" i="2"/>
  <c r="H1101" i="2"/>
  <c r="H1100" i="2"/>
  <c r="H1099" i="2"/>
  <c r="H1098" i="2"/>
  <c r="H1097" i="2"/>
  <c r="H1096" i="2"/>
  <c r="H1095" i="2"/>
  <c r="H1094" i="2"/>
  <c r="H1093" i="2"/>
  <c r="H1092" i="2"/>
  <c r="H1091" i="2"/>
  <c r="H1090" i="2"/>
  <c r="H1089" i="2"/>
  <c r="H1088" i="2"/>
  <c r="H1087" i="2"/>
  <c r="H1086" i="2"/>
  <c r="H1085" i="2"/>
  <c r="H1084" i="2"/>
  <c r="H1083" i="2"/>
  <c r="H1082" i="2"/>
  <c r="H1081" i="2"/>
  <c r="H1080" i="2"/>
  <c r="H1079" i="2"/>
  <c r="H1078" i="2"/>
  <c r="H1077" i="2"/>
  <c r="H1076" i="2"/>
  <c r="H1075" i="2"/>
  <c r="H1074" i="2"/>
  <c r="H1073" i="2"/>
  <c r="H1072" i="2"/>
  <c r="H1071" i="2"/>
  <c r="H1070" i="2"/>
  <c r="H1069" i="2"/>
  <c r="H1068" i="2"/>
  <c r="H1067" i="2"/>
  <c r="H1066" i="2"/>
  <c r="H1065" i="2"/>
  <c r="H1064" i="2"/>
  <c r="H1063" i="2"/>
  <c r="H1062" i="2"/>
  <c r="H1061" i="2"/>
  <c r="H1060" i="2"/>
  <c r="H1059" i="2"/>
  <c r="H1058" i="2"/>
  <c r="H1057" i="2"/>
  <c r="H1056" i="2"/>
  <c r="H1055" i="2"/>
  <c r="H1042" i="2"/>
  <c r="H1041" i="2"/>
  <c r="H1040" i="2"/>
  <c r="H1038" i="2"/>
  <c r="H1031" i="2"/>
  <c r="H1028" i="2"/>
  <c r="H1025" i="2"/>
  <c r="H1005" i="2"/>
  <c r="H1004" i="2"/>
  <c r="H1003" i="2"/>
  <c r="H1002" i="2"/>
  <c r="H1001" i="2"/>
  <c r="H1000" i="2"/>
  <c r="H999" i="2"/>
  <c r="H998" i="2"/>
  <c r="H997" i="2"/>
  <c r="H996" i="2"/>
  <c r="H995" i="2"/>
  <c r="H994" i="2"/>
  <c r="H993" i="2"/>
  <c r="H992" i="2"/>
  <c r="H991" i="2"/>
  <c r="H990" i="2"/>
  <c r="H989" i="2"/>
  <c r="H988" i="2"/>
  <c r="H987" i="2"/>
  <c r="H986" i="2"/>
  <c r="H985" i="2"/>
  <c r="H984" i="2"/>
  <c r="H983" i="2"/>
  <c r="H982" i="2"/>
  <c r="H981" i="2"/>
  <c r="H980" i="2"/>
  <c r="H979" i="2"/>
  <c r="H978" i="2"/>
  <c r="H977" i="2"/>
  <c r="H976" i="2"/>
  <c r="H975" i="2"/>
  <c r="H974" i="2"/>
  <c r="H973" i="2"/>
  <c r="H972" i="2"/>
  <c r="H971" i="2"/>
  <c r="H970" i="2"/>
  <c r="H969" i="2"/>
  <c r="H968" i="2"/>
  <c r="H967" i="2"/>
  <c r="H966" i="2"/>
  <c r="H965" i="2"/>
  <c r="H964" i="2"/>
  <c r="H963" i="2"/>
  <c r="H962" i="2"/>
  <c r="H961" i="2"/>
  <c r="H960" i="2"/>
  <c r="H959" i="2"/>
  <c r="H958" i="2"/>
  <c r="H957" i="2"/>
  <c r="H956" i="2"/>
  <c r="H955" i="2"/>
  <c r="H954" i="2"/>
  <c r="H953" i="2"/>
  <c r="H952" i="2"/>
  <c r="H951" i="2"/>
  <c r="H950" i="2"/>
  <c r="H949" i="2"/>
  <c r="H948" i="2"/>
  <c r="H947" i="2"/>
  <c r="H946" i="2"/>
  <c r="H945" i="2"/>
  <c r="H944" i="2"/>
  <c r="H943" i="2"/>
  <c r="H942" i="2"/>
  <c r="H941" i="2"/>
  <c r="H940" i="2"/>
  <c r="H939" i="2"/>
  <c r="H938" i="2"/>
  <c r="H937" i="2"/>
  <c r="H936" i="2"/>
  <c r="H935" i="2"/>
  <c r="H934" i="2"/>
  <c r="H933" i="2"/>
  <c r="H932" i="2"/>
  <c r="H931" i="2"/>
  <c r="H930" i="2"/>
  <c r="H929" i="2"/>
  <c r="H928" i="2"/>
  <c r="H927" i="2"/>
  <c r="H926" i="2"/>
  <c r="H925" i="2"/>
  <c r="H924" i="2"/>
  <c r="H923" i="2"/>
  <c r="H922" i="2"/>
  <c r="H921" i="2"/>
  <c r="H920" i="2"/>
  <c r="H919" i="2"/>
  <c r="H918" i="2"/>
  <c r="H917" i="2"/>
  <c r="H916" i="2"/>
  <c r="H915" i="2"/>
  <c r="H914" i="2"/>
  <c r="H913" i="2"/>
  <c r="H912" i="2"/>
  <c r="H911" i="2"/>
  <c r="H910" i="2"/>
  <c r="H909" i="2"/>
  <c r="H908" i="2"/>
  <c r="H907" i="2"/>
  <c r="H906" i="2"/>
  <c r="H905" i="2"/>
  <c r="H904" i="2"/>
  <c r="H903" i="2"/>
  <c r="H902" i="2"/>
  <c r="H901" i="2"/>
  <c r="H900" i="2"/>
  <c r="H899" i="2"/>
  <c r="H898" i="2"/>
  <c r="H897" i="2"/>
  <c r="H896" i="2"/>
  <c r="H895" i="2"/>
  <c r="H894" i="2"/>
  <c r="H893" i="2"/>
  <c r="H892" i="2"/>
  <c r="H891" i="2"/>
  <c r="H890" i="2"/>
  <c r="H889" i="2"/>
  <c r="H888" i="2"/>
  <c r="H887" i="2"/>
  <c r="H886" i="2"/>
  <c r="H885" i="2"/>
  <c r="H884" i="2"/>
  <c r="H883" i="2"/>
  <c r="H882" i="2"/>
  <c r="H881" i="2"/>
  <c r="H880" i="2"/>
  <c r="H879" i="2"/>
  <c r="H878" i="2"/>
  <c r="H877" i="2"/>
  <c r="H876" i="2"/>
  <c r="H875" i="2"/>
  <c r="H874" i="2"/>
  <c r="H873" i="2"/>
  <c r="H872" i="2"/>
  <c r="H871" i="2"/>
  <c r="H870" i="2"/>
  <c r="H869" i="2"/>
  <c r="H868" i="2"/>
  <c r="H867" i="2"/>
  <c r="H866" i="2"/>
  <c r="H865" i="2"/>
  <c r="H864" i="2"/>
  <c r="H851" i="2"/>
  <c r="H840" i="2"/>
  <c r="H838" i="2"/>
  <c r="H818" i="2"/>
  <c r="H817" i="2"/>
  <c r="H816" i="2"/>
  <c r="H815" i="2"/>
  <c r="H814" i="2"/>
  <c r="H813" i="2"/>
  <c r="H812" i="2"/>
  <c r="H811" i="2"/>
  <c r="H810" i="2"/>
  <c r="H809" i="2"/>
  <c r="H808" i="2"/>
  <c r="H807" i="2"/>
  <c r="H806" i="2"/>
  <c r="H805" i="2"/>
  <c r="H804" i="2"/>
  <c r="H803" i="2"/>
  <c r="H802" i="2"/>
  <c r="H801" i="2"/>
  <c r="H800" i="2"/>
  <c r="H799" i="2"/>
  <c r="H798" i="2"/>
  <c r="H797" i="2"/>
  <c r="H796" i="2"/>
  <c r="H795" i="2"/>
  <c r="H794" i="2"/>
  <c r="H793" i="2"/>
  <c r="H792" i="2"/>
  <c r="H791" i="2"/>
  <c r="H790" i="2"/>
  <c r="H789" i="2"/>
  <c r="H788" i="2"/>
  <c r="H787" i="2"/>
  <c r="H786" i="2"/>
  <c r="H785" i="2"/>
  <c r="H784" i="2"/>
  <c r="H783" i="2"/>
  <c r="H782" i="2"/>
  <c r="H781" i="2"/>
  <c r="H780" i="2"/>
  <c r="H779" i="2"/>
  <c r="H778" i="2"/>
  <c r="H777" i="2"/>
  <c r="H776" i="2"/>
  <c r="H775" i="2"/>
  <c r="H774" i="2"/>
  <c r="H773" i="2"/>
  <c r="H772" i="2"/>
  <c r="H771" i="2"/>
  <c r="H770" i="2"/>
  <c r="H769" i="2"/>
  <c r="H768" i="2"/>
  <c r="H767" i="2"/>
  <c r="H766" i="2"/>
  <c r="H765" i="2"/>
  <c r="H764" i="2"/>
  <c r="H763" i="2"/>
  <c r="H762" i="2"/>
  <c r="H761" i="2"/>
  <c r="H760" i="2"/>
  <c r="H759" i="2"/>
  <c r="H758" i="2"/>
  <c r="H757" i="2"/>
  <c r="H756" i="2"/>
  <c r="H755" i="2"/>
  <c r="H754" i="2"/>
  <c r="H753" i="2"/>
  <c r="H752" i="2"/>
  <c r="H751" i="2"/>
  <c r="H750" i="2"/>
  <c r="H749" i="2"/>
  <c r="H748" i="2"/>
  <c r="H747" i="2"/>
  <c r="H746" i="2"/>
  <c r="H745" i="2"/>
  <c r="H744" i="2"/>
  <c r="H743" i="2"/>
  <c r="H742" i="2"/>
  <c r="H741" i="2"/>
  <c r="H740" i="2"/>
  <c r="H739" i="2"/>
  <c r="H738" i="2"/>
  <c r="H737" i="2"/>
  <c r="H736" i="2"/>
  <c r="H735" i="2"/>
  <c r="H734" i="2"/>
  <c r="H733" i="2"/>
  <c r="H732" i="2"/>
  <c r="H731" i="2"/>
  <c r="H730" i="2"/>
  <c r="H729" i="2"/>
  <c r="H728" i="2"/>
  <c r="H727" i="2"/>
  <c r="H726" i="2"/>
  <c r="H725" i="2"/>
  <c r="H724" i="2"/>
  <c r="H723" i="2"/>
  <c r="H722" i="2"/>
  <c r="H721" i="2"/>
  <c r="H720" i="2"/>
  <c r="H719" i="2"/>
  <c r="H718" i="2"/>
  <c r="H717" i="2"/>
  <c r="H716" i="2"/>
  <c r="H715" i="2"/>
  <c r="H714" i="2"/>
  <c r="H713" i="2"/>
  <c r="H712" i="2"/>
  <c r="H711" i="2"/>
  <c r="H710" i="2"/>
  <c r="H709" i="2"/>
  <c r="H708" i="2"/>
  <c r="H707" i="2"/>
  <c r="H706" i="2"/>
  <c r="H705" i="2"/>
  <c r="H704" i="2"/>
  <c r="H703" i="2"/>
  <c r="H702" i="2"/>
  <c r="H701" i="2"/>
  <c r="H700" i="2"/>
  <c r="H699" i="2"/>
  <c r="H698" i="2"/>
  <c r="H697" i="2"/>
  <c r="H696" i="2"/>
  <c r="H695" i="2"/>
  <c r="H694" i="2"/>
  <c r="H693" i="2"/>
  <c r="H692" i="2"/>
  <c r="H691" i="2"/>
  <c r="H690" i="2"/>
  <c r="H689" i="2"/>
  <c r="H688" i="2"/>
  <c r="H687" i="2"/>
  <c r="H686" i="2"/>
  <c r="H685" i="2"/>
  <c r="H684" i="2"/>
  <c r="H683" i="2"/>
  <c r="H682" i="2"/>
  <c r="H681" i="2"/>
  <c r="H680" i="2"/>
  <c r="H679" i="2"/>
  <c r="H678" i="2"/>
  <c r="H677" i="2"/>
  <c r="H676" i="2"/>
  <c r="H675" i="2"/>
  <c r="H674" i="2"/>
  <c r="H673" i="2"/>
  <c r="H672" i="2"/>
  <c r="H671" i="2"/>
  <c r="H670" i="2"/>
  <c r="H669" i="2"/>
  <c r="H668" i="2"/>
  <c r="H667" i="2"/>
  <c r="H666" i="2"/>
  <c r="H665" i="2"/>
  <c r="H664" i="2"/>
  <c r="H663" i="2"/>
  <c r="H662" i="2"/>
  <c r="H648" i="2"/>
  <c r="H640" i="2"/>
  <c r="H638" i="2"/>
  <c r="H619" i="2"/>
  <c r="H618" i="2"/>
  <c r="H617" i="2"/>
  <c r="H616" i="2"/>
  <c r="H615" i="2"/>
  <c r="H614" i="2"/>
  <c r="H613" i="2"/>
  <c r="H612" i="2"/>
  <c r="H611" i="2"/>
  <c r="H610" i="2"/>
  <c r="H609" i="2"/>
  <c r="H608" i="2"/>
  <c r="H607" i="2"/>
  <c r="H606" i="2"/>
  <c r="H605" i="2"/>
  <c r="H604" i="2"/>
  <c r="H603" i="2"/>
  <c r="H602" i="2"/>
  <c r="H601" i="2"/>
  <c r="H600" i="2"/>
  <c r="H599" i="2"/>
  <c r="H598" i="2"/>
  <c r="H597" i="2"/>
  <c r="H596" i="2"/>
  <c r="H595" i="2"/>
  <c r="H594" i="2"/>
  <c r="H593" i="2"/>
  <c r="H592" i="2"/>
  <c r="H591" i="2"/>
  <c r="H590" i="2"/>
  <c r="H589" i="2"/>
  <c r="H588" i="2"/>
  <c r="H587" i="2"/>
  <c r="H586" i="2"/>
  <c r="H585" i="2"/>
  <c r="H584" i="2"/>
  <c r="H583" i="2"/>
  <c r="H582" i="2"/>
  <c r="H581" i="2"/>
  <c r="H580" i="2"/>
  <c r="H579" i="2"/>
  <c r="H578" i="2"/>
  <c r="H577" i="2"/>
  <c r="H576" i="2"/>
  <c r="H575" i="2"/>
  <c r="H574" i="2"/>
  <c r="H573" i="2"/>
  <c r="H572" i="2"/>
  <c r="H571" i="2"/>
  <c r="H570" i="2"/>
  <c r="H569" i="2"/>
  <c r="H568" i="2"/>
  <c r="H567" i="2"/>
  <c r="H566" i="2"/>
  <c r="H565" i="2"/>
  <c r="H564" i="2"/>
  <c r="H563" i="2"/>
  <c r="H562" i="2"/>
  <c r="H561" i="2"/>
  <c r="H560" i="2"/>
  <c r="H559" i="2"/>
  <c r="H558" i="2"/>
  <c r="H557" i="2"/>
  <c r="H556" i="2"/>
  <c r="H555" i="2"/>
  <c r="H554" i="2"/>
  <c r="H553" i="2"/>
  <c r="H552" i="2"/>
  <c r="H551" i="2"/>
  <c r="H550" i="2"/>
  <c r="H549" i="2"/>
  <c r="H548" i="2"/>
  <c r="H547" i="2"/>
  <c r="H546" i="2"/>
  <c r="H545" i="2"/>
  <c r="H544" i="2"/>
  <c r="H543" i="2"/>
  <c r="H542" i="2"/>
  <c r="H541" i="2"/>
  <c r="H540" i="2"/>
  <c r="H539" i="2"/>
  <c r="H538" i="2"/>
  <c r="H537" i="2"/>
  <c r="H536" i="2"/>
  <c r="H535" i="2"/>
  <c r="H534" i="2"/>
  <c r="H533" i="2"/>
  <c r="H532" i="2"/>
  <c r="H531" i="2"/>
  <c r="H530" i="2"/>
  <c r="H529" i="2"/>
  <c r="H528" i="2"/>
  <c r="H527" i="2"/>
  <c r="H526" i="2"/>
  <c r="H525" i="2"/>
  <c r="H524" i="2"/>
  <c r="H523" i="2"/>
  <c r="H522" i="2"/>
  <c r="H521" i="2"/>
  <c r="H520" i="2"/>
  <c r="H519" i="2"/>
  <c r="H518" i="2"/>
  <c r="H517" i="2"/>
  <c r="H516" i="2"/>
  <c r="H515" i="2"/>
  <c r="H514" i="2"/>
  <c r="H513" i="2"/>
  <c r="H512" i="2"/>
  <c r="H511" i="2"/>
  <c r="H510" i="2"/>
  <c r="H509" i="2"/>
  <c r="H508" i="2"/>
  <c r="H507" i="2"/>
  <c r="H506" i="2"/>
  <c r="H505" i="2"/>
  <c r="H504" i="2"/>
  <c r="H503" i="2"/>
  <c r="H502" i="2"/>
  <c r="H501" i="2"/>
  <c r="H500" i="2"/>
  <c r="H499" i="2"/>
  <c r="H498" i="2"/>
  <c r="H497" i="2"/>
  <c r="H496" i="2"/>
  <c r="H495" i="2"/>
  <c r="H494" i="2"/>
  <c r="H493" i="2"/>
  <c r="H492" i="2"/>
  <c r="H491" i="2"/>
  <c r="H490" i="2"/>
  <c r="H489" i="2"/>
  <c r="H488" i="2"/>
  <c r="H487" i="2"/>
  <c r="H486" i="2"/>
  <c r="H485" i="2"/>
  <c r="H484" i="2"/>
  <c r="H483" i="2"/>
  <c r="H482" i="2"/>
  <c r="H481" i="2"/>
  <c r="H480" i="2"/>
  <c r="H479" i="2"/>
  <c r="H478" i="2"/>
  <c r="H477" i="2"/>
  <c r="H476" i="2"/>
  <c r="H475" i="2"/>
  <c r="H474" i="2"/>
  <c r="H473" i="2"/>
  <c r="H472" i="2"/>
  <c r="H471" i="2"/>
  <c r="H470" i="2"/>
  <c r="H469" i="2"/>
  <c r="H468" i="2"/>
  <c r="H467" i="2"/>
  <c r="H466" i="2"/>
  <c r="H465" i="2"/>
  <c r="H464" i="2"/>
  <c r="H463" i="2"/>
  <c r="H462" i="2"/>
  <c r="H461" i="2"/>
  <c r="H460" i="2"/>
  <c r="H459" i="2"/>
  <c r="H458" i="2"/>
  <c r="H457" i="2"/>
  <c r="H456" i="2"/>
  <c r="H455" i="2"/>
  <c r="H454" i="2"/>
  <c r="H453" i="2"/>
  <c r="H452" i="2"/>
  <c r="H451" i="2"/>
  <c r="H450" i="2"/>
  <c r="H449" i="2"/>
  <c r="H448" i="2"/>
  <c r="H447" i="2"/>
  <c r="H446" i="2"/>
  <c r="H445" i="2"/>
  <c r="H444" i="2"/>
  <c r="H443" i="2"/>
  <c r="H428" i="2"/>
  <c r="H420" i="2"/>
  <c r="H418" i="2"/>
  <c r="H400" i="2"/>
  <c r="H399" i="2"/>
  <c r="H398" i="2"/>
  <c r="H397" i="2"/>
  <c r="H396" i="2"/>
  <c r="H395" i="2"/>
  <c r="H394" i="2"/>
  <c r="H393" i="2"/>
  <c r="H392" i="2"/>
  <c r="H391" i="2"/>
  <c r="H390" i="2"/>
  <c r="H389" i="2"/>
  <c r="H388" i="2"/>
  <c r="H387" i="2"/>
  <c r="H386" i="2"/>
  <c r="H385" i="2"/>
  <c r="H384" i="2"/>
  <c r="H383" i="2"/>
  <c r="H382" i="2"/>
  <c r="H381" i="2"/>
  <c r="H380" i="2"/>
  <c r="H379" i="2"/>
  <c r="H378" i="2"/>
  <c r="H377" i="2"/>
  <c r="H376" i="2"/>
  <c r="H375" i="2"/>
  <c r="H374" i="2"/>
  <c r="H373" i="2"/>
  <c r="H372" i="2"/>
  <c r="H371" i="2"/>
  <c r="H370" i="2"/>
  <c r="H369" i="2"/>
  <c r="H368" i="2"/>
  <c r="H367" i="2"/>
  <c r="H366" i="2"/>
  <c r="H365" i="2"/>
  <c r="H364" i="2"/>
  <c r="H363" i="2"/>
  <c r="H362" i="2"/>
  <c r="H361" i="2"/>
  <c r="H360" i="2"/>
  <c r="H359" i="2"/>
  <c r="H358" i="2"/>
  <c r="H357" i="2"/>
  <c r="H356" i="2"/>
  <c r="H355" i="2"/>
  <c r="H354" i="2"/>
  <c r="H353" i="2"/>
  <c r="H352" i="2"/>
  <c r="H351" i="2"/>
  <c r="H350" i="2"/>
  <c r="H349" i="2"/>
  <c r="H348" i="2"/>
  <c r="H347" i="2"/>
  <c r="H346" i="2"/>
  <c r="H345" i="2"/>
  <c r="H344" i="2"/>
  <c r="H343" i="2"/>
  <c r="H342" i="2"/>
  <c r="H341" i="2"/>
  <c r="H340" i="2"/>
  <c r="H339" i="2"/>
  <c r="H338" i="2"/>
  <c r="H337" i="2"/>
  <c r="H336" i="2"/>
  <c r="H335" i="2"/>
  <c r="H334" i="2"/>
  <c r="H333" i="2"/>
  <c r="H332" i="2"/>
  <c r="H331" i="2"/>
  <c r="H330" i="2"/>
  <c r="H329" i="2"/>
  <c r="H328" i="2"/>
  <c r="H327" i="2"/>
  <c r="H326" i="2"/>
  <c r="H325" i="2"/>
  <c r="H324" i="2"/>
  <c r="H323" i="2"/>
  <c r="H322" i="2"/>
  <c r="H321" i="2"/>
  <c r="H320" i="2"/>
  <c r="H319" i="2"/>
  <c r="H318" i="2"/>
  <c r="H317" i="2"/>
  <c r="H316" i="2"/>
  <c r="H315" i="2"/>
  <c r="H314" i="2"/>
  <c r="H313" i="2"/>
  <c r="H312" i="2"/>
  <c r="H311" i="2"/>
  <c r="H310" i="2"/>
  <c r="H309" i="2"/>
  <c r="H308" i="2"/>
  <c r="H307" i="2"/>
  <c r="H306" i="2"/>
  <c r="H305" i="2"/>
  <c r="H304" i="2"/>
  <c r="H303" i="2"/>
  <c r="H302" i="2"/>
  <c r="H301" i="2"/>
  <c r="H300" i="2"/>
  <c r="H299" i="2"/>
  <c r="H298" i="2"/>
  <c r="H297" i="2"/>
  <c r="H296" i="2"/>
  <c r="H295" i="2"/>
  <c r="H294" i="2"/>
  <c r="H293" i="2"/>
  <c r="H292" i="2"/>
  <c r="H291" i="2"/>
  <c r="H290" i="2"/>
  <c r="H289" i="2"/>
  <c r="H288" i="2"/>
  <c r="H287" i="2"/>
  <c r="H286" i="2"/>
  <c r="H285" i="2"/>
  <c r="H284" i="2"/>
  <c r="H283" i="2"/>
  <c r="H282" i="2"/>
  <c r="H281" i="2"/>
  <c r="H280" i="2"/>
  <c r="H279" i="2"/>
  <c r="H278" i="2"/>
  <c r="H277" i="2"/>
  <c r="H276" i="2"/>
  <c r="H275" i="2"/>
  <c r="H274" i="2"/>
  <c r="H273" i="2"/>
  <c r="H272" i="2"/>
  <c r="H271" i="2"/>
  <c r="H270" i="2"/>
  <c r="H269" i="2"/>
  <c r="H268" i="2"/>
  <c r="H267" i="2"/>
  <c r="H266" i="2"/>
  <c r="H265" i="2"/>
  <c r="H264" i="2"/>
  <c r="H263" i="2"/>
  <c r="H262" i="2"/>
  <c r="H261" i="2"/>
  <c r="H260" i="2"/>
  <c r="H259" i="2"/>
  <c r="H258" i="2"/>
  <c r="H257" i="2"/>
  <c r="H256" i="2"/>
  <c r="H255" i="2"/>
  <c r="H254" i="2"/>
  <c r="H253" i="2"/>
  <c r="H252" i="2"/>
  <c r="H251" i="2"/>
  <c r="H250" i="2"/>
  <c r="H249" i="2"/>
  <c r="H248" i="2"/>
  <c r="H247" i="2"/>
  <c r="H246" i="2"/>
  <c r="H245" i="2"/>
  <c r="H244" i="2"/>
  <c r="H243" i="2"/>
  <c r="H242" i="2"/>
  <c r="H241" i="2"/>
  <c r="H240" i="2"/>
  <c r="H239" i="2"/>
  <c r="H238" i="2"/>
  <c r="H237" i="2"/>
  <c r="H236" i="2"/>
  <c r="H235" i="2"/>
  <c r="H234" i="2"/>
  <c r="H233" i="2"/>
  <c r="H232" i="2"/>
  <c r="H231" i="2"/>
  <c r="H230" i="2"/>
  <c r="H229" i="2"/>
  <c r="H228" i="2"/>
  <c r="H227" i="2"/>
  <c r="H226" i="2"/>
  <c r="H225" i="2"/>
  <c r="H210" i="2"/>
  <c r="H203" i="2"/>
  <c r="H201" i="2"/>
  <c r="H185" i="2"/>
  <c r="H184" i="2"/>
  <c r="H183" i="2"/>
  <c r="H182" i="2"/>
  <c r="H181" i="2"/>
  <c r="H180" i="2"/>
  <c r="H179" i="2"/>
  <c r="H178" i="2"/>
  <c r="H177" i="2"/>
  <c r="H176" i="2"/>
  <c r="H175" i="2"/>
  <c r="H174" i="2"/>
  <c r="H173" i="2"/>
  <c r="H172" i="2"/>
  <c r="H171" i="2"/>
  <c r="H170" i="2"/>
  <c r="H169" i="2"/>
  <c r="H168" i="2"/>
  <c r="H167" i="2"/>
  <c r="H166" i="2"/>
  <c r="H165" i="2"/>
  <c r="H164" i="2"/>
  <c r="H163" i="2"/>
  <c r="H162" i="2"/>
  <c r="H161" i="2"/>
  <c r="H160" i="2"/>
  <c r="H159" i="2"/>
  <c r="H158" i="2"/>
  <c r="H157" i="2"/>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25" i="2"/>
  <c r="H18" i="2"/>
  <c r="H16" i="2"/>
  <c r="C7" i="15"/>
  <c r="C8" i="15" s="1"/>
  <c r="C9" i="15" s="1"/>
  <c r="C10" i="15" s="1"/>
  <c r="C11" i="15" s="1"/>
  <c r="C12" i="15" s="1"/>
  <c r="C13" i="15" s="1"/>
  <c r="C14" i="15" s="1"/>
  <c r="C15" i="15" s="1"/>
  <c r="C4" i="15"/>
  <c r="C5" i="15" s="1"/>
  <c r="X115" i="10"/>
  <c r="X101" i="10"/>
  <c r="X118" i="10"/>
  <c r="X102" i="10"/>
  <c r="X116" i="10"/>
  <c r="X104" i="10"/>
  <c r="X105" i="10"/>
  <c r="X107" i="10"/>
  <c r="X120" i="10"/>
  <c r="X106" i="10"/>
  <c r="X114" i="10"/>
  <c r="X119" i="10"/>
  <c r="X103" i="10"/>
  <c r="X117" i="10"/>
  <c r="X190" i="10" l="1"/>
  <c r="X192" i="10"/>
  <c r="E15" i="15" s="1"/>
  <c r="X191" i="10"/>
  <c r="I2222" i="2"/>
  <c r="X183" i="10"/>
  <c r="N20" i="25"/>
  <c r="AJ130" i="10"/>
  <c r="X145" i="10"/>
  <c r="X187" i="10"/>
  <c r="N24" i="25"/>
  <c r="AJ132" i="10"/>
  <c r="X149" i="10"/>
  <c r="L25" i="25"/>
  <c r="AF135" i="10"/>
  <c r="X188" i="10"/>
  <c r="N25" i="25"/>
  <c r="AJ135" i="10"/>
  <c r="X150" i="10"/>
  <c r="L22" i="25"/>
  <c r="AF131" i="10"/>
  <c r="X185" i="10"/>
  <c r="N22" i="25"/>
  <c r="AJ131" i="10"/>
  <c r="X147" i="10"/>
  <c r="X189" i="10"/>
  <c r="N26" i="25"/>
  <c r="AJ136" i="10"/>
  <c r="X151" i="10"/>
  <c r="L23" i="25"/>
  <c r="AF134" i="10"/>
  <c r="L21" i="25"/>
  <c r="AF133" i="10"/>
  <c r="X184" i="10"/>
  <c r="N21" i="25"/>
  <c r="AJ133" i="10"/>
  <c r="X146" i="10"/>
  <c r="L26" i="25"/>
  <c r="AF136" i="10"/>
  <c r="N23" i="25"/>
  <c r="AJ134" i="10"/>
  <c r="X148" i="10"/>
  <c r="L20" i="25"/>
  <c r="AF130" i="10"/>
  <c r="X140" i="10"/>
  <c r="X134" i="10" s="1"/>
  <c r="L24" i="25"/>
  <c r="AF132" i="10"/>
  <c r="X121" i="10"/>
  <c r="L19" i="25" s="1"/>
  <c r="J2227" i="2"/>
  <c r="I2245" i="2"/>
  <c r="X109" i="10"/>
  <c r="J2245" i="2"/>
  <c r="I2244" i="2"/>
  <c r="J2244" i="2"/>
  <c r="H2270" i="2" l="1"/>
  <c r="H2322" i="2"/>
  <c r="H2310" i="2"/>
  <c r="H2331" i="2"/>
  <c r="H2272" i="2"/>
  <c r="H2304" i="2"/>
  <c r="H2277" i="2"/>
  <c r="H2297" i="2"/>
  <c r="H2286" i="2"/>
  <c r="H2274" i="2"/>
  <c r="H2287" i="2"/>
  <c r="H2303" i="2"/>
  <c r="H2276" i="2"/>
  <c r="H2308" i="2"/>
  <c r="H2324" i="2"/>
  <c r="H2259" i="2"/>
  <c r="H2280" i="2"/>
  <c r="H2309" i="2"/>
  <c r="H2325" i="2"/>
  <c r="H2306" i="2"/>
  <c r="H2294" i="2"/>
  <c r="H2279" i="2"/>
  <c r="H2295" i="2"/>
  <c r="H2311" i="2"/>
  <c r="H2316" i="2"/>
  <c r="H2313" i="2"/>
  <c r="X135" i="10"/>
  <c r="N19" i="25"/>
  <c r="X193" i="10"/>
  <c r="M210" i="10" s="1"/>
  <c r="X133" i="10"/>
  <c r="X152" i="10"/>
  <c r="X176" i="10"/>
  <c r="X168" i="10" s="1"/>
  <c r="X138" i="10"/>
  <c r="X137" i="10"/>
  <c r="X136" i="10"/>
  <c r="X132" i="10"/>
  <c r="AH113" i="10"/>
  <c r="AH129" i="10" s="1"/>
  <c r="AL113" i="10"/>
  <c r="AL129" i="10" s="1"/>
  <c r="AM113" i="10"/>
  <c r="AM129" i="10" s="1"/>
  <c r="AK113" i="10"/>
  <c r="AK129" i="10" s="1"/>
  <c r="AI113" i="10"/>
  <c r="AI129" i="10" s="1"/>
  <c r="AG113" i="10"/>
  <c r="AG129" i="10" s="1"/>
  <c r="AE124" i="10"/>
  <c r="AE141" i="10" s="1"/>
  <c r="AE123" i="10"/>
  <c r="AE140" i="10" s="1"/>
  <c r="AE122" i="10"/>
  <c r="AE139" i="10" s="1"/>
  <c r="AE121" i="10"/>
  <c r="AE137" i="10" s="1"/>
  <c r="AE120" i="10"/>
  <c r="AE136" i="10" s="1"/>
  <c r="AE119" i="10"/>
  <c r="AE135" i="10" s="1"/>
  <c r="AE118" i="10"/>
  <c r="AE132" i="10" s="1"/>
  <c r="AE117" i="10"/>
  <c r="AE134" i="10" s="1"/>
  <c r="AE116" i="10"/>
  <c r="AE131" i="10" s="1"/>
  <c r="AE115" i="10"/>
  <c r="AE133" i="10" s="1"/>
  <c r="AE114" i="10"/>
  <c r="AE130" i="10" s="1"/>
  <c r="X172" i="10" l="1"/>
  <c r="X170" i="10"/>
  <c r="X171" i="10"/>
  <c r="X173" i="10"/>
  <c r="J2295" i="2"/>
  <c r="I2295" i="2"/>
  <c r="J2272" i="2"/>
  <c r="I2272" i="2"/>
  <c r="J2308" i="2"/>
  <c r="I2308" i="2"/>
  <c r="J2293" i="2"/>
  <c r="I2293" i="2"/>
  <c r="J2313" i="2"/>
  <c r="I2313" i="2"/>
  <c r="J2286" i="2"/>
  <c r="I2286" i="2"/>
  <c r="J2322" i="2"/>
  <c r="I2322" i="2"/>
  <c r="J2259" i="2"/>
  <c r="I2259" i="2"/>
  <c r="J2303" i="2"/>
  <c r="I2303" i="2"/>
  <c r="J2276" i="2"/>
  <c r="I2276" i="2"/>
  <c r="J2316" i="2"/>
  <c r="I2316" i="2"/>
  <c r="J2297" i="2"/>
  <c r="I2297" i="2"/>
  <c r="J2325" i="2"/>
  <c r="I2325" i="2"/>
  <c r="J2294" i="2"/>
  <c r="I2294" i="2"/>
  <c r="J2330" i="2"/>
  <c r="I2330" i="2"/>
  <c r="X169" i="10"/>
  <c r="J2279" i="2"/>
  <c r="I2279" i="2"/>
  <c r="J2311" i="2"/>
  <c r="I2311" i="2"/>
  <c r="J2280" i="2"/>
  <c r="I2280" i="2"/>
  <c r="J2324" i="2"/>
  <c r="I2324" i="2"/>
  <c r="J2301" i="2"/>
  <c r="I2301" i="2"/>
  <c r="J2270" i="2"/>
  <c r="I2270" i="2"/>
  <c r="J2306" i="2"/>
  <c r="I2306" i="2"/>
  <c r="J2287" i="2"/>
  <c r="I2287" i="2"/>
  <c r="J2331" i="2"/>
  <c r="I2331" i="2"/>
  <c r="J2304" i="2"/>
  <c r="I2304" i="2"/>
  <c r="J2277" i="2"/>
  <c r="I2277" i="2"/>
  <c r="J2309" i="2"/>
  <c r="I2309" i="2"/>
  <c r="J2274" i="2"/>
  <c r="I2274" i="2"/>
  <c r="J2310" i="2"/>
  <c r="I2310" i="2"/>
  <c r="X167" i="10"/>
  <c r="B6" i="25"/>
  <c r="K19" i="25" s="1"/>
  <c r="B15" i="25"/>
  <c r="K26" i="25" s="1"/>
  <c r="B12" i="25"/>
  <c r="K25" i="25" s="1"/>
  <c r="B11" i="25"/>
  <c r="K24" i="25" s="1"/>
  <c r="B10" i="25"/>
  <c r="K23" i="25" s="1"/>
  <c r="B9" i="25"/>
  <c r="K22" i="25" s="1"/>
  <c r="B8" i="25"/>
  <c r="K21" i="25" s="1"/>
  <c r="B7" i="25"/>
  <c r="K20" i="25" s="1"/>
  <c r="W116" i="10"/>
  <c r="Q22" i="25" l="1"/>
  <c r="M163" i="10"/>
  <c r="V163" i="10" s="1"/>
  <c r="L138" i="10" l="1"/>
  <c r="L137" i="10"/>
  <c r="L136" i="10"/>
  <c r="L135" i="10"/>
  <c r="L134" i="10"/>
  <c r="L133" i="10"/>
  <c r="L132" i="10"/>
  <c r="G2106" i="2" l="1"/>
  <c r="G2117" i="2"/>
  <c r="I2117" i="2" s="1"/>
  <c r="J2117" i="2"/>
  <c r="L151" i="10" l="1"/>
  <c r="L173" i="10" s="1"/>
  <c r="L150" i="10"/>
  <c r="L172" i="10" s="1"/>
  <c r="L149" i="10"/>
  <c r="L171" i="10" s="1"/>
  <c r="L148" i="10"/>
  <c r="L170" i="10" s="1"/>
  <c r="L147" i="10"/>
  <c r="L169" i="10" s="1"/>
  <c r="L146" i="10"/>
  <c r="L168" i="10" s="1"/>
  <c r="L145" i="10"/>
  <c r="L167" i="10" s="1"/>
  <c r="J2063" i="2" l="1"/>
  <c r="J2064" i="2"/>
  <c r="J2065" i="2"/>
  <c r="J2078" i="2"/>
  <c r="J2079" i="2"/>
  <c r="J2081" i="2"/>
  <c r="J2082" i="2"/>
  <c r="J2083" i="2"/>
  <c r="J2084" i="2"/>
  <c r="J2085" i="2"/>
  <c r="J2086" i="2"/>
  <c r="J2087" i="2"/>
  <c r="J2088" i="2"/>
  <c r="J2089" i="2"/>
  <c r="J2090" i="2"/>
  <c r="J2091" i="2"/>
  <c r="J2092" i="2"/>
  <c r="J2093" i="2"/>
  <c r="J2094" i="2"/>
  <c r="J2095" i="2"/>
  <c r="J2096" i="2"/>
  <c r="J2097" i="2"/>
  <c r="J2098" i="2"/>
  <c r="J2100" i="2"/>
  <c r="J2101" i="2"/>
  <c r="J2102" i="2"/>
  <c r="J2103" i="2"/>
  <c r="J2104" i="2"/>
  <c r="J2105" i="2"/>
  <c r="J2107" i="2"/>
  <c r="J2108" i="2"/>
  <c r="J2109" i="2"/>
  <c r="J2110" i="2"/>
  <c r="J2111" i="2"/>
  <c r="J2112" i="2"/>
  <c r="J2113" i="2"/>
  <c r="J2114" i="2"/>
  <c r="J2115" i="2"/>
  <c r="J2116" i="2"/>
  <c r="I2088" i="2"/>
  <c r="I2083" i="2"/>
  <c r="N2106" i="2"/>
  <c r="P2106" i="2" s="1"/>
  <c r="H2106" i="2" s="1"/>
  <c r="N2099" i="2"/>
  <c r="P2099" i="2" s="1"/>
  <c r="H2099" i="2" s="1"/>
  <c r="W103" i="10"/>
  <c r="W106" i="10"/>
  <c r="W102" i="10"/>
  <c r="W114" i="10"/>
  <c r="W104" i="10"/>
  <c r="W117" i="10"/>
  <c r="W101" i="10"/>
  <c r="W115" i="10"/>
  <c r="W118" i="10"/>
  <c r="W107" i="10"/>
  <c r="W119" i="10"/>
  <c r="W105" i="10"/>
  <c r="W120" i="10"/>
  <c r="W192" i="10" l="1"/>
  <c r="E14" i="15" s="1"/>
  <c r="W190" i="10"/>
  <c r="W191" i="10"/>
  <c r="Q20" i="25"/>
  <c r="Q23" i="25"/>
  <c r="W184" i="10"/>
  <c r="S21" i="25"/>
  <c r="W187" i="10"/>
  <c r="S24" i="25"/>
  <c r="Q26" i="25"/>
  <c r="W188" i="10"/>
  <c r="S25" i="25"/>
  <c r="W189" i="10"/>
  <c r="S26" i="25"/>
  <c r="Q21" i="25"/>
  <c r="W183" i="10"/>
  <c r="S20" i="25"/>
  <c r="W186" i="10"/>
  <c r="S23" i="25"/>
  <c r="Q25" i="25"/>
  <c r="W185" i="10"/>
  <c r="S22" i="25"/>
  <c r="Q24" i="25"/>
  <c r="N30" i="25"/>
  <c r="L30" i="25"/>
  <c r="W140" i="10"/>
  <c r="W137" i="10" s="1"/>
  <c r="W147" i="10"/>
  <c r="W151" i="10"/>
  <c r="W146" i="10"/>
  <c r="W149" i="10"/>
  <c r="W145" i="10"/>
  <c r="W109" i="10"/>
  <c r="W150" i="10"/>
  <c r="W148" i="10"/>
  <c r="I2106" i="2"/>
  <c r="J2106" i="2"/>
  <c r="I2099" i="2"/>
  <c r="J2099" i="2"/>
  <c r="W121" i="10"/>
  <c r="Q19" i="25" s="1"/>
  <c r="H2193" i="2" l="1"/>
  <c r="H2173" i="2"/>
  <c r="H2157" i="2"/>
  <c r="H2145" i="2"/>
  <c r="H2188" i="2"/>
  <c r="H2187" i="2"/>
  <c r="H2163" i="2"/>
  <c r="H2155" i="2"/>
  <c r="H2147" i="2"/>
  <c r="H2139" i="2"/>
  <c r="H2186" i="2"/>
  <c r="H2174" i="2"/>
  <c r="H2170" i="2"/>
  <c r="H2162" i="2"/>
  <c r="H2150" i="2"/>
  <c r="H2146" i="2"/>
  <c r="H2142" i="2"/>
  <c r="H2130" i="2"/>
  <c r="H2169" i="2"/>
  <c r="H2161" i="2"/>
  <c r="H2141" i="2"/>
  <c r="H2133" i="2"/>
  <c r="H2125" i="2"/>
  <c r="H2172" i="2"/>
  <c r="H2140" i="2"/>
  <c r="S19" i="25"/>
  <c r="W193" i="10"/>
  <c r="M209" i="10" s="1"/>
  <c r="C13" i="25"/>
  <c r="D13" i="25" s="1"/>
  <c r="C14" i="25"/>
  <c r="D14" i="25" s="1"/>
  <c r="E14" i="25"/>
  <c r="F14" i="25" s="1"/>
  <c r="E13" i="25"/>
  <c r="F13" i="25" s="1"/>
  <c r="AF141" i="10"/>
  <c r="AJ140" i="10"/>
  <c r="AF139" i="10"/>
  <c r="AF137" i="10"/>
  <c r="AI130" i="10" s="1"/>
  <c r="AH130" i="10"/>
  <c r="AH131" i="10"/>
  <c r="AL131" i="10"/>
  <c r="AJ137" i="10"/>
  <c r="AM135" i="10" s="1"/>
  <c r="AL130" i="10"/>
  <c r="AJ139" i="10"/>
  <c r="AJ138" i="10" s="1"/>
  <c r="AF140" i="10"/>
  <c r="N29" i="25"/>
  <c r="O29" i="25" s="1"/>
  <c r="AJ141" i="10"/>
  <c r="N28" i="25"/>
  <c r="O30" i="25"/>
  <c r="P30" i="25"/>
  <c r="L29" i="25"/>
  <c r="L28" i="25"/>
  <c r="W135" i="10"/>
  <c r="W132" i="10"/>
  <c r="O24" i="25"/>
  <c r="O20" i="25"/>
  <c r="W138" i="10"/>
  <c r="O23" i="25"/>
  <c r="O25" i="25"/>
  <c r="O22" i="25"/>
  <c r="W133" i="10"/>
  <c r="O26" i="25"/>
  <c r="O21" i="25"/>
  <c r="P20" i="25"/>
  <c r="P26" i="25"/>
  <c r="P21" i="25"/>
  <c r="P25" i="25"/>
  <c r="P22" i="25"/>
  <c r="P24" i="25"/>
  <c r="W152" i="10"/>
  <c r="W136" i="10"/>
  <c r="W134" i="10"/>
  <c r="W176" i="10"/>
  <c r="W173" i="10" s="1"/>
  <c r="AF146" i="10" l="1"/>
  <c r="AF138" i="10"/>
  <c r="L27" i="25"/>
  <c r="N27" i="25"/>
  <c r="W170" i="10"/>
  <c r="W172" i="10"/>
  <c r="W169" i="10"/>
  <c r="W168" i="10"/>
  <c r="W167" i="10"/>
  <c r="W171" i="10"/>
  <c r="AI134" i="10"/>
  <c r="N31" i="25"/>
  <c r="O31" i="25" s="1"/>
  <c r="P28" i="25"/>
  <c r="P29" i="25"/>
  <c r="AM130" i="10"/>
  <c r="AM131" i="10"/>
  <c r="AK131" i="10"/>
  <c r="AM139" i="10"/>
  <c r="AM134" i="10"/>
  <c r="AG132" i="10"/>
  <c r="AI139" i="10"/>
  <c r="AG131" i="10"/>
  <c r="AM132" i="10"/>
  <c r="AM136" i="10"/>
  <c r="AI133" i="10"/>
  <c r="AK130" i="10"/>
  <c r="AI135" i="10"/>
  <c r="AG130" i="10"/>
  <c r="AK132" i="10"/>
  <c r="AM141" i="10"/>
  <c r="AI140" i="10"/>
  <c r="AM133" i="10"/>
  <c r="AI141" i="10"/>
  <c r="AI132" i="10"/>
  <c r="AI131" i="10"/>
  <c r="AM140" i="10"/>
  <c r="AI136" i="10"/>
  <c r="O28" i="25"/>
  <c r="M30" i="25"/>
  <c r="M28" i="25"/>
  <c r="L31" i="25"/>
  <c r="M31" i="25" s="1"/>
  <c r="M29" i="25"/>
  <c r="M26" i="25"/>
  <c r="M21" i="25"/>
  <c r="M25" i="25"/>
  <c r="M20" i="25"/>
  <c r="M24" i="25"/>
  <c r="M23" i="25"/>
  <c r="M22" i="25"/>
  <c r="P19" i="25"/>
  <c r="G2073" i="2"/>
  <c r="G2072" i="2"/>
  <c r="G2071" i="2"/>
  <c r="G2070" i="2"/>
  <c r="G2069" i="2"/>
  <c r="G2068" i="2"/>
  <c r="P27" i="25" l="1"/>
  <c r="W174" i="10"/>
  <c r="X174" i="10"/>
  <c r="P31" i="25"/>
  <c r="I2193" i="2"/>
  <c r="J2193" i="2" s="1"/>
  <c r="I2192" i="2"/>
  <c r="J2192" i="2" s="1"/>
  <c r="I2191" i="2"/>
  <c r="J2191" i="2" s="1"/>
  <c r="I2190" i="2"/>
  <c r="J2190" i="2" s="1"/>
  <c r="I2189" i="2"/>
  <c r="J2189" i="2" s="1"/>
  <c r="I2188" i="2"/>
  <c r="J2188" i="2" s="1"/>
  <c r="I2187" i="2"/>
  <c r="J2187" i="2" s="1"/>
  <c r="I2186" i="2"/>
  <c r="J2186" i="2" s="1"/>
  <c r="I2185" i="2"/>
  <c r="J2185" i="2" s="1"/>
  <c r="I2184" i="2"/>
  <c r="J2184" i="2" s="1"/>
  <c r="I2183" i="2"/>
  <c r="J2183" i="2" s="1"/>
  <c r="I2182" i="2"/>
  <c r="J2182" i="2" s="1"/>
  <c r="I2181" i="2"/>
  <c r="J2181" i="2" s="1"/>
  <c r="I2180" i="2"/>
  <c r="J2180" i="2" s="1"/>
  <c r="I2179" i="2"/>
  <c r="J2179" i="2" s="1"/>
  <c r="I2178" i="2"/>
  <c r="J2178" i="2" s="1"/>
  <c r="I2177" i="2"/>
  <c r="J2177" i="2" s="1"/>
  <c r="I2176" i="2"/>
  <c r="J2176" i="2" s="1"/>
  <c r="I2175" i="2"/>
  <c r="J2175" i="2" s="1"/>
  <c r="I2174" i="2"/>
  <c r="J2174" i="2" s="1"/>
  <c r="I2173" i="2"/>
  <c r="J2173" i="2" s="1"/>
  <c r="I2172" i="2"/>
  <c r="J2172" i="2" s="1"/>
  <c r="I2171" i="2"/>
  <c r="J2171" i="2" s="1"/>
  <c r="I2170" i="2"/>
  <c r="J2170" i="2" s="1"/>
  <c r="I2169" i="2"/>
  <c r="J2169" i="2" s="1"/>
  <c r="I2168" i="2"/>
  <c r="J2168" i="2" s="1"/>
  <c r="I2167" i="2"/>
  <c r="J2167" i="2" s="1"/>
  <c r="I2166" i="2"/>
  <c r="J2166" i="2" s="1"/>
  <c r="I2165" i="2"/>
  <c r="J2165" i="2" s="1"/>
  <c r="I2164" i="2"/>
  <c r="J2164" i="2" s="1"/>
  <c r="I2163" i="2"/>
  <c r="J2163" i="2" s="1"/>
  <c r="I2162" i="2"/>
  <c r="J2162" i="2" s="1"/>
  <c r="I2161" i="2"/>
  <c r="J2161" i="2" s="1"/>
  <c r="I2160" i="2"/>
  <c r="J2160" i="2" s="1"/>
  <c r="I2159" i="2"/>
  <c r="J2159" i="2" s="1"/>
  <c r="I2158" i="2"/>
  <c r="J2158" i="2" s="1"/>
  <c r="I2157" i="2"/>
  <c r="J2157" i="2" s="1"/>
  <c r="I2156" i="2"/>
  <c r="J2156" i="2" s="1"/>
  <c r="I2155" i="2"/>
  <c r="J2155" i="2" s="1"/>
  <c r="I2154" i="2"/>
  <c r="J2154" i="2" s="1"/>
  <c r="I2153" i="2"/>
  <c r="J2153" i="2" s="1"/>
  <c r="I2152" i="2"/>
  <c r="J2152" i="2" s="1"/>
  <c r="I2151" i="2"/>
  <c r="J2151" i="2" s="1"/>
  <c r="I2150" i="2"/>
  <c r="J2150" i="2" s="1"/>
  <c r="I2149" i="2"/>
  <c r="J2149" i="2" s="1"/>
  <c r="I2148" i="2"/>
  <c r="J2148" i="2" s="1"/>
  <c r="I2147" i="2"/>
  <c r="J2147" i="2" s="1"/>
  <c r="I2146" i="2"/>
  <c r="J2146" i="2" s="1"/>
  <c r="I2145" i="2"/>
  <c r="J2145" i="2" s="1"/>
  <c r="I2144" i="2"/>
  <c r="J2144" i="2" s="1"/>
  <c r="I2143" i="2"/>
  <c r="J2143" i="2" s="1"/>
  <c r="I2142" i="2"/>
  <c r="J2142" i="2" s="1"/>
  <c r="I2141" i="2"/>
  <c r="J2141" i="2" s="1"/>
  <c r="I2140" i="2"/>
  <c r="J2140" i="2" s="1"/>
  <c r="I2139" i="2"/>
  <c r="J2139" i="2" s="1"/>
  <c r="I2138" i="2"/>
  <c r="J2138" i="2" s="1"/>
  <c r="I2137" i="2"/>
  <c r="J2137" i="2" s="1"/>
  <c r="I2136" i="2"/>
  <c r="J2136" i="2" s="1"/>
  <c r="I2135" i="2"/>
  <c r="J2135" i="2" s="1"/>
  <c r="I2134" i="2"/>
  <c r="J2134" i="2" s="1"/>
  <c r="I2133" i="2"/>
  <c r="J2133" i="2" s="1"/>
  <c r="I2132" i="2"/>
  <c r="J2132" i="2" s="1"/>
  <c r="I2131" i="2"/>
  <c r="J2131" i="2" s="1"/>
  <c r="I2130" i="2"/>
  <c r="J2130" i="2" s="1"/>
  <c r="I2129" i="2"/>
  <c r="J2129" i="2" s="1"/>
  <c r="I2128" i="2"/>
  <c r="J2128" i="2" s="1"/>
  <c r="I2127" i="2"/>
  <c r="J2127" i="2" s="1"/>
  <c r="I2126" i="2"/>
  <c r="J2126" i="2" s="1"/>
  <c r="I2125" i="2"/>
  <c r="J2125" i="2" s="1"/>
  <c r="I2124" i="2"/>
  <c r="J2124" i="2" s="1"/>
  <c r="I2123" i="2"/>
  <c r="J2123" i="2" s="1"/>
  <c r="I2122" i="2"/>
  <c r="J2122" i="2" s="1"/>
  <c r="I2121" i="2"/>
  <c r="J2121" i="2" s="1"/>
  <c r="I2120" i="2"/>
  <c r="J2120" i="2" s="1"/>
  <c r="I2119" i="2"/>
  <c r="J2119" i="2" s="1"/>
  <c r="I2086" i="2" l="1"/>
  <c r="I2118" i="2"/>
  <c r="I2116" i="2"/>
  <c r="I2115" i="2"/>
  <c r="I2114" i="2"/>
  <c r="I2113" i="2"/>
  <c r="I2112" i="2"/>
  <c r="I2111" i="2"/>
  <c r="I2110" i="2"/>
  <c r="I2109" i="2"/>
  <c r="I2108" i="2"/>
  <c r="I2107" i="2"/>
  <c r="I2105" i="2"/>
  <c r="I2104" i="2"/>
  <c r="I2103" i="2"/>
  <c r="I2102" i="2"/>
  <c r="I2101" i="2"/>
  <c r="I2100" i="2"/>
  <c r="I2098" i="2"/>
  <c r="I2097" i="2"/>
  <c r="I2096" i="2"/>
  <c r="I2095" i="2"/>
  <c r="I2094" i="2"/>
  <c r="I2093" i="2"/>
  <c r="I2092" i="2"/>
  <c r="I2091" i="2"/>
  <c r="I2090" i="2"/>
  <c r="I2089" i="2"/>
  <c r="I2087" i="2"/>
  <c r="I2085" i="2"/>
  <c r="I2084" i="2"/>
  <c r="I2082" i="2"/>
  <c r="I2081" i="2"/>
  <c r="I2079" i="2"/>
  <c r="I2078" i="2"/>
  <c r="I2065" i="2"/>
  <c r="I2064" i="2"/>
  <c r="I2063" i="2"/>
  <c r="I2062" i="2"/>
  <c r="J2062" i="2" l="1"/>
  <c r="J2118" i="2"/>
  <c r="J145" i="10" l="1"/>
  <c r="I145" i="10"/>
  <c r="H145" i="10"/>
  <c r="G145" i="10"/>
  <c r="F145" i="10"/>
  <c r="E145" i="10"/>
  <c r="D145" i="10"/>
  <c r="C145" i="10"/>
  <c r="B145" i="10"/>
  <c r="J142" i="10"/>
  <c r="I142" i="10"/>
  <c r="H142" i="10"/>
  <c r="G142" i="10"/>
  <c r="V103" i="10" s="1"/>
  <c r="F142" i="10"/>
  <c r="V104" i="10" s="1"/>
  <c r="E142" i="10"/>
  <c r="D142" i="10"/>
  <c r="V116" i="10" s="1"/>
  <c r="C142" i="10"/>
  <c r="V117" i="10" s="1"/>
  <c r="B142" i="10"/>
  <c r="J141" i="10"/>
  <c r="I141" i="10"/>
  <c r="H141" i="10"/>
  <c r="G141" i="10"/>
  <c r="V101" i="10" s="1"/>
  <c r="F141" i="10"/>
  <c r="V102" i="10" s="1"/>
  <c r="E141" i="10"/>
  <c r="D141" i="10"/>
  <c r="V114" i="10" s="1"/>
  <c r="C141" i="10"/>
  <c r="V115" i="10" s="1"/>
  <c r="B141" i="10"/>
  <c r="J140" i="10"/>
  <c r="I140" i="10"/>
  <c r="H140" i="10"/>
  <c r="G140" i="10"/>
  <c r="F140" i="10"/>
  <c r="E140" i="10"/>
  <c r="D140" i="10"/>
  <c r="C140" i="10"/>
  <c r="A140" i="10"/>
  <c r="J137" i="10"/>
  <c r="I137" i="10"/>
  <c r="H137" i="10"/>
  <c r="G137" i="10"/>
  <c r="U103" i="10" s="1"/>
  <c r="F137" i="10"/>
  <c r="U104" i="10" s="1"/>
  <c r="E137" i="10"/>
  <c r="D137" i="10"/>
  <c r="U116" i="10" s="1"/>
  <c r="C137" i="10"/>
  <c r="U117" i="10" s="1"/>
  <c r="B137" i="10"/>
  <c r="J136" i="10"/>
  <c r="I136" i="10"/>
  <c r="H136" i="10"/>
  <c r="G136" i="10"/>
  <c r="U101" i="10" s="1"/>
  <c r="F136" i="10"/>
  <c r="U102" i="10" s="1"/>
  <c r="E136" i="10"/>
  <c r="D136" i="10"/>
  <c r="U114" i="10" s="1"/>
  <c r="C136" i="10"/>
  <c r="U115" i="10" s="1"/>
  <c r="B136" i="10"/>
  <c r="J135" i="10"/>
  <c r="I135" i="10"/>
  <c r="H135" i="10"/>
  <c r="G135" i="10"/>
  <c r="F135" i="10"/>
  <c r="E135" i="10"/>
  <c r="D135" i="10"/>
  <c r="C135" i="10"/>
  <c r="A135" i="10"/>
  <c r="J132" i="10"/>
  <c r="I132" i="10"/>
  <c r="H132" i="10"/>
  <c r="G132" i="10"/>
  <c r="T103" i="10" s="1"/>
  <c r="F132" i="10"/>
  <c r="T104" i="10" s="1"/>
  <c r="E132" i="10"/>
  <c r="D132" i="10"/>
  <c r="T116" i="10" s="1"/>
  <c r="C132" i="10"/>
  <c r="T117" i="10" s="1"/>
  <c r="B132" i="10"/>
  <c r="J131" i="10"/>
  <c r="I131" i="10"/>
  <c r="H131" i="10"/>
  <c r="G131" i="10"/>
  <c r="T101" i="10" s="1"/>
  <c r="F131" i="10"/>
  <c r="T102" i="10" s="1"/>
  <c r="E131" i="10"/>
  <c r="D131" i="10"/>
  <c r="T114" i="10" s="1"/>
  <c r="C131" i="10"/>
  <c r="T115" i="10" s="1"/>
  <c r="B131" i="10"/>
  <c r="J130" i="10"/>
  <c r="I130" i="10"/>
  <c r="H130" i="10"/>
  <c r="G130" i="10"/>
  <c r="F130" i="10"/>
  <c r="E130" i="10"/>
  <c r="D130" i="10"/>
  <c r="C130" i="10"/>
  <c r="A130" i="10"/>
  <c r="J127" i="10"/>
  <c r="I127" i="10"/>
  <c r="H127" i="10"/>
  <c r="G127" i="10"/>
  <c r="S103" i="10" s="1"/>
  <c r="F127" i="10"/>
  <c r="S104" i="10" s="1"/>
  <c r="E127" i="10"/>
  <c r="D127" i="10"/>
  <c r="S116" i="10" s="1"/>
  <c r="C127" i="10"/>
  <c r="S117" i="10" s="1"/>
  <c r="B127" i="10"/>
  <c r="J126" i="10"/>
  <c r="I126" i="10"/>
  <c r="H126" i="10"/>
  <c r="G126" i="10"/>
  <c r="S101" i="10" s="1"/>
  <c r="F126" i="10"/>
  <c r="S102" i="10" s="1"/>
  <c r="E126" i="10"/>
  <c r="D126" i="10"/>
  <c r="S114" i="10" s="1"/>
  <c r="C126" i="10"/>
  <c r="S115" i="10" s="1"/>
  <c r="B126" i="10"/>
  <c r="J125" i="10"/>
  <c r="I125" i="10"/>
  <c r="H125" i="10"/>
  <c r="G125" i="10"/>
  <c r="F125" i="10"/>
  <c r="E125" i="10"/>
  <c r="D125" i="10"/>
  <c r="C125" i="10"/>
  <c r="A125" i="10"/>
  <c r="J122" i="10"/>
  <c r="I122" i="10"/>
  <c r="H122" i="10"/>
  <c r="G122" i="10"/>
  <c r="R103" i="10" s="1"/>
  <c r="F122" i="10"/>
  <c r="R104" i="10" s="1"/>
  <c r="E122" i="10"/>
  <c r="D122" i="10"/>
  <c r="R116" i="10" s="1"/>
  <c r="C122" i="10"/>
  <c r="R117" i="10" s="1"/>
  <c r="B122" i="10"/>
  <c r="J121" i="10"/>
  <c r="I121" i="10"/>
  <c r="H121" i="10"/>
  <c r="G121" i="10"/>
  <c r="R101" i="10" s="1"/>
  <c r="F121" i="10"/>
  <c r="R102" i="10" s="1"/>
  <c r="E121" i="10"/>
  <c r="D121" i="10"/>
  <c r="R114" i="10" s="1"/>
  <c r="C121" i="10"/>
  <c r="R115" i="10" s="1"/>
  <c r="B121" i="10"/>
  <c r="J120" i="10"/>
  <c r="I120" i="10"/>
  <c r="H120" i="10"/>
  <c r="G120" i="10"/>
  <c r="F120" i="10"/>
  <c r="E120" i="10"/>
  <c r="D120" i="10"/>
  <c r="C120" i="10"/>
  <c r="A120" i="10"/>
  <c r="J117" i="10"/>
  <c r="I117" i="10"/>
  <c r="H117" i="10"/>
  <c r="G117" i="10"/>
  <c r="Q103" i="10" s="1"/>
  <c r="F117" i="10"/>
  <c r="Q104" i="10" s="1"/>
  <c r="E117" i="10"/>
  <c r="D117" i="10"/>
  <c r="Q116" i="10" s="1"/>
  <c r="C117" i="10"/>
  <c r="Q117" i="10" s="1"/>
  <c r="B117" i="10"/>
  <c r="J116" i="10"/>
  <c r="I116" i="10"/>
  <c r="H116" i="10"/>
  <c r="G116" i="10"/>
  <c r="Q101" i="10" s="1"/>
  <c r="F116" i="10"/>
  <c r="Q102" i="10" s="1"/>
  <c r="E116" i="10"/>
  <c r="D116" i="10"/>
  <c r="Q114" i="10" s="1"/>
  <c r="C116" i="10"/>
  <c r="Q115" i="10" s="1"/>
  <c r="B116" i="10"/>
  <c r="J115" i="10"/>
  <c r="I115" i="10"/>
  <c r="H115" i="10"/>
  <c r="G115" i="10"/>
  <c r="F115" i="10"/>
  <c r="E115" i="10"/>
  <c r="D115" i="10"/>
  <c r="C115" i="10"/>
  <c r="A115" i="10"/>
  <c r="J112" i="10"/>
  <c r="I112" i="10"/>
  <c r="H112" i="10"/>
  <c r="G112" i="10"/>
  <c r="P103" i="10" s="1"/>
  <c r="F112" i="10"/>
  <c r="P104" i="10" s="1"/>
  <c r="E112" i="10"/>
  <c r="D112" i="10"/>
  <c r="P116" i="10" s="1"/>
  <c r="C112" i="10"/>
  <c r="P117" i="10" s="1"/>
  <c r="B112" i="10"/>
  <c r="J111" i="10"/>
  <c r="I111" i="10"/>
  <c r="H111" i="10"/>
  <c r="G111" i="10"/>
  <c r="P101" i="10" s="1"/>
  <c r="F111" i="10"/>
  <c r="P102" i="10" s="1"/>
  <c r="E111" i="10"/>
  <c r="D111" i="10"/>
  <c r="P114" i="10" s="1"/>
  <c r="C111" i="10"/>
  <c r="P115" i="10" s="1"/>
  <c r="B111" i="10"/>
  <c r="J110" i="10"/>
  <c r="I110" i="10"/>
  <c r="H110" i="10"/>
  <c r="G110" i="10"/>
  <c r="F110" i="10"/>
  <c r="E110" i="10"/>
  <c r="D110" i="10"/>
  <c r="C110" i="10"/>
  <c r="A110" i="10"/>
  <c r="J107" i="10"/>
  <c r="I107" i="10"/>
  <c r="H107" i="10"/>
  <c r="G107" i="10"/>
  <c r="O103" i="10" s="1"/>
  <c r="F107" i="10"/>
  <c r="O104" i="10" s="1"/>
  <c r="E107" i="10"/>
  <c r="D107" i="10"/>
  <c r="O116" i="10" s="1"/>
  <c r="C107" i="10"/>
  <c r="O117" i="10" s="1"/>
  <c r="B107" i="10"/>
  <c r="J106" i="10"/>
  <c r="I106" i="10"/>
  <c r="H106" i="10"/>
  <c r="G106" i="10"/>
  <c r="O101" i="10" s="1"/>
  <c r="F106" i="10"/>
  <c r="O102" i="10" s="1"/>
  <c r="E106" i="10"/>
  <c r="D106" i="10"/>
  <c r="O114" i="10" s="1"/>
  <c r="C106" i="10"/>
  <c r="O115" i="10" s="1"/>
  <c r="B106" i="10"/>
  <c r="J105" i="10"/>
  <c r="I105" i="10"/>
  <c r="H105" i="10"/>
  <c r="G105" i="10"/>
  <c r="F105" i="10"/>
  <c r="E105" i="10"/>
  <c r="D105" i="10"/>
  <c r="C105" i="10"/>
  <c r="A105" i="10"/>
  <c r="J102" i="10"/>
  <c r="I102" i="10"/>
  <c r="H102" i="10"/>
  <c r="G102" i="10"/>
  <c r="N103" i="10" s="1"/>
  <c r="F102" i="10"/>
  <c r="N104" i="10" s="1"/>
  <c r="E102" i="10"/>
  <c r="D102" i="10"/>
  <c r="N116" i="10" s="1"/>
  <c r="C102" i="10"/>
  <c r="N117" i="10" s="1"/>
  <c r="B102" i="10"/>
  <c r="J101" i="10"/>
  <c r="I101" i="10"/>
  <c r="H101" i="10"/>
  <c r="G101" i="10"/>
  <c r="N101" i="10" s="1"/>
  <c r="F101" i="10"/>
  <c r="N102" i="10" s="1"/>
  <c r="E101" i="10"/>
  <c r="D101" i="10"/>
  <c r="N114" i="10" s="1"/>
  <c r="C101" i="10"/>
  <c r="N115" i="10" s="1"/>
  <c r="B101" i="10"/>
  <c r="J100" i="10"/>
  <c r="I100" i="10"/>
  <c r="H100" i="10"/>
  <c r="G100" i="10"/>
  <c r="F100" i="10"/>
  <c r="E100" i="10"/>
  <c r="D100" i="10"/>
  <c r="C100" i="10"/>
  <c r="A100" i="10"/>
  <c r="J97" i="10"/>
  <c r="I97" i="10"/>
  <c r="H97" i="10"/>
  <c r="G97" i="10"/>
  <c r="M103" i="10" s="1"/>
  <c r="F97" i="10"/>
  <c r="M104" i="10" s="1"/>
  <c r="E97" i="10"/>
  <c r="D97" i="10"/>
  <c r="M116" i="10" s="1"/>
  <c r="C97" i="10"/>
  <c r="M117" i="10" s="1"/>
  <c r="B97" i="10"/>
  <c r="J96" i="10"/>
  <c r="I96" i="10"/>
  <c r="H96" i="10"/>
  <c r="G96" i="10"/>
  <c r="M101" i="10" s="1"/>
  <c r="F96" i="10"/>
  <c r="M102" i="10" s="1"/>
  <c r="E96" i="10"/>
  <c r="D96" i="10"/>
  <c r="M114" i="10" s="1"/>
  <c r="C96" i="10"/>
  <c r="M115" i="10" s="1"/>
  <c r="B96" i="10"/>
  <c r="J95" i="10"/>
  <c r="I95" i="10"/>
  <c r="H95" i="10"/>
  <c r="G95" i="10"/>
  <c r="F95" i="10"/>
  <c r="E95" i="10"/>
  <c r="D95" i="10"/>
  <c r="C95" i="10"/>
  <c r="A95" i="10"/>
  <c r="H94" i="10"/>
  <c r="G94" i="10"/>
  <c r="F94" i="10"/>
  <c r="E94" i="10"/>
  <c r="D94" i="10"/>
  <c r="C94" i="10"/>
  <c r="J93" i="10"/>
  <c r="I93" i="10"/>
  <c r="F93" i="10"/>
  <c r="C93" i="10"/>
  <c r="O184" i="10" l="1"/>
  <c r="O183" i="10"/>
  <c r="N184" i="10"/>
  <c r="O186" i="10"/>
  <c r="V184" i="10"/>
  <c r="P145" i="10"/>
  <c r="P183" i="10"/>
  <c r="P148" i="10"/>
  <c r="P186" i="10"/>
  <c r="T145" i="10"/>
  <c r="T183" i="10"/>
  <c r="T148" i="10"/>
  <c r="T186" i="10"/>
  <c r="U147" i="10"/>
  <c r="U185" i="10"/>
  <c r="P147" i="10"/>
  <c r="P185" i="10"/>
  <c r="R146" i="10"/>
  <c r="S145" i="10"/>
  <c r="S183" i="10"/>
  <c r="S148" i="10"/>
  <c r="S186" i="10"/>
  <c r="T147" i="10"/>
  <c r="T185" i="10"/>
  <c r="M146" i="10"/>
  <c r="M184" i="10"/>
  <c r="N183" i="10"/>
  <c r="N186" i="10"/>
  <c r="Y114" i="10"/>
  <c r="Y117" i="10"/>
  <c r="O185" i="10"/>
  <c r="Q146" i="10"/>
  <c r="Q184" i="10"/>
  <c r="R145" i="10"/>
  <c r="R183" i="10"/>
  <c r="R148" i="10"/>
  <c r="R186" i="10"/>
  <c r="S147" i="10"/>
  <c r="S185" i="10"/>
  <c r="U146" i="10"/>
  <c r="U184" i="10"/>
  <c r="V183" i="10"/>
  <c r="V186" i="10"/>
  <c r="M147" i="10"/>
  <c r="M185" i="10"/>
  <c r="Q147" i="10"/>
  <c r="Q185" i="10"/>
  <c r="S146" i="10"/>
  <c r="Y115" i="10"/>
  <c r="AF115" i="10" s="1"/>
  <c r="M145" i="10"/>
  <c r="M183" i="10"/>
  <c r="M148" i="10"/>
  <c r="M186" i="10"/>
  <c r="N185" i="10"/>
  <c r="Y116" i="10"/>
  <c r="P146" i="10"/>
  <c r="P184" i="10"/>
  <c r="Q145" i="10"/>
  <c r="Q183" i="10"/>
  <c r="Q148" i="10"/>
  <c r="Q186" i="10"/>
  <c r="R147" i="10"/>
  <c r="R185" i="10"/>
  <c r="T146" i="10"/>
  <c r="U145" i="10"/>
  <c r="U183" i="10"/>
  <c r="U148" i="10"/>
  <c r="U186" i="10"/>
  <c r="V185" i="10"/>
  <c r="O147" i="10"/>
  <c r="Y103" i="10"/>
  <c r="AJ116" i="10" s="1"/>
  <c r="O146" i="10"/>
  <c r="Y102" i="10"/>
  <c r="AJ115" i="10" s="1"/>
  <c r="O145" i="10"/>
  <c r="Y101" i="10"/>
  <c r="O148" i="10"/>
  <c r="Y104" i="10"/>
  <c r="AJ117" i="10" s="1"/>
  <c r="N145" i="10"/>
  <c r="N148" i="10"/>
  <c r="N147" i="10"/>
  <c r="N146" i="10"/>
  <c r="V146" i="10"/>
  <c r="V145" i="10"/>
  <c r="V148" i="10"/>
  <c r="V147" i="10"/>
  <c r="F98" i="10"/>
  <c r="M106" i="10" s="1"/>
  <c r="C103" i="10"/>
  <c r="N119" i="10" s="1"/>
  <c r="G103" i="10"/>
  <c r="N105" i="10" s="1"/>
  <c r="D108" i="10"/>
  <c r="O118" i="10" s="1"/>
  <c r="H108" i="10"/>
  <c r="O107" i="10" s="1"/>
  <c r="E113" i="10"/>
  <c r="P120" i="10" s="1"/>
  <c r="F118" i="10"/>
  <c r="Q106" i="10" s="1"/>
  <c r="C123" i="10"/>
  <c r="R119" i="10" s="1"/>
  <c r="G123" i="10"/>
  <c r="R105" i="10" s="1"/>
  <c r="D128" i="10"/>
  <c r="S118" i="10" s="1"/>
  <c r="H128" i="10"/>
  <c r="S107" i="10" s="1"/>
  <c r="E133" i="10"/>
  <c r="T120" i="10" s="1"/>
  <c r="F138" i="10"/>
  <c r="U106" i="10" s="1"/>
  <c r="C143" i="10"/>
  <c r="V119" i="10" s="1"/>
  <c r="G143" i="10"/>
  <c r="V105" i="10" s="1"/>
  <c r="D98" i="10"/>
  <c r="M118" i="10" s="1"/>
  <c r="H98" i="10"/>
  <c r="M107" i="10" s="1"/>
  <c r="E103" i="10"/>
  <c r="N120" i="10" s="1"/>
  <c r="F108" i="10"/>
  <c r="O106" i="10" s="1"/>
  <c r="C113" i="10"/>
  <c r="P119" i="10" s="1"/>
  <c r="G113" i="10"/>
  <c r="P105" i="10" s="1"/>
  <c r="D118" i="10"/>
  <c r="Q118" i="10" s="1"/>
  <c r="H118" i="10"/>
  <c r="Q107" i="10" s="1"/>
  <c r="E123" i="10"/>
  <c r="R120" i="10" s="1"/>
  <c r="F128" i="10"/>
  <c r="S106" i="10" s="1"/>
  <c r="C133" i="10"/>
  <c r="T119" i="10" s="1"/>
  <c r="G133" i="10"/>
  <c r="T105" i="10" s="1"/>
  <c r="D138" i="10"/>
  <c r="U118" i="10" s="1"/>
  <c r="H138" i="10"/>
  <c r="U107" i="10" s="1"/>
  <c r="E143" i="10"/>
  <c r="V120" i="10" s="1"/>
  <c r="D143" i="10"/>
  <c r="V118" i="10" s="1"/>
  <c r="H143" i="10"/>
  <c r="V107" i="10" s="1"/>
  <c r="C98" i="10"/>
  <c r="M119" i="10" s="1"/>
  <c r="E98" i="10"/>
  <c r="M120" i="10" s="1"/>
  <c r="G98" i="10"/>
  <c r="M105" i="10" s="1"/>
  <c r="D103" i="10"/>
  <c r="N118" i="10" s="1"/>
  <c r="F103" i="10"/>
  <c r="N106" i="10" s="1"/>
  <c r="H103" i="10"/>
  <c r="N107" i="10" s="1"/>
  <c r="N189" i="10" s="1"/>
  <c r="C108" i="10"/>
  <c r="O119" i="10" s="1"/>
  <c r="E108" i="10"/>
  <c r="O120" i="10" s="1"/>
  <c r="G108" i="10"/>
  <c r="O105" i="10" s="1"/>
  <c r="D113" i="10"/>
  <c r="P118" i="10" s="1"/>
  <c r="F113" i="10"/>
  <c r="P106" i="10" s="1"/>
  <c r="H113" i="10"/>
  <c r="P107" i="10" s="1"/>
  <c r="C118" i="10"/>
  <c r="Q119" i="10" s="1"/>
  <c r="E118" i="10"/>
  <c r="Q120" i="10" s="1"/>
  <c r="G118" i="10"/>
  <c r="Q105" i="10" s="1"/>
  <c r="Q190" i="10" s="1"/>
  <c r="D123" i="10"/>
  <c r="R118" i="10" s="1"/>
  <c r="F123" i="10"/>
  <c r="R106" i="10" s="1"/>
  <c r="H123" i="10"/>
  <c r="R107" i="10" s="1"/>
  <c r="D133" i="10"/>
  <c r="T118" i="10" s="1"/>
  <c r="F133" i="10"/>
  <c r="T106" i="10" s="1"/>
  <c r="T191" i="10" s="1"/>
  <c r="H133" i="10"/>
  <c r="T107" i="10" s="1"/>
  <c r="C128" i="10"/>
  <c r="S119" i="10" s="1"/>
  <c r="E128" i="10"/>
  <c r="S120" i="10" s="1"/>
  <c r="G128" i="10"/>
  <c r="S105" i="10" s="1"/>
  <c r="S190" i="10" s="1"/>
  <c r="C138" i="10"/>
  <c r="U119" i="10" s="1"/>
  <c r="E138" i="10"/>
  <c r="U120" i="10" s="1"/>
  <c r="G138" i="10"/>
  <c r="U105" i="10" s="1"/>
  <c r="F143" i="10"/>
  <c r="V106" i="10" s="1"/>
  <c r="V191" i="10" s="1"/>
  <c r="U190" i="10" l="1"/>
  <c r="P191" i="10"/>
  <c r="M190" i="10"/>
  <c r="T190" i="10"/>
  <c r="O191" i="10"/>
  <c r="V190" i="10"/>
  <c r="N192" i="10"/>
  <c r="V192" i="10"/>
  <c r="R191" i="10"/>
  <c r="Q191" i="10"/>
  <c r="O192" i="10"/>
  <c r="N191" i="10"/>
  <c r="S191" i="10"/>
  <c r="P190" i="10"/>
  <c r="U191" i="10"/>
  <c r="R192" i="10"/>
  <c r="M191" i="10"/>
  <c r="Q192" i="10"/>
  <c r="P192" i="10"/>
  <c r="S192" i="10"/>
  <c r="U192" i="10"/>
  <c r="N190" i="10"/>
  <c r="T192" i="10"/>
  <c r="R190" i="10"/>
  <c r="O190" i="10"/>
  <c r="M192" i="10"/>
  <c r="O187" i="10"/>
  <c r="O189" i="10"/>
  <c r="R151" i="10"/>
  <c r="R189" i="10"/>
  <c r="T151" i="10"/>
  <c r="T189" i="10"/>
  <c r="R150" i="10"/>
  <c r="R188" i="10"/>
  <c r="N188" i="10"/>
  <c r="U151" i="10"/>
  <c r="U189" i="10"/>
  <c r="S150" i="10"/>
  <c r="S188" i="10"/>
  <c r="P149" i="10"/>
  <c r="P187" i="10"/>
  <c r="M151" i="10"/>
  <c r="M189" i="10"/>
  <c r="U150" i="10"/>
  <c r="U188" i="10"/>
  <c r="R149" i="10"/>
  <c r="R187" i="10"/>
  <c r="M150" i="10"/>
  <c r="M188" i="10"/>
  <c r="Y145" i="10"/>
  <c r="Y147" i="10"/>
  <c r="V188" i="10"/>
  <c r="S187" i="10"/>
  <c r="T150" i="10"/>
  <c r="T188" i="10"/>
  <c r="P151" i="10"/>
  <c r="P189" i="10"/>
  <c r="Y120" i="10"/>
  <c r="V189" i="10"/>
  <c r="Y118" i="10"/>
  <c r="U149" i="10"/>
  <c r="U187" i="10"/>
  <c r="Q187" i="10"/>
  <c r="P150" i="10"/>
  <c r="P188" i="10"/>
  <c r="Y119" i="10"/>
  <c r="M149" i="10"/>
  <c r="M187" i="10"/>
  <c r="T187" i="10"/>
  <c r="Q151" i="10"/>
  <c r="Q189" i="10"/>
  <c r="O188" i="10"/>
  <c r="V187" i="10"/>
  <c r="S151" i="10"/>
  <c r="S189" i="10"/>
  <c r="Q150" i="10"/>
  <c r="Q188" i="10"/>
  <c r="N187" i="10"/>
  <c r="Y148" i="10"/>
  <c r="Y146" i="10"/>
  <c r="O150" i="10"/>
  <c r="Y106" i="10"/>
  <c r="AJ119" i="10" s="1"/>
  <c r="AJ123" i="10" s="1"/>
  <c r="O149" i="10"/>
  <c r="Y105" i="10"/>
  <c r="AJ118" i="10" s="1"/>
  <c r="O151" i="10"/>
  <c r="Y107" i="10"/>
  <c r="AJ120" i="10" s="1"/>
  <c r="AJ124" i="10" s="1"/>
  <c r="AF117" i="10"/>
  <c r="N149" i="10"/>
  <c r="AF114" i="10"/>
  <c r="AB114" i="10"/>
  <c r="AH114" i="10" s="1"/>
  <c r="P140" i="10"/>
  <c r="P133" i="10" s="1"/>
  <c r="N151" i="10"/>
  <c r="AJ114" i="10"/>
  <c r="Z104" i="10"/>
  <c r="Z102" i="10" s="1"/>
  <c r="N150" i="10"/>
  <c r="AB116" i="10"/>
  <c r="AH116" i="10" s="1"/>
  <c r="AF116" i="10"/>
  <c r="O140" i="10"/>
  <c r="O132" i="10" s="1"/>
  <c r="V151" i="10"/>
  <c r="S30" i="25"/>
  <c r="U20" i="25"/>
  <c r="G7" i="25" s="1"/>
  <c r="E7" i="25"/>
  <c r="F7" i="25" s="1"/>
  <c r="V150" i="10"/>
  <c r="S29" i="25"/>
  <c r="Q30" i="25"/>
  <c r="C10" i="25"/>
  <c r="D10" i="25" s="1"/>
  <c r="U23" i="25"/>
  <c r="G10" i="25" s="1"/>
  <c r="E10" i="25"/>
  <c r="F10" i="25" s="1"/>
  <c r="S140" i="10"/>
  <c r="S137" i="10" s="1"/>
  <c r="Q140" i="10"/>
  <c r="Q138" i="10" s="1"/>
  <c r="V149" i="10"/>
  <c r="S28" i="25"/>
  <c r="S27" i="25" s="1"/>
  <c r="U22" i="25"/>
  <c r="G9" i="25" s="1"/>
  <c r="E9" i="25"/>
  <c r="F9" i="25" s="1"/>
  <c r="R140" i="10"/>
  <c r="R136" i="10" s="1"/>
  <c r="U21" i="25"/>
  <c r="G8" i="25" s="1"/>
  <c r="C8" i="25"/>
  <c r="D8" i="25" s="1"/>
  <c r="Q29" i="25"/>
  <c r="V140" i="10"/>
  <c r="V138" i="10" s="1"/>
  <c r="U140" i="10"/>
  <c r="U137" i="10" s="1"/>
  <c r="Q28" i="25"/>
  <c r="C7" i="25"/>
  <c r="D7" i="25" s="1"/>
  <c r="N140" i="10"/>
  <c r="E8" i="25"/>
  <c r="F8" i="25" s="1"/>
  <c r="T140" i="10"/>
  <c r="T136" i="10" s="1"/>
  <c r="C9" i="25"/>
  <c r="D9" i="25" s="1"/>
  <c r="M140" i="10"/>
  <c r="M138" i="10" s="1"/>
  <c r="T109" i="10"/>
  <c r="T149" i="10"/>
  <c r="S109" i="10"/>
  <c r="S149" i="10"/>
  <c r="Q109" i="10"/>
  <c r="Q149" i="10"/>
  <c r="R109" i="10"/>
  <c r="Q121" i="10"/>
  <c r="O109" i="10"/>
  <c r="N109" i="10"/>
  <c r="V109" i="10"/>
  <c r="R121" i="10"/>
  <c r="N121" i="10"/>
  <c r="U109" i="10"/>
  <c r="T121" i="10"/>
  <c r="M109" i="10"/>
  <c r="P121" i="10"/>
  <c r="V121" i="10"/>
  <c r="R23" i="25" s="1"/>
  <c r="S121" i="10"/>
  <c r="M121" i="10"/>
  <c r="U121" i="10"/>
  <c r="O121" i="10"/>
  <c r="P109" i="10"/>
  <c r="V193" i="10" l="1"/>
  <c r="M208" i="10" s="1"/>
  <c r="Q27" i="25"/>
  <c r="U27" i="25" s="1"/>
  <c r="M152" i="10"/>
  <c r="P152" i="10"/>
  <c r="S152" i="10"/>
  <c r="R176" i="10"/>
  <c r="R172" i="10" s="1"/>
  <c r="U152" i="10"/>
  <c r="P193" i="10"/>
  <c r="M202" i="10" s="1"/>
  <c r="R193" i="10"/>
  <c r="M204" i="10" s="1"/>
  <c r="U193" i="10"/>
  <c r="M207" i="10" s="1"/>
  <c r="N193" i="10"/>
  <c r="M200" i="10" s="1"/>
  <c r="R152" i="10"/>
  <c r="M193" i="10"/>
  <c r="M199" i="10" s="1"/>
  <c r="M176" i="10"/>
  <c r="M173" i="10" s="1"/>
  <c r="P176" i="10"/>
  <c r="S193" i="10"/>
  <c r="M205" i="10" s="1"/>
  <c r="O193" i="10"/>
  <c r="M201" i="10" s="1"/>
  <c r="Q193" i="10"/>
  <c r="M203" i="10" s="1"/>
  <c r="T193" i="10"/>
  <c r="M206" i="10" s="1"/>
  <c r="U176" i="10"/>
  <c r="U172" i="10" s="1"/>
  <c r="Y149" i="10"/>
  <c r="Y121" i="10"/>
  <c r="Q152" i="10"/>
  <c r="T152" i="10"/>
  <c r="O176" i="10"/>
  <c r="O173" i="10" s="1"/>
  <c r="Y151" i="10"/>
  <c r="O152" i="10"/>
  <c r="Y150" i="10"/>
  <c r="Y154" i="10" s="1"/>
  <c r="Y109" i="10"/>
  <c r="AB147" i="10"/>
  <c r="AL116" i="10" s="1"/>
  <c r="AB145" i="10"/>
  <c r="AL114" i="10" s="1"/>
  <c r="P135" i="10"/>
  <c r="P137" i="10"/>
  <c r="P134" i="10"/>
  <c r="P136" i="10"/>
  <c r="N176" i="10"/>
  <c r="N171" i="10" s="1"/>
  <c r="AF119" i="10"/>
  <c r="N152" i="10"/>
  <c r="P132" i="10"/>
  <c r="Y123" i="10"/>
  <c r="AJ121" i="10"/>
  <c r="AJ122" i="10"/>
  <c r="O133" i="10"/>
  <c r="O136" i="10"/>
  <c r="AF120" i="10"/>
  <c r="P138" i="10"/>
  <c r="O134" i="10"/>
  <c r="R30" i="25"/>
  <c r="AF118" i="10"/>
  <c r="R29" i="25"/>
  <c r="T28" i="25"/>
  <c r="S31" i="25"/>
  <c r="U28" i="25"/>
  <c r="G13" i="25" s="1"/>
  <c r="T29" i="25"/>
  <c r="U29" i="25"/>
  <c r="Q31" i="25"/>
  <c r="R31" i="25" s="1"/>
  <c r="R28" i="25"/>
  <c r="T30" i="25"/>
  <c r="U30" i="25"/>
  <c r="M136" i="10"/>
  <c r="U138" i="10"/>
  <c r="O137" i="10"/>
  <c r="O135" i="10"/>
  <c r="O138" i="10"/>
  <c r="Y124" i="10"/>
  <c r="Y122" i="10"/>
  <c r="R21" i="25"/>
  <c r="V152" i="10"/>
  <c r="M137" i="10"/>
  <c r="U19" i="25"/>
  <c r="E6" i="25"/>
  <c r="F6" i="25" s="1"/>
  <c r="N134" i="10"/>
  <c r="N133" i="10"/>
  <c r="N135" i="10"/>
  <c r="N132" i="10"/>
  <c r="R24" i="25"/>
  <c r="C11" i="25"/>
  <c r="D11" i="25" s="1"/>
  <c r="U24" i="25"/>
  <c r="G11" i="25" s="1"/>
  <c r="T24" i="25"/>
  <c r="E11" i="25"/>
  <c r="F11" i="25" s="1"/>
  <c r="T23" i="25"/>
  <c r="C6" i="25"/>
  <c r="D6" i="25" s="1"/>
  <c r="U132" i="10"/>
  <c r="U134" i="10"/>
  <c r="U133" i="10"/>
  <c r="U135" i="10"/>
  <c r="V135" i="10"/>
  <c r="V134" i="10"/>
  <c r="V132" i="10"/>
  <c r="V133" i="10"/>
  <c r="T22" i="25"/>
  <c r="S138" i="10"/>
  <c r="R26" i="25"/>
  <c r="C15" i="25"/>
  <c r="S136" i="10"/>
  <c r="R22" i="25"/>
  <c r="T21" i="25"/>
  <c r="U136" i="10"/>
  <c r="R133" i="10"/>
  <c r="R135" i="10"/>
  <c r="R134" i="10"/>
  <c r="R132" i="10"/>
  <c r="Q132" i="10"/>
  <c r="Q134" i="10"/>
  <c r="Q133" i="10"/>
  <c r="Q135" i="10"/>
  <c r="R137" i="10"/>
  <c r="Q136" i="10"/>
  <c r="T25" i="25"/>
  <c r="E12" i="25"/>
  <c r="F12" i="25" s="1"/>
  <c r="R138" i="10"/>
  <c r="M133" i="10"/>
  <c r="M132" i="10"/>
  <c r="M135" i="10"/>
  <c r="M134" i="10"/>
  <c r="T135" i="10"/>
  <c r="T134" i="10"/>
  <c r="T133" i="10"/>
  <c r="T132" i="10"/>
  <c r="R20" i="25"/>
  <c r="V136" i="10"/>
  <c r="Q137" i="10"/>
  <c r="V137" i="10"/>
  <c r="T138" i="10"/>
  <c r="T137" i="10"/>
  <c r="N136" i="10"/>
  <c r="T20" i="25"/>
  <c r="U26" i="25"/>
  <c r="G15" i="25" s="1"/>
  <c r="T26" i="25"/>
  <c r="E15" i="25"/>
  <c r="U25" i="25"/>
  <c r="G12" i="25" s="1"/>
  <c r="R25" i="25"/>
  <c r="C12" i="25"/>
  <c r="D12" i="25" s="1"/>
  <c r="S135" i="10"/>
  <c r="S133" i="10"/>
  <c r="S132" i="10"/>
  <c r="S134" i="10"/>
  <c r="N137" i="10"/>
  <c r="V176" i="10"/>
  <c r="V172" i="10" s="1"/>
  <c r="N138" i="10"/>
  <c r="S176" i="10"/>
  <c r="S172" i="10" s="1"/>
  <c r="Q176" i="10"/>
  <c r="Q171" i="10" s="1"/>
  <c r="T176" i="10"/>
  <c r="Y30" i="25" l="1"/>
  <c r="W30" i="25" s="1"/>
  <c r="G14" i="25"/>
  <c r="Y29" i="25"/>
  <c r="W29" i="25" s="1"/>
  <c r="R171" i="10"/>
  <c r="O172" i="10"/>
  <c r="U173" i="10"/>
  <c r="T167" i="10"/>
  <c r="T168" i="10"/>
  <c r="T170" i="10"/>
  <c r="T169" i="10"/>
  <c r="P170" i="10"/>
  <c r="P167" i="10"/>
  <c r="P168" i="10"/>
  <c r="P169" i="10"/>
  <c r="V173" i="10"/>
  <c r="N167" i="10"/>
  <c r="N170" i="10"/>
  <c r="N168" i="10"/>
  <c r="N169" i="10"/>
  <c r="U169" i="10"/>
  <c r="U167" i="10"/>
  <c r="U168" i="10"/>
  <c r="U170" i="10"/>
  <c r="P171" i="10"/>
  <c r="N172" i="10"/>
  <c r="S171" i="10"/>
  <c r="Q172" i="10"/>
  <c r="U171" i="10"/>
  <c r="T173" i="10"/>
  <c r="Q169" i="10"/>
  <c r="Q168" i="10"/>
  <c r="Q170" i="10"/>
  <c r="Q167" i="10"/>
  <c r="M168" i="10"/>
  <c r="M170" i="10"/>
  <c r="M169" i="10"/>
  <c r="M167" i="10"/>
  <c r="R168" i="10"/>
  <c r="R170" i="10"/>
  <c r="R167" i="10"/>
  <c r="R169" i="10"/>
  <c r="Q173" i="10"/>
  <c r="M171" i="10"/>
  <c r="M172" i="10"/>
  <c r="R173" i="10"/>
  <c r="P173" i="10"/>
  <c r="V168" i="10"/>
  <c r="V167" i="10"/>
  <c r="V169" i="10"/>
  <c r="V170" i="10"/>
  <c r="T172" i="10"/>
  <c r="S167" i="10"/>
  <c r="S170" i="10"/>
  <c r="S168" i="10"/>
  <c r="S169" i="10"/>
  <c r="O168" i="10"/>
  <c r="O169" i="10"/>
  <c r="O170" i="10"/>
  <c r="O167" i="10"/>
  <c r="S173" i="10"/>
  <c r="O171" i="10"/>
  <c r="V171" i="10"/>
  <c r="P172" i="10"/>
  <c r="T171" i="10"/>
  <c r="N173" i="10"/>
  <c r="Y152" i="10"/>
  <c r="D15" i="25"/>
  <c r="D19" i="25" s="1"/>
  <c r="C19" i="25"/>
  <c r="C20" i="25" s="1"/>
  <c r="Y28" i="25"/>
  <c r="W28" i="25" s="1"/>
  <c r="F15" i="25"/>
  <c r="F19" i="25" s="1"/>
  <c r="E19" i="25"/>
  <c r="E20" i="25" s="1"/>
  <c r="G6" i="25"/>
  <c r="Y19" i="25"/>
  <c r="W19" i="25" s="1"/>
  <c r="AA154" i="10"/>
  <c r="AM123" i="10" s="1"/>
  <c r="Z123" i="10"/>
  <c r="AF121" i="10"/>
  <c r="AA117" i="10"/>
  <c r="AI117" i="10" s="1"/>
  <c r="AA115" i="10"/>
  <c r="AI115" i="10" s="1"/>
  <c r="AA114" i="10"/>
  <c r="AI114" i="10" s="1"/>
  <c r="AA116" i="10"/>
  <c r="AI116" i="10" s="1"/>
  <c r="AA120" i="10"/>
  <c r="AI120" i="10" s="1"/>
  <c r="AA119" i="10"/>
  <c r="AI119" i="10" s="1"/>
  <c r="Z118" i="10"/>
  <c r="AG118" i="10" s="1"/>
  <c r="AA122" i="10"/>
  <c r="AI122" i="10" s="1"/>
  <c r="AF122" i="10"/>
  <c r="Z114" i="10"/>
  <c r="AG114" i="10" s="1"/>
  <c r="AA118" i="10"/>
  <c r="AI118" i="10" s="1"/>
  <c r="AF123" i="10"/>
  <c r="AA123" i="10"/>
  <c r="AI123" i="10" s="1"/>
  <c r="AA124" i="10"/>
  <c r="AI124" i="10" s="1"/>
  <c r="AF124" i="10"/>
  <c r="T31" i="25"/>
  <c r="U31" i="25"/>
  <c r="Y31" i="25" s="1"/>
  <c r="Z124" i="10"/>
  <c r="Z122" i="10"/>
  <c r="Z116" i="10"/>
  <c r="AG116" i="10" s="1"/>
  <c r="Y155" i="10"/>
  <c r="Y153" i="10"/>
  <c r="X29" i="25" l="1"/>
  <c r="X31" i="25"/>
  <c r="W31" i="25"/>
  <c r="X30" i="25"/>
  <c r="X19" i="25"/>
  <c r="X28" i="25"/>
  <c r="AA145" i="10"/>
  <c r="AM114" i="10" s="1"/>
  <c r="AA150" i="10"/>
  <c r="AM119" i="10" s="1"/>
  <c r="AA146" i="10"/>
  <c r="AM115" i="10" s="1"/>
  <c r="AA147" i="10"/>
  <c r="AM116" i="10" s="1"/>
  <c r="AA148" i="10"/>
  <c r="AM117" i="10" s="1"/>
  <c r="AA151" i="10"/>
  <c r="AM120" i="10" s="1"/>
  <c r="Z154" i="10"/>
  <c r="AA149" i="10"/>
  <c r="AM118" i="10" s="1"/>
  <c r="AA153" i="10"/>
  <c r="AM122" i="10" s="1"/>
  <c r="Z153" i="10"/>
  <c r="Z145" i="10"/>
  <c r="AK114" i="10" s="1"/>
  <c r="Z147" i="10"/>
  <c r="AK116" i="10" s="1"/>
  <c r="AA155" i="10"/>
  <c r="AM124" i="10" s="1"/>
  <c r="Z155" i="10"/>
  <c r="Z149" i="10"/>
  <c r="AK118" i="10" s="1"/>
  <c r="I1042" i="2"/>
  <c r="I851" i="2"/>
  <c r="I648" i="2"/>
  <c r="I428" i="2"/>
  <c r="I210" i="2"/>
  <c r="I1597" i="2"/>
  <c r="I1417" i="2"/>
  <c r="I1225" i="2"/>
  <c r="I1041" i="2"/>
  <c r="I1224" i="2"/>
  <c r="I1414" i="2"/>
  <c r="I1222" i="2"/>
  <c r="I1038" i="2"/>
  <c r="I1591" i="2"/>
  <c r="I1410" i="2"/>
  <c r="I1219" i="2"/>
  <c r="I1031" i="2"/>
  <c r="I1911" i="2"/>
  <c r="I1746" i="2"/>
  <c r="I1575" i="2"/>
  <c r="I1395" i="2"/>
  <c r="I1206" i="2"/>
  <c r="I1025" i="2"/>
  <c r="I838" i="2"/>
  <c r="I638" i="2"/>
  <c r="I418" i="2"/>
  <c r="I201" i="2"/>
  <c r="I16" i="2"/>
  <c r="I25" i="2"/>
  <c r="I1040" i="2"/>
  <c r="I1377" i="2"/>
  <c r="I1385" i="2"/>
  <c r="I1735" i="2" l="1"/>
  <c r="H1735" i="2" s="1"/>
  <c r="I1564" i="2"/>
  <c r="H1564" i="2" s="1"/>
  <c r="I1383" i="2"/>
  <c r="H1383" i="2" s="1"/>
  <c r="I1734" i="2"/>
  <c r="H1734" i="2" s="1"/>
  <c r="I1563" i="2"/>
  <c r="H1563" i="2" s="1"/>
  <c r="I1382" i="2"/>
  <c r="H1382" i="2" s="1"/>
  <c r="I1733" i="2"/>
  <c r="H1733" i="2" s="1"/>
  <c r="I1562" i="2"/>
  <c r="H1562" i="2" s="1"/>
  <c r="I1381" i="2"/>
  <c r="H1381" i="2" s="1"/>
  <c r="I1732" i="2"/>
  <c r="H1732" i="2" s="1"/>
  <c r="I1561" i="2"/>
  <c r="H1561" i="2" s="1"/>
  <c r="I1380" i="2"/>
  <c r="H1380" i="2" s="1"/>
  <c r="I1731" i="2"/>
  <c r="H1731" i="2" s="1"/>
  <c r="I1560" i="2"/>
  <c r="H1560" i="2" s="1"/>
  <c r="I1379" i="2"/>
  <c r="H1379" i="2" s="1"/>
  <c r="I1730" i="2"/>
  <c r="H1730" i="2" s="1"/>
  <c r="I1559" i="2"/>
  <c r="H1559" i="2" s="1"/>
  <c r="I1378" i="2"/>
  <c r="H1378" i="2" s="1"/>
  <c r="H1729" i="2"/>
  <c r="H1558" i="2"/>
  <c r="H1376" i="2"/>
  <c r="H1557" i="2"/>
  <c r="H1375" i="2"/>
  <c r="I1742" i="2"/>
  <c r="H1742" i="2" s="1"/>
  <c r="I1571" i="2"/>
  <c r="H1571" i="2" s="1"/>
  <c r="I1391" i="2"/>
  <c r="H1391" i="2" s="1"/>
  <c r="I1739" i="2"/>
  <c r="H1739" i="2" s="1"/>
  <c r="I1568" i="2"/>
  <c r="H1568" i="2" s="1"/>
  <c r="I1388" i="2"/>
  <c r="H1388" i="2" s="1"/>
  <c r="I1738" i="2"/>
  <c r="H1738" i="2" s="1"/>
  <c r="I1567" i="2"/>
  <c r="H1567" i="2" s="1"/>
  <c r="I1387" i="2"/>
  <c r="H1387" i="2" s="1"/>
  <c r="I1737" i="2"/>
  <c r="H1737" i="2" s="1"/>
  <c r="I1566" i="2"/>
  <c r="H1566" i="2" s="1"/>
  <c r="I1386" i="2"/>
  <c r="H1386" i="2" s="1"/>
  <c r="I1736" i="2"/>
  <c r="H1736" i="2" s="1"/>
  <c r="I1565" i="2"/>
  <c r="H1565" i="2" s="1"/>
  <c r="I1196" i="2"/>
  <c r="I1017" i="2"/>
  <c r="I829" i="2"/>
  <c r="I1195" i="2"/>
  <c r="I1016" i="2"/>
  <c r="I828" i="2"/>
  <c r="I1194" i="2"/>
  <c r="I1015" i="2"/>
  <c r="I827" i="2"/>
  <c r="I1193" i="2"/>
  <c r="I1014" i="2"/>
  <c r="I1192" i="2"/>
  <c r="I1013" i="2"/>
  <c r="I826" i="2"/>
  <c r="I1202" i="2"/>
  <c r="I1023" i="2"/>
  <c r="I836" i="2"/>
  <c r="I1200" i="2"/>
  <c r="I1021" i="2"/>
  <c r="I834" i="2"/>
  <c r="I1199" i="2"/>
  <c r="I1020" i="2"/>
  <c r="I833" i="2"/>
  <c r="I1198" i="2"/>
  <c r="I1019" i="2"/>
  <c r="I832" i="2"/>
  <c r="I831" i="2"/>
  <c r="I1384" i="2"/>
  <c r="I1197" i="2"/>
  <c r="I1018" i="2"/>
  <c r="I830" i="2"/>
  <c r="H1897" i="2" l="1"/>
  <c r="H1896" i="2"/>
  <c r="H1895" i="2"/>
  <c r="H1196" i="2" l="1"/>
  <c r="H829" i="2"/>
  <c r="H1195" i="2"/>
  <c r="H1016" i="2"/>
  <c r="H828" i="2"/>
  <c r="H1194" i="2"/>
  <c r="H1015" i="2"/>
  <c r="H1193" i="2"/>
  <c r="H1014" i="2"/>
  <c r="H1192" i="2"/>
  <c r="H1013" i="2"/>
  <c r="H1894" i="2"/>
  <c r="H1191" i="2"/>
  <c r="H1012" i="2"/>
  <c r="H1893" i="2"/>
  <c r="H1190" i="2"/>
  <c r="H1011" i="2"/>
  <c r="H1907" i="2"/>
  <c r="H1202" i="2"/>
  <c r="H1023" i="2"/>
  <c r="H1906" i="2"/>
  <c r="H1905" i="2"/>
  <c r="H1902" i="2"/>
  <c r="H1901" i="2"/>
  <c r="H1200" i="2"/>
  <c r="H1021" i="2"/>
  <c r="H1900" i="2"/>
  <c r="H1199" i="2"/>
  <c r="H1020" i="2"/>
  <c r="H833" i="2"/>
  <c r="H1899" i="2"/>
  <c r="H1198" i="2"/>
  <c r="H1019" i="2"/>
  <c r="H832" i="2"/>
  <c r="H1384" i="2"/>
  <c r="H1197" i="2"/>
  <c r="H1018" i="2"/>
  <c r="H830" i="2"/>
  <c r="H831" i="2"/>
  <c r="H834" i="2"/>
  <c r="H836" i="2"/>
  <c r="H1017" i="2"/>
  <c r="H827" i="2"/>
  <c r="H826" i="2" l="1"/>
  <c r="H636" i="2"/>
  <c r="H634" i="2"/>
  <c r="H633" i="2"/>
  <c r="H632" i="2"/>
  <c r="H631" i="2"/>
  <c r="H629" i="2"/>
  <c r="H628" i="2"/>
  <c r="H627" i="2"/>
  <c r="H630" i="2"/>
  <c r="H825" i="2"/>
  <c r="H824" i="2"/>
  <c r="H416" i="2"/>
  <c r="H414" i="2"/>
  <c r="H413" i="2"/>
  <c r="H412" i="2"/>
  <c r="H411" i="2"/>
  <c r="H409" i="2"/>
  <c r="H408" i="2"/>
  <c r="H410" i="2"/>
  <c r="H626" i="2"/>
  <c r="H625" i="2"/>
  <c r="H199" i="2"/>
  <c r="H197" i="2"/>
  <c r="H196" i="2"/>
  <c r="H195" i="2"/>
  <c r="H193" i="2"/>
  <c r="H194" i="2"/>
  <c r="H407" i="2"/>
  <c r="H406" i="2"/>
  <c r="H192" i="2"/>
  <c r="H191" i="2"/>
  <c r="H15" i="2"/>
  <c r="H13" i="2"/>
  <c r="H12" i="2"/>
  <c r="H11" i="2"/>
  <c r="H9" i="2"/>
  <c r="H10" i="2"/>
  <c r="H8" i="2"/>
  <c r="H7" i="2"/>
  <c r="I1037" i="2" l="1"/>
  <c r="I849" i="2"/>
  <c r="I647" i="2"/>
  <c r="I427" i="2"/>
  <c r="I209" i="2"/>
  <c r="I24" i="2"/>
  <c r="I1946" i="2"/>
  <c r="I1936" i="2"/>
  <c r="I1935" i="2"/>
  <c r="I1892" i="2"/>
  <c r="I1945" i="2"/>
  <c r="I1944" i="2"/>
  <c r="I1933" i="2"/>
  <c r="I1891" i="2"/>
  <c r="I1890" i="2"/>
  <c r="I1932" i="2"/>
  <c r="I1931" i="2"/>
  <c r="N32" i="2"/>
  <c r="I18" i="2" l="1"/>
  <c r="I420" i="2"/>
  <c r="I840" i="2"/>
  <c r="I1028" i="2"/>
  <c r="I41" i="2" l="1"/>
  <c r="I125" i="2"/>
  <c r="I114" i="2"/>
  <c r="I128" i="2"/>
  <c r="I107" i="2"/>
  <c r="I131" i="2"/>
  <c r="I40" i="2"/>
  <c r="I124" i="2"/>
  <c r="I126" i="2"/>
  <c r="I127" i="2"/>
  <c r="I129" i="2"/>
  <c r="I130" i="2"/>
  <c r="I132" i="2"/>
  <c r="I1399" i="2"/>
  <c r="I1394" i="2"/>
  <c r="I1184" i="2"/>
  <c r="I1183" i="2"/>
  <c r="I1182" i="2"/>
  <c r="I1119" i="2"/>
  <c r="I1181" i="2"/>
  <c r="I1110" i="2"/>
  <c r="I1109" i="2"/>
  <c r="I1108" i="2"/>
  <c r="I1107" i="2"/>
  <c r="I1106" i="2"/>
  <c r="I1105" i="2"/>
  <c r="I1104" i="2"/>
  <c r="I1103" i="2"/>
  <c r="I1102" i="2"/>
  <c r="I1101" i="2"/>
  <c r="I1100" i="2"/>
  <c r="I1099" i="2"/>
  <c r="I1098" i="2"/>
  <c r="I1097" i="2"/>
  <c r="I1096" i="2"/>
  <c r="I1095" i="2"/>
  <c r="I1094" i="2"/>
  <c r="I1093" i="2"/>
  <c r="I1092" i="2"/>
  <c r="I1118" i="2"/>
  <c r="I1091" i="2"/>
  <c r="I1161" i="2"/>
  <c r="I1160" i="2"/>
  <c r="I1087" i="2"/>
  <c r="I1086" i="2"/>
  <c r="I1157" i="2"/>
  <c r="I1085" i="2"/>
  <c r="I1084" i="2"/>
  <c r="I1083" i="2"/>
  <c r="I1082" i="2"/>
  <c r="I1081" i="2"/>
  <c r="I1080" i="2"/>
  <c r="I1079" i="2"/>
  <c r="I1078" i="2"/>
  <c r="I1077" i="2"/>
  <c r="I1076" i="2"/>
  <c r="I1075" i="2"/>
  <c r="I1074" i="2"/>
  <c r="I1073" i="2"/>
  <c r="I1072" i="2"/>
  <c r="I1071" i="2"/>
  <c r="I1141" i="2"/>
  <c r="I1140" i="2"/>
  <c r="I1139" i="2"/>
  <c r="I1138" i="2"/>
  <c r="I1137" i="2"/>
  <c r="I1136" i="2"/>
  <c r="I1135" i="2"/>
  <c r="I1115" i="2"/>
  <c r="I1114" i="2"/>
  <c r="I1113" i="2"/>
  <c r="I1124" i="2"/>
  <c r="I1112" i="2"/>
  <c r="I1111" i="2"/>
  <c r="I1180" i="2"/>
  <c r="I1179" i="2"/>
  <c r="I1178" i="2"/>
  <c r="I1177" i="2"/>
  <c r="I1176" i="2"/>
  <c r="I1175" i="2"/>
  <c r="I1174" i="2"/>
  <c r="I1173" i="2"/>
  <c r="I1172" i="2"/>
  <c r="I1171" i="2"/>
  <c r="I1170" i="2"/>
  <c r="I1169" i="2"/>
  <c r="I1168" i="2"/>
  <c r="I1167" i="2"/>
  <c r="I1166" i="2"/>
  <c r="I1165" i="2"/>
  <c r="I1164" i="2"/>
  <c r="I1163" i="2"/>
  <c r="I1123" i="2"/>
  <c r="I1162" i="2"/>
  <c r="I1090" i="2"/>
  <c r="I1089" i="2"/>
  <c r="I1088" i="2"/>
  <c r="I1159" i="2"/>
  <c r="I1158" i="2"/>
  <c r="I1156" i="2"/>
  <c r="I1155" i="2"/>
  <c r="I1154" i="2"/>
  <c r="I1153" i="2"/>
  <c r="I1152" i="2"/>
  <c r="I1151" i="2"/>
  <c r="I1150" i="2"/>
  <c r="I1149" i="2"/>
  <c r="I1148" i="2"/>
  <c r="I1147" i="2"/>
  <c r="I1146" i="2"/>
  <c r="I1145" i="2"/>
  <c r="I1144" i="2"/>
  <c r="I1143" i="2"/>
  <c r="I1142" i="2"/>
  <c r="I1122" i="2"/>
  <c r="I1070" i="2"/>
  <c r="I1069" i="2"/>
  <c r="I1068" i="2"/>
  <c r="I1067" i="2"/>
  <c r="I1066" i="2"/>
  <c r="I1065" i="2"/>
  <c r="I1064" i="2"/>
  <c r="I1063" i="2"/>
  <c r="I1062" i="2"/>
  <c r="I1131" i="2"/>
  <c r="I1117" i="2"/>
  <c r="I1130" i="2"/>
  <c r="I1129" i="2"/>
  <c r="I1128" i="2"/>
  <c r="I1127" i="2"/>
  <c r="I1120" i="2"/>
  <c r="I1126" i="2"/>
  <c r="I1125" i="2"/>
  <c r="I1134" i="2"/>
  <c r="I1132" i="2"/>
  <c r="I1061" i="2"/>
  <c r="I1059" i="2"/>
  <c r="I1057" i="2"/>
  <c r="I1056" i="2"/>
  <c r="I1133" i="2"/>
  <c r="I1121" i="2"/>
  <c r="I1060" i="2"/>
  <c r="I1058" i="2"/>
  <c r="I1116" i="2"/>
  <c r="I1055" i="2"/>
  <c r="I1551" i="2"/>
  <c r="I1488" i="2"/>
  <c r="I1487" i="2"/>
  <c r="I1486" i="2"/>
  <c r="I1547" i="2"/>
  <c r="I1546" i="2"/>
  <c r="I1545" i="2"/>
  <c r="I1544" i="2"/>
  <c r="I1543" i="2"/>
  <c r="I1542" i="2"/>
  <c r="I1541" i="2"/>
  <c r="I1540" i="2"/>
  <c r="I1477" i="2"/>
  <c r="I1476" i="2"/>
  <c r="I1475" i="2"/>
  <c r="I1474" i="2"/>
  <c r="I1473" i="2"/>
  <c r="I1472" i="2"/>
  <c r="I1471" i="2"/>
  <c r="I1470" i="2"/>
  <c r="I1469" i="2"/>
  <c r="I1468" i="2"/>
  <c r="I1490" i="2"/>
  <c r="I1467" i="2"/>
  <c r="I1466" i="2"/>
  <c r="I1550" i="2"/>
  <c r="I1549" i="2"/>
  <c r="I1548" i="2"/>
  <c r="I1485" i="2"/>
  <c r="I1484" i="2"/>
  <c r="I1483" i="2"/>
  <c r="I1482" i="2"/>
  <c r="I1481" i="2"/>
  <c r="I1480" i="2"/>
  <c r="I1479" i="2"/>
  <c r="I1478" i="2"/>
  <c r="I1539" i="2"/>
  <c r="I1538" i="2"/>
  <c r="I1537" i="2"/>
  <c r="I1536" i="2"/>
  <c r="I1535" i="2"/>
  <c r="I1534" i="2"/>
  <c r="I1533" i="2"/>
  <c r="I1532" i="2"/>
  <c r="I1531" i="2"/>
  <c r="I1530" i="2"/>
  <c r="I1493" i="2"/>
  <c r="I1529" i="2"/>
  <c r="I1528" i="2"/>
  <c r="I1527" i="2"/>
  <c r="I1526" i="2"/>
  <c r="I1525" i="2"/>
  <c r="I1524" i="2"/>
  <c r="I1523" i="2"/>
  <c r="I1464" i="2"/>
  <c r="I1462" i="2"/>
  <c r="I1522" i="2"/>
  <c r="I1459" i="2"/>
  <c r="I1458" i="2"/>
  <c r="I1457" i="2"/>
  <c r="I1456" i="2"/>
  <c r="I1518" i="2"/>
  <c r="I1517" i="2"/>
  <c r="I1516" i="2"/>
  <c r="I1514" i="2"/>
  <c r="I1513" i="2"/>
  <c r="I1512" i="2"/>
  <c r="I1511" i="2"/>
  <c r="I1492" i="2"/>
  <c r="I1448" i="2"/>
  <c r="I1447" i="2"/>
  <c r="I1446" i="2"/>
  <c r="I1445" i="2"/>
  <c r="I1444" i="2"/>
  <c r="I1443" i="2"/>
  <c r="I1442" i="2"/>
  <c r="I1441" i="2"/>
  <c r="I1440" i="2"/>
  <c r="I1439" i="2"/>
  <c r="I1499" i="2"/>
  <c r="I1489" i="2"/>
  <c r="I1498" i="2"/>
  <c r="I1497" i="2"/>
  <c r="I1496" i="2"/>
  <c r="I1495" i="2"/>
  <c r="I1494" i="2"/>
  <c r="I1465" i="2"/>
  <c r="I1463" i="2"/>
  <c r="I1461" i="2"/>
  <c r="I1460" i="2"/>
  <c r="I1521" i="2"/>
  <c r="I1520" i="2"/>
  <c r="I1519" i="2"/>
  <c r="I1455" i="2"/>
  <c r="I1454" i="2"/>
  <c r="I1453" i="2"/>
  <c r="I1515" i="2"/>
  <c r="I1452" i="2"/>
  <c r="I1451" i="2"/>
  <c r="I1450" i="2"/>
  <c r="I1449" i="2"/>
  <c r="I1510" i="2"/>
  <c r="I1509" i="2"/>
  <c r="I1508" i="2"/>
  <c r="I1507" i="2"/>
  <c r="I1506" i="2"/>
  <c r="I1505" i="2"/>
  <c r="I1504" i="2"/>
  <c r="I1503" i="2"/>
  <c r="I1502" i="2"/>
  <c r="I1501" i="2"/>
  <c r="I1500" i="2"/>
  <c r="I1491" i="2"/>
  <c r="I1438" i="2"/>
  <c r="I1437" i="2"/>
  <c r="I1436" i="2"/>
  <c r="I1435" i="2"/>
  <c r="I1434" i="2"/>
  <c r="I1433" i="2"/>
  <c r="I1005" i="2"/>
  <c r="I1004" i="2"/>
  <c r="I1003" i="2"/>
  <c r="I1002" i="2"/>
  <c r="I1001" i="2"/>
  <c r="I935" i="2"/>
  <c r="I1000" i="2"/>
  <c r="I922" i="2"/>
  <c r="I921" i="2"/>
  <c r="I920" i="2"/>
  <c r="I928" i="2"/>
  <c r="I926" i="2"/>
  <c r="I942" i="2"/>
  <c r="I923" i="2"/>
  <c r="I998" i="2"/>
  <c r="I919" i="2"/>
  <c r="I918" i="2"/>
  <c r="I994" i="2"/>
  <c r="I993" i="2"/>
  <c r="I992" i="2"/>
  <c r="I991" i="2"/>
  <c r="I990" i="2"/>
  <c r="I913" i="2"/>
  <c r="I912" i="2"/>
  <c r="I911" i="2"/>
  <c r="I910" i="2"/>
  <c r="I941" i="2"/>
  <c r="I909" i="2"/>
  <c r="I908" i="2"/>
  <c r="I982" i="2"/>
  <c r="I981" i="2"/>
  <c r="I980" i="2"/>
  <c r="I940" i="2"/>
  <c r="I979" i="2"/>
  <c r="I978" i="2"/>
  <c r="I977" i="2"/>
  <c r="I976" i="2"/>
  <c r="I900" i="2"/>
  <c r="I974" i="2"/>
  <c r="I973" i="2"/>
  <c r="I932" i="2"/>
  <c r="I972" i="2"/>
  <c r="I896" i="2"/>
  <c r="I895" i="2"/>
  <c r="I894" i="2"/>
  <c r="I893" i="2"/>
  <c r="I892" i="2"/>
  <c r="I891" i="2"/>
  <c r="I966" i="2"/>
  <c r="I965" i="2"/>
  <c r="I964" i="2"/>
  <c r="I963" i="2"/>
  <c r="I962" i="2"/>
  <c r="I961" i="2"/>
  <c r="I883" i="2"/>
  <c r="I960" i="2"/>
  <c r="I959" i="2"/>
  <c r="I938" i="2"/>
  <c r="I958" i="2"/>
  <c r="I957" i="2"/>
  <c r="I956" i="2"/>
  <c r="I955" i="2"/>
  <c r="I954" i="2"/>
  <c r="I953" i="2"/>
  <c r="I952" i="2"/>
  <c r="I951" i="2"/>
  <c r="I950" i="2"/>
  <c r="I870" i="2"/>
  <c r="I948" i="2"/>
  <c r="I930" i="2"/>
  <c r="I947" i="2"/>
  <c r="I946" i="2"/>
  <c r="I945" i="2"/>
  <c r="I936" i="2"/>
  <c r="I944" i="2"/>
  <c r="I943" i="2"/>
  <c r="I927" i="2"/>
  <c r="I925" i="2"/>
  <c r="I924" i="2"/>
  <c r="I999" i="2"/>
  <c r="I997" i="2"/>
  <c r="I996" i="2"/>
  <c r="I995" i="2"/>
  <c r="I917" i="2"/>
  <c r="I916" i="2"/>
  <c r="I915" i="2"/>
  <c r="I914" i="2"/>
  <c r="I989" i="2"/>
  <c r="I988" i="2"/>
  <c r="I987" i="2"/>
  <c r="I986" i="2"/>
  <c r="I985" i="2"/>
  <c r="I934" i="2"/>
  <c r="I984" i="2"/>
  <c r="I983" i="2"/>
  <c r="I907" i="2"/>
  <c r="I906" i="2"/>
  <c r="I905" i="2"/>
  <c r="I933" i="2"/>
  <c r="I904" i="2"/>
  <c r="I903" i="2"/>
  <c r="I902" i="2"/>
  <c r="I901" i="2"/>
  <c r="I975" i="2"/>
  <c r="I899" i="2"/>
  <c r="I939" i="2"/>
  <c r="I898" i="2"/>
  <c r="I897" i="2"/>
  <c r="I971" i="2"/>
  <c r="I970" i="2"/>
  <c r="I969" i="2"/>
  <c r="I968" i="2"/>
  <c r="I967" i="2"/>
  <c r="I890" i="2"/>
  <c r="I889" i="2"/>
  <c r="I888" i="2"/>
  <c r="I887" i="2"/>
  <c r="I886" i="2"/>
  <c r="I885" i="2"/>
  <c r="I884" i="2"/>
  <c r="I882" i="2"/>
  <c r="I881" i="2"/>
  <c r="I880" i="2"/>
  <c r="I931" i="2"/>
  <c r="I879" i="2"/>
  <c r="I878" i="2"/>
  <c r="I877" i="2"/>
  <c r="I876" i="2"/>
  <c r="I875" i="2"/>
  <c r="I874" i="2"/>
  <c r="I873" i="2"/>
  <c r="I872" i="2"/>
  <c r="I871" i="2"/>
  <c r="I949" i="2"/>
  <c r="I937" i="2"/>
  <c r="I869" i="2"/>
  <c r="I868" i="2"/>
  <c r="I867" i="2"/>
  <c r="I866" i="2"/>
  <c r="I929" i="2"/>
  <c r="I865" i="2"/>
  <c r="I864" i="2"/>
  <c r="I185" i="2"/>
  <c r="I184" i="2"/>
  <c r="I183" i="2"/>
  <c r="I182" i="2"/>
  <c r="I181" i="2"/>
  <c r="I113" i="2"/>
  <c r="I100" i="2"/>
  <c r="I99" i="2"/>
  <c r="I98" i="2"/>
  <c r="I123" i="2"/>
  <c r="I42" i="2"/>
  <c r="I43" i="2"/>
  <c r="I44" i="2"/>
  <c r="I106" i="2"/>
  <c r="I45" i="2"/>
  <c r="I46" i="2"/>
  <c r="I47" i="2"/>
  <c r="I48" i="2"/>
  <c r="I115" i="2"/>
  <c r="I49" i="2"/>
  <c r="I50" i="2"/>
  <c r="I51" i="2"/>
  <c r="I52" i="2"/>
  <c r="I53" i="2"/>
  <c r="I54" i="2"/>
  <c r="I55" i="2"/>
  <c r="I56" i="2"/>
  <c r="I57" i="2"/>
  <c r="I116" i="2"/>
  <c r="I59" i="2"/>
  <c r="I60" i="2"/>
  <c r="I61" i="2"/>
  <c r="I62" i="2"/>
  <c r="I117" i="2"/>
  <c r="I63" i="2"/>
  <c r="I64" i="2"/>
  <c r="I146" i="2"/>
  <c r="I147" i="2"/>
  <c r="I67" i="2"/>
  <c r="I68" i="2"/>
  <c r="I69" i="2"/>
  <c r="I70" i="2"/>
  <c r="I71" i="2"/>
  <c r="I72" i="2"/>
  <c r="I73" i="2"/>
  <c r="I74" i="2"/>
  <c r="I75" i="2"/>
  <c r="I76" i="2"/>
  <c r="I77" i="2"/>
  <c r="I78" i="2"/>
  <c r="I79" i="2"/>
  <c r="I109" i="2"/>
  <c r="I80" i="2"/>
  <c r="I81" i="2"/>
  <c r="I82" i="2"/>
  <c r="I83" i="2"/>
  <c r="I110" i="2"/>
  <c r="I84" i="2"/>
  <c r="I120" i="2"/>
  <c r="I85" i="2"/>
  <c r="I86" i="2"/>
  <c r="I87" i="2"/>
  <c r="I88" i="2"/>
  <c r="I89" i="2"/>
  <c r="I90" i="2"/>
  <c r="I91" i="2"/>
  <c r="I121" i="2"/>
  <c r="I92" i="2"/>
  <c r="I93" i="2"/>
  <c r="I94" i="2"/>
  <c r="I95" i="2"/>
  <c r="I96" i="2"/>
  <c r="I97" i="2"/>
  <c r="I179" i="2"/>
  <c r="I101" i="2"/>
  <c r="I102" i="2"/>
  <c r="I104" i="2"/>
  <c r="I522" i="2"/>
  <c r="I521" i="2"/>
  <c r="I520" i="2"/>
  <c r="I519" i="2"/>
  <c r="I518" i="2"/>
  <c r="I517" i="2"/>
  <c r="I544" i="2"/>
  <c r="I516" i="2"/>
  <c r="I515" i="2"/>
  <c r="I611" i="2"/>
  <c r="I610" i="2"/>
  <c r="I532" i="2"/>
  <c r="I609" i="2"/>
  <c r="I608" i="2"/>
  <c r="I607" i="2"/>
  <c r="I606" i="2"/>
  <c r="I605" i="2"/>
  <c r="I506" i="2"/>
  <c r="I542" i="2"/>
  <c r="I505" i="2"/>
  <c r="I504" i="2"/>
  <c r="I503" i="2"/>
  <c r="I502" i="2"/>
  <c r="I501" i="2"/>
  <c r="I500" i="2"/>
  <c r="I499" i="2"/>
  <c r="I498" i="2"/>
  <c r="I497" i="2"/>
  <c r="I496" i="2"/>
  <c r="I530" i="2"/>
  <c r="I495" i="2"/>
  <c r="I494" i="2"/>
  <c r="I493" i="2"/>
  <c r="I492" i="2"/>
  <c r="I491" i="2"/>
  <c r="I490" i="2"/>
  <c r="I529" i="2"/>
  <c r="I588" i="2"/>
  <c r="I587" i="2"/>
  <c r="I586" i="2"/>
  <c r="I585" i="2"/>
  <c r="I584" i="2"/>
  <c r="I583" i="2"/>
  <c r="I582" i="2"/>
  <c r="I581" i="2"/>
  <c r="I580" i="2"/>
  <c r="I579" i="2"/>
  <c r="I578" i="2"/>
  <c r="I577" i="2"/>
  <c r="I576" i="2"/>
  <c r="I575" i="2"/>
  <c r="I474" i="2"/>
  <c r="I473" i="2"/>
  <c r="I472" i="2"/>
  <c r="I471" i="2"/>
  <c r="I470" i="2"/>
  <c r="I469" i="2"/>
  <c r="I468" i="2"/>
  <c r="I467" i="2"/>
  <c r="I466" i="2"/>
  <c r="I465" i="2"/>
  <c r="I539" i="2"/>
  <c r="I464" i="2"/>
  <c r="I564" i="2"/>
  <c r="I563" i="2"/>
  <c r="I562" i="2"/>
  <c r="I561" i="2"/>
  <c r="I560" i="2"/>
  <c r="I559" i="2"/>
  <c r="I558" i="2"/>
  <c r="I457" i="2"/>
  <c r="I456" i="2"/>
  <c r="I537" i="2"/>
  <c r="I455" i="2"/>
  <c r="I454" i="2"/>
  <c r="I453" i="2"/>
  <c r="I536" i="2"/>
  <c r="I452" i="2"/>
  <c r="I451" i="2"/>
  <c r="I450" i="2"/>
  <c r="I449" i="2"/>
  <c r="I524" i="2"/>
  <c r="I448" i="2"/>
  <c r="I447" i="2"/>
  <c r="I446" i="2"/>
  <c r="I534" i="2"/>
  <c r="I445" i="2"/>
  <c r="I444" i="2"/>
  <c r="I619" i="2"/>
  <c r="I618" i="2"/>
  <c r="I617" i="2"/>
  <c r="I616" i="2"/>
  <c r="I615" i="2"/>
  <c r="I614" i="2"/>
  <c r="I613" i="2"/>
  <c r="I533" i="2"/>
  <c r="I612" i="2"/>
  <c r="I514" i="2"/>
  <c r="I513" i="2"/>
  <c r="I543" i="2"/>
  <c r="I512" i="2"/>
  <c r="I511" i="2"/>
  <c r="I510" i="2"/>
  <c r="I509" i="2"/>
  <c r="I508" i="2"/>
  <c r="I507" i="2"/>
  <c r="I604" i="2"/>
  <c r="I531" i="2"/>
  <c r="I603" i="2"/>
  <c r="I602" i="2"/>
  <c r="I601" i="2"/>
  <c r="I600" i="2"/>
  <c r="I599" i="2"/>
  <c r="I598" i="2"/>
  <c r="I597" i="2"/>
  <c r="I596" i="2"/>
  <c r="I595" i="2"/>
  <c r="I541" i="2"/>
  <c r="I594" i="2"/>
  <c r="I593" i="2"/>
  <c r="I592" i="2"/>
  <c r="I591" i="2"/>
  <c r="I590" i="2"/>
  <c r="I589" i="2"/>
  <c r="I540" i="2"/>
  <c r="I489" i="2"/>
  <c r="I488" i="2"/>
  <c r="I487" i="2"/>
  <c r="I486" i="2"/>
  <c r="I485" i="2"/>
  <c r="I484" i="2"/>
  <c r="I483" i="2"/>
  <c r="I482" i="2"/>
  <c r="I481" i="2"/>
  <c r="I480" i="2"/>
  <c r="I479" i="2"/>
  <c r="I478" i="2"/>
  <c r="I477" i="2"/>
  <c r="I476" i="2"/>
  <c r="I475" i="2"/>
  <c r="I574" i="2"/>
  <c r="I573" i="2"/>
  <c r="I572" i="2"/>
  <c r="I571" i="2"/>
  <c r="I570" i="2"/>
  <c r="I569" i="2"/>
  <c r="I568" i="2"/>
  <c r="I567" i="2"/>
  <c r="I566" i="2"/>
  <c r="I565" i="2"/>
  <c r="I528" i="2"/>
  <c r="I527" i="2"/>
  <c r="I463" i="2"/>
  <c r="I462" i="2"/>
  <c r="I461" i="2"/>
  <c r="I460" i="2"/>
  <c r="I459" i="2"/>
  <c r="I458" i="2"/>
  <c r="I538" i="2"/>
  <c r="I557" i="2"/>
  <c r="I556" i="2"/>
  <c r="I526" i="2"/>
  <c r="I555" i="2"/>
  <c r="I554" i="2"/>
  <c r="I553" i="2"/>
  <c r="I525" i="2"/>
  <c r="I552" i="2"/>
  <c r="I551" i="2"/>
  <c r="I550" i="2"/>
  <c r="I535" i="2"/>
  <c r="I549" i="2"/>
  <c r="I548" i="2"/>
  <c r="I547" i="2"/>
  <c r="I546" i="2"/>
  <c r="I523" i="2"/>
  <c r="I545" i="2"/>
  <c r="I443" i="2"/>
  <c r="I133" i="2"/>
  <c r="I134" i="2"/>
  <c r="I135" i="2"/>
  <c r="I136" i="2"/>
  <c r="I137" i="2"/>
  <c r="I138" i="2"/>
  <c r="I139" i="2"/>
  <c r="I58" i="2"/>
  <c r="I140" i="2"/>
  <c r="I141" i="2"/>
  <c r="I142" i="2"/>
  <c r="I108" i="2"/>
  <c r="I143" i="2"/>
  <c r="I144" i="2"/>
  <c r="I145" i="2"/>
  <c r="I65" i="2"/>
  <c r="I66" i="2"/>
  <c r="I148" i="2"/>
  <c r="I149" i="2"/>
  <c r="I150" i="2"/>
  <c r="I151" i="2"/>
  <c r="I152" i="2"/>
  <c r="I153" i="2"/>
  <c r="I154" i="2"/>
  <c r="I155" i="2"/>
  <c r="I156" i="2"/>
  <c r="I157" i="2"/>
  <c r="I158" i="2"/>
  <c r="I159" i="2"/>
  <c r="I160" i="2"/>
  <c r="I118" i="2"/>
  <c r="I161" i="2"/>
  <c r="I162" i="2"/>
  <c r="I163" i="2"/>
  <c r="I164" i="2"/>
  <c r="I119" i="2"/>
  <c r="I111" i="2"/>
  <c r="I165" i="2"/>
  <c r="I166" i="2"/>
  <c r="I167" i="2"/>
  <c r="I168" i="2"/>
  <c r="I169" i="2"/>
  <c r="I170" i="2"/>
  <c r="I171" i="2"/>
  <c r="I112" i="2"/>
  <c r="I172" i="2"/>
  <c r="I173" i="2"/>
  <c r="I174" i="2"/>
  <c r="I175" i="2"/>
  <c r="I176" i="2"/>
  <c r="I177" i="2"/>
  <c r="I178" i="2"/>
  <c r="I180" i="2"/>
  <c r="I122" i="2"/>
  <c r="I103" i="2"/>
  <c r="I105" i="2"/>
  <c r="N1927" i="2"/>
  <c r="N1770" i="2"/>
  <c r="N1238" i="2"/>
  <c r="P1238" i="2" s="1"/>
  <c r="H1238" i="2" s="1"/>
  <c r="I1238" i="2" s="1"/>
  <c r="N1052" i="2"/>
  <c r="N861" i="2"/>
  <c r="P861" i="2" s="1"/>
  <c r="H861" i="2" s="1"/>
  <c r="I861" i="2" s="1"/>
  <c r="N659" i="2"/>
  <c r="P659" i="2" s="1"/>
  <c r="N440" i="2"/>
  <c r="P440" i="2" s="1"/>
  <c r="H440" i="2" s="1"/>
  <c r="I440" i="2" s="1"/>
  <c r="N222" i="2"/>
  <c r="P222" i="2" s="1"/>
  <c r="H222" i="2" s="1"/>
  <c r="I222" i="2" s="1"/>
  <c r="N37" i="2"/>
  <c r="P37" i="2" s="1"/>
  <c r="H37" i="2" s="1"/>
  <c r="I37" i="2" s="1"/>
  <c r="N438" i="2"/>
  <c r="P438" i="2" s="1"/>
  <c r="H438" i="2" s="1"/>
  <c r="I438" i="2" s="1"/>
  <c r="N220" i="2"/>
  <c r="P220" i="2" s="1"/>
  <c r="H220" i="2" s="1"/>
  <c r="I220" i="2" s="1"/>
  <c r="N35" i="2"/>
  <c r="P35" i="2" s="1"/>
  <c r="H35" i="2" s="1"/>
  <c r="I35" i="2" s="1"/>
  <c r="N1236" i="2"/>
  <c r="P1236" i="2" s="1"/>
  <c r="H1236" i="2" s="1"/>
  <c r="I1236" i="2" s="1"/>
  <c r="N1050" i="2"/>
  <c r="N859" i="2"/>
  <c r="P859" i="2" s="1"/>
  <c r="H859" i="2" s="1"/>
  <c r="I859" i="2" s="1"/>
  <c r="N657" i="2"/>
  <c r="P657" i="2" s="1"/>
  <c r="H657" i="2" s="1"/>
  <c r="I657" i="2" s="1"/>
  <c r="N437" i="2"/>
  <c r="P437" i="2" s="1"/>
  <c r="H437" i="2" s="1"/>
  <c r="I437" i="2" s="1"/>
  <c r="N219" i="2"/>
  <c r="P219" i="2" s="1"/>
  <c r="H219" i="2" s="1"/>
  <c r="I219" i="2" s="1"/>
  <c r="N34" i="2"/>
  <c r="P34" i="2" s="1"/>
  <c r="H34" i="2" s="1"/>
  <c r="I34" i="2" s="1"/>
  <c r="N1429" i="2"/>
  <c r="P1429" i="2" s="1"/>
  <c r="H1429" i="2" s="1"/>
  <c r="I1429" i="2" s="1"/>
  <c r="N1235" i="2"/>
  <c r="P1235" i="2" s="1"/>
  <c r="H1235" i="2" s="1"/>
  <c r="I1235" i="2" s="1"/>
  <c r="N1049" i="2"/>
  <c r="N857" i="2"/>
  <c r="P857" i="2" s="1"/>
  <c r="H857" i="2" s="1"/>
  <c r="I857" i="2" s="1"/>
  <c r="N655" i="2"/>
  <c r="P655" i="2" s="1"/>
  <c r="H655" i="2" s="1"/>
  <c r="I655" i="2" s="1"/>
  <c r="N435" i="2"/>
  <c r="P435" i="2" s="1"/>
  <c r="H435" i="2" s="1"/>
  <c r="I435" i="2" s="1"/>
  <c r="N217" i="2"/>
  <c r="P217" i="2" s="1"/>
  <c r="H217" i="2" s="1"/>
  <c r="I217" i="2" s="1"/>
  <c r="P32" i="2"/>
  <c r="H32" i="2" s="1"/>
  <c r="I32" i="2" s="1"/>
  <c r="N1233" i="2"/>
  <c r="P1233" i="2" s="1"/>
  <c r="H1233" i="2" s="1"/>
  <c r="I1233" i="2" s="1"/>
  <c r="N1047" i="2"/>
  <c r="N855" i="2"/>
  <c r="P855" i="2" s="1"/>
  <c r="H855" i="2" s="1"/>
  <c r="I855" i="2" s="1"/>
  <c r="N653" i="2"/>
  <c r="P653" i="2" s="1"/>
  <c r="H653" i="2" s="1"/>
  <c r="I653" i="2" s="1"/>
  <c r="N433" i="2"/>
  <c r="P433" i="2" s="1"/>
  <c r="H433" i="2" s="1"/>
  <c r="I433" i="2" s="1"/>
  <c r="N215" i="2"/>
  <c r="P215" i="2" s="1"/>
  <c r="H215" i="2" s="1"/>
  <c r="I215" i="2" s="1"/>
  <c r="N30" i="2"/>
  <c r="P30" i="2" s="1"/>
  <c r="H30" i="2" s="1"/>
  <c r="I30" i="2" s="1"/>
  <c r="N1762" i="2"/>
  <c r="N1592" i="2"/>
  <c r="P1592" i="2" s="1"/>
  <c r="H1592" i="2" s="1"/>
  <c r="I1592" i="2" s="1"/>
  <c r="N1411" i="2"/>
  <c r="P1411" i="2" s="1"/>
  <c r="H1411" i="2" s="1"/>
  <c r="I1411" i="2" s="1"/>
  <c r="H659" i="2"/>
  <c r="I659" i="2" s="1"/>
  <c r="N1934" i="2"/>
  <c r="P1049" i="2" l="1"/>
  <c r="H1049" i="2" s="1"/>
  <c r="I1049" i="2" s="1"/>
  <c r="P1050" i="2"/>
  <c r="H1050" i="2" s="1"/>
  <c r="I1050" i="2" s="1"/>
  <c r="P1052" i="2"/>
  <c r="H1052" i="2" s="1"/>
  <c r="I1052" i="2" s="1"/>
  <c r="P1770" i="2"/>
  <c r="H1770" i="2" s="1"/>
  <c r="I1770" i="2" s="1"/>
  <c r="P1934" i="2"/>
  <c r="H1934" i="2" s="1"/>
  <c r="I1934" i="2" s="1"/>
  <c r="P1762" i="2"/>
  <c r="H1762" i="2" s="1"/>
  <c r="I1762" i="2" s="1"/>
  <c r="P1047" i="2"/>
  <c r="H1047" i="2" s="1"/>
  <c r="I1047" i="2" s="1"/>
  <c r="P1927" i="2"/>
  <c r="H1927" i="2" s="1"/>
  <c r="I1927" i="2" s="1"/>
  <c r="I1914" i="2"/>
  <c r="I1749" i="2"/>
  <c r="I1578" i="2"/>
  <c r="I1397" i="2"/>
  <c r="I1208" i="2"/>
  <c r="I1026" i="2"/>
  <c r="I1908" i="2"/>
  <c r="I1743" i="2"/>
  <c r="I1572" i="2"/>
  <c r="I1392" i="2"/>
  <c r="I1203" i="2"/>
  <c r="I1024" i="2"/>
  <c r="I837" i="2"/>
  <c r="I637" i="2"/>
  <c r="I417" i="2"/>
  <c r="I200" i="2"/>
  <c r="I1781" i="2"/>
  <c r="I1611" i="2"/>
  <c r="I1432" i="2"/>
  <c r="I1240" i="2"/>
  <c r="I1054" i="2"/>
  <c r="I863" i="2"/>
  <c r="I661" i="2"/>
  <c r="I442" i="2"/>
  <c r="I224" i="2"/>
  <c r="I39" i="2"/>
  <c r="I1423" i="2"/>
  <c r="I1230" i="2"/>
  <c r="I1044" i="2"/>
  <c r="I853" i="2"/>
  <c r="I650" i="2"/>
  <c r="I430" i="2"/>
  <c r="I212" i="2"/>
  <c r="I27" i="2"/>
  <c r="I1772" i="2"/>
  <c r="I1602" i="2"/>
  <c r="I1422" i="2"/>
  <c r="I1229" i="2"/>
  <c r="I1043" i="2"/>
  <c r="I852" i="2"/>
  <c r="I649" i="2"/>
  <c r="I429" i="2"/>
  <c r="I211" i="2"/>
  <c r="I26" i="2"/>
  <c r="I1771" i="2"/>
  <c r="I1601" i="2"/>
  <c r="I1421" i="2"/>
  <c r="I1228" i="2"/>
  <c r="I1727" i="2"/>
  <c r="I1556" i="2"/>
  <c r="I1374" i="2"/>
  <c r="I1189" i="2"/>
  <c r="I1010" i="2"/>
  <c r="I823" i="2"/>
  <c r="I624" i="2"/>
  <c r="I405" i="2"/>
  <c r="I190" i="2"/>
  <c r="I6" i="2"/>
  <c r="I1780" i="2"/>
  <c r="I1610" i="2"/>
  <c r="I1431" i="2"/>
  <c r="I1239" i="2"/>
  <c r="I1053" i="2"/>
  <c r="I862" i="2"/>
  <c r="I660" i="2"/>
  <c r="I441" i="2"/>
  <c r="I223" i="2"/>
  <c r="I38" i="2"/>
  <c r="I1779" i="2"/>
  <c r="I1609" i="2"/>
  <c r="I1430" i="2"/>
  <c r="I1237" i="2"/>
  <c r="I1051" i="2"/>
  <c r="I860" i="2"/>
  <c r="I658" i="2"/>
  <c r="I439" i="2"/>
  <c r="I221" i="2"/>
  <c r="I36" i="2"/>
  <c r="I1769" i="2"/>
  <c r="I1600" i="2"/>
  <c r="I1420" i="2"/>
  <c r="I1726" i="2"/>
  <c r="I1555" i="2"/>
  <c r="I1373" i="2"/>
  <c r="I1188" i="2"/>
  <c r="I1009" i="2"/>
  <c r="I822" i="2"/>
  <c r="I623" i="2"/>
  <c r="I404" i="2"/>
  <c r="I189" i="2"/>
  <c r="I5" i="2"/>
  <c r="I1725" i="2"/>
  <c r="I1554" i="2"/>
  <c r="I1372" i="2"/>
  <c r="I1187" i="2"/>
  <c r="I1008" i="2"/>
  <c r="I821" i="2"/>
  <c r="I622" i="2"/>
  <c r="I403" i="2"/>
  <c r="I188" i="2"/>
  <c r="I4" i="2"/>
  <c r="I1768" i="2"/>
  <c r="I1599" i="2"/>
  <c r="I1419" i="2"/>
  <c r="I1227" i="2"/>
  <c r="I1767" i="2"/>
  <c r="I1598" i="2"/>
  <c r="I1418" i="2"/>
  <c r="I1226" i="2"/>
  <c r="I1930" i="2"/>
  <c r="I1766" i="2"/>
  <c r="I1596" i="2"/>
  <c r="I1416" i="2"/>
  <c r="I1765" i="2"/>
  <c r="I1595" i="2"/>
  <c r="I1415" i="2"/>
  <c r="I1223" i="2"/>
  <c r="I1039" i="2"/>
  <c r="I850" i="2"/>
  <c r="I858" i="2"/>
  <c r="I656" i="2"/>
  <c r="I436" i="2"/>
  <c r="I218" i="2"/>
  <c r="I33" i="2"/>
  <c r="I1943" i="2"/>
  <c r="I1778" i="2"/>
  <c r="I1608" i="2"/>
  <c r="I1428" i="2"/>
  <c r="I1234" i="2"/>
  <c r="I1048" i="2"/>
  <c r="I856" i="2"/>
  <c r="I654" i="2"/>
  <c r="I434" i="2"/>
  <c r="I216" i="2"/>
  <c r="I31" i="2"/>
  <c r="I1904" i="2"/>
  <c r="I1741" i="2"/>
  <c r="I1570" i="2"/>
  <c r="I1390" i="2"/>
  <c r="I1889" i="2"/>
  <c r="I1724" i="2"/>
  <c r="I1553" i="2"/>
  <c r="I1371" i="2"/>
  <c r="I1186" i="2"/>
  <c r="I1007" i="2"/>
  <c r="I820" i="2"/>
  <c r="I621" i="2"/>
  <c r="I402" i="2"/>
  <c r="I187" i="2"/>
  <c r="I3" i="2"/>
  <c r="I1942" i="2"/>
  <c r="I1777" i="2"/>
  <c r="I1607" i="2"/>
  <c r="I1427" i="2"/>
  <c r="I1941" i="2"/>
  <c r="I1776" i="2"/>
  <c r="I1606" i="2"/>
  <c r="I1426" i="2"/>
  <c r="I1232" i="2"/>
  <c r="I1046" i="2"/>
  <c r="I854" i="2"/>
  <c r="I652" i="2"/>
  <c r="I432" i="2"/>
  <c r="I214" i="2"/>
  <c r="I29" i="2"/>
  <c r="I1929" i="2"/>
  <c r="I1764" i="2"/>
  <c r="I1594" i="2"/>
  <c r="I1413" i="2"/>
  <c r="I1221" i="2"/>
  <c r="I1928" i="2"/>
  <c r="I1763" i="2"/>
  <c r="I1593" i="2"/>
  <c r="I1412" i="2"/>
  <c r="I1220" i="2"/>
  <c r="I1036" i="2"/>
  <c r="I848" i="2"/>
  <c r="I646" i="2"/>
  <c r="I426" i="2"/>
  <c r="I1926" i="2"/>
  <c r="I1761" i="2"/>
  <c r="I1590" i="2"/>
  <c r="I1409" i="2"/>
  <c r="I1218" i="2"/>
  <c r="I1940" i="2"/>
  <c r="I1775" i="2"/>
  <c r="I1605" i="2"/>
  <c r="I1425" i="2"/>
  <c r="I1231" i="2"/>
  <c r="I1045" i="2"/>
  <c r="I651" i="2"/>
  <c r="I431" i="2"/>
  <c r="I213" i="2"/>
  <c r="I28" i="2"/>
  <c r="I1903" i="2"/>
  <c r="I1740" i="2"/>
  <c r="I1569" i="2"/>
  <c r="I1389" i="2"/>
  <c r="I1201" i="2"/>
  <c r="I1022" i="2"/>
  <c r="I835" i="2"/>
  <c r="I635" i="2"/>
  <c r="I415" i="2"/>
  <c r="I198" i="2"/>
  <c r="I14" i="2"/>
  <c r="I847" i="2"/>
  <c r="I645" i="2"/>
  <c r="I425" i="2"/>
  <c r="I208" i="2"/>
  <c r="I23" i="2"/>
  <c r="I1925" i="2"/>
  <c r="I1760" i="2"/>
  <c r="I1589" i="2"/>
  <c r="I1408" i="2"/>
  <c r="I1217" i="2"/>
  <c r="I1035" i="2"/>
  <c r="I846" i="2"/>
  <c r="I845" i="2"/>
  <c r="I644" i="2"/>
  <c r="I424" i="2"/>
  <c r="I207" i="2"/>
  <c r="I22" i="2"/>
  <c r="I1924" i="2"/>
  <c r="I1759" i="2"/>
  <c r="I1588" i="2"/>
  <c r="I1407" i="2"/>
  <c r="I1216" i="2"/>
  <c r="I1034" i="2"/>
  <c r="I844" i="2"/>
  <c r="I1923" i="2"/>
  <c r="I1758" i="2"/>
  <c r="I1587" i="2"/>
  <c r="I1406" i="2"/>
  <c r="I1215" i="2"/>
  <c r="I1033" i="2"/>
  <c r="I1939" i="2"/>
  <c r="I1938" i="2"/>
  <c r="I1774" i="2"/>
  <c r="I1723" i="2"/>
  <c r="I1552" i="2"/>
  <c r="I1370" i="2"/>
  <c r="I1185" i="2"/>
  <c r="I1006" i="2"/>
  <c r="I819" i="2"/>
  <c r="I620" i="2"/>
  <c r="I401" i="2"/>
  <c r="I186" i="2"/>
  <c r="I2" i="2"/>
  <c r="I1757" i="2"/>
  <c r="I1586" i="2"/>
  <c r="I1405" i="2"/>
  <c r="I1921" i="2"/>
  <c r="I1756" i="2"/>
  <c r="I1585" i="2"/>
  <c r="I1404" i="2"/>
  <c r="I1214" i="2"/>
  <c r="I1032" i="2"/>
  <c r="I843" i="2"/>
  <c r="I643" i="2"/>
  <c r="I423" i="2"/>
  <c r="I206" i="2"/>
  <c r="I21" i="2"/>
  <c r="I1920" i="2"/>
  <c r="I1755" i="2"/>
  <c r="I1584" i="2"/>
  <c r="I1403" i="2"/>
  <c r="I1213" i="2"/>
  <c r="I1030" i="2"/>
  <c r="I842" i="2"/>
  <c r="I642" i="2"/>
  <c r="I422" i="2"/>
  <c r="I205" i="2"/>
  <c r="I20" i="2"/>
  <c r="I1919" i="2"/>
  <c r="I1754" i="2"/>
  <c r="I1583" i="2"/>
  <c r="I1402" i="2"/>
  <c r="I1212" i="2"/>
  <c r="I1029" i="2"/>
  <c r="I841" i="2"/>
  <c r="I641" i="2"/>
  <c r="I421" i="2"/>
  <c r="I204" i="2"/>
  <c r="I19" i="2"/>
  <c r="I1918" i="2"/>
  <c r="I1753" i="2"/>
  <c r="I1582" i="2"/>
  <c r="I1401" i="2"/>
  <c r="I1211" i="2"/>
  <c r="I1917" i="2"/>
  <c r="I1752" i="2"/>
  <c r="I1581" i="2"/>
  <c r="I1400" i="2"/>
  <c r="I1915" i="2"/>
  <c r="I1750" i="2"/>
  <c r="I1579" i="2"/>
  <c r="I1398" i="2"/>
  <c r="I1209" i="2"/>
  <c r="I1027" i="2"/>
  <c r="I839" i="2"/>
  <c r="I639" i="2"/>
  <c r="I419" i="2"/>
  <c r="I202" i="2"/>
  <c r="I17" i="2"/>
  <c r="I1913" i="2"/>
  <c r="I1748" i="2"/>
  <c r="I1577" i="2"/>
  <c r="I1396" i="2"/>
  <c r="I1207" i="2"/>
  <c r="I1937" i="2"/>
  <c r="I1773" i="2"/>
  <c r="I1604" i="2"/>
  <c r="I1912" i="2"/>
  <c r="I1747" i="2"/>
  <c r="I1603" i="2"/>
  <c r="I1576" i="2"/>
  <c r="I1424" i="2"/>
  <c r="I1909" i="2"/>
  <c r="I1744" i="2"/>
  <c r="I1573" i="2"/>
  <c r="I1393" i="2"/>
  <c r="I1204" i="2"/>
  <c r="I1574" i="2" l="1"/>
  <c r="I1580" i="2"/>
  <c r="I1661" i="2"/>
  <c r="I1718" i="2"/>
  <c r="I1716" i="2"/>
  <c r="I1714" i="2"/>
  <c r="I1712" i="2"/>
  <c r="I1652" i="2"/>
  <c r="I1650" i="2"/>
  <c r="I1648" i="2"/>
  <c r="I1646" i="2"/>
  <c r="I1663" i="2"/>
  <c r="I1643" i="2"/>
  <c r="I1698" i="2"/>
  <c r="I1696" i="2"/>
  <c r="I1694" i="2"/>
  <c r="I1692" i="2"/>
  <c r="I1690" i="2"/>
  <c r="I1632" i="2"/>
  <c r="I1630" i="2"/>
  <c r="I1684" i="2"/>
  <c r="I1682" i="2"/>
  <c r="I1680" i="2"/>
  <c r="I1678" i="2"/>
  <c r="I1676" i="2"/>
  <c r="I1674" i="2"/>
  <c r="I1672" i="2"/>
  <c r="I1615" i="2"/>
  <c r="I1613" i="2"/>
  <c r="I1722" i="2"/>
  <c r="I1720" i="2"/>
  <c r="I1659" i="2"/>
  <c r="I1657" i="2"/>
  <c r="I1655" i="2"/>
  <c r="I1653" i="2"/>
  <c r="I1709" i="2"/>
  <c r="I1707" i="2"/>
  <c r="I1705" i="2"/>
  <c r="I1703" i="2"/>
  <c r="I1702" i="2"/>
  <c r="I1700" i="2"/>
  <c r="I1641" i="2"/>
  <c r="I1639" i="2"/>
  <c r="I1637" i="2"/>
  <c r="I1635" i="2"/>
  <c r="I1633" i="2"/>
  <c r="I1687" i="2"/>
  <c r="I1685" i="2"/>
  <c r="I1628" i="2"/>
  <c r="I1626" i="2"/>
  <c r="I1624" i="2"/>
  <c r="I1622" i="2"/>
  <c r="I1620" i="2"/>
  <c r="I1618" i="2"/>
  <c r="I1671" i="2"/>
  <c r="I1669" i="2"/>
  <c r="I1667" i="2"/>
  <c r="I1662" i="2"/>
  <c r="I1660" i="2"/>
  <c r="I1717" i="2"/>
  <c r="I1715" i="2"/>
  <c r="I1713" i="2"/>
  <c r="I1711" i="2"/>
  <c r="I1651" i="2"/>
  <c r="I1649" i="2"/>
  <c r="I1647" i="2"/>
  <c r="I1645" i="2"/>
  <c r="I1644" i="2"/>
  <c r="I1699" i="2"/>
  <c r="I1697" i="2"/>
  <c r="I1695" i="2"/>
  <c r="I1693" i="2"/>
  <c r="I1691" i="2"/>
  <c r="I1689" i="2"/>
  <c r="I1631" i="2"/>
  <c r="I1629" i="2"/>
  <c r="I1683" i="2"/>
  <c r="I1681" i="2"/>
  <c r="I1679" i="2"/>
  <c r="I1677" i="2"/>
  <c r="I1675" i="2"/>
  <c r="I1673" i="2"/>
  <c r="I1616" i="2"/>
  <c r="I1614" i="2"/>
  <c r="I1666" i="2"/>
  <c r="I1721" i="2"/>
  <c r="I1719" i="2"/>
  <c r="I1658" i="2"/>
  <c r="I1656" i="2"/>
  <c r="I1654" i="2"/>
  <c r="I1710" i="2"/>
  <c r="I1708" i="2"/>
  <c r="I1706" i="2"/>
  <c r="I1704" i="2"/>
  <c r="I1665" i="2"/>
  <c r="I1701" i="2"/>
  <c r="I1642" i="2"/>
  <c r="I1640" i="2"/>
  <c r="I1638" i="2"/>
  <c r="I1636" i="2"/>
  <c r="I1634" i="2"/>
  <c r="I1688" i="2"/>
  <c r="I1686" i="2"/>
  <c r="I1664" i="2"/>
  <c r="I1627" i="2"/>
  <c r="I1625" i="2"/>
  <c r="I1623" i="2"/>
  <c r="I1621" i="2"/>
  <c r="I1619" i="2"/>
  <c r="I1617" i="2"/>
  <c r="I1670" i="2"/>
  <c r="I1668" i="2"/>
  <c r="I1612" i="2"/>
  <c r="I1922" i="2"/>
  <c r="H1728" i="2"/>
  <c r="I2061" i="2" l="1"/>
  <c r="I2060" i="2"/>
  <c r="I2059" i="2"/>
  <c r="I2058" i="2"/>
  <c r="I2057" i="2"/>
  <c r="I2056" i="2"/>
  <c r="I2055" i="2"/>
  <c r="I2054" i="2"/>
  <c r="I2053" i="2"/>
  <c r="I2052" i="2"/>
  <c r="I2051" i="2"/>
  <c r="I1993" i="2"/>
  <c r="I1992" i="2"/>
  <c r="I1991" i="2"/>
  <c r="I1990" i="2"/>
  <c r="I1989" i="2"/>
  <c r="I1988" i="2"/>
  <c r="I1987" i="2"/>
  <c r="I1986" i="2"/>
  <c r="I1985" i="2"/>
  <c r="I2007" i="2"/>
  <c r="I1984" i="2"/>
  <c r="I1983" i="2"/>
  <c r="I1982" i="2"/>
  <c r="I2039" i="2"/>
  <c r="I2038" i="2"/>
  <c r="I1979" i="2"/>
  <c r="I1978" i="2"/>
  <c r="I1977" i="2"/>
  <c r="I1976" i="2"/>
  <c r="I2033" i="2"/>
  <c r="I2032" i="2"/>
  <c r="I2031" i="2"/>
  <c r="I2030" i="2"/>
  <c r="I1972" i="2"/>
  <c r="I2028" i="2"/>
  <c r="I2027" i="2"/>
  <c r="I2026" i="2"/>
  <c r="I1967" i="2"/>
  <c r="I1966" i="2"/>
  <c r="I2023" i="2"/>
  <c r="I1965" i="2"/>
  <c r="I1964" i="2"/>
  <c r="I1963" i="2"/>
  <c r="I1962" i="2"/>
  <c r="I1961" i="2"/>
  <c r="I2018" i="2"/>
  <c r="I2017" i="2"/>
  <c r="I1957" i="2"/>
  <c r="I1956" i="2"/>
  <c r="I1954" i="2"/>
  <c r="I1953" i="2"/>
  <c r="I1952" i="2"/>
  <c r="I1951" i="2"/>
  <c r="I1950" i="2"/>
  <c r="I1949" i="2"/>
  <c r="I2005" i="2"/>
  <c r="I1947" i="2"/>
  <c r="I1910" i="2"/>
  <c r="I1916" i="2"/>
  <c r="I2004" i="2"/>
  <c r="I2003" i="2"/>
  <c r="I2002" i="2"/>
  <c r="I2001" i="2"/>
  <c r="I2000" i="2"/>
  <c r="I1999" i="2"/>
  <c r="I1998" i="2"/>
  <c r="I1997" i="2"/>
  <c r="I1996" i="2"/>
  <c r="I1995" i="2"/>
  <c r="I1994" i="2"/>
  <c r="I2050" i="2"/>
  <c r="I2049" i="2"/>
  <c r="I2048" i="2"/>
  <c r="I2047" i="2"/>
  <c r="I2046" i="2"/>
  <c r="I2045" i="2"/>
  <c r="I2044" i="2"/>
  <c r="I2043" i="2"/>
  <c r="I2009" i="2"/>
  <c r="I2042" i="2"/>
  <c r="I2041" i="2"/>
  <c r="I2040" i="2"/>
  <c r="I1981" i="2"/>
  <c r="I1980" i="2"/>
  <c r="I2037" i="2"/>
  <c r="I2036" i="2"/>
  <c r="I2035" i="2"/>
  <c r="I2034" i="2"/>
  <c r="I2008" i="2"/>
  <c r="I1975" i="2"/>
  <c r="I1974" i="2"/>
  <c r="I1973" i="2"/>
  <c r="I2029" i="2"/>
  <c r="I1971" i="2"/>
  <c r="I1970" i="2"/>
  <c r="I1969" i="2"/>
  <c r="I1968" i="2"/>
  <c r="I2025" i="2"/>
  <c r="I2024" i="2"/>
  <c r="I2006" i="2"/>
  <c r="I2022" i="2"/>
  <c r="I2021" i="2"/>
  <c r="I2020" i="2"/>
  <c r="I2019" i="2"/>
  <c r="I1960" i="2"/>
  <c r="I1959" i="2"/>
  <c r="I1958" i="2"/>
  <c r="I2016" i="2"/>
  <c r="I1955" i="2"/>
  <c r="I2015" i="2"/>
  <c r="I2014" i="2"/>
  <c r="I2013" i="2"/>
  <c r="I2012" i="2"/>
  <c r="I2011" i="2"/>
  <c r="I1948" i="2"/>
  <c r="I2010" i="2"/>
  <c r="I1745" i="2"/>
  <c r="I1751" i="2"/>
  <c r="I1888" i="2"/>
  <c r="I1887" i="2"/>
  <c r="I1886" i="2"/>
  <c r="I1885" i="2"/>
  <c r="I1884" i="2"/>
  <c r="I1883" i="2"/>
  <c r="I1882" i="2"/>
  <c r="I1881" i="2"/>
  <c r="I1824" i="2"/>
  <c r="I1823" i="2"/>
  <c r="I1822" i="2"/>
  <c r="I1821" i="2"/>
  <c r="I1820" i="2"/>
  <c r="I1819" i="2"/>
  <c r="I1818" i="2"/>
  <c r="I1817" i="2"/>
  <c r="I1816" i="2"/>
  <c r="I1834" i="2"/>
  <c r="I1815" i="2"/>
  <c r="I1832" i="2"/>
  <c r="I1831" i="2"/>
  <c r="I1830" i="2"/>
  <c r="I1829" i="2"/>
  <c r="I1828" i="2"/>
  <c r="I1827" i="2"/>
  <c r="I1826" i="2"/>
  <c r="I1825" i="2"/>
  <c r="I1880" i="2"/>
  <c r="I1879" i="2"/>
  <c r="I1878" i="2"/>
  <c r="I1877" i="2"/>
  <c r="I1876" i="2"/>
  <c r="I1875" i="2"/>
  <c r="I1874" i="2"/>
  <c r="I1873" i="2"/>
  <c r="I1837" i="2"/>
  <c r="I1872" i="2"/>
  <c r="I1871" i="2"/>
  <c r="I1814" i="2"/>
  <c r="I1813" i="2"/>
  <c r="I1812" i="2"/>
  <c r="I1868" i="2"/>
  <c r="I1867" i="2"/>
  <c r="I1809" i="2"/>
  <c r="I1808" i="2"/>
  <c r="I1807" i="2"/>
  <c r="I1806" i="2"/>
  <c r="I1805" i="2"/>
  <c r="I1804" i="2"/>
  <c r="I1803" i="2"/>
  <c r="I1858" i="2"/>
  <c r="I1802" i="2"/>
  <c r="I1801" i="2"/>
  <c r="I1856" i="2"/>
  <c r="I1855" i="2"/>
  <c r="I1835" i="2"/>
  <c r="I1797" i="2"/>
  <c r="I1796" i="2"/>
  <c r="I1851" i="2"/>
  <c r="I1850" i="2"/>
  <c r="I1793" i="2"/>
  <c r="I1792" i="2"/>
  <c r="I1791" i="2"/>
  <c r="I1790" i="2"/>
  <c r="I1789" i="2"/>
  <c r="I1845" i="2"/>
  <c r="I1844" i="2"/>
  <c r="I1842" i="2"/>
  <c r="I1841" i="2"/>
  <c r="I1840" i="2"/>
  <c r="I1839" i="2"/>
  <c r="I1833" i="2"/>
  <c r="I1782" i="2"/>
  <c r="I1870" i="2"/>
  <c r="I1869" i="2"/>
  <c r="I1811" i="2"/>
  <c r="I1810" i="2"/>
  <c r="I1866" i="2"/>
  <c r="I1865" i="2"/>
  <c r="I1864" i="2"/>
  <c r="I1863" i="2"/>
  <c r="I1862" i="2"/>
  <c r="I1861" i="2"/>
  <c r="I1860" i="2"/>
  <c r="I1859" i="2"/>
  <c r="I1836" i="2"/>
  <c r="I1857" i="2"/>
  <c r="I1800" i="2"/>
  <c r="I1799" i="2"/>
  <c r="I1798" i="2"/>
  <c r="I1854" i="2"/>
  <c r="I1853" i="2"/>
  <c r="I1852" i="2"/>
  <c r="I1795" i="2"/>
  <c r="I1794" i="2"/>
  <c r="I1849" i="2"/>
  <c r="I1848" i="2"/>
  <c r="I1847" i="2"/>
  <c r="I1846" i="2"/>
  <c r="I1788" i="2"/>
  <c r="I1787" i="2"/>
  <c r="I1843" i="2"/>
  <c r="I1786" i="2"/>
  <c r="I1785" i="2"/>
  <c r="I1784" i="2"/>
  <c r="I1783" i="2"/>
  <c r="I1838" i="2"/>
  <c r="I640" i="2" l="1"/>
  <c r="I732" i="2"/>
  <c r="I731" i="2"/>
  <c r="I730" i="2"/>
  <c r="I815" i="2"/>
  <c r="I814" i="2"/>
  <c r="I740" i="2"/>
  <c r="I813" i="2"/>
  <c r="I725" i="2"/>
  <c r="I724" i="2"/>
  <c r="I723" i="2"/>
  <c r="I809" i="2"/>
  <c r="I808" i="2"/>
  <c r="I807" i="2"/>
  <c r="I806" i="2"/>
  <c r="I805" i="2"/>
  <c r="I804" i="2"/>
  <c r="I803" i="2"/>
  <c r="I802" i="2"/>
  <c r="I739" i="2"/>
  <c r="I801" i="2"/>
  <c r="I800" i="2"/>
  <c r="I799" i="2"/>
  <c r="I798" i="2"/>
  <c r="I797" i="2"/>
  <c r="I796" i="2"/>
  <c r="I745" i="2"/>
  <c r="I795" i="2"/>
  <c r="I794" i="2"/>
  <c r="I793" i="2"/>
  <c r="I792" i="2"/>
  <c r="I791" i="2"/>
  <c r="I744" i="2"/>
  <c r="I790" i="2"/>
  <c r="I702" i="2"/>
  <c r="I701" i="2"/>
  <c r="I700" i="2"/>
  <c r="I699" i="2"/>
  <c r="I698" i="2"/>
  <c r="I697" i="2"/>
  <c r="I783" i="2"/>
  <c r="I695" i="2"/>
  <c r="I694" i="2"/>
  <c r="I693" i="2"/>
  <c r="I692" i="2"/>
  <c r="I691" i="2"/>
  <c r="I690" i="2"/>
  <c r="I689" i="2"/>
  <c r="I688" i="2"/>
  <c r="I687" i="2"/>
  <c r="I686" i="2"/>
  <c r="I685" i="2"/>
  <c r="I684" i="2"/>
  <c r="I683" i="2"/>
  <c r="I682" i="2"/>
  <c r="I681" i="2"/>
  <c r="I680" i="2"/>
  <c r="I767" i="2"/>
  <c r="I766" i="2"/>
  <c r="I765" i="2"/>
  <c r="I764" i="2"/>
  <c r="I735" i="2"/>
  <c r="I763" i="2"/>
  <c r="I762" i="2"/>
  <c r="I761" i="2"/>
  <c r="I760" i="2"/>
  <c r="I759" i="2"/>
  <c r="I758" i="2"/>
  <c r="I757" i="2"/>
  <c r="I742" i="2"/>
  <c r="I669" i="2"/>
  <c r="I668" i="2"/>
  <c r="I667" i="2"/>
  <c r="I666" i="2"/>
  <c r="I733" i="2"/>
  <c r="I665" i="2"/>
  <c r="I664" i="2"/>
  <c r="I663" i="2"/>
  <c r="I662" i="2"/>
  <c r="I818" i="2"/>
  <c r="I817" i="2"/>
  <c r="I816" i="2"/>
  <c r="I729" i="2"/>
  <c r="I728" i="2"/>
  <c r="I747" i="2"/>
  <c r="I727" i="2"/>
  <c r="I726" i="2"/>
  <c r="I812" i="2"/>
  <c r="I811" i="2"/>
  <c r="I810" i="2"/>
  <c r="I722" i="2"/>
  <c r="I721" i="2"/>
  <c r="I720" i="2"/>
  <c r="I719" i="2"/>
  <c r="I718" i="2"/>
  <c r="I717" i="2"/>
  <c r="I716" i="2"/>
  <c r="I746" i="2"/>
  <c r="I715" i="2"/>
  <c r="I714" i="2"/>
  <c r="I713" i="2"/>
  <c r="I712" i="2"/>
  <c r="I711" i="2"/>
  <c r="I710" i="2"/>
  <c r="I709" i="2"/>
  <c r="I738" i="2"/>
  <c r="I708" i="2"/>
  <c r="I707" i="2"/>
  <c r="I706" i="2"/>
  <c r="I705" i="2"/>
  <c r="I704" i="2"/>
  <c r="I737" i="2"/>
  <c r="I703" i="2"/>
  <c r="I789" i="2"/>
  <c r="I788" i="2"/>
  <c r="I787" i="2"/>
  <c r="I786" i="2"/>
  <c r="I785" i="2"/>
  <c r="I784" i="2"/>
  <c r="I696" i="2"/>
  <c r="I782" i="2"/>
  <c r="I781" i="2"/>
  <c r="I780" i="2"/>
  <c r="I779" i="2"/>
  <c r="I778" i="2"/>
  <c r="I777" i="2"/>
  <c r="I776" i="2"/>
  <c r="I775" i="2"/>
  <c r="I774" i="2"/>
  <c r="I773" i="2"/>
  <c r="I772" i="2"/>
  <c r="I771" i="2"/>
  <c r="I770" i="2"/>
  <c r="I769" i="2"/>
  <c r="I768" i="2"/>
  <c r="I736" i="2"/>
  <c r="I679" i="2"/>
  <c r="I678" i="2"/>
  <c r="I677" i="2"/>
  <c r="I743" i="2"/>
  <c r="I676" i="2"/>
  <c r="I675" i="2"/>
  <c r="I674" i="2"/>
  <c r="I673" i="2"/>
  <c r="I672" i="2"/>
  <c r="I671" i="2"/>
  <c r="I670" i="2"/>
  <c r="I756" i="2"/>
  <c r="I734" i="2"/>
  <c r="I755" i="2"/>
  <c r="I754" i="2"/>
  <c r="I753" i="2"/>
  <c r="I741" i="2"/>
  <c r="I752" i="2"/>
  <c r="I751" i="2"/>
  <c r="I750" i="2"/>
  <c r="I749" i="2"/>
  <c r="I748" i="2"/>
  <c r="I203" i="2"/>
  <c r="I400" i="2"/>
  <c r="I302" i="2"/>
  <c r="I301" i="2"/>
  <c r="I300" i="2"/>
  <c r="I299" i="2"/>
  <c r="I298" i="2"/>
  <c r="I326" i="2"/>
  <c r="I297" i="2"/>
  <c r="I314" i="2"/>
  <c r="I325" i="2"/>
  <c r="I295" i="2"/>
  <c r="I393" i="2"/>
  <c r="I324" i="2"/>
  <c r="I292" i="2"/>
  <c r="I291" i="2"/>
  <c r="I290" i="2"/>
  <c r="I289" i="2"/>
  <c r="I288" i="2"/>
  <c r="I287" i="2"/>
  <c r="I323" i="2"/>
  <c r="I286" i="2"/>
  <c r="I285" i="2"/>
  <c r="I284" i="2"/>
  <c r="I283" i="2"/>
  <c r="I282" i="2"/>
  <c r="I281" i="2"/>
  <c r="I280" i="2"/>
  <c r="I279" i="2"/>
  <c r="I311" i="2"/>
  <c r="I278" i="2"/>
  <c r="I277" i="2"/>
  <c r="I276" i="2"/>
  <c r="I275" i="2"/>
  <c r="I274" i="2"/>
  <c r="I310" i="2"/>
  <c r="I273" i="2"/>
  <c r="I272" i="2"/>
  <c r="I271" i="2"/>
  <c r="I270" i="2"/>
  <c r="I269" i="2"/>
  <c r="I368" i="2"/>
  <c r="I367" i="2"/>
  <c r="I366" i="2"/>
  <c r="I365" i="2"/>
  <c r="I364" i="2"/>
  <c r="I363" i="2"/>
  <c r="I362" i="2"/>
  <c r="I361" i="2"/>
  <c r="I259" i="2"/>
  <c r="I258" i="2"/>
  <c r="I257" i="2"/>
  <c r="I256" i="2"/>
  <c r="I357" i="2"/>
  <c r="I356" i="2"/>
  <c r="I253" i="2"/>
  <c r="I252" i="2"/>
  <c r="I251" i="2"/>
  <c r="I250" i="2"/>
  <c r="I249" i="2"/>
  <c r="I248" i="2"/>
  <c r="I247" i="2"/>
  <c r="I320" i="2"/>
  <c r="I246" i="2"/>
  <c r="I347" i="2"/>
  <c r="I346" i="2"/>
  <c r="I345" i="2"/>
  <c r="I344" i="2"/>
  <c r="I343" i="2"/>
  <c r="I342" i="2"/>
  <c r="I341" i="2"/>
  <c r="I340" i="2"/>
  <c r="I339" i="2"/>
  <c r="I307" i="2"/>
  <c r="I338" i="2"/>
  <c r="I337" i="2"/>
  <c r="I318" i="2"/>
  <c r="I235" i="2"/>
  <c r="I234" i="2"/>
  <c r="I303" i="2"/>
  <c r="I399" i="2"/>
  <c r="I398" i="2"/>
  <c r="I397" i="2"/>
  <c r="I396" i="2"/>
  <c r="I395" i="2"/>
  <c r="I315" i="2"/>
  <c r="I296" i="2"/>
  <c r="I394" i="2"/>
  <c r="I313" i="2"/>
  <c r="I294" i="2"/>
  <c r="I293" i="2"/>
  <c r="I392" i="2"/>
  <c r="I391" i="2"/>
  <c r="I390" i="2"/>
  <c r="I389" i="2"/>
  <c r="I388" i="2"/>
  <c r="I387" i="2"/>
  <c r="I386" i="2"/>
  <c r="I312" i="2"/>
  <c r="I385" i="2"/>
  <c r="I384" i="2"/>
  <c r="I383" i="2"/>
  <c r="I382" i="2"/>
  <c r="I381" i="2"/>
  <c r="I380" i="2"/>
  <c r="I379" i="2"/>
  <c r="I322" i="2"/>
  <c r="I378" i="2"/>
  <c r="I377" i="2"/>
  <c r="I376" i="2"/>
  <c r="I375" i="2"/>
  <c r="I374" i="2"/>
  <c r="I321" i="2"/>
  <c r="I373" i="2"/>
  <c r="I372" i="2"/>
  <c r="I371" i="2"/>
  <c r="I370" i="2"/>
  <c r="I369" i="2"/>
  <c r="I268" i="2"/>
  <c r="I267" i="2"/>
  <c r="I266" i="2"/>
  <c r="I265" i="2"/>
  <c r="I264" i="2"/>
  <c r="I263" i="2"/>
  <c r="I262" i="2"/>
  <c r="I261" i="2"/>
  <c r="I260" i="2"/>
  <c r="I360" i="2"/>
  <c r="I359" i="2"/>
  <c r="I358" i="2"/>
  <c r="I255" i="2"/>
  <c r="I254" i="2"/>
  <c r="I355" i="2"/>
  <c r="I354" i="2"/>
  <c r="I353" i="2"/>
  <c r="I352" i="2"/>
  <c r="I351" i="2"/>
  <c r="I350" i="2"/>
  <c r="I349" i="2"/>
  <c r="I348" i="2"/>
  <c r="I309" i="2"/>
  <c r="I308" i="2"/>
  <c r="I245" i="2"/>
  <c r="I244" i="2"/>
  <c r="I243" i="2"/>
  <c r="I242" i="2"/>
  <c r="I241" i="2"/>
  <c r="I240" i="2"/>
  <c r="I239" i="2"/>
  <c r="I238" i="2"/>
  <c r="I319" i="2"/>
  <c r="I237" i="2"/>
  <c r="I236" i="2"/>
  <c r="I336" i="2"/>
  <c r="I306" i="2"/>
  <c r="I335" i="2"/>
  <c r="I334" i="2"/>
  <c r="I233" i="2"/>
  <c r="I333" i="2"/>
  <c r="I317" i="2"/>
  <c r="I332" i="2"/>
  <c r="I331" i="2"/>
  <c r="I330" i="2"/>
  <c r="I329" i="2"/>
  <c r="I304" i="2"/>
  <c r="I328" i="2"/>
  <c r="I226" i="2"/>
  <c r="I225" i="2"/>
  <c r="I232" i="2"/>
  <c r="I305" i="2"/>
  <c r="I231" i="2"/>
  <c r="I230" i="2"/>
  <c r="I229" i="2"/>
  <c r="I316" i="2"/>
  <c r="I228" i="2"/>
  <c r="I227" i="2"/>
  <c r="I327" i="2"/>
  <c r="I1205" i="2"/>
  <c r="I1210" i="2"/>
  <c r="I1299" i="2"/>
  <c r="I1298" i="2"/>
  <c r="I1366" i="2"/>
  <c r="I1365" i="2"/>
  <c r="I1364" i="2"/>
  <c r="I1294" i="2"/>
  <c r="I1293" i="2"/>
  <c r="I1292" i="2"/>
  <c r="I1291" i="2"/>
  <c r="I1290" i="2"/>
  <c r="I1289" i="2"/>
  <c r="I1288" i="2"/>
  <c r="I1357" i="2"/>
  <c r="I1356" i="2"/>
  <c r="I1355" i="2"/>
  <c r="I1354" i="2"/>
  <c r="I1283" i="2"/>
  <c r="I1282" i="2"/>
  <c r="I1281" i="2"/>
  <c r="I1280" i="2"/>
  <c r="I1279" i="2"/>
  <c r="I1278" i="2"/>
  <c r="I1277" i="2"/>
  <c r="I1276" i="2"/>
  <c r="I1302" i="2"/>
  <c r="I1275" i="2"/>
  <c r="I1274" i="2"/>
  <c r="I1273" i="2"/>
  <c r="I1272" i="2"/>
  <c r="I1271" i="2"/>
  <c r="I1270" i="2"/>
  <c r="I1338" i="2"/>
  <c r="I1269" i="2"/>
  <c r="I1268" i="2"/>
  <c r="I1334" i="2"/>
  <c r="I1333" i="2"/>
  <c r="I1332" i="2"/>
  <c r="I1331" i="2"/>
  <c r="I1263" i="2"/>
  <c r="I1262" i="2"/>
  <c r="I1261" i="2"/>
  <c r="I1260" i="2"/>
  <c r="I1326" i="2"/>
  <c r="I1325" i="2"/>
  <c r="I1305" i="2"/>
  <c r="I1257" i="2"/>
  <c r="I1256" i="2"/>
  <c r="I1255" i="2"/>
  <c r="I1320" i="2"/>
  <c r="I1319" i="2"/>
  <c r="I1318" i="2"/>
  <c r="I1369" i="2"/>
  <c r="I1368" i="2"/>
  <c r="I1367" i="2"/>
  <c r="I1297" i="2"/>
  <c r="I1296" i="2"/>
  <c r="I1295" i="2"/>
  <c r="I1363" i="2"/>
  <c r="I1362" i="2"/>
  <c r="I1361" i="2"/>
  <c r="I1360" i="2"/>
  <c r="I1359" i="2"/>
  <c r="I1358" i="2"/>
  <c r="I1287" i="2"/>
  <c r="I1286" i="2"/>
  <c r="I1285" i="2"/>
  <c r="I1284" i="2"/>
  <c r="I1353" i="2"/>
  <c r="I1352" i="2"/>
  <c r="I1351" i="2"/>
  <c r="I1350" i="2"/>
  <c r="I1349" i="2"/>
  <c r="I1348" i="2"/>
  <c r="I1347" i="2"/>
  <c r="I1346" i="2"/>
  <c r="I1306" i="2"/>
  <c r="I1345" i="2"/>
  <c r="I1344" i="2"/>
  <c r="I1343" i="2"/>
  <c r="I1342" i="2"/>
  <c r="I1341" i="2"/>
  <c r="I1340" i="2"/>
  <c r="I1339" i="2"/>
  <c r="I1337" i="2"/>
  <c r="I1336" i="2"/>
  <c r="I1335" i="2"/>
  <c r="I1267" i="2"/>
  <c r="I1266" i="2"/>
  <c r="I1265" i="2"/>
  <c r="I1264" i="2"/>
  <c r="I1330" i="2"/>
  <c r="I1329" i="2"/>
  <c r="I1328" i="2"/>
  <c r="I1327" i="2"/>
  <c r="I1259" i="2"/>
  <c r="I1258" i="2"/>
  <c r="I1324" i="2"/>
  <c r="I1323" i="2"/>
  <c r="I1322" i="2"/>
  <c r="I1321" i="2"/>
  <c r="I1254" i="2"/>
  <c r="I1253" i="2"/>
  <c r="I1252" i="2"/>
  <c r="I1251" i="2"/>
  <c r="I1250" i="2"/>
  <c r="I1249" i="2"/>
  <c r="I1248" i="2"/>
  <c r="I1304" i="2"/>
  <c r="I1247" i="2"/>
  <c r="I1246" i="2"/>
  <c r="I1245" i="2"/>
  <c r="I1244" i="2"/>
  <c r="I1243" i="2"/>
  <c r="I1300" i="2"/>
  <c r="I1242" i="2"/>
  <c r="I1241" i="2"/>
  <c r="I1317" i="2"/>
  <c r="I1316" i="2"/>
  <c r="I1315" i="2"/>
  <c r="I1314" i="2"/>
  <c r="I1313" i="2"/>
  <c r="I1301" i="2"/>
  <c r="I1312" i="2"/>
  <c r="I1311" i="2"/>
  <c r="I1310" i="2"/>
  <c r="I1309" i="2"/>
  <c r="I1303" i="2"/>
  <c r="I1308" i="2"/>
  <c r="I1307" i="2"/>
  <c r="H1898" i="2" l="1"/>
  <c r="I2069" i="2"/>
  <c r="H2069" i="2" s="1"/>
  <c r="I2068" i="2"/>
  <c r="H2068" i="2" s="1"/>
  <c r="I2071" i="2"/>
  <c r="H2071" i="2" s="1"/>
  <c r="I2073" i="2"/>
  <c r="H2073" i="2" s="1"/>
  <c r="I2077" i="2"/>
  <c r="H2077" i="2" s="1"/>
  <c r="I2070" i="2"/>
  <c r="H2070" i="2" s="1"/>
  <c r="I2074" i="2"/>
  <c r="H2074" i="2" s="1"/>
  <c r="I2072" i="2"/>
  <c r="H2072" i="2" s="1"/>
  <c r="I2075" i="2"/>
  <c r="H2075" i="2" s="1"/>
  <c r="H2067" i="2"/>
  <c r="I2080" i="2"/>
  <c r="H2080" i="2" s="1"/>
  <c r="I2076" i="2"/>
  <c r="H2076" i="2" s="1"/>
  <c r="H2066" i="2" l="1"/>
</calcChain>
</file>

<file path=xl/sharedStrings.xml><?xml version="1.0" encoding="utf-8"?>
<sst xmlns="http://schemas.openxmlformats.org/spreadsheetml/2006/main" count="10504" uniqueCount="430">
  <si>
    <t>Generation - Hydro</t>
  </si>
  <si>
    <t>Electron</t>
  </si>
  <si>
    <t>Lower Baker</t>
  </si>
  <si>
    <t>Skookumchuck Hydro</t>
  </si>
  <si>
    <t>Snoqualmie Falls #1</t>
  </si>
  <si>
    <t>Snoqualmie Falls #2</t>
  </si>
  <si>
    <t>Upper Baker</t>
  </si>
  <si>
    <t>Generation - Steam</t>
  </si>
  <si>
    <t>Colstrip 1 &amp; 2</t>
  </si>
  <si>
    <t>Colstrip 3 &amp; 4</t>
  </si>
  <si>
    <t>Encogen</t>
  </si>
  <si>
    <t>Generation - Oil/Gas/Wind</t>
  </si>
  <si>
    <t>Crystal Mountain</t>
  </si>
  <si>
    <t>Freddie #1</t>
  </si>
  <si>
    <t>Fredonia</t>
  </si>
  <si>
    <t>Fredonia 3 &amp; 4</t>
  </si>
  <si>
    <t>Fredrickson 1 &amp; 2</t>
  </si>
  <si>
    <t>Hopkins Ridge (W184)</t>
  </si>
  <si>
    <t>Whitehorn 2&amp;3</t>
  </si>
  <si>
    <t>Purchases - Firm</t>
  </si>
  <si>
    <t>BC Hydro (Point Roberts)</t>
  </si>
  <si>
    <t>BPA</t>
  </si>
  <si>
    <t>BPA Firm - WNP#3 Exchange</t>
  </si>
  <si>
    <t>Chelan PUD - Rock Island Syst #2</t>
  </si>
  <si>
    <t>Chelan PUD - Rocky Reach</t>
  </si>
  <si>
    <t>Douglas PUD - Wells Project</t>
  </si>
  <si>
    <t>Grant PUD - Priest Rapids</t>
  </si>
  <si>
    <t>Grant PUD - Wanapum</t>
  </si>
  <si>
    <t>NWestern Energy(MPC) Firm Contract</t>
  </si>
  <si>
    <t>Snohomish PUD Conservation</t>
  </si>
  <si>
    <t>VanderHaak Dairy Digester</t>
  </si>
  <si>
    <t>WASCO Hydro</t>
  </si>
  <si>
    <t>Purchases - PURPA</t>
  </si>
  <si>
    <t>Hutchinson Creek</t>
  </si>
  <si>
    <t>Koma Kulshan Associates</t>
  </si>
  <si>
    <t>Nooksack</t>
  </si>
  <si>
    <t>Port Townsend Paper Co.</t>
  </si>
  <si>
    <t>Puyallup Energy Recovery Company</t>
  </si>
  <si>
    <t>Spokane MSW</t>
  </si>
  <si>
    <t>Sumas Cogeneration</t>
  </si>
  <si>
    <t>Sygitowicz Creek</t>
  </si>
  <si>
    <t>Tenaska</t>
  </si>
  <si>
    <t>Twin Falls Hydro</t>
  </si>
  <si>
    <t>Weeks Falls</t>
  </si>
  <si>
    <t>Purchases - Secondary</t>
  </si>
  <si>
    <t>Arizona Public Service</t>
  </si>
  <si>
    <t>ATCO Power Canada</t>
  </si>
  <si>
    <t>Avista Corp. WWP Division</t>
  </si>
  <si>
    <t>Avista Energy</t>
  </si>
  <si>
    <t>Benton County PUD</t>
  </si>
  <si>
    <t>Black Hills Power</t>
  </si>
  <si>
    <t>Book Outs - EITF 03-11</t>
  </si>
  <si>
    <t>BP Energy Co.</t>
  </si>
  <si>
    <t>Burbank, City of</t>
  </si>
  <si>
    <t>Calpine Energy Management</t>
  </si>
  <si>
    <t>Calpine Energy Services</t>
  </si>
  <si>
    <t>Cargill Power Markets</t>
  </si>
  <si>
    <t>Chelan County PUD #1</t>
  </si>
  <si>
    <t>Citigroup Energy Inc</t>
  </si>
  <si>
    <t>Clatskanie PUD</t>
  </si>
  <si>
    <t>Conoco, Inc.</t>
  </si>
  <si>
    <t>Constellation Power Source, Inc.</t>
  </si>
  <si>
    <t>Douglas County PUD #1</t>
  </si>
  <si>
    <t>ENMAX Energy Marketing, Inc.</t>
  </si>
  <si>
    <t>Epcor Merchant &amp; Capital</t>
  </si>
  <si>
    <t>Eugene Water &amp; Electric</t>
  </si>
  <si>
    <t>Franklin County PUD #1</t>
  </si>
  <si>
    <t>Grant County PUD #2</t>
  </si>
  <si>
    <t>Grays Harbor PUD #1</t>
  </si>
  <si>
    <t>Iberdrola Renewables (PPM Energy)</t>
  </si>
  <si>
    <t>Idaho Falls Power</t>
  </si>
  <si>
    <t>Idaho Power Company</t>
  </si>
  <si>
    <t>J. Aron &amp; Company</t>
  </si>
  <si>
    <t>Klamath Falls, City of</t>
  </si>
  <si>
    <t>Los Angeles Dept. Water &amp; Power</t>
  </si>
  <si>
    <t>Macquarie Energy LLC</t>
  </si>
  <si>
    <t>Merrill Lynch Commodities</t>
  </si>
  <si>
    <t>Modesto Irrigation District</t>
  </si>
  <si>
    <t>Morgan Stanley CG</t>
  </si>
  <si>
    <t>N. California Power Agency</t>
  </si>
  <si>
    <t>Noble Americas Energy Solutions</t>
  </si>
  <si>
    <t>NorthPoint Energy Solutions, Inc.</t>
  </si>
  <si>
    <t>Northwestern Energy</t>
  </si>
  <si>
    <t>Okanogan PUD</t>
  </si>
  <si>
    <t>Pacific Northwest Generatin Coop.</t>
  </si>
  <si>
    <t>Pacificorp</t>
  </si>
  <si>
    <t>Pinnacle West Capital Corp</t>
  </si>
  <si>
    <t>Portland General Electric</t>
  </si>
  <si>
    <t>Powerex Corp.</t>
  </si>
  <si>
    <t>PP&amp;L Montana, LLC.</t>
  </si>
  <si>
    <t>Public Service of Colorado</t>
  </si>
  <si>
    <t>Rainbow Energy Marketing</t>
  </si>
  <si>
    <t>Redding, City of</t>
  </si>
  <si>
    <t>Sacramento Municipal</t>
  </si>
  <si>
    <t>San Diego Gas &amp; Electric</t>
  </si>
  <si>
    <t>Seattle City Light Marketing</t>
  </si>
  <si>
    <t>Sempra Energy Trading</t>
  </si>
  <si>
    <t>Shell Energy (Coral Pwr)</t>
  </si>
  <si>
    <t>Sierra Pacific Power</t>
  </si>
  <si>
    <t>Silicon Valley Pwr - Santa Clara</t>
  </si>
  <si>
    <t>Snohomish County PUD #1</t>
  </si>
  <si>
    <t>Southern Cal - Edison</t>
  </si>
  <si>
    <t>SUEZ Energy Marketing (Tractebel)</t>
  </si>
  <si>
    <t>Tacoma Power</t>
  </si>
  <si>
    <t>TransAlta Energy Marketing</t>
  </si>
  <si>
    <t>TransCanada Power Corp.</t>
  </si>
  <si>
    <t>Turlock Irrigation District</t>
  </si>
  <si>
    <t>UBS AG</t>
  </si>
  <si>
    <t>Western Area Power Association</t>
  </si>
  <si>
    <t>Interchange - In</t>
  </si>
  <si>
    <t>Black Creek Hydro</t>
  </si>
  <si>
    <t>Pacific Gas &amp; Elec - Exchange</t>
  </si>
  <si>
    <t>Powerex - Exchange</t>
  </si>
  <si>
    <t>Interchange - Out</t>
  </si>
  <si>
    <t>Deviation</t>
  </si>
  <si>
    <t>BPA - NWPP Reserve Sharing Energy</t>
  </si>
  <si>
    <t>BPA - PTP Transactions</t>
  </si>
  <si>
    <t>BPA - SCD Hourly NF</t>
  </si>
  <si>
    <t>BPA - Spin Reserv Requirement</t>
  </si>
  <si>
    <t>BPA IS - Hourly Non-Firm</t>
  </si>
  <si>
    <t>Sales for Resale</t>
  </si>
  <si>
    <t>Hinson Power Company</t>
  </si>
  <si>
    <t>Coal</t>
  </si>
  <si>
    <t>Gas</t>
  </si>
  <si>
    <t>Diesel</t>
  </si>
  <si>
    <t>Renewable</t>
  </si>
  <si>
    <t>Wild Horse (W183)</t>
  </si>
  <si>
    <t>Barclays Bank Plc</t>
  </si>
  <si>
    <t>Bear Energy LP</t>
  </si>
  <si>
    <t>Cincinnati Gas &amp; Electric Co</t>
  </si>
  <si>
    <t>Cinergy Services</t>
  </si>
  <si>
    <t>DB Energy Trading LLC</t>
  </si>
  <si>
    <t>Fortis Energy Marketing &amp; Trading</t>
  </si>
  <si>
    <t>JP Morgan Ventures Energy</t>
  </si>
  <si>
    <t>King County</t>
  </si>
  <si>
    <t>Lehman Bros Commodity Services</t>
  </si>
  <si>
    <t>New Mexico, Public Service Company</t>
  </si>
  <si>
    <t>Occidental Power Services</t>
  </si>
  <si>
    <t>PG&amp;E Energy Trading</t>
  </si>
  <si>
    <t>Wild Horse Test Power</t>
  </si>
  <si>
    <t>Williams Power Company</t>
  </si>
  <si>
    <t>Tacoma, City of</t>
  </si>
  <si>
    <t>Storage/Interchange - Out</t>
  </si>
  <si>
    <t>British Columbia Transmission Corp</t>
  </si>
  <si>
    <t>Goldendale</t>
  </si>
  <si>
    <t>Klondike Wind Power III</t>
  </si>
  <si>
    <t>CP Energy Marketing (Epcor)</t>
  </si>
  <si>
    <t>Credit Suisse Energy, LLC</t>
  </si>
  <si>
    <t>Highland Energy LLC</t>
  </si>
  <si>
    <t>Pacific Summit Energy LLC</t>
  </si>
  <si>
    <t>Pinnacle West Marketing &amp; Trading</t>
  </si>
  <si>
    <t>Sierra Pacific Industries</t>
  </si>
  <si>
    <t>Talen Energy (PPL Energy Plus)</t>
  </si>
  <si>
    <t>The Energy Authority</t>
  </si>
  <si>
    <t>TransCanada Energy Marketing</t>
  </si>
  <si>
    <t>Sumas</t>
  </si>
  <si>
    <t>Mint Farm</t>
  </si>
  <si>
    <t>Integrys Energy Services, Inc</t>
  </si>
  <si>
    <t>Louis Dreyfus Energy</t>
  </si>
  <si>
    <t>BPA - CA Wind Integration</t>
  </si>
  <si>
    <t>Synergy Power Marketing</t>
  </si>
  <si>
    <t>Farm Power Rexville LLC</t>
  </si>
  <si>
    <t>Grant PUD - Priest Rapids Project</t>
  </si>
  <si>
    <t>Qualco Energy</t>
  </si>
  <si>
    <t>Eagle Energy Partners</t>
  </si>
  <si>
    <t>EDF Trading NA LLC</t>
  </si>
  <si>
    <t>Endure Energy LLC</t>
  </si>
  <si>
    <t>TransCanada Energy Sales Ltd</t>
  </si>
  <si>
    <t>Natur Ener USA</t>
  </si>
  <si>
    <t>Farm Power Lynden LLC</t>
  </si>
  <si>
    <t>BNP Paribas Energy Trading</t>
  </si>
  <si>
    <t>Citigroup Energy (Financial)</t>
  </si>
  <si>
    <t>Morgan Stanley CG (Financial)</t>
  </si>
  <si>
    <t>NextEra Energy Power Marketing</t>
  </si>
  <si>
    <t>Shell Energy NA (Financial)</t>
  </si>
  <si>
    <t>3 Bar G Wind Turbine #3 LLC</t>
  </si>
  <si>
    <t>Black Creek Hydro Inc</t>
  </si>
  <si>
    <t>Chelan PUD - RI &amp; RR</t>
  </si>
  <si>
    <t>Island Community Solar LLC</t>
  </si>
  <si>
    <t>Knudsen Wind Turbine #1</t>
  </si>
  <si>
    <t>Smith Creek Hydro</t>
  </si>
  <si>
    <t>Van Dyk - S Holsteins</t>
  </si>
  <si>
    <t>Clark Public Utilities</t>
  </si>
  <si>
    <t>EDF Trading (Financial)</t>
  </si>
  <si>
    <t>Exelon Generation Co LLC</t>
  </si>
  <si>
    <t>Noble Americas Gas &amp; Power</t>
  </si>
  <si>
    <t>Tenaska Power Services Co.</t>
  </si>
  <si>
    <t>Deferral Offsets</t>
  </si>
  <si>
    <t>Ferndale Co-Generation</t>
  </si>
  <si>
    <t>Lower Snake River</t>
  </si>
  <si>
    <t>CC Solar 1 and CC Solar 2</t>
  </si>
  <si>
    <t>Edaleen Dairy LLC</t>
  </si>
  <si>
    <t>Klamath Falls (Iberdrola)</t>
  </si>
  <si>
    <t>Rainier Bio Gas</t>
  </si>
  <si>
    <t>Swauk Wind</t>
  </si>
  <si>
    <t>Bio Energy Washington (BEW)</t>
  </si>
  <si>
    <t>Lake Washington -- Finn Hill</t>
  </si>
  <si>
    <t>Brookfield Energy Marketing</t>
  </si>
  <si>
    <t>Tri-State Generation and Transmissi</t>
  </si>
  <si>
    <t>Fortis BC</t>
  </si>
  <si>
    <t>BIO FUEL WA</t>
  </si>
  <si>
    <t>California ISO</t>
  </si>
  <si>
    <t>Exelon Generation (Financial)</t>
  </si>
  <si>
    <t>Vitol Inc.</t>
  </si>
  <si>
    <t>Transalta Centralia Generation LLC</t>
  </si>
  <si>
    <t>Electron Hydro, LLC</t>
  </si>
  <si>
    <t>City of Idaho Falls</t>
  </si>
  <si>
    <t>Avista Nichols Pump</t>
  </si>
  <si>
    <t>Nevada Power Company</t>
  </si>
  <si>
    <t>Type</t>
  </si>
  <si>
    <t>Year</t>
  </si>
  <si>
    <t>Sort Order</t>
  </si>
  <si>
    <t>Facility / Firm</t>
  </si>
  <si>
    <t>Fuel (Primary)</t>
  </si>
  <si>
    <t>MWh</t>
  </si>
  <si>
    <t>PSE Generation</t>
  </si>
  <si>
    <t>Secondary</t>
  </si>
  <si>
    <t>System</t>
  </si>
  <si>
    <t>Primary / Secondary Claim</t>
  </si>
  <si>
    <t>Firm Primary</t>
  </si>
  <si>
    <t>Notes</t>
  </si>
  <si>
    <t>Solar</t>
  </si>
  <si>
    <t>Biomass</t>
  </si>
  <si>
    <t>Hydro</t>
  </si>
  <si>
    <t>CCCT</t>
  </si>
  <si>
    <t>Black Liquor</t>
  </si>
  <si>
    <t>Landfill Gas</t>
  </si>
  <si>
    <t>MSW</t>
  </si>
  <si>
    <t>Not renewable</t>
  </si>
  <si>
    <t>Wind</t>
  </si>
  <si>
    <t>Not applicable, financial settlement only</t>
  </si>
  <si>
    <t>For correcting sale &amp; purchases on same line at same time</t>
  </si>
  <si>
    <t>Digester</t>
  </si>
  <si>
    <t>Colstrip 100 MW contract</t>
  </si>
  <si>
    <t>Coal contract (retirement settlement agreement)</t>
  </si>
  <si>
    <t>Per Ken Finnicle - "The BPA contract is a hydroelectric contract.  BPA provides to PSE the Army Corps of Engineers energy losses for flood storage space in Upper Baker."</t>
  </si>
  <si>
    <t>Per Brennan Mueller: "The BPA WNP3 agreement works the same way [as Barclays] but the price (and maybe quantity) are tied to the performance of "proxy" nuclear plants. This agreement originated as compensation to PSE from BPA for a potential nuclear plant that we invested in but never got built.</t>
  </si>
  <si>
    <t>Emerald City Renewables</t>
  </si>
  <si>
    <t>Secondary purchases to serve PSE load, unspecified</t>
  </si>
  <si>
    <t>When power is purchased and sold on the same line at the same time, financial settlement only, no MWhrs are delivered (cancels out)</t>
  </si>
  <si>
    <t>CAISO EESC Load Undistributed Costs</t>
  </si>
  <si>
    <t>Cargill (Financial)</t>
  </si>
  <si>
    <t>Interchange-out deviation</t>
  </si>
  <si>
    <t>Interchange-out, secondardy purchases to servce PSE load, unspecified</t>
  </si>
  <si>
    <t>Sales to other entities (Sales for Resale) for the purpose of balancing PSE system load</t>
  </si>
  <si>
    <t>lbs CO2/MWh</t>
  </si>
  <si>
    <t>Short Tons CO2</t>
  </si>
  <si>
    <t>Landfill gas</t>
  </si>
  <si>
    <t>Source</t>
  </si>
  <si>
    <t>System power (but Firm Contract)</t>
  </si>
  <si>
    <t>Emissions Factor (Tons CO2/mmBtu)</t>
  </si>
  <si>
    <t>Emission Factor Notes</t>
  </si>
  <si>
    <t>MMBtu (from EIA-923)</t>
  </si>
  <si>
    <t>Total Short Tons CO2</t>
  </si>
  <si>
    <t>March Point Cogen. - 1 &amp; 2</t>
  </si>
  <si>
    <t>Factor from EPA CPP TSD, pp. 41-50; Fuel use MMBtu (for Elec.) and Net Gen (MWh) from EIA-923 in the reporting year</t>
  </si>
  <si>
    <t>Calculated Emission Rate</t>
  </si>
  <si>
    <t>Total Net Gen. (MWh) from EIA-923</t>
  </si>
  <si>
    <t>Calculated emission rate from PSE GHG Inventory report, Table 3-2</t>
  </si>
  <si>
    <t>CEMS reported value, from GHG Inventory report, Table 3-2</t>
  </si>
  <si>
    <t>CEMS reported value, from GHG Inventory report</t>
  </si>
  <si>
    <t>GHG Inventory Table</t>
  </si>
  <si>
    <t>GHG Inventory Table 3-2</t>
  </si>
  <si>
    <t>CEMS reported value, from GHG Inventory report Table 3-2</t>
  </si>
  <si>
    <t>GHG Inventory Table 3-1</t>
  </si>
  <si>
    <t>Calculated emission rate from PSE GHG Inventory report, Table 5-3</t>
  </si>
  <si>
    <t>CEMS reported value, from GHG Inventory report Table 5-3</t>
  </si>
  <si>
    <t>GHG Inventory Table 5-3</t>
  </si>
  <si>
    <t>Calculated emission rate from PSE GHG Inventory report, Table 6-3</t>
  </si>
  <si>
    <t>CEMS reported value, from GHG Inventory report 6-3</t>
  </si>
  <si>
    <t>GHG Inventory Table 6-3</t>
  </si>
  <si>
    <t>Row Labels</t>
  </si>
  <si>
    <t>Grand Total</t>
  </si>
  <si>
    <t>Column Labels</t>
  </si>
  <si>
    <t>Sum of Short Tons CO2</t>
  </si>
  <si>
    <t>(MWh)</t>
  </si>
  <si>
    <t>Total Population Served</t>
  </si>
  <si>
    <t>Emissions</t>
  </si>
  <si>
    <t>%</t>
  </si>
  <si>
    <t>Sum of MWh</t>
  </si>
  <si>
    <t>Total Sum of MWh</t>
  </si>
  <si>
    <t>Total Sum of Short Tons CO2</t>
  </si>
  <si>
    <t>Totals (all resources)</t>
  </si>
  <si>
    <t>All Other</t>
  </si>
  <si>
    <t>PSE Owned Coal</t>
  </si>
  <si>
    <t>PSE Firm Coal</t>
  </si>
  <si>
    <t>PSE Owned Gas</t>
  </si>
  <si>
    <t>PSE Firm Gas</t>
  </si>
  <si>
    <t>PSE Own All Other</t>
  </si>
  <si>
    <t>PSE Firm All Other</t>
  </si>
  <si>
    <t>Thermal Coal + Gas aMW (ID, MT, OR, WA)</t>
  </si>
  <si>
    <t>Hydro aMW - (Idaho, Montana, Oregon, Washington)</t>
  </si>
  <si>
    <t>Total</t>
  </si>
  <si>
    <t>Oil</t>
  </si>
  <si>
    <t>GRIDFORCE ENERGY MANAGEMENT, LLC.</t>
  </si>
  <si>
    <t>CAISO PRSC Undistributed Costs</t>
  </si>
  <si>
    <t>Colstrip - Energy Imbalance Market</t>
  </si>
  <si>
    <t>Fredonia - Energy Imbalance Market</t>
  </si>
  <si>
    <t>MID-C for Energy Imbalance Market</t>
  </si>
  <si>
    <t>Snoqualmie-Energy Imbalance Market</t>
  </si>
  <si>
    <t>For correcting sale &amp; purchases on same line at same time, assign zero emission rate</t>
  </si>
  <si>
    <t>Our power over other lines, 3rd party sales (wholesale)</t>
  </si>
  <si>
    <t>Interchange-in, secondardy purchases to service PSE load, unspecified</t>
  </si>
  <si>
    <t>Interchange-out, secondardy purchases to service PSE load, unspecified</t>
  </si>
  <si>
    <t xml:space="preserve">Treat these as secondary purchases even if it's a PSE resource. The way EIM works: Step 1) Actual meter read compared to base schedule (in the hour), Step 2) If meter &gt; than base schedule, sale occurred. </t>
  </si>
  <si>
    <t>From CEMS Report (Subpart D) / Part 75 / Acid Rain</t>
  </si>
  <si>
    <t>Generation - Steam, Oil &amp; Gas</t>
  </si>
  <si>
    <t>EPA GHG MRR Subpart C (40 CFR 98.33) Tier 4, 0.138 MMBtu/gallon</t>
  </si>
  <si>
    <t>CO2 Short Tons</t>
  </si>
  <si>
    <t>MWhr</t>
  </si>
  <si>
    <t>CO2 Metric Tons</t>
  </si>
  <si>
    <t>lb/MWh</t>
  </si>
  <si>
    <t>System power / Centralia Adjustment</t>
  </si>
  <si>
    <t>Transalta Centralia Generation LLC - Bookout Source Other Adjustment</t>
  </si>
  <si>
    <t>Metric Tons (CO2, not CO2e)</t>
  </si>
  <si>
    <t>Total for % breakout</t>
  </si>
  <si>
    <t>Percentage Emissions for chart</t>
  </si>
  <si>
    <t>Percentage MWh for chart</t>
  </si>
  <si>
    <t>Metric Ton</t>
  </si>
  <si>
    <t>Unspecified</t>
  </si>
  <si>
    <t>Total Population Served 1990</t>
  </si>
  <si>
    <t>CO2 short to metric conversion</t>
  </si>
  <si>
    <t>% of Total</t>
  </si>
  <si>
    <t>PSE Only Total</t>
  </si>
  <si>
    <t>Firm Total</t>
  </si>
  <si>
    <t>Unspecfied Total</t>
  </si>
  <si>
    <t>Energy</t>
  </si>
  <si>
    <t>Short Ton</t>
  </si>
  <si>
    <t>Intensity</t>
  </si>
  <si>
    <t>Deliveries up by 17% to make up for less PSE thermal generation.</t>
  </si>
  <si>
    <t>(Short Ton)</t>
  </si>
  <si>
    <t>Totals</t>
  </si>
  <si>
    <t>1990 Baseline</t>
  </si>
  <si>
    <t>Energy up slightly, but emissions down. This was due to a higher (i.e., inefficent) emission rate in 2015.</t>
  </si>
  <si>
    <t>Energy and emissions were equally down by 5% from previous year.</t>
  </si>
  <si>
    <t>Owned gas generation down by close to 30% from previous year. Goldendale (a baseload CCCT) was in outage much of the year due to an upgrade.</t>
  </si>
  <si>
    <t>The Firm Gas category is a very small percentage of total energy deliveries, does not substantively add to total emissions and emissions intensity.</t>
  </si>
  <si>
    <t>This category is made up of most PSE-owned renewables (hydro, wind, solar). The emissions in this category come from small backup diesel generating power only. Renewable power was up approximately 15% from the previous year, which is why total energy is up.</t>
  </si>
  <si>
    <t>Total energy delievered up by 3% from the previous year, but total emissions down by 3% from the previous year, largely due to more efficient annual emission rate at Colstrip (emissions down 8%), less coal deliveries from Centralia (emissions down 5%), less PSE gas generation (emissions down 25%), and more low/zero-emitting firm deliveries (firm energy up 21%).</t>
  </si>
  <si>
    <t>Firm deliveries were up by 21% from the previous year to make up for less PSE thermal generation. Emissions are from four (4) firm contract sources. Three (3) are assigned a system rate due to contract structure (BC Hydro, BPA WNP#3 Exchange, Centralia Coal Market). Klamath Falls CT assigned emission rate based on EIA heat input and generation, however Klamath deliveries nominal.</t>
  </si>
  <si>
    <t>PSE Coal Only</t>
  </si>
  <si>
    <t>PSE Gas Only</t>
  </si>
  <si>
    <t>% PSE Only Thermal</t>
  </si>
  <si>
    <t>MWh Total (2007-2016)</t>
  </si>
  <si>
    <t>Short Ton Total (2007-2016)</t>
  </si>
  <si>
    <t>% PSE Only (All Owned)</t>
  </si>
  <si>
    <t>Resource Category</t>
  </si>
  <si>
    <t>PSE Owned</t>
  </si>
  <si>
    <t>Firm</t>
  </si>
  <si>
    <t>All (Own, Firm, Unspecified)</t>
  </si>
  <si>
    <t>Unknown</t>
  </si>
  <si>
    <t>Blocks Dairy Farm</t>
  </si>
  <si>
    <t>Ikea Solar</t>
  </si>
  <si>
    <t>Energy Keepers Inc.</t>
  </si>
  <si>
    <t>2008       1024 lbs CO2/MWh</t>
  </si>
  <si>
    <t>2009       1119 lbs CO2/MWh</t>
  </si>
  <si>
    <t>2010       1192 lbs CO2/MWh</t>
  </si>
  <si>
    <t>2011       905 lbs CO2/MWh</t>
  </si>
  <si>
    <t>2012       903 lbs CO2/MWh</t>
  </si>
  <si>
    <t>2013       1,132 lbs CO2/MWh</t>
  </si>
  <si>
    <t>2014       1,014 lbs CO2/MWh - revised to reflect additional data not provided to Commerce when original calculation was made</t>
  </si>
  <si>
    <t>2015       1,074 lbs CO2/MWh - changed from a 10 year weighted average to a calculation derived from the data in the 2015 fuel mix report</t>
  </si>
  <si>
    <t>2016       895 lbs CO2/MWh - changed from a placeholder used in the last round of EEI reports to a calculation derived from the data in the 2016 fuel mix report</t>
  </si>
  <si>
    <t xml:space="preserve">2017       1,004 lbs CO2/MWh - simple average of previous </t>
  </si>
  <si>
    <t>lb-CO2/MWh</t>
  </si>
  <si>
    <t>Rate calculated using GADS (gross generation plant total) and EPA CEMS plant total</t>
  </si>
  <si>
    <t>EPA GHG MRR Subpart C (40 CFR 98.33) Tier 4, 0.1388 MMBtu/gallon (Annette Moore, fuel report)</t>
  </si>
  <si>
    <t>Note - 2017 from new Pivot Chart, refresh as updates/corrections are made</t>
  </si>
  <si>
    <t>2008-2017</t>
  </si>
  <si>
    <t>Total Energy Delivered &amp; Total Emissions 2017</t>
  </si>
  <si>
    <t>Total Energy Delivered &amp; Total Emissions 2008 - 2017</t>
  </si>
  <si>
    <t>Comparison Continued: 2017 v. 2016</t>
  </si>
  <si>
    <t>Comment / Observations (2017)</t>
  </si>
  <si>
    <t>Comment / Observations (2016)</t>
  </si>
  <si>
    <t>Total energy delivered down by 8% from the previous year, and total emissions also down by 2%.</t>
  </si>
  <si>
    <t>Commerce - NWPP (per A. Burrell &amp; K. Frankiewich)</t>
  </si>
  <si>
    <t>Commerce Fuel Mix Report - used in EEI reports for unknown sources (K. Frankiewich)</t>
  </si>
  <si>
    <t>Energy down by 1%, emissions down 3%.</t>
  </si>
  <si>
    <t>Energy and emissions down 8%.</t>
  </si>
  <si>
    <t>This consists of PSE-owned renewables (hydro, wind, solar) and one small diesel powered backup generator. The emissions in this category come from the backup generator used solely for emergency use. Energy delivered was down approximately 12% (less renewable generation in 2017).</t>
  </si>
  <si>
    <t>Energy up by 32% and emissions up by 30%, PSE took more energy from the Transalta contract in 2017 than in 2016.</t>
  </si>
  <si>
    <t xml:space="preserve">PSE did not purchase energy from a gas resources under firm contract in 2017, and PSE only purchased 200 MWh under from one gas resources under firm contract in 2016. </t>
  </si>
  <si>
    <t>Firm deliveries up slightly (1%) from the previous year. Emissions are from four (4) firm contract sources and are assigned a system rate due to contract structure. However, emissions were up 24% because the system emission rate went up from 895 lb/MWh in 2016 to 1,004 lb/MWh in 2017.</t>
  </si>
  <si>
    <t>Unspecfied purchased down by 39% from 2016.</t>
  </si>
  <si>
    <t>Comparison: 2017 v. 2016</t>
  </si>
  <si>
    <t>2017 v. 2016</t>
  </si>
  <si>
    <t>All Firm</t>
  </si>
  <si>
    <t>Rate difference -</t>
  </si>
  <si>
    <t>All PSE Generation</t>
  </si>
  <si>
    <t>Less</t>
  </si>
  <si>
    <t>More</t>
  </si>
  <si>
    <t>Trend 2016 to 2017</t>
  </si>
  <si>
    <t>Firm Renewable Only MWh (2017)</t>
  </si>
  <si>
    <t>Firm Contracts - Biogas</t>
  </si>
  <si>
    <t>Firm Contracts - Hydro</t>
  </si>
  <si>
    <t>Firm Contracts - Solar</t>
  </si>
  <si>
    <t>Firm Contracts - Wind</t>
  </si>
  <si>
    <t>From GHG Inventory Roll-up -</t>
  </si>
  <si>
    <r>
      <t>Rate (lb-CO</t>
    </r>
    <r>
      <rPr>
        <vertAlign val="subscript"/>
        <sz val="11"/>
        <color theme="1"/>
        <rFont val="Calibri"/>
        <family val="2"/>
        <scheme val="minor"/>
      </rPr>
      <t>2</t>
    </r>
    <r>
      <rPr>
        <sz val="11"/>
        <color theme="1"/>
        <rFont val="Calibri"/>
        <family val="2"/>
        <scheme val="minor"/>
      </rPr>
      <t>/MWh)</t>
    </r>
  </si>
  <si>
    <t>Total Portfolio Emission Rate Average</t>
  </si>
  <si>
    <t xml:space="preserve">Emission rates calculated using WUTC protocols pursuant to WAC 480-109-300 and the Orders therein. </t>
  </si>
  <si>
    <t>Emission rates updated 4.18.2018.</t>
  </si>
  <si>
    <t>Encogen 1</t>
  </si>
  <si>
    <t>Encogen 2</t>
  </si>
  <si>
    <t>Encogen 3</t>
  </si>
  <si>
    <t>Ferndale 1</t>
  </si>
  <si>
    <t>Ferndale 2</t>
  </si>
  <si>
    <t>Frederickson 1</t>
  </si>
  <si>
    <t>Frederickson 2</t>
  </si>
  <si>
    <t>Fredonia 1</t>
  </si>
  <si>
    <t>Fredonia 2</t>
  </si>
  <si>
    <t>Fredonia 3</t>
  </si>
  <si>
    <t>Fredonia 4</t>
  </si>
  <si>
    <t>Frederickson Unit 1</t>
  </si>
  <si>
    <t>Whitehorn 2</t>
  </si>
  <si>
    <t>Whitehorn 3</t>
  </si>
  <si>
    <t>Data Source: GADs</t>
  </si>
  <si>
    <t>Net-by-Counterparty</t>
  </si>
  <si>
    <t>Rates (lb/MWh)</t>
  </si>
  <si>
    <t>Firm Only</t>
  </si>
  <si>
    <t>PSE Own Only</t>
  </si>
  <si>
    <t>Use for Net-by-Counterparty</t>
  </si>
  <si>
    <t>PSE Own plus Firm PPA</t>
  </si>
  <si>
    <t>PSE Own Plus FIrm</t>
  </si>
  <si>
    <t>PSE Own Plus Firm PPA</t>
  </si>
  <si>
    <t>MWh Total</t>
  </si>
  <si>
    <t>Short Ton Total</t>
  </si>
  <si>
    <t>Firm Coal</t>
  </si>
  <si>
    <t>Firm Gas</t>
  </si>
  <si>
    <t>Firm All Other (Renewable)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</si>
</sst>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_(* #,##0_);_(* \(#,##0\);_(* &quot;-&quot;??_);_(@_)"/>
    <numFmt numFmtId="165" formatCode="_(* #,##0.00000_);_(* \(#,##0.00000\);_(* &quot;-&quot;??_);_(@_)"/>
    <numFmt numFmtId="166" formatCode="_(* #,##0.0000000000_);_(* \(#,##0.0000000000\);_(* &quot;-&quot;??_);_(@_)"/>
    <numFmt numFmtId="167" formatCode="_(* #,##0.000_);_(* \(#,##0.000\);_(* &quot;-&quot;??_);_(@_)"/>
    <numFmt numFmtId="168" formatCode="0.0%"/>
    <numFmt numFmtId="169" formatCode="#,##0.0000"/>
    <numFmt numFmtId="170" formatCode="_(* #,##0.000000000_);_(* \(#,##0.000000000\);_(* &quot;-&quot;??_);_(@_)"/>
    <numFmt numFmtId="171" formatCode="0.0"/>
    <numFmt numFmtId="172" formatCode="#,##0.0"/>
    <numFmt numFmtId="173" formatCode="0.000"/>
  </numFmts>
  <fonts count="27" x14ac:knownFonts="1">
    <font>
      <sz val="11"/>
      <color theme="1"/>
      <name val="Calibri"/>
      <family val="2"/>
      <scheme val="minor"/>
    </font>
    <font>
      <sz val="11"/>
      <color theme="1"/>
      <name val="Calibri"/>
      <family val="2"/>
      <scheme val="minor"/>
    </font>
    <font>
      <sz val="10"/>
      <color theme="1"/>
      <name val="Calibri"/>
      <family val="2"/>
      <scheme val="minor"/>
    </font>
    <font>
      <sz val="10"/>
      <color indexed="8"/>
      <name val="Calibri"/>
      <family val="2"/>
      <scheme val="minor"/>
    </font>
    <font>
      <sz val="10"/>
      <name val="Calibri"/>
      <family val="2"/>
      <scheme val="minor"/>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3"/>
      <name val="Cambria"/>
      <family val="2"/>
      <scheme val="major"/>
    </font>
    <font>
      <i/>
      <sz val="11"/>
      <color theme="1"/>
      <name val="Calibri"/>
      <family val="2"/>
      <scheme val="minor"/>
    </font>
    <font>
      <b/>
      <i/>
      <sz val="11"/>
      <color theme="1"/>
      <name val="Calibri"/>
      <family val="2"/>
      <scheme val="minor"/>
    </font>
    <font>
      <b/>
      <sz val="12"/>
      <color theme="1"/>
      <name val="Calibri"/>
      <family val="2"/>
      <scheme val="minor"/>
    </font>
    <font>
      <vertAlign val="subscript"/>
      <sz val="11"/>
      <color theme="1"/>
      <name val="Calibri"/>
      <family val="2"/>
      <scheme val="minor"/>
    </font>
    <font>
      <sz val="10"/>
      <color rgb="FFFF0000"/>
      <name val="Calibri"/>
      <family val="2"/>
      <scheme val="minor"/>
    </font>
  </fonts>
  <fills count="36">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tint="4.9989318521683403E-2"/>
        <bgColor indexed="64"/>
      </patternFill>
    </fill>
    <fill>
      <patternFill patternType="solid">
        <fgColor theme="0" tint="-0.14999847407452621"/>
        <bgColor indexed="64"/>
      </patternFill>
    </fill>
  </fills>
  <borders count="4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6">
    <xf numFmtId="0" fontId="0" fillId="0" borderId="0"/>
    <xf numFmtId="43" fontId="1" fillId="0" borderId="0" applyFont="0" applyFill="0" applyBorder="0" applyAlignment="0" applyProtection="0"/>
    <xf numFmtId="0" fontId="5" fillId="0" borderId="0"/>
    <xf numFmtId="0" fontId="6" fillId="0" borderId="8" applyNumberFormat="0" applyFill="0" applyAlignment="0" applyProtection="0"/>
    <xf numFmtId="0" fontId="7" fillId="0" borderId="9" applyNumberFormat="0" applyFill="0" applyAlignment="0" applyProtection="0"/>
    <xf numFmtId="0" fontId="8" fillId="0" borderId="10"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11" applyNumberFormat="0" applyAlignment="0" applyProtection="0"/>
    <xf numFmtId="0" fontId="13" fillId="7" borderId="12" applyNumberFormat="0" applyAlignment="0" applyProtection="0"/>
    <xf numFmtId="0" fontId="14" fillId="7" borderId="11" applyNumberFormat="0" applyAlignment="0" applyProtection="0"/>
    <xf numFmtId="0" fontId="15" fillId="0" borderId="13" applyNumberFormat="0" applyFill="0" applyAlignment="0" applyProtection="0"/>
    <xf numFmtId="0" fontId="16" fillId="8" borderId="14" applyNumberFormat="0" applyAlignment="0" applyProtection="0"/>
    <xf numFmtId="0" fontId="17" fillId="0" borderId="0" applyNumberFormat="0" applyFill="0" applyBorder="0" applyAlignment="0" applyProtection="0"/>
    <xf numFmtId="0" fontId="1" fillId="9" borderId="15" applyNumberFormat="0" applyFont="0" applyAlignment="0" applyProtection="0"/>
    <xf numFmtId="0" fontId="18" fillId="0" borderId="0" applyNumberFormat="0" applyFill="0" applyBorder="0" applyAlignment="0" applyProtection="0"/>
    <xf numFmtId="0" fontId="19" fillId="0" borderId="16" applyNumberFormat="0" applyFill="0" applyAlignment="0" applyProtection="0"/>
    <xf numFmtId="0" fontId="2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33" borderId="0" applyNumberFormat="0" applyBorder="0" applyAlignment="0" applyProtection="0"/>
    <xf numFmtId="0" fontId="21" fillId="0" borderId="0" applyNumberFormat="0" applyFill="0" applyBorder="0" applyAlignment="0" applyProtection="0"/>
    <xf numFmtId="0" fontId="5" fillId="0" borderId="0"/>
    <xf numFmtId="9" fontId="1" fillId="0" borderId="0" applyFont="0" applyFill="0" applyBorder="0" applyAlignment="0" applyProtection="0"/>
  </cellStyleXfs>
  <cellXfs count="236">
    <xf numFmtId="0" fontId="0" fillId="0" borderId="0" xfId="0"/>
    <xf numFmtId="0" fontId="3" fillId="0" borderId="0" xfId="0" applyFont="1" applyFill="1" applyAlignment="1">
      <alignment horizontal="left" vertic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Alignment="1">
      <alignment horizontal="right" vertical="center"/>
    </xf>
    <xf numFmtId="164" fontId="0" fillId="0" borderId="0" xfId="0" applyNumberFormat="1" applyAlignment="1">
      <alignment vertical="center"/>
    </xf>
    <xf numFmtId="164" fontId="0" fillId="0" borderId="0" xfId="1" applyNumberFormat="1" applyFont="1" applyAlignment="1">
      <alignment vertical="center"/>
    </xf>
    <xf numFmtId="0" fontId="0" fillId="0" borderId="0" xfId="0" pivotButton="1"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vertical="center" wrapText="1"/>
    </xf>
    <xf numFmtId="164" fontId="0" fillId="0" borderId="0" xfId="1" applyNumberFormat="1" applyFont="1" applyAlignment="1">
      <alignment horizontal="center" vertical="center"/>
    </xf>
    <xf numFmtId="0" fontId="0" fillId="0" borderId="0" xfId="0" applyBorder="1" applyAlignment="1">
      <alignment horizontal="center" vertical="center" wrapText="1"/>
    </xf>
    <xf numFmtId="0" fontId="0" fillId="0" borderId="23" xfId="0" applyBorder="1" applyAlignment="1">
      <alignment vertical="center"/>
    </xf>
    <xf numFmtId="0" fontId="2" fillId="0" borderId="0" xfId="0" applyFont="1" applyAlignment="1">
      <alignment horizontal="left" vertical="center"/>
    </xf>
    <xf numFmtId="4" fontId="2" fillId="0" borderId="0" xfId="1" applyNumberFormat="1" applyFont="1" applyBorder="1" applyAlignment="1">
      <alignment horizontal="left" vertical="center"/>
    </xf>
    <xf numFmtId="0" fontId="2" fillId="0" borderId="0" xfId="0" applyFont="1" applyBorder="1" applyAlignment="1">
      <alignment horizontal="left" vertical="center"/>
    </xf>
    <xf numFmtId="165" fontId="2" fillId="0" borderId="0" xfId="1" applyNumberFormat="1" applyFont="1" applyAlignment="1">
      <alignment horizontal="left" vertical="center"/>
    </xf>
    <xf numFmtId="164" fontId="2" fillId="0" borderId="0" xfId="1" applyNumberFormat="1" applyFont="1" applyAlignment="1">
      <alignment horizontal="left" vertical="center"/>
    </xf>
    <xf numFmtId="0" fontId="0" fillId="0" borderId="0" xfId="0" applyNumberFormat="1" applyAlignment="1">
      <alignment vertical="center"/>
    </xf>
    <xf numFmtId="9" fontId="0" fillId="0" borderId="0" xfId="45" applyFont="1" applyAlignment="1">
      <alignment vertical="center"/>
    </xf>
    <xf numFmtId="3" fontId="0" fillId="0" borderId="0" xfId="0" applyNumberFormat="1" applyAlignment="1">
      <alignment horizontal="center" vertical="center"/>
    </xf>
    <xf numFmtId="0" fontId="0" fillId="0" borderId="0" xfId="0" applyAlignment="1">
      <alignment horizontal="left" vertical="center" wrapText="1"/>
    </xf>
    <xf numFmtId="3" fontId="0" fillId="0" borderId="2" xfId="0" applyNumberFormat="1" applyBorder="1" applyAlignment="1">
      <alignment horizontal="center" vertical="center"/>
    </xf>
    <xf numFmtId="168" fontId="0" fillId="0" borderId="2" xfId="0" applyNumberFormat="1" applyBorder="1" applyAlignment="1">
      <alignment horizontal="center" vertical="center"/>
    </xf>
    <xf numFmtId="0" fontId="0" fillId="0" borderId="2" xfId="0" applyBorder="1" applyAlignment="1">
      <alignment horizontal="right" vertical="center"/>
    </xf>
    <xf numFmtId="9" fontId="0" fillId="0" borderId="26" xfId="45" applyFont="1" applyBorder="1" applyAlignment="1">
      <alignment horizontal="center" vertical="center"/>
    </xf>
    <xf numFmtId="9" fontId="0" fillId="0" borderId="2" xfId="45" applyFont="1" applyBorder="1" applyAlignment="1">
      <alignment horizontal="center" vertical="center"/>
    </xf>
    <xf numFmtId="9" fontId="0" fillId="34" borderId="2" xfId="45" applyFont="1" applyFill="1" applyBorder="1" applyAlignment="1">
      <alignment horizontal="center" vertical="center"/>
    </xf>
    <xf numFmtId="10" fontId="0" fillId="0" borderId="2" xfId="45" applyNumberFormat="1" applyFont="1" applyBorder="1" applyAlignment="1">
      <alignment horizontal="center" vertical="center"/>
    </xf>
    <xf numFmtId="3" fontId="0" fillId="0" borderId="2" xfId="0" applyNumberFormat="1" applyFill="1" applyBorder="1" applyAlignment="1">
      <alignment horizontal="center" vertical="center"/>
    </xf>
    <xf numFmtId="3" fontId="0" fillId="0" borderId="0" xfId="0" applyNumberFormat="1" applyAlignment="1">
      <alignment horizontal="right" vertical="center"/>
    </xf>
    <xf numFmtId="4" fontId="0" fillId="0" borderId="0" xfId="0" applyNumberFormat="1" applyAlignment="1">
      <alignment vertical="center"/>
    </xf>
    <xf numFmtId="9" fontId="0" fillId="0" borderId="0" xfId="45" applyNumberFormat="1" applyFont="1" applyAlignment="1">
      <alignment horizontal="center" vertical="center"/>
    </xf>
    <xf numFmtId="3" fontId="0" fillId="0" borderId="19" xfId="0" applyNumberFormat="1" applyBorder="1" applyAlignment="1">
      <alignment horizontal="center" vertical="center"/>
    </xf>
    <xf numFmtId="3" fontId="0" fillId="0" borderId="21" xfId="0" applyNumberFormat="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3" fontId="0" fillId="0" borderId="0" xfId="0" applyNumberFormat="1" applyAlignment="1">
      <alignment vertical="center"/>
    </xf>
    <xf numFmtId="3" fontId="0" fillId="0" borderId="17" xfId="0" applyNumberFormat="1" applyBorder="1" applyAlignment="1">
      <alignment horizontal="center" vertical="center"/>
    </xf>
    <xf numFmtId="0" fontId="19" fillId="0" borderId="0" xfId="0" applyFont="1" applyBorder="1" applyAlignment="1">
      <alignment horizontal="center" vertical="center"/>
    </xf>
    <xf numFmtId="0" fontId="24" fillId="0" borderId="0" xfId="0" applyFont="1" applyAlignment="1">
      <alignment vertical="center"/>
    </xf>
    <xf numFmtId="3" fontId="22" fillId="0" borderId="0" xfId="0" applyNumberFormat="1" applyFont="1" applyAlignment="1">
      <alignment horizontal="center" vertical="center"/>
    </xf>
    <xf numFmtId="3" fontId="0" fillId="0" borderId="2" xfId="0" applyNumberFormat="1" applyBorder="1" applyAlignment="1">
      <alignment horizontal="right" vertical="center"/>
    </xf>
    <xf numFmtId="168" fontId="0" fillId="0" borderId="2" xfId="45" applyNumberFormat="1" applyFont="1" applyBorder="1" applyAlignment="1">
      <alignment horizontal="center" vertical="center"/>
    </xf>
    <xf numFmtId="168" fontId="0" fillId="34" borderId="2" xfId="45" applyNumberFormat="1" applyFont="1" applyFill="1" applyBorder="1" applyAlignment="1">
      <alignment horizontal="center" vertical="center"/>
    </xf>
    <xf numFmtId="170" fontId="0" fillId="0" borderId="0" xfId="0" applyNumberFormat="1" applyAlignment="1">
      <alignment vertical="center"/>
    </xf>
    <xf numFmtId="168" fontId="0" fillId="0" borderId="20" xfId="45" applyNumberFormat="1" applyFont="1" applyBorder="1" applyAlignment="1">
      <alignment horizontal="center" vertical="center"/>
    </xf>
    <xf numFmtId="3" fontId="0" fillId="0" borderId="29" xfId="0" applyNumberFormat="1" applyFont="1" applyBorder="1" applyAlignment="1">
      <alignment horizontal="center" vertical="center"/>
    </xf>
    <xf numFmtId="3" fontId="0" fillId="0" borderId="30" xfId="0" applyNumberFormat="1" applyFont="1" applyBorder="1" applyAlignment="1">
      <alignment horizontal="center" vertical="center"/>
    </xf>
    <xf numFmtId="9" fontId="0" fillId="0" borderId="0" xfId="0" applyNumberFormat="1" applyAlignment="1">
      <alignment vertical="center"/>
    </xf>
    <xf numFmtId="168" fontId="0" fillId="0" borderId="0" xfId="0" applyNumberFormat="1" applyAlignment="1">
      <alignment vertical="center"/>
    </xf>
    <xf numFmtId="168" fontId="0" fillId="0" borderId="22" xfId="45" applyNumberFormat="1" applyFont="1" applyBorder="1" applyAlignment="1">
      <alignment horizontal="center" vertical="center"/>
    </xf>
    <xf numFmtId="168" fontId="0" fillId="0" borderId="4" xfId="45" applyNumberFormat="1" applyFont="1" applyBorder="1" applyAlignment="1">
      <alignment horizontal="center" vertical="center"/>
    </xf>
    <xf numFmtId="168" fontId="0" fillId="0" borderId="4" xfId="45" applyNumberFormat="1" applyFont="1" applyFill="1" applyBorder="1" applyAlignment="1">
      <alignment horizontal="center" vertical="center"/>
    </xf>
    <xf numFmtId="168" fontId="0" fillId="0" borderId="6" xfId="45" applyNumberFormat="1" applyFont="1" applyFill="1" applyBorder="1" applyAlignment="1">
      <alignment horizontal="center" vertical="center"/>
    </xf>
    <xf numFmtId="168" fontId="0" fillId="0" borderId="3" xfId="45" applyNumberFormat="1" applyFont="1" applyBorder="1" applyAlignment="1">
      <alignment horizontal="center" vertical="center"/>
    </xf>
    <xf numFmtId="168" fontId="0" fillId="0" borderId="3" xfId="45" applyNumberFormat="1" applyFont="1" applyFill="1" applyBorder="1" applyAlignment="1">
      <alignment horizontal="center" vertical="center"/>
    </xf>
    <xf numFmtId="168" fontId="0" fillId="0" borderId="5" xfId="45" applyNumberFormat="1" applyFont="1" applyFill="1" applyBorder="1" applyAlignment="1">
      <alignment horizontal="center" vertical="center"/>
    </xf>
    <xf numFmtId="168" fontId="0" fillId="0" borderId="32" xfId="45" applyNumberFormat="1" applyFont="1" applyBorder="1" applyAlignment="1">
      <alignment horizontal="center" vertical="center"/>
    </xf>
    <xf numFmtId="3" fontId="22" fillId="0" borderId="17" xfId="0" applyNumberFormat="1" applyFont="1" applyBorder="1" applyAlignment="1">
      <alignment horizontal="center" vertical="center" wrapText="1"/>
    </xf>
    <xf numFmtId="0" fontId="22" fillId="0" borderId="31" xfId="0" applyFont="1" applyBorder="1" applyAlignment="1">
      <alignment horizontal="center" vertical="center" wrapText="1"/>
    </xf>
    <xf numFmtId="0" fontId="22" fillId="0" borderId="27" xfId="0" applyFont="1" applyBorder="1" applyAlignment="1">
      <alignment vertical="center"/>
    </xf>
    <xf numFmtId="0" fontId="22" fillId="0" borderId="18" xfId="0" applyFont="1" applyBorder="1" applyAlignment="1">
      <alignment horizontal="center" vertical="center" wrapText="1"/>
    </xf>
    <xf numFmtId="3" fontId="22" fillId="0" borderId="28" xfId="0" applyNumberFormat="1" applyFont="1" applyBorder="1" applyAlignment="1">
      <alignment horizontal="center" vertical="center" wrapText="1"/>
    </xf>
    <xf numFmtId="3" fontId="22" fillId="0" borderId="21" xfId="0" applyNumberFormat="1"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5" xfId="0" applyFont="1" applyBorder="1" applyAlignment="1">
      <alignment vertical="center" wrapText="1"/>
    </xf>
    <xf numFmtId="0" fontId="0" fillId="35" borderId="24" xfId="0" applyFill="1" applyBorder="1" applyAlignment="1">
      <alignment vertical="center"/>
    </xf>
    <xf numFmtId="3" fontId="0" fillId="35" borderId="19" xfId="0" applyNumberFormat="1" applyFill="1" applyBorder="1" applyAlignment="1">
      <alignment horizontal="center" vertical="center"/>
    </xf>
    <xf numFmtId="168" fontId="0" fillId="35" borderId="3" xfId="45" applyNumberFormat="1" applyFont="1" applyFill="1" applyBorder="1" applyAlignment="1">
      <alignment horizontal="center" vertical="center"/>
    </xf>
    <xf numFmtId="168" fontId="0" fillId="35" borderId="4" xfId="45" applyNumberFormat="1" applyFont="1" applyFill="1" applyBorder="1" applyAlignment="1">
      <alignment horizontal="center" vertical="center"/>
    </xf>
    <xf numFmtId="168" fontId="0" fillId="35" borderId="20" xfId="45" applyNumberFormat="1" applyFont="1" applyFill="1" applyBorder="1" applyAlignment="1">
      <alignment horizontal="center" vertical="center"/>
    </xf>
    <xf numFmtId="3" fontId="0" fillId="35" borderId="29" xfId="0" applyNumberFormat="1" applyFont="1" applyFill="1" applyBorder="1" applyAlignment="1">
      <alignment horizontal="center" vertical="center"/>
    </xf>
    <xf numFmtId="168" fontId="0" fillId="0" borderId="31" xfId="45" applyNumberFormat="1" applyFont="1" applyFill="1" applyBorder="1" applyAlignment="1">
      <alignment horizontal="center" vertical="center"/>
    </xf>
    <xf numFmtId="168" fontId="0" fillId="0" borderId="27" xfId="45" applyNumberFormat="1" applyFont="1" applyFill="1" applyBorder="1" applyAlignment="1">
      <alignment horizontal="center" vertical="center"/>
    </xf>
    <xf numFmtId="168" fontId="0" fillId="0" borderId="18" xfId="45" applyNumberFormat="1" applyFont="1" applyBorder="1" applyAlignment="1">
      <alignment horizontal="center" vertical="center"/>
    </xf>
    <xf numFmtId="3" fontId="0" fillId="0" borderId="28" xfId="0" applyNumberFormat="1" applyFont="1" applyBorder="1" applyAlignment="1">
      <alignment horizontal="center" vertical="center"/>
    </xf>
    <xf numFmtId="0" fontId="3" fillId="0" borderId="0" xfId="0" applyFont="1" applyFill="1" applyBorder="1" applyAlignment="1">
      <alignment horizontal="left" vertical="center"/>
    </xf>
    <xf numFmtId="0" fontId="3" fillId="0" borderId="7" xfId="0" applyFont="1" applyFill="1" applyBorder="1" applyAlignment="1">
      <alignment horizontal="left" vertical="center"/>
    </xf>
    <xf numFmtId="171" fontId="2" fillId="0" borderId="1" xfId="0" applyNumberFormat="1"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4" fontId="2" fillId="0" borderId="1" xfId="1" applyNumberFormat="1" applyFont="1" applyBorder="1" applyAlignment="1">
      <alignment horizontal="left" vertical="center"/>
    </xf>
    <xf numFmtId="3" fontId="2" fillId="0" borderId="1" xfId="1" applyNumberFormat="1" applyFont="1" applyBorder="1" applyAlignment="1">
      <alignment horizontal="left" vertical="center" wrapText="1"/>
    </xf>
    <xf numFmtId="4" fontId="2" fillId="0" borderId="1" xfId="1" applyNumberFormat="1" applyFont="1" applyBorder="1" applyAlignment="1">
      <alignment horizontal="left" vertical="center" wrapText="1"/>
    </xf>
    <xf numFmtId="165" fontId="2" fillId="0" borderId="1" xfId="1" applyNumberFormat="1" applyFont="1" applyBorder="1" applyAlignment="1">
      <alignment horizontal="left" vertical="center" wrapText="1"/>
    </xf>
    <xf numFmtId="171" fontId="2" fillId="0" borderId="0" xfId="0" applyNumberFormat="1" applyFont="1" applyAlignment="1">
      <alignment horizontal="left" vertical="center"/>
    </xf>
    <xf numFmtId="4" fontId="2" fillId="0" borderId="0" xfId="1" applyNumberFormat="1" applyFont="1" applyFill="1" applyBorder="1" applyAlignment="1">
      <alignment horizontal="left" vertical="center"/>
    </xf>
    <xf numFmtId="3" fontId="2" fillId="0" borderId="0" xfId="1" applyNumberFormat="1" applyFont="1" applyBorder="1" applyAlignment="1">
      <alignment horizontal="left" vertical="center"/>
    </xf>
    <xf numFmtId="4" fontId="2" fillId="0" borderId="0" xfId="1" applyNumberFormat="1" applyFont="1" applyAlignment="1">
      <alignment horizontal="left" vertical="center"/>
    </xf>
    <xf numFmtId="171" fontId="2" fillId="0" borderId="0" xfId="0" applyNumberFormat="1" applyFont="1" applyBorder="1" applyAlignment="1">
      <alignment horizontal="left" vertical="center"/>
    </xf>
    <xf numFmtId="165" fontId="2" fillId="0" borderId="0" xfId="1" applyNumberFormat="1" applyFont="1" applyBorder="1" applyAlignment="1">
      <alignment horizontal="left" vertical="center"/>
    </xf>
    <xf numFmtId="164" fontId="2" fillId="0" borderId="0" xfId="1" applyNumberFormat="1" applyFont="1" applyBorder="1" applyAlignment="1">
      <alignment horizontal="left" vertical="center"/>
    </xf>
    <xf numFmtId="0" fontId="4" fillId="0" borderId="0" xfId="0" applyFont="1" applyFill="1" applyAlignment="1">
      <alignment horizontal="left" vertical="center"/>
    </xf>
    <xf numFmtId="171" fontId="2" fillId="0" borderId="7" xfId="0" applyNumberFormat="1" applyFont="1" applyBorder="1" applyAlignment="1">
      <alignment horizontal="left" vertical="center"/>
    </xf>
    <xf numFmtId="0" fontId="2" fillId="0" borderId="7" xfId="0" applyFont="1" applyBorder="1" applyAlignment="1">
      <alignment horizontal="left" vertical="center"/>
    </xf>
    <xf numFmtId="4" fontId="2" fillId="0" borderId="7" xfId="1" applyNumberFormat="1" applyFont="1" applyBorder="1" applyAlignment="1">
      <alignment horizontal="left" vertical="center"/>
    </xf>
    <xf numFmtId="3" fontId="2" fillId="0" borderId="7" xfId="1" applyNumberFormat="1" applyFont="1" applyBorder="1" applyAlignment="1">
      <alignment horizontal="left" vertical="center"/>
    </xf>
    <xf numFmtId="165" fontId="2" fillId="0" borderId="7" xfId="1" applyNumberFormat="1" applyFont="1" applyBorder="1" applyAlignment="1">
      <alignment horizontal="left" vertical="center"/>
    </xf>
    <xf numFmtId="164" fontId="2" fillId="0" borderId="7" xfId="1" applyNumberFormat="1" applyFont="1" applyBorder="1" applyAlignment="1">
      <alignment horizontal="left" vertical="center"/>
    </xf>
    <xf numFmtId="171" fontId="2" fillId="0" borderId="0" xfId="0" applyNumberFormat="1" applyFont="1" applyFill="1" applyAlignment="1">
      <alignment horizontal="left" vertical="center"/>
    </xf>
    <xf numFmtId="3" fontId="2" fillId="0" borderId="0" xfId="0" applyNumberFormat="1" applyFont="1" applyAlignment="1">
      <alignment horizontal="left" vertical="center"/>
    </xf>
    <xf numFmtId="164" fontId="2" fillId="0" borderId="0" xfId="0" applyNumberFormat="1" applyFont="1" applyBorder="1" applyAlignment="1">
      <alignment horizontal="left" vertical="center"/>
    </xf>
    <xf numFmtId="167" fontId="2" fillId="0" borderId="0" xfId="0" applyNumberFormat="1" applyFont="1" applyBorder="1" applyAlignment="1">
      <alignment horizontal="left" vertical="center"/>
    </xf>
    <xf numFmtId="4" fontId="2" fillId="2" borderId="0" xfId="1" applyNumberFormat="1" applyFont="1" applyFill="1" applyBorder="1" applyAlignment="1">
      <alignment horizontal="left" vertical="center"/>
    </xf>
    <xf numFmtId="166" fontId="2" fillId="0" borderId="0" xfId="1" applyNumberFormat="1" applyFont="1" applyAlignment="1">
      <alignment horizontal="left" vertical="center"/>
    </xf>
    <xf numFmtId="0" fontId="2" fillId="0" borderId="0" xfId="0" applyFont="1" applyFill="1" applyBorder="1" applyAlignment="1">
      <alignment horizontal="left" vertic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0" fillId="0" borderId="0" xfId="0" applyBorder="1" applyAlignment="1">
      <alignment vertical="center" wrapText="1"/>
    </xf>
    <xf numFmtId="0" fontId="22" fillId="0" borderId="0" xfId="0" applyFont="1" applyAlignment="1">
      <alignment horizontal="right" vertical="center"/>
    </xf>
    <xf numFmtId="168" fontId="0" fillId="0" borderId="0" xfId="45" applyNumberFormat="1" applyFont="1" applyAlignment="1">
      <alignment vertical="center"/>
    </xf>
    <xf numFmtId="168" fontId="0" fillId="0" borderId="0" xfId="45" applyNumberFormat="1" applyFont="1"/>
    <xf numFmtId="1" fontId="0" fillId="0" borderId="0" xfId="45" applyNumberFormat="1" applyFont="1" applyAlignment="1">
      <alignment vertical="center"/>
    </xf>
    <xf numFmtId="168" fontId="0" fillId="0" borderId="7" xfId="45" applyNumberFormat="1" applyFont="1" applyBorder="1" applyAlignment="1">
      <alignment horizontal="center" vertical="center"/>
    </xf>
    <xf numFmtId="0" fontId="22" fillId="0" borderId="0" xfId="0" applyFont="1" applyAlignment="1">
      <alignment vertical="center"/>
    </xf>
    <xf numFmtId="0" fontId="0" fillId="0" borderId="0" xfId="0" applyAlignment="1">
      <alignment vertical="center" wrapText="1"/>
    </xf>
    <xf numFmtId="0" fontId="22" fillId="0" borderId="0" xfId="0" applyFont="1" applyAlignment="1">
      <alignment vertical="center" wrapText="1"/>
    </xf>
    <xf numFmtId="0" fontId="0" fillId="0" borderId="2" xfId="0" applyBorder="1" applyAlignment="1">
      <alignment horizontal="center" vertical="center" wrapText="1"/>
    </xf>
    <xf numFmtId="3" fontId="0" fillId="0" borderId="2" xfId="0" applyNumberFormat="1" applyBorder="1" applyAlignment="1">
      <alignment horizontal="center" vertical="center" wrapText="1"/>
    </xf>
    <xf numFmtId="169" fontId="0" fillId="35" borderId="0" xfId="0" applyNumberFormat="1" applyFill="1" applyAlignment="1">
      <alignment horizontal="center" vertical="center"/>
    </xf>
    <xf numFmtId="0" fontId="0" fillId="0" borderId="2" xfId="0" applyBorder="1" applyAlignment="1">
      <alignment vertical="center"/>
    </xf>
    <xf numFmtId="0" fontId="0" fillId="0" borderId="2" xfId="0" applyBorder="1" applyAlignment="1">
      <alignment horizontal="center" vertical="center"/>
    </xf>
    <xf numFmtId="3" fontId="22" fillId="0" borderId="2" xfId="0" applyNumberFormat="1" applyFont="1" applyBorder="1" applyAlignment="1">
      <alignment horizontal="center" vertical="center"/>
    </xf>
    <xf numFmtId="3" fontId="0" fillId="0" borderId="2" xfId="1" applyNumberFormat="1" applyFont="1" applyBorder="1" applyAlignment="1">
      <alignment horizontal="center" vertical="center"/>
    </xf>
    <xf numFmtId="164" fontId="0" fillId="0" borderId="2" xfId="0" applyNumberFormat="1" applyBorder="1" applyAlignment="1">
      <alignment horizontal="center" vertical="center"/>
    </xf>
    <xf numFmtId="4" fontId="0" fillId="0" borderId="2" xfId="1" applyNumberFormat="1" applyFont="1" applyBorder="1" applyAlignment="1">
      <alignment horizontal="center" vertical="center"/>
    </xf>
    <xf numFmtId="173" fontId="2" fillId="0" borderId="0" xfId="0" applyNumberFormat="1" applyFont="1" applyAlignment="1">
      <alignment horizontal="left" vertical="center"/>
    </xf>
    <xf numFmtId="4" fontId="0" fillId="0" borderId="2" xfId="0" applyNumberFormat="1" applyBorder="1" applyAlignment="1">
      <alignment horizontal="center" vertical="center" wrapText="1"/>
    </xf>
    <xf numFmtId="0" fontId="22" fillId="0" borderId="0" xfId="0" applyFont="1" applyBorder="1" applyAlignment="1">
      <alignment horizontal="left" vertical="center"/>
    </xf>
    <xf numFmtId="0" fontId="22" fillId="0" borderId="3" xfId="0" applyFont="1" applyBorder="1" applyAlignment="1">
      <alignment horizontal="center" vertical="center"/>
    </xf>
    <xf numFmtId="0" fontId="22" fillId="0" borderId="0" xfId="0" applyFont="1" applyBorder="1" applyAlignment="1">
      <alignment horizontal="center" vertical="center"/>
    </xf>
    <xf numFmtId="0" fontId="22" fillId="0" borderId="4" xfId="0" applyFont="1" applyBorder="1" applyAlignment="1">
      <alignment horizontal="center" vertical="center"/>
    </xf>
    <xf numFmtId="0" fontId="26" fillId="0" borderId="0" xfId="0" applyFont="1" applyAlignment="1">
      <alignment horizontal="left" vertical="center"/>
    </xf>
    <xf numFmtId="4" fontId="26" fillId="0" borderId="0" xfId="1" applyNumberFormat="1" applyFont="1" applyBorder="1" applyAlignment="1">
      <alignment horizontal="left" vertical="center"/>
    </xf>
    <xf numFmtId="3" fontId="26" fillId="0" borderId="0" xfId="1" applyNumberFormat="1" applyFont="1" applyBorder="1" applyAlignment="1">
      <alignment horizontal="left" vertical="center"/>
    </xf>
    <xf numFmtId="4" fontId="0" fillId="0" borderId="0" xfId="0" applyNumberFormat="1" applyAlignment="1">
      <alignment horizontal="center" vertical="center"/>
    </xf>
    <xf numFmtId="0" fontId="22" fillId="0" borderId="4" xfId="0" applyFont="1" applyBorder="1" applyAlignment="1">
      <alignment horizontal="left" vertical="top"/>
    </xf>
    <xf numFmtId="0" fontId="19" fillId="0" borderId="4" xfId="0" applyFont="1" applyBorder="1" applyAlignment="1">
      <alignment horizontal="left" vertical="center"/>
    </xf>
    <xf numFmtId="0" fontId="2" fillId="0" borderId="2" xfId="0" applyFont="1" applyBorder="1" applyAlignment="1">
      <alignment horizontal="right" vertical="center"/>
    </xf>
    <xf numFmtId="0" fontId="19" fillId="0" borderId="0" xfId="0" applyFont="1" applyAlignment="1">
      <alignment horizontal="center" vertical="center"/>
    </xf>
    <xf numFmtId="3" fontId="0" fillId="2" borderId="2" xfId="0" applyNumberFormat="1" applyFill="1" applyBorder="1" applyAlignment="1">
      <alignment horizontal="center" vertical="center"/>
    </xf>
    <xf numFmtId="0" fontId="24" fillId="0" borderId="0" xfId="0" applyFont="1" applyAlignment="1">
      <alignment horizontal="center" vertical="center" wrapText="1"/>
    </xf>
    <xf numFmtId="0" fontId="26" fillId="0" borderId="0" xfId="0" applyFont="1" applyFill="1" applyAlignment="1">
      <alignment horizontal="left" vertical="center"/>
    </xf>
    <xf numFmtId="3" fontId="26" fillId="0" borderId="0" xfId="0" applyNumberFormat="1" applyFont="1" applyAlignment="1">
      <alignment horizontal="left" vertical="center"/>
    </xf>
    <xf numFmtId="0" fontId="2" fillId="0" borderId="0" xfId="0" applyFont="1" applyFill="1" applyAlignment="1">
      <alignment horizontal="left" vertical="center"/>
    </xf>
    <xf numFmtId="3" fontId="2" fillId="0" borderId="0" xfId="0" applyNumberFormat="1" applyFont="1" applyFill="1" applyAlignment="1">
      <alignment horizontal="left" vertical="center"/>
    </xf>
    <xf numFmtId="3" fontId="2" fillId="0" borderId="0" xfId="1" applyNumberFormat="1" applyFont="1" applyFill="1" applyBorder="1" applyAlignment="1">
      <alignment horizontal="left" vertical="center"/>
    </xf>
    <xf numFmtId="168" fontId="0" fillId="0" borderId="41" xfId="45" applyNumberFormat="1" applyFont="1" applyFill="1" applyBorder="1" applyAlignment="1">
      <alignment horizontal="center" vertical="center"/>
    </xf>
    <xf numFmtId="168" fontId="0" fillId="0" borderId="37" xfId="45" applyNumberFormat="1" applyFont="1" applyBorder="1" applyAlignment="1">
      <alignment horizontal="center" vertical="center"/>
    </xf>
    <xf numFmtId="0" fontId="22" fillId="0" borderId="39" xfId="0" applyFont="1" applyBorder="1" applyAlignment="1">
      <alignment vertical="center"/>
    </xf>
    <xf numFmtId="0" fontId="22" fillId="0" borderId="33" xfId="0" applyFont="1" applyBorder="1" applyAlignment="1">
      <alignment horizontal="center" vertical="center"/>
    </xf>
    <xf numFmtId="0" fontId="22" fillId="0" borderId="35" xfId="0" applyFont="1" applyBorder="1" applyAlignment="1">
      <alignment horizontal="center" vertical="center"/>
    </xf>
    <xf numFmtId="0" fontId="22" fillId="0" borderId="34" xfId="0" applyFont="1" applyBorder="1" applyAlignment="1">
      <alignment horizontal="center" vertical="center"/>
    </xf>
    <xf numFmtId="0" fontId="22" fillId="0" borderId="38" xfId="0" applyFont="1" applyBorder="1" applyAlignment="1">
      <alignment horizontal="center"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22" fillId="0" borderId="7" xfId="0" applyFont="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lignment vertical="center"/>
    </xf>
    <xf numFmtId="168" fontId="0" fillId="0" borderId="41" xfId="45" applyNumberFormat="1" applyFont="1" applyBorder="1" applyAlignment="1">
      <alignment horizontal="center" vertical="center"/>
    </xf>
    <xf numFmtId="0" fontId="19" fillId="0" borderId="0" xfId="0" applyFont="1" applyAlignment="1">
      <alignment vertical="center"/>
    </xf>
    <xf numFmtId="0" fontId="0" fillId="0" borderId="0" xfId="0" applyFont="1" applyAlignment="1">
      <alignment vertical="center"/>
    </xf>
    <xf numFmtId="0" fontId="0" fillId="0" borderId="38" xfId="0" applyFont="1" applyBorder="1" applyAlignment="1">
      <alignment vertical="center"/>
    </xf>
    <xf numFmtId="0" fontId="0" fillId="0" borderId="2" xfId="0" applyFont="1" applyBorder="1" applyAlignment="1">
      <alignment vertical="center"/>
    </xf>
    <xf numFmtId="3" fontId="0" fillId="0" borderId="40" xfId="0" applyNumberFormat="1" applyFont="1" applyBorder="1" applyAlignment="1">
      <alignment horizontal="center" vertical="center"/>
    </xf>
    <xf numFmtId="3" fontId="0" fillId="0" borderId="2" xfId="0" applyNumberFormat="1" applyFont="1" applyBorder="1" applyAlignment="1">
      <alignment horizontal="center" vertical="center"/>
    </xf>
    <xf numFmtId="0" fontId="0" fillId="0" borderId="39" xfId="0" applyFont="1" applyBorder="1" applyAlignment="1">
      <alignment vertical="center"/>
    </xf>
    <xf numFmtId="3" fontId="0" fillId="0" borderId="0" xfId="0" applyNumberFormat="1" applyFont="1" applyBorder="1" applyAlignment="1">
      <alignment horizontal="center" vertical="center"/>
    </xf>
    <xf numFmtId="3" fontId="0" fillId="0" borderId="39" xfId="0" applyNumberFormat="1" applyFont="1" applyBorder="1" applyAlignment="1">
      <alignment horizontal="center" vertical="center"/>
    </xf>
    <xf numFmtId="0" fontId="0" fillId="0" borderId="26" xfId="0" applyFont="1" applyBorder="1" applyAlignment="1">
      <alignment vertical="center"/>
    </xf>
    <xf numFmtId="3" fontId="0" fillId="0" borderId="7" xfId="0" applyNumberFormat="1" applyFont="1" applyBorder="1" applyAlignment="1">
      <alignment horizontal="center" vertical="center"/>
    </xf>
    <xf numFmtId="3" fontId="0" fillId="0" borderId="26" xfId="0" applyNumberFormat="1" applyFont="1" applyBorder="1" applyAlignment="1">
      <alignment horizontal="center" vertical="center"/>
    </xf>
    <xf numFmtId="3" fontId="0" fillId="0" borderId="0" xfId="0" applyNumberFormat="1" applyFont="1" applyFill="1" applyBorder="1" applyAlignment="1">
      <alignment horizontal="center" vertical="center"/>
    </xf>
    <xf numFmtId="3" fontId="0" fillId="0" borderId="40" xfId="0" applyNumberFormat="1" applyFont="1" applyFill="1" applyBorder="1" applyAlignment="1">
      <alignment horizontal="center" vertical="center"/>
    </xf>
    <xf numFmtId="3" fontId="0" fillId="0" borderId="4" xfId="0" applyNumberFormat="1" applyFont="1" applyFill="1" applyBorder="1" applyAlignment="1">
      <alignment horizontal="center" vertical="center"/>
    </xf>
    <xf numFmtId="3" fontId="0" fillId="0" borderId="41" xfId="0" applyNumberFormat="1" applyFont="1" applyFill="1" applyBorder="1" applyAlignment="1">
      <alignment horizontal="center" vertical="center"/>
    </xf>
    <xf numFmtId="3" fontId="0" fillId="0" borderId="7" xfId="0" applyNumberFormat="1" applyFont="1" applyFill="1" applyBorder="1" applyAlignment="1">
      <alignment horizontal="center" vertical="center"/>
    </xf>
    <xf numFmtId="168" fontId="0" fillId="0" borderId="37" xfId="45"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0" fontId="19" fillId="0" borderId="42" xfId="0" applyFont="1" applyBorder="1" applyAlignment="1">
      <alignment horizontal="center" vertical="center"/>
    </xf>
    <xf numFmtId="0" fontId="19" fillId="0" borderId="40" xfId="0" applyFont="1" applyBorder="1" applyAlignment="1">
      <alignment horizontal="center" vertical="center"/>
    </xf>
    <xf numFmtId="0" fontId="19" fillId="0" borderId="41" xfId="0" applyFont="1" applyBorder="1" applyAlignment="1">
      <alignment horizontal="center" vertical="center"/>
    </xf>
    <xf numFmtId="0" fontId="0" fillId="0" borderId="39" xfId="0" applyFont="1" applyFill="1" applyBorder="1" applyAlignment="1">
      <alignment vertical="center"/>
    </xf>
    <xf numFmtId="0" fontId="0" fillId="0" borderId="2" xfId="0" applyFont="1" applyFill="1" applyBorder="1" applyAlignment="1">
      <alignment vertical="center"/>
    </xf>
    <xf numFmtId="0" fontId="0" fillId="0" borderId="26" xfId="0" applyFont="1" applyFill="1" applyBorder="1" applyAlignment="1">
      <alignment vertical="center" wrapText="1"/>
    </xf>
    <xf numFmtId="0" fontId="23" fillId="0" borderId="39" xfId="0" applyFont="1" applyBorder="1" applyAlignment="1">
      <alignment vertical="center"/>
    </xf>
    <xf numFmtId="3" fontId="0" fillId="0" borderId="3" xfId="0" applyNumberFormat="1" applyFont="1" applyFill="1" applyBorder="1" applyAlignment="1">
      <alignment horizontal="center" vertical="center"/>
    </xf>
    <xf numFmtId="3" fontId="0" fillId="0" borderId="42" xfId="0" applyNumberFormat="1" applyFont="1" applyFill="1" applyBorder="1" applyAlignment="1">
      <alignment horizontal="center" vertical="center"/>
    </xf>
    <xf numFmtId="3" fontId="0" fillId="0" borderId="36" xfId="0" applyNumberFormat="1" applyFont="1" applyFill="1" applyBorder="1" applyAlignment="1">
      <alignment horizontal="center" vertical="center"/>
    </xf>
    <xf numFmtId="172" fontId="0" fillId="0" borderId="41" xfId="45" applyNumberFormat="1" applyFont="1" applyFill="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left" vertical="center"/>
    </xf>
    <xf numFmtId="3" fontId="0" fillId="0" borderId="0" xfId="0" applyNumberFormat="1" applyFont="1" applyAlignment="1">
      <alignment vertical="center"/>
    </xf>
    <xf numFmtId="0" fontId="0" fillId="0" borderId="7" xfId="0" applyFont="1" applyBorder="1" applyAlignment="1">
      <alignment vertical="center"/>
    </xf>
    <xf numFmtId="3" fontId="0" fillId="0" borderId="7" xfId="0" applyNumberFormat="1" applyFont="1" applyBorder="1" applyAlignment="1">
      <alignment vertical="center"/>
    </xf>
    <xf numFmtId="1" fontId="0" fillId="0" borderId="0" xfId="0" applyNumberFormat="1" applyFont="1" applyAlignment="1">
      <alignment vertical="center"/>
    </xf>
    <xf numFmtId="0" fontId="22" fillId="0" borderId="33" xfId="0" applyFont="1" applyBorder="1" applyAlignment="1">
      <alignment horizontal="center" vertical="center" wrapText="1"/>
    </xf>
    <xf numFmtId="0" fontId="22" fillId="0" borderId="35" xfId="0" applyFont="1" applyBorder="1" applyAlignment="1">
      <alignment vertical="center"/>
    </xf>
    <xf numFmtId="0" fontId="22" fillId="0" borderId="35" xfId="0" applyFont="1" applyBorder="1" applyAlignment="1">
      <alignment horizontal="center" vertical="center" wrapText="1"/>
    </xf>
    <xf numFmtId="168" fontId="0" fillId="0" borderId="39" xfId="45" applyNumberFormat="1" applyFont="1" applyFill="1" applyBorder="1" applyAlignment="1">
      <alignment horizontal="center" vertical="center"/>
    </xf>
    <xf numFmtId="168" fontId="0" fillId="0" borderId="36" xfId="45" applyNumberFormat="1" applyFont="1" applyFill="1" applyBorder="1" applyAlignment="1">
      <alignment horizontal="center" vertical="center"/>
    </xf>
    <xf numFmtId="0" fontId="0" fillId="0" borderId="26" xfId="0" applyFont="1" applyFill="1" applyBorder="1" applyAlignment="1">
      <alignment vertical="center"/>
    </xf>
    <xf numFmtId="0" fontId="22" fillId="0" borderId="26" xfId="0" applyFont="1" applyBorder="1" applyAlignment="1">
      <alignment vertical="center" wrapText="1"/>
    </xf>
    <xf numFmtId="0" fontId="22" fillId="0" borderId="36"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26" xfId="0" applyFont="1" applyBorder="1" applyAlignment="1">
      <alignment horizontal="center" vertical="center" wrapText="1"/>
    </xf>
    <xf numFmtId="168" fontId="0" fillId="0" borderId="26" xfId="45" applyNumberFormat="1" applyFont="1" applyFill="1" applyBorder="1" applyAlignment="1">
      <alignment horizontal="center" vertical="center"/>
    </xf>
    <xf numFmtId="0" fontId="19" fillId="0" borderId="0" xfId="0" applyFont="1" applyBorder="1" applyAlignment="1">
      <alignment horizontal="left" vertical="center"/>
    </xf>
    <xf numFmtId="0" fontId="0" fillId="0" borderId="0" xfId="0" applyFont="1" applyFill="1" applyBorder="1" applyAlignment="1">
      <alignment horizontal="left" vertical="center"/>
    </xf>
    <xf numFmtId="168" fontId="0" fillId="0" borderId="0" xfId="45" applyNumberFormat="1" applyFont="1" applyFill="1" applyBorder="1" applyAlignment="1">
      <alignment horizontal="center" vertical="center"/>
    </xf>
    <xf numFmtId="168" fontId="0" fillId="0" borderId="40" xfId="45" applyNumberFormat="1" applyFont="1" applyFill="1" applyBorder="1" applyAlignment="1">
      <alignment horizontal="center" vertical="center"/>
    </xf>
    <xf numFmtId="0" fontId="22" fillId="0" borderId="34" xfId="0" applyFont="1" applyBorder="1" applyAlignment="1">
      <alignment horizontal="center" vertical="center" wrapText="1"/>
    </xf>
    <xf numFmtId="0" fontId="22" fillId="0" borderId="7" xfId="0" applyFont="1" applyBorder="1" applyAlignment="1">
      <alignment horizontal="center" vertical="center" wrapText="1"/>
    </xf>
    <xf numFmtId="168" fontId="0" fillId="0" borderId="7" xfId="45" applyNumberFormat="1" applyFont="1" applyFill="1" applyBorder="1" applyAlignment="1">
      <alignment horizontal="center" vertical="center"/>
    </xf>
    <xf numFmtId="3" fontId="22" fillId="0" borderId="38" xfId="0" applyNumberFormat="1" applyFont="1" applyBorder="1" applyAlignment="1">
      <alignment horizontal="center" vertical="center" wrapText="1"/>
    </xf>
    <xf numFmtId="3" fontId="22" fillId="0" borderId="26" xfId="0" applyNumberFormat="1" applyFont="1" applyBorder="1" applyAlignment="1">
      <alignment horizontal="center" vertical="center" wrapText="1"/>
    </xf>
    <xf numFmtId="3" fontId="0" fillId="0" borderId="39" xfId="0" applyNumberFormat="1" applyFont="1" applyFill="1" applyBorder="1" applyAlignment="1">
      <alignment horizontal="center" vertical="center"/>
    </xf>
    <xf numFmtId="3" fontId="0" fillId="0" borderId="26" xfId="0" applyNumberFormat="1" applyFont="1" applyFill="1" applyBorder="1" applyAlignment="1">
      <alignment horizontal="center" vertical="center"/>
    </xf>
    <xf numFmtId="3" fontId="0" fillId="0" borderId="2" xfId="0" applyNumberFormat="1" applyFont="1" applyFill="1" applyBorder="1" applyAlignment="1">
      <alignment horizontal="center" vertical="center"/>
    </xf>
    <xf numFmtId="168" fontId="0" fillId="0" borderId="2" xfId="45" applyNumberFormat="1" applyFont="1" applyFill="1" applyBorder="1" applyAlignment="1">
      <alignment horizontal="center" vertical="center"/>
    </xf>
    <xf numFmtId="168" fontId="0" fillId="0" borderId="42" xfId="45" applyNumberFormat="1" applyFont="1" applyFill="1" applyBorder="1" applyAlignment="1">
      <alignment horizontal="center" vertical="center"/>
    </xf>
    <xf numFmtId="3" fontId="2" fillId="2" borderId="0" xfId="0" applyNumberFormat="1" applyFont="1" applyFill="1" applyAlignment="1">
      <alignment horizontal="left" vertical="center"/>
    </xf>
    <xf numFmtId="3" fontId="2" fillId="0" borderId="0" xfId="0" quotePrefix="1" applyNumberFormat="1" applyFont="1" applyAlignment="1">
      <alignment horizontal="left" vertical="center"/>
    </xf>
    <xf numFmtId="3" fontId="2" fillId="0" borderId="0" xfId="0" applyNumberFormat="1" applyFont="1" applyBorder="1" applyAlignment="1">
      <alignment horizontal="left" vertical="center"/>
    </xf>
    <xf numFmtId="0" fontId="19" fillId="0" borderId="34" xfId="0" applyFont="1" applyBorder="1" applyAlignment="1">
      <alignment horizontal="center" vertical="center"/>
    </xf>
    <xf numFmtId="0" fontId="19" fillId="0" borderId="35" xfId="0" applyFont="1" applyBorder="1" applyAlignment="1">
      <alignment horizontal="center" vertical="center"/>
    </xf>
    <xf numFmtId="168" fontId="0" fillId="0" borderId="0" xfId="0" applyNumberFormat="1" applyFont="1" applyAlignment="1">
      <alignment vertical="center"/>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4"/>
    <cellStyle name="Normal 5" xfId="2"/>
    <cellStyle name="Note" xfId="16" builtinId="10" customBuiltin="1"/>
    <cellStyle name="Output" xfId="11" builtinId="21" customBuiltin="1"/>
    <cellStyle name="Percent" xfId="45" builtinId="5"/>
    <cellStyle name="Title 2" xfId="43"/>
    <cellStyle name="Total" xfId="18" builtinId="25" customBuiltin="1"/>
    <cellStyle name="Warning Text" xfId="15" builtinId="11" customBuiltin="1"/>
  </cellStyles>
  <dxfs count="3">
    <dxf>
      <alignment vertical="center" indent="0" readingOrder="0"/>
    </dxf>
    <dxf>
      <alignment vertical="center" indent="0" readingOrder="0"/>
    </dxf>
    <dxf>
      <numFmt numFmtId="164" formatCode="_(* #,##0_);_(* \(#,##0\);_(* &quot;-&quot;??_);_(@_)"/>
    </dxf>
  </dxfs>
  <tableStyles count="0" defaultTableStyle="TableStyleMedium2" defaultPivotStyle="PivotStyleLight16"/>
  <colors>
    <mruColors>
      <color rgb="FF26BE12"/>
      <color rgb="FF00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chartsheet" Target="chartsheets/sheet9.xml"/><Relationship Id="rId18" Type="http://schemas.openxmlformats.org/officeDocument/2006/relationships/styles" Target="styles.xml"/><Relationship Id="rId3" Type="http://schemas.openxmlformats.org/officeDocument/2006/relationships/worksheet" Target="worksheets/sheet2.xml"/><Relationship Id="rId21" Type="http://schemas.openxmlformats.org/officeDocument/2006/relationships/customXml" Target="../customXml/item1.xml"/><Relationship Id="rId7" Type="http://schemas.openxmlformats.org/officeDocument/2006/relationships/chartsheet" Target="chartsheets/sheet3.xml"/><Relationship Id="rId12" Type="http://schemas.openxmlformats.org/officeDocument/2006/relationships/chartsheet" Target="chartsheets/sheet8.xml"/><Relationship Id="rId17" Type="http://schemas.openxmlformats.org/officeDocument/2006/relationships/theme" Target="theme/theme1.xml"/><Relationship Id="rId2" Type="http://schemas.openxmlformats.org/officeDocument/2006/relationships/worksheet" Target="worksheets/sheet1.xml"/><Relationship Id="rId16" Type="http://schemas.openxmlformats.org/officeDocument/2006/relationships/pivotCacheDefinition" Target="pivotCache/pivotCacheDefinition3.xml"/><Relationship Id="rId20" Type="http://schemas.openxmlformats.org/officeDocument/2006/relationships/calcChain" Target="calcChain.xml"/><Relationship Id="rId1" Type="http://schemas.openxmlformats.org/officeDocument/2006/relationships/chartsheet" Target="chartsheets/sheet1.xml"/><Relationship Id="rId6" Type="http://schemas.openxmlformats.org/officeDocument/2006/relationships/chartsheet" Target="chartsheets/sheet2.xml"/><Relationship Id="rId11" Type="http://schemas.openxmlformats.org/officeDocument/2006/relationships/chartsheet" Target="chartsheets/sheet7.xml"/><Relationship Id="rId24" Type="http://schemas.openxmlformats.org/officeDocument/2006/relationships/customXml" Target="../customXml/item4.xml"/><Relationship Id="rId5" Type="http://schemas.openxmlformats.org/officeDocument/2006/relationships/worksheet" Target="worksheets/sheet4.xml"/><Relationship Id="rId15" Type="http://schemas.openxmlformats.org/officeDocument/2006/relationships/pivotCacheDefinition" Target="pivotCache/pivotCacheDefinition2.xml"/><Relationship Id="rId23" Type="http://schemas.openxmlformats.org/officeDocument/2006/relationships/customXml" Target="../customXml/item3.xml"/><Relationship Id="rId10" Type="http://schemas.openxmlformats.org/officeDocument/2006/relationships/chartsheet" Target="chartsheets/sheet6.xml"/><Relationship Id="rId19"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chartsheet" Target="chartsheets/sheet5.xml"/><Relationship Id="rId14" Type="http://schemas.openxmlformats.org/officeDocument/2006/relationships/pivotCacheDefinition" Target="pivotCache/pivotCacheDefinition1.xml"/><Relationship Id="rId22"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b="1" i="0" baseline="0">
                <a:effectLst/>
              </a:rPr>
              <a:t>Figure 1. PSE Total Emissions by Resource Type (Owned, Firm &amp; Unknown)</a:t>
            </a:r>
            <a:endParaRPr lang="en-US" sz="1600">
              <a:effectLst/>
            </a:endParaRPr>
          </a:p>
        </c:rich>
      </c:tx>
      <c:layout/>
      <c:overlay val="0"/>
    </c:title>
    <c:autoTitleDeleted val="0"/>
    <c:plotArea>
      <c:layout/>
      <c:barChart>
        <c:barDir val="col"/>
        <c:grouping val="stacked"/>
        <c:varyColors val="0"/>
        <c:ser>
          <c:idx val="0"/>
          <c:order val="0"/>
          <c:tx>
            <c:strRef>
              <c:f>'Pivot Tables &amp; Chart Data'!$L$101</c:f>
              <c:strCache>
                <c:ptCount val="1"/>
                <c:pt idx="0">
                  <c:v>PSE Owned Coal</c:v>
                </c:pt>
              </c:strCache>
            </c:strRef>
          </c:tx>
          <c:invertIfNegative val="0"/>
          <c:cat>
            <c:numRef>
              <c:f>'Pivot Tables &amp; Chart Data'!$O$100:$X$100</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'Pivot Tables &amp; Chart Data'!$O$101:$X$101</c:f>
              <c:numCache>
                <c:formatCode>#,##0</c:formatCode>
                <c:ptCount val="10"/>
                <c:pt idx="0">
                  <c:v>6130795</c:v>
                </c:pt>
                <c:pt idx="1">
                  <c:v>5258788</c:v>
                </c:pt>
                <c:pt idx="2">
                  <c:v>6093354.7435887642</c:v>
                </c:pt>
                <c:pt idx="3">
                  <c:v>4959800.6776280543</c:v>
                </c:pt>
                <c:pt idx="4">
                  <c:v>4528259.9126447653</c:v>
                </c:pt>
                <c:pt idx="5">
                  <c:v>5145052.1554388432</c:v>
                </c:pt>
                <c:pt idx="6">
                  <c:v>5350265</c:v>
                </c:pt>
                <c:pt idx="7">
                  <c:v>5508526.3000000007</c:v>
                </c:pt>
                <c:pt idx="8">
                  <c:v>5079502</c:v>
                </c:pt>
                <c:pt idx="9">
                  <c:v>4907711.8175352756</c:v>
                </c:pt>
              </c:numCache>
            </c:numRef>
          </c:val>
        </c:ser>
        <c:ser>
          <c:idx val="1"/>
          <c:order val="1"/>
          <c:tx>
            <c:strRef>
              <c:f>'Pivot Tables &amp; Chart Data'!$L$102</c:f>
              <c:strCache>
                <c:ptCount val="1"/>
                <c:pt idx="0">
                  <c:v>PSE Firm Coal</c:v>
                </c:pt>
              </c:strCache>
            </c:strRef>
          </c:tx>
          <c:spPr>
            <a:solidFill>
              <a:srgbClr val="C00000"/>
            </a:solidFill>
          </c:spPr>
          <c:invertIfNegative val="0"/>
          <c:cat>
            <c:numRef>
              <c:f>'Pivot Tables &amp; Chart Data'!$O$100:$X$100</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'Pivot Tables &amp; Chart Data'!$O$102:$X$102</c:f>
              <c:numCache>
                <c:formatCode>#,##0</c:formatCode>
                <c:ptCount val="10"/>
                <c:pt idx="0">
                  <c:v>801889.75558233028</c:v>
                </c:pt>
                <c:pt idx="1">
                  <c:v>716565.09146554756</c:v>
                </c:pt>
                <c:pt idx="2">
                  <c:v>850105.93071991508</c:v>
                </c:pt>
                <c:pt idx="3">
                  <c:v>0</c:v>
                </c:pt>
                <c:pt idx="4">
                  <c:v>0</c:v>
                </c:pt>
                <c:pt idx="5">
                  <c:v>0</c:v>
                </c:pt>
                <c:pt idx="6">
                  <c:v>157594.12492212933</c:v>
                </c:pt>
                <c:pt idx="7">
                  <c:v>1986952.7107121402</c:v>
                </c:pt>
                <c:pt idx="8">
                  <c:v>1891255.235921798</c:v>
                </c:pt>
                <c:pt idx="9">
                  <c:v>2449181.3466417422</c:v>
                </c:pt>
              </c:numCache>
            </c:numRef>
          </c:val>
        </c:ser>
        <c:ser>
          <c:idx val="2"/>
          <c:order val="2"/>
          <c:tx>
            <c:strRef>
              <c:f>'Pivot Tables &amp; Chart Data'!$L$103</c:f>
              <c:strCache>
                <c:ptCount val="1"/>
                <c:pt idx="0">
                  <c:v>PSE Owned Gas</c:v>
                </c:pt>
              </c:strCache>
            </c:strRef>
          </c:tx>
          <c:invertIfNegative val="0"/>
          <c:cat>
            <c:numRef>
              <c:f>'Pivot Tables &amp; Chart Data'!$O$100:$X$100</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'Pivot Tables &amp; Chart Data'!$O$103:$X$103</c:f>
              <c:numCache>
                <c:formatCode>#,##0</c:formatCode>
                <c:ptCount val="10"/>
                <c:pt idx="0">
                  <c:v>731769.16058525152</c:v>
                </c:pt>
                <c:pt idx="1">
                  <c:v>2121104.8021874363</c:v>
                </c:pt>
                <c:pt idx="2">
                  <c:v>1788660.9446573111</c:v>
                </c:pt>
                <c:pt idx="3">
                  <c:v>882874.38248413219</c:v>
                </c:pt>
                <c:pt idx="4">
                  <c:v>1453056.232862554</c:v>
                </c:pt>
                <c:pt idx="5">
                  <c:v>2676353.2507888721</c:v>
                </c:pt>
                <c:pt idx="6">
                  <c:v>2116533.9140632865</c:v>
                </c:pt>
                <c:pt idx="7">
                  <c:v>2754715.3074426129</c:v>
                </c:pt>
                <c:pt idx="8">
                  <c:v>2062316.2599128878</c:v>
                </c:pt>
                <c:pt idx="9">
                  <c:v>1905778.8073912996</c:v>
                </c:pt>
              </c:numCache>
            </c:numRef>
          </c:val>
        </c:ser>
        <c:ser>
          <c:idx val="3"/>
          <c:order val="3"/>
          <c:tx>
            <c:strRef>
              <c:f>'Pivot Tables &amp; Chart Data'!$L$104</c:f>
              <c:strCache>
                <c:ptCount val="1"/>
                <c:pt idx="0">
                  <c:v>PSE Firm Gas</c:v>
                </c:pt>
              </c:strCache>
            </c:strRef>
          </c:tx>
          <c:invertIfNegative val="0"/>
          <c:cat>
            <c:numRef>
              <c:f>'Pivot Tables &amp; Chart Data'!$O$100:$X$100</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'Pivot Tables &amp; Chart Data'!$O$104:$X$104</c:f>
              <c:numCache>
                <c:formatCode>#,##0</c:formatCode>
                <c:ptCount val="10"/>
                <c:pt idx="0">
                  <c:v>579075.31787353021</c:v>
                </c:pt>
                <c:pt idx="1">
                  <c:v>737668.52580339019</c:v>
                </c:pt>
                <c:pt idx="2">
                  <c:v>674202.60194222</c:v>
                </c:pt>
                <c:pt idx="3">
                  <c:v>305660.80967053678</c:v>
                </c:pt>
                <c:pt idx="4">
                  <c:v>200.4699648575542</c:v>
                </c:pt>
                <c:pt idx="5">
                  <c:v>3411.3448018121003</c:v>
                </c:pt>
                <c:pt idx="6">
                  <c:v>488.47094447042167</c:v>
                </c:pt>
                <c:pt idx="7">
                  <c:v>161.25650582378159</c:v>
                </c:pt>
                <c:pt idx="8">
                  <c:v>80.707833518672004</c:v>
                </c:pt>
                <c:pt idx="9">
                  <c:v>0</c:v>
                </c:pt>
              </c:numCache>
            </c:numRef>
          </c:val>
        </c:ser>
        <c:ser>
          <c:idx val="4"/>
          <c:order val="4"/>
          <c:tx>
            <c:strRef>
              <c:f>'Pivot Tables &amp; Chart Data'!$L$105</c:f>
              <c:strCache>
                <c:ptCount val="1"/>
                <c:pt idx="0">
                  <c:v>PSE Own All Other</c:v>
                </c:pt>
              </c:strCache>
            </c:strRef>
          </c:tx>
          <c:invertIfNegative val="0"/>
          <c:cat>
            <c:numRef>
              <c:f>'Pivot Tables &amp; Chart Data'!$O$100:$X$100</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'Pivot Tables &amp; Chart Data'!$O$105:$X$105</c:f>
              <c:numCache>
                <c:formatCode>#,##0</c:formatCode>
                <c:ptCount val="10"/>
                <c:pt idx="0">
                  <c:v>304.82562487956602</c:v>
                </c:pt>
                <c:pt idx="1">
                  <c:v>382.60538600571454</c:v>
                </c:pt>
                <c:pt idx="2">
                  <c:v>119.08045835397206</c:v>
                </c:pt>
                <c:pt idx="3">
                  <c:v>250.56210081488825</c:v>
                </c:pt>
                <c:pt idx="4">
                  <c:v>10823.367798363324</c:v>
                </c:pt>
                <c:pt idx="5">
                  <c:v>64.04744728282094</c:v>
                </c:pt>
                <c:pt idx="6">
                  <c:v>326.1225202656351</c:v>
                </c:pt>
                <c:pt idx="7">
                  <c:v>267.67665176931769</c:v>
                </c:pt>
                <c:pt idx="8">
                  <c:v>170.11081345023362</c:v>
                </c:pt>
                <c:pt idx="9">
                  <c:v>367.80096306048716</c:v>
                </c:pt>
              </c:numCache>
            </c:numRef>
          </c:val>
        </c:ser>
        <c:ser>
          <c:idx val="5"/>
          <c:order val="5"/>
          <c:tx>
            <c:strRef>
              <c:f>'Pivot Tables &amp; Chart Data'!$L$106</c:f>
              <c:strCache>
                <c:ptCount val="1"/>
                <c:pt idx="0">
                  <c:v>PSE Firm All Other</c:v>
                </c:pt>
              </c:strCache>
            </c:strRef>
          </c:tx>
          <c:invertIfNegative val="0"/>
          <c:cat>
            <c:numRef>
              <c:f>'Pivot Tables &amp; Chart Data'!$O$100:$X$100</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'Pivot Tables &amp; Chart Data'!$O$106:$X$106</c:f>
              <c:numCache>
                <c:formatCode>#,##0</c:formatCode>
                <c:ptCount val="10"/>
                <c:pt idx="0">
                  <c:v>548109.37022155814</c:v>
                </c:pt>
                <c:pt idx="1">
                  <c:v>397766.21656276449</c:v>
                </c:pt>
                <c:pt idx="2">
                  <c:v>1285614.5335668433</c:v>
                </c:pt>
                <c:pt idx="3">
                  <c:v>1097367.16953607</c:v>
                </c:pt>
                <c:pt idx="4">
                  <c:v>790139.0310257622</c:v>
                </c:pt>
                <c:pt idx="5">
                  <c:v>499428.51509914635</c:v>
                </c:pt>
                <c:pt idx="6">
                  <c:v>302576.55000300001</c:v>
                </c:pt>
                <c:pt idx="7">
                  <c:v>252050.45651099985</c:v>
                </c:pt>
                <c:pt idx="8">
                  <c:v>619003.63796750002</c:v>
                </c:pt>
                <c:pt idx="9">
                  <c:v>766336.50247599999</c:v>
                </c:pt>
              </c:numCache>
            </c:numRef>
          </c:val>
        </c:ser>
        <c:ser>
          <c:idx val="6"/>
          <c:order val="6"/>
          <c:tx>
            <c:strRef>
              <c:f>'Pivot Tables &amp; Chart Data'!$L$107</c:f>
              <c:strCache>
                <c:ptCount val="1"/>
                <c:pt idx="0">
                  <c:v>Unknown</c:v>
                </c:pt>
              </c:strCache>
            </c:strRef>
          </c:tx>
          <c:invertIfNegative val="0"/>
          <c:cat>
            <c:numRef>
              <c:f>'Pivot Tables &amp; Chart Data'!$O$100:$X$100</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'Pivot Tables &amp; Chart Data'!$O$107:$X$107</c:f>
              <c:numCache>
                <c:formatCode>#,##0</c:formatCode>
                <c:ptCount val="10"/>
                <c:pt idx="0">
                  <c:v>2787286.6950858752</c:v>
                </c:pt>
                <c:pt idx="1">
                  <c:v>2465915.3735550479</c:v>
                </c:pt>
                <c:pt idx="2">
                  <c:v>1897917.2298310385</c:v>
                </c:pt>
                <c:pt idx="3">
                  <c:v>3064415.2106302725</c:v>
                </c:pt>
                <c:pt idx="4">
                  <c:v>3489259.0462222076</c:v>
                </c:pt>
                <c:pt idx="5">
                  <c:v>3326881.3430049806</c:v>
                </c:pt>
                <c:pt idx="6">
                  <c:v>3138202.3358790041</c:v>
                </c:pt>
                <c:pt idx="7">
                  <c:v>1851818.5102739995</c:v>
                </c:pt>
                <c:pt idx="8">
                  <c:v>1537613.5712462435</c:v>
                </c:pt>
                <c:pt idx="9">
                  <c:v>1188668.7804200475</c:v>
                </c:pt>
              </c:numCache>
            </c:numRef>
          </c:val>
        </c:ser>
        <c:dLbls>
          <c:showLegendKey val="0"/>
          <c:showVal val="0"/>
          <c:showCatName val="0"/>
          <c:showSerName val="0"/>
          <c:showPercent val="0"/>
          <c:showBubbleSize val="0"/>
        </c:dLbls>
        <c:gapWidth val="150"/>
        <c:overlap val="100"/>
        <c:axId val="148155008"/>
        <c:axId val="153191552"/>
      </c:barChart>
      <c:lineChart>
        <c:grouping val="standard"/>
        <c:varyColors val="0"/>
        <c:ser>
          <c:idx val="7"/>
          <c:order val="7"/>
          <c:tx>
            <c:strRef>
              <c:f>'Pivot Tables &amp; Chart Data'!$L$108</c:f>
              <c:strCache>
                <c:ptCount val="1"/>
                <c:pt idx="0">
                  <c:v>1990 Baseline</c:v>
                </c:pt>
              </c:strCache>
            </c:strRef>
          </c:tx>
          <c:spPr>
            <a:ln>
              <a:solidFill>
                <a:schemeClr val="tx1"/>
              </a:solidFill>
              <a:prstDash val="sysDash"/>
            </a:ln>
          </c:spPr>
          <c:marker>
            <c:symbol val="none"/>
          </c:marker>
          <c:dPt>
            <c:idx val="0"/>
            <c:bubble3D val="0"/>
          </c:dPt>
          <c:cat>
            <c:numRef>
              <c:f>'Pivot Tables &amp; Chart Data'!$O$100:$X$100</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'Pivot Tables &amp; Chart Data'!$O$108:$X$108</c:f>
              <c:numCache>
                <c:formatCode>#,##0</c:formatCode>
                <c:ptCount val="10"/>
                <c:pt idx="0">
                  <c:v>6946064.2630194854</c:v>
                </c:pt>
                <c:pt idx="1">
                  <c:v>6946064.2630194854</c:v>
                </c:pt>
                <c:pt idx="2">
                  <c:v>6946064.2630194854</c:v>
                </c:pt>
                <c:pt idx="3">
                  <c:v>6946064.2630194854</c:v>
                </c:pt>
                <c:pt idx="4">
                  <c:v>6946064.2630194854</c:v>
                </c:pt>
                <c:pt idx="5">
                  <c:v>6946064.2630194854</c:v>
                </c:pt>
                <c:pt idx="6">
                  <c:v>6946064.2630194854</c:v>
                </c:pt>
                <c:pt idx="7">
                  <c:v>6946064.2630194854</c:v>
                </c:pt>
                <c:pt idx="8">
                  <c:v>6946064.2630194854</c:v>
                </c:pt>
                <c:pt idx="9">
                  <c:v>6946064.2630194854</c:v>
                </c:pt>
              </c:numCache>
            </c:numRef>
          </c:val>
          <c:smooth val="0"/>
        </c:ser>
        <c:dLbls>
          <c:showLegendKey val="0"/>
          <c:showVal val="0"/>
          <c:showCatName val="0"/>
          <c:showSerName val="0"/>
          <c:showPercent val="0"/>
          <c:showBubbleSize val="0"/>
        </c:dLbls>
        <c:marker val="1"/>
        <c:smooth val="0"/>
        <c:axId val="148155008"/>
        <c:axId val="153191552"/>
      </c:lineChart>
      <c:catAx>
        <c:axId val="148155008"/>
        <c:scaling>
          <c:orientation val="minMax"/>
        </c:scaling>
        <c:delete val="0"/>
        <c:axPos val="b"/>
        <c:numFmt formatCode="General" sourceLinked="1"/>
        <c:majorTickMark val="out"/>
        <c:minorTickMark val="none"/>
        <c:tickLblPos val="nextTo"/>
        <c:crossAx val="153191552"/>
        <c:crosses val="autoZero"/>
        <c:auto val="1"/>
        <c:lblAlgn val="ctr"/>
        <c:lblOffset val="100"/>
        <c:noMultiLvlLbl val="0"/>
      </c:catAx>
      <c:valAx>
        <c:axId val="153191552"/>
        <c:scaling>
          <c:orientation val="minMax"/>
        </c:scaling>
        <c:delete val="0"/>
        <c:axPos val="l"/>
        <c:majorGridlines/>
        <c:title>
          <c:tx>
            <c:rich>
              <a:bodyPr rot="-5400000" vert="horz"/>
              <a:lstStyle/>
              <a:p>
                <a:pPr>
                  <a:defRPr/>
                </a:pPr>
                <a:r>
                  <a:rPr lang="en-US"/>
                  <a:t>Short Tons CO2</a:t>
                </a:r>
              </a:p>
            </c:rich>
          </c:tx>
          <c:layout/>
          <c:overlay val="0"/>
        </c:title>
        <c:numFmt formatCode="#,##0" sourceLinked="1"/>
        <c:majorTickMark val="out"/>
        <c:minorTickMark val="none"/>
        <c:tickLblPos val="nextTo"/>
        <c:crossAx val="148155008"/>
        <c:crosses val="autoZero"/>
        <c:crossBetween val="between"/>
      </c:valAx>
      <c:dTable>
        <c:showHorzBorder val="1"/>
        <c:showVertBorder val="0"/>
        <c:showOutline val="0"/>
        <c:showKeys val="1"/>
      </c:dTable>
    </c:plotArea>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PSE</a:t>
            </a:r>
            <a:r>
              <a:rPr lang="en-US" baseline="0"/>
              <a:t> Load Served  by Resource Type (Owned, Firm &amp; Unspecified)</a:t>
            </a:r>
            <a:endParaRPr lang="en-US"/>
          </a:p>
        </c:rich>
      </c:tx>
      <c:layout/>
      <c:overlay val="0"/>
    </c:title>
    <c:autoTitleDeleted val="0"/>
    <c:plotArea>
      <c:layout/>
      <c:barChart>
        <c:barDir val="col"/>
        <c:grouping val="stacked"/>
        <c:varyColors val="0"/>
        <c:ser>
          <c:idx val="6"/>
          <c:order val="0"/>
          <c:tx>
            <c:strRef>
              <c:f>'Pivot Tables &amp; Chart Data'!$L$114</c:f>
              <c:strCache>
                <c:ptCount val="1"/>
                <c:pt idx="0">
                  <c:v>PSE Owned Coal</c:v>
                </c:pt>
              </c:strCache>
            </c:strRef>
          </c:tx>
          <c:invertIfNegative val="0"/>
          <c:cat>
            <c:numRef>
              <c:f>'Pivot Tables &amp; Chart Data'!$O$113:$X$113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'Pivot Tables &amp; Chart Data'!$O$114:$X$114</c:f>
              <c:numCache>
                <c:formatCode>#,##0</c:formatCode>
                <c:ptCount val="10"/>
                <c:pt idx="0">
                  <c:v>5067445</c:v>
                </c:pt>
                <c:pt idx="1">
                  <c:v>4451104</c:v>
                </c:pt>
                <c:pt idx="2">
                  <c:v>5198105</c:v>
                </c:pt>
                <c:pt idx="3">
                  <c:v>4210583</c:v>
                </c:pt>
                <c:pt idx="4">
                  <c:v>3809524.0120000001</c:v>
                </c:pt>
                <c:pt idx="5">
                  <c:v>4346208</c:v>
                </c:pt>
                <c:pt idx="6">
                  <c:v>4509567</c:v>
                </c:pt>
                <c:pt idx="7">
                  <c:v>4495032</c:v>
                </c:pt>
                <c:pt idx="8">
                  <c:v>4529179</c:v>
                </c:pt>
                <c:pt idx="9">
                  <c:v>4463705</c:v>
                </c:pt>
              </c:numCache>
            </c:numRef>
          </c:val>
        </c:ser>
        <c:ser>
          <c:idx val="5"/>
          <c:order val="1"/>
          <c:tx>
            <c:strRef>
              <c:f>'Pivot Tables &amp; Chart Data'!$L$115</c:f>
              <c:strCache>
                <c:ptCount val="1"/>
                <c:pt idx="0">
                  <c:v>Firm Coal</c:v>
                </c:pt>
              </c:strCache>
            </c:strRef>
          </c:tx>
          <c:invertIfNegative val="0"/>
          <c:cat>
            <c:numRef>
              <c:f>'Pivot Tables &amp; Chart Data'!$O$113:$X$113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'Pivot Tables &amp; Chart Data'!$O$115:$X$115</c:f>
              <c:numCache>
                <c:formatCode>#,##0</c:formatCode>
                <c:ptCount val="10"/>
                <c:pt idx="0">
                  <c:v>795395</c:v>
                </c:pt>
                <c:pt idx="1">
                  <c:v>591921</c:v>
                </c:pt>
                <c:pt idx="2">
                  <c:v>788313</c:v>
                </c:pt>
                <c:pt idx="3">
                  <c:v>0</c:v>
                </c:pt>
                <c:pt idx="4">
                  <c:v>0</c:v>
                </c:pt>
                <c:pt idx="5">
                  <c:v>0</c:v>
                </c:pt>
                <c:pt idx="6">
                  <c:v>133020</c:v>
                </c:pt>
                <c:pt idx="7">
                  <c:v>1651177</c:v>
                </c:pt>
                <c:pt idx="8">
                  <c:v>1568805</c:v>
                </c:pt>
                <c:pt idx="9">
                  <c:v>2070958</c:v>
                </c:pt>
              </c:numCache>
            </c:numRef>
          </c:val>
        </c:ser>
        <c:ser>
          <c:idx val="4"/>
          <c:order val="2"/>
          <c:tx>
            <c:strRef>
              <c:f>'Pivot Tables &amp; Chart Data'!$L$116</c:f>
              <c:strCache>
                <c:ptCount val="1"/>
                <c:pt idx="0">
                  <c:v>PSE Owned Gas</c:v>
                </c:pt>
              </c:strCache>
            </c:strRef>
          </c:tx>
          <c:invertIfNegative val="0"/>
          <c:cat>
            <c:numRef>
              <c:f>'Pivot Tables &amp; Chart Data'!$O$113:$X$113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'Pivot Tables &amp; Chart Data'!$O$116:$X$116</c:f>
              <c:numCache>
                <c:formatCode>#,##0</c:formatCode>
                <c:ptCount val="10"/>
                <c:pt idx="0">
                  <c:v>2269225.3870000001</c:v>
                </c:pt>
                <c:pt idx="1">
                  <c:v>4362726.5999999996</c:v>
                </c:pt>
                <c:pt idx="2">
                  <c:v>4102193.2009999999</c:v>
                </c:pt>
                <c:pt idx="3">
                  <c:v>1822863.2229999998</c:v>
                </c:pt>
                <c:pt idx="4">
                  <c:v>2620038.1639999999</c:v>
                </c:pt>
                <c:pt idx="5">
                  <c:v>5355199.6630000006</c:v>
                </c:pt>
                <c:pt idx="6">
                  <c:v>4154625.34</c:v>
                </c:pt>
                <c:pt idx="7">
                  <c:v>5830023.9449999994</c:v>
                </c:pt>
                <c:pt idx="8">
                  <c:v>4152008.3859999999</c:v>
                </c:pt>
                <c:pt idx="9">
                  <c:v>3923897.7079999992</c:v>
                </c:pt>
              </c:numCache>
            </c:numRef>
          </c:val>
        </c:ser>
        <c:ser>
          <c:idx val="0"/>
          <c:order val="3"/>
          <c:tx>
            <c:strRef>
              <c:f>'Pivot Tables &amp; Chart Data'!$L$117</c:f>
              <c:strCache>
                <c:ptCount val="1"/>
                <c:pt idx="0">
                  <c:v>Firm Gas</c:v>
                </c:pt>
              </c:strCache>
            </c:strRef>
          </c:tx>
          <c:invertIfNegative val="0"/>
          <c:cat>
            <c:numRef>
              <c:f>'Pivot Tables &amp; Chart Data'!$O$113:$X$113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'Pivot Tables &amp; Chart Data'!$O$117:$X$117</c:f>
              <c:numCache>
                <c:formatCode>#,##0</c:formatCode>
                <c:ptCount val="10"/>
                <c:pt idx="0">
                  <c:v>1514540.69</c:v>
                </c:pt>
                <c:pt idx="1">
                  <c:v>1862312.49</c:v>
                </c:pt>
                <c:pt idx="2">
                  <c:v>1733966.8559999999</c:v>
                </c:pt>
                <c:pt idx="3">
                  <c:v>851082.18599999987</c:v>
                </c:pt>
                <c:pt idx="4">
                  <c:v>500</c:v>
                </c:pt>
                <c:pt idx="5">
                  <c:v>8450</c:v>
                </c:pt>
                <c:pt idx="6">
                  <c:v>1200</c:v>
                </c:pt>
                <c:pt idx="7">
                  <c:v>400</c:v>
                </c:pt>
                <c:pt idx="8">
                  <c:v>200</c:v>
                </c:pt>
                <c:pt idx="9">
                  <c:v>0</c:v>
                </c:pt>
              </c:numCache>
            </c:numRef>
          </c:val>
        </c:ser>
        <c:ser>
          <c:idx val="1"/>
          <c:order val="4"/>
          <c:tx>
            <c:strRef>
              <c:f>'Pivot Tables &amp; Chart Data'!$L$118</c:f>
              <c:strCache>
                <c:ptCount val="1"/>
                <c:pt idx="0">
                  <c:v>PSE Own All Other</c:v>
                </c:pt>
              </c:strCache>
            </c:strRef>
          </c:tx>
          <c:invertIfNegative val="0"/>
          <c:cat>
            <c:numRef>
              <c:f>'Pivot Tables &amp; Chart Data'!$O$113:$X$113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'Pivot Tables &amp; Chart Data'!$O$118:$X$118</c:f>
              <c:numCache>
                <c:formatCode>#,##0</c:formatCode>
                <c:ptCount val="10"/>
                <c:pt idx="0">
                  <c:v>2082704.8690000009</c:v>
                </c:pt>
                <c:pt idx="1">
                  <c:v>1934692.6220000014</c:v>
                </c:pt>
                <c:pt idx="2">
                  <c:v>1920636.4109999998</c:v>
                </c:pt>
                <c:pt idx="3">
                  <c:v>1848128.1480000005</c:v>
                </c:pt>
                <c:pt idx="4">
                  <c:v>2569850.9929999998</c:v>
                </c:pt>
                <c:pt idx="5">
                  <c:v>2720218.216</c:v>
                </c:pt>
                <c:pt idx="6">
                  <c:v>2976312.0890000015</c:v>
                </c:pt>
                <c:pt idx="7">
                  <c:v>2421958.176</c:v>
                </c:pt>
                <c:pt idx="8">
                  <c:v>2896420.2780000004</c:v>
                </c:pt>
                <c:pt idx="9">
                  <c:v>2540007.3309999998</c:v>
                </c:pt>
              </c:numCache>
            </c:numRef>
          </c:val>
        </c:ser>
        <c:ser>
          <c:idx val="2"/>
          <c:order val="5"/>
          <c:tx>
            <c:strRef>
              <c:f>'Pivot Tables &amp; Chart Data'!$L$119</c:f>
              <c:strCache>
                <c:ptCount val="1"/>
                <c:pt idx="0">
                  <c:v>Firm All Other (Renewable)</c:v>
                </c:pt>
              </c:strCache>
            </c:strRef>
          </c:tx>
          <c:invertIfNegative val="0"/>
          <c:cat>
            <c:numRef>
              <c:f>'Pivot Tables &amp; Chart Data'!$O$113:$X$113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'Pivot Tables &amp; Chart Data'!$O$119:$X$119</c:f>
              <c:numCache>
                <c:formatCode>#,##0</c:formatCode>
                <c:ptCount val="10"/>
                <c:pt idx="0">
                  <c:v>6401139.182</c:v>
                </c:pt>
                <c:pt idx="1">
                  <c:v>5831527.629999999</c:v>
                </c:pt>
                <c:pt idx="2">
                  <c:v>5665876.3269999996</c:v>
                </c:pt>
                <c:pt idx="3">
                  <c:v>7342772.7529999996</c:v>
                </c:pt>
                <c:pt idx="4">
                  <c:v>5688770.9849999994</c:v>
                </c:pt>
                <c:pt idx="5">
                  <c:v>4495824.6399999997</c:v>
                </c:pt>
                <c:pt idx="6">
                  <c:v>4313036.9629999995</c:v>
                </c:pt>
                <c:pt idx="7">
                  <c:v>4183805.26</c:v>
                </c:pt>
                <c:pt idx="8">
                  <c:v>5308390.8609999996</c:v>
                </c:pt>
                <c:pt idx="9">
                  <c:v>5365706.8689999999</c:v>
                </c:pt>
              </c:numCache>
            </c:numRef>
          </c:val>
        </c:ser>
        <c:ser>
          <c:idx val="3"/>
          <c:order val="6"/>
          <c:tx>
            <c:strRef>
              <c:f>'Pivot Tables &amp; Chart Data'!$L$120</c:f>
              <c:strCache>
                <c:ptCount val="1"/>
                <c:pt idx="0">
                  <c:v>Unspecified</c:v>
                </c:pt>
              </c:strCache>
            </c:strRef>
          </c:tx>
          <c:invertIfNegative val="0"/>
          <c:cat>
            <c:numRef>
              <c:f>'Pivot Tables &amp; Chart Data'!$O$113:$X$113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'Pivot Tables &amp; Chart Data'!$O$120:$X$120</c:f>
              <c:numCache>
                <c:formatCode>#,##0</c:formatCode>
                <c:ptCount val="10"/>
                <c:pt idx="0">
                  <c:v>5441422.0399999991</c:v>
                </c:pt>
                <c:pt idx="1">
                  <c:v>4408167.4979999997</c:v>
                </c:pt>
                <c:pt idx="2">
                  <c:v>3185182.9120000005</c:v>
                </c:pt>
                <c:pt idx="3">
                  <c:v>6774737.6720000021</c:v>
                </c:pt>
                <c:pt idx="4">
                  <c:v>7727006.4249999989</c:v>
                </c:pt>
                <c:pt idx="5">
                  <c:v>5877232.977</c:v>
                </c:pt>
                <c:pt idx="6">
                  <c:v>6189748.1970000006</c:v>
                </c:pt>
                <c:pt idx="7">
                  <c:v>3448451.602</c:v>
                </c:pt>
                <c:pt idx="8">
                  <c:v>4166128.7529999991</c:v>
                </c:pt>
                <c:pt idx="9">
                  <c:v>2534322.9180000001</c:v>
                </c:pt>
              </c:numCache>
            </c:numRef>
          </c:val>
        </c:ser>
        <c:dLbls>
          <c:showLegendKey val="0"/>
          <c:showVal val="0"/>
          <c:showCatName val="0"/>
          <c:showSerName val="0"/>
          <c:showPercent val="0"/>
          <c:showBubbleSize val="0"/>
        </c:dLbls>
        <c:gapWidth val="150"/>
        <c:overlap val="100"/>
        <c:axId val="174161920"/>
        <c:axId val="174163456"/>
      </c:barChart>
      <c:catAx>
        <c:axId val="174161920"/>
        <c:scaling>
          <c:orientation val="minMax"/>
        </c:scaling>
        <c:delete val="0"/>
        <c:axPos val="b"/>
        <c:numFmt formatCode="General" sourceLinked="1"/>
        <c:majorTickMark val="out"/>
        <c:minorTickMark val="none"/>
        <c:tickLblPos val="nextTo"/>
        <c:crossAx val="174163456"/>
        <c:crosses val="autoZero"/>
        <c:auto val="1"/>
        <c:lblAlgn val="ctr"/>
        <c:lblOffset val="100"/>
        <c:noMultiLvlLbl val="0"/>
      </c:catAx>
      <c:valAx>
        <c:axId val="174163456"/>
        <c:scaling>
          <c:orientation val="minMax"/>
        </c:scaling>
        <c:delete val="0"/>
        <c:axPos val="l"/>
        <c:majorGridlines/>
        <c:title>
          <c:tx>
            <c:rich>
              <a:bodyPr rot="-5400000" vert="horz"/>
              <a:lstStyle/>
              <a:p>
                <a:pPr>
                  <a:defRPr/>
                </a:pPr>
                <a:r>
                  <a:rPr lang="en-US"/>
                  <a:t>MWh</a:t>
                </a:r>
              </a:p>
            </c:rich>
          </c:tx>
          <c:layout/>
          <c:overlay val="0"/>
        </c:title>
        <c:numFmt formatCode="#,##0" sourceLinked="1"/>
        <c:majorTickMark val="out"/>
        <c:minorTickMark val="none"/>
        <c:tickLblPos val="nextTo"/>
        <c:crossAx val="174161920"/>
        <c:crosses val="autoZero"/>
        <c:crossBetween val="between"/>
      </c:valAx>
    </c:plotArea>
    <c:legend>
      <c:legendPos val="r"/>
      <c:layout/>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b="1" i="0" baseline="0">
                <a:effectLst/>
              </a:rPr>
              <a:t>PSE Total Electric Emissions by Resource Type (Owned, Firm &amp; Unspecified)</a:t>
            </a:r>
            <a:endParaRPr lang="en-US" sz="1600">
              <a:effectLst/>
            </a:endParaRPr>
          </a:p>
        </c:rich>
      </c:tx>
      <c:layout/>
      <c:overlay val="0"/>
    </c:title>
    <c:autoTitleDeleted val="0"/>
    <c:plotArea>
      <c:layout/>
      <c:barChart>
        <c:barDir val="col"/>
        <c:grouping val="stacked"/>
        <c:varyColors val="0"/>
        <c:ser>
          <c:idx val="0"/>
          <c:order val="0"/>
          <c:tx>
            <c:strRef>
              <c:f>'Pivot Tables &amp; Chart Data'!$L$145</c:f>
              <c:strCache>
                <c:ptCount val="1"/>
                <c:pt idx="0">
                  <c:v>PSE Owned Coal</c:v>
                </c:pt>
              </c:strCache>
            </c:strRef>
          </c:tx>
          <c:invertIfNegative val="0"/>
          <c:cat>
            <c:numRef>
              <c:f>'Pivot Tables &amp; Chart Data'!$M$144:$X$144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Data'!$M$145:$X$145</c:f>
              <c:numCache>
                <c:formatCode>#,##0</c:formatCode>
                <c:ptCount val="12"/>
                <c:pt idx="0">
                  <c:v>5368464.9975247653</c:v>
                </c:pt>
                <c:pt idx="1">
                  <c:v>5742217.6323306067</c:v>
                </c:pt>
                <c:pt idx="2">
                  <c:v>5561763.4228364993</c:v>
                </c:pt>
                <c:pt idx="3">
                  <c:v>4770692.0141436001</c:v>
                </c:pt>
                <c:pt idx="4">
                  <c:v>5527798.1950561497</c:v>
                </c:pt>
                <c:pt idx="5">
                  <c:v>4499455.2897938034</c:v>
                </c:pt>
                <c:pt idx="6">
                  <c:v>4107968.1103746672</c:v>
                </c:pt>
                <c:pt idx="7">
                  <c:v>4667512.5961161405</c:v>
                </c:pt>
                <c:pt idx="8">
                  <c:v>4853678.5489454996</c:v>
                </c:pt>
                <c:pt idx="9">
                  <c:v>4997250.7789076101</c:v>
                </c:pt>
                <c:pt idx="10">
                  <c:v>4608046.4980194001</c:v>
                </c:pt>
                <c:pt idx="11">
                  <c:v>4452201.0728771938</c:v>
                </c:pt>
              </c:numCache>
            </c:numRef>
          </c:val>
        </c:ser>
        <c:ser>
          <c:idx val="1"/>
          <c:order val="1"/>
          <c:tx>
            <c:strRef>
              <c:f>'Pivot Tables &amp; Chart Data'!$L$146</c:f>
              <c:strCache>
                <c:ptCount val="1"/>
                <c:pt idx="0">
                  <c:v>PSE Firm Coal</c:v>
                </c:pt>
              </c:strCache>
            </c:strRef>
          </c:tx>
          <c:invertIfNegative val="0"/>
          <c:cat>
            <c:numRef>
              <c:f>'Pivot Tables &amp; Chart Data'!$M$144:$X$144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Data'!$M$146:$X$146</c:f>
              <c:numCache>
                <c:formatCode>#,##0</c:formatCode>
                <c:ptCount val="12"/>
                <c:pt idx="0">
                  <c:v>809645.91781821428</c:v>
                </c:pt>
                <c:pt idx="1">
                  <c:v>831231.20836300426</c:v>
                </c:pt>
                <c:pt idx="2">
                  <c:v>727462.11735102953</c:v>
                </c:pt>
                <c:pt idx="3">
                  <c:v>650056.88753164525</c:v>
                </c:pt>
                <c:pt idx="4">
                  <c:v>771203.09372836689</c:v>
                </c:pt>
                <c:pt idx="5">
                  <c:v>0</c:v>
                </c:pt>
                <c:pt idx="6">
                  <c:v>0</c:v>
                </c:pt>
                <c:pt idx="7">
                  <c:v>0</c:v>
                </c:pt>
                <c:pt idx="8">
                  <c:v>142966.97893924441</c:v>
                </c:pt>
                <c:pt idx="9">
                  <c:v>1802533.0987815796</c:v>
                </c:pt>
                <c:pt idx="10">
                  <c:v>1715717.8138231456</c:v>
                </c:pt>
                <c:pt idx="11">
                  <c:v>2221859.845198785</c:v>
                </c:pt>
              </c:numCache>
            </c:numRef>
          </c:val>
        </c:ser>
        <c:ser>
          <c:idx val="2"/>
          <c:order val="2"/>
          <c:tx>
            <c:strRef>
              <c:f>'Pivot Tables &amp; Chart Data'!$L$147</c:f>
              <c:strCache>
                <c:ptCount val="1"/>
                <c:pt idx="0">
                  <c:v>PSE Owned Gas</c:v>
                </c:pt>
              </c:strCache>
            </c:strRef>
          </c:tx>
          <c:invertIfNegative val="0"/>
          <c:cat>
            <c:numRef>
              <c:f>'Pivot Tables &amp; Chart Data'!$M$144:$X$144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Data'!$M$147:$X$147</c:f>
              <c:numCache>
                <c:formatCode>#,##0</c:formatCode>
                <c:ptCount val="12"/>
                <c:pt idx="0">
                  <c:v>306377.22525563044</c:v>
                </c:pt>
                <c:pt idx="1">
                  <c:v>428637.25341572159</c:v>
                </c:pt>
                <c:pt idx="2">
                  <c:v>663849.78641478322</c:v>
                </c:pt>
                <c:pt idx="3">
                  <c:v>1924233.8236409687</c:v>
                </c:pt>
                <c:pt idx="4">
                  <c:v>1622645.8424806593</c:v>
                </c:pt>
                <c:pt idx="5">
                  <c:v>800930.13181155268</c:v>
                </c:pt>
                <c:pt idx="6">
                  <c:v>1318190.3826925461</c:v>
                </c:pt>
                <c:pt idx="7">
                  <c:v>2427946.7209109277</c:v>
                </c:pt>
                <c:pt idx="8">
                  <c:v>1920087.1838693283</c:v>
                </c:pt>
                <c:pt idx="9">
                  <c:v>2499035.5797677343</c:v>
                </c:pt>
                <c:pt idx="10">
                  <c:v>1870901.7575541951</c:v>
                </c:pt>
                <c:pt idx="11">
                  <c:v>1728893.3756496338</c:v>
                </c:pt>
              </c:numCache>
            </c:numRef>
          </c:val>
        </c:ser>
        <c:ser>
          <c:idx val="3"/>
          <c:order val="3"/>
          <c:tx>
            <c:strRef>
              <c:f>'Pivot Tables &amp; Chart Data'!$L$148</c:f>
              <c:strCache>
                <c:ptCount val="1"/>
                <c:pt idx="0">
                  <c:v>PSE Firm Gas</c:v>
                </c:pt>
              </c:strCache>
            </c:strRef>
          </c:tx>
          <c:invertIfNegative val="0"/>
          <c:cat>
            <c:numRef>
              <c:f>'Pivot Tables &amp; Chart Data'!$M$144:$X$144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Data'!$M$148:$X$148</c:f>
              <c:numCache>
                <c:formatCode>#,##0</c:formatCode>
                <c:ptCount val="12"/>
                <c:pt idx="0">
                  <c:v>898050.5494333877</c:v>
                </c:pt>
                <c:pt idx="1">
                  <c:v>714144.389316277</c:v>
                </c:pt>
                <c:pt idx="2">
                  <c:v>525328.26852250309</c:v>
                </c:pt>
                <c:pt idx="3">
                  <c:v>669201.6002803907</c:v>
                </c:pt>
                <c:pt idx="4">
                  <c:v>611626.2851821722</c:v>
                </c:pt>
                <c:pt idx="5">
                  <c:v>277290.80992272298</c:v>
                </c:pt>
                <c:pt idx="6">
                  <c:v>181.86328492831083</c:v>
                </c:pt>
                <c:pt idx="7">
                  <c:v>3094.7198106284695</c:v>
                </c:pt>
                <c:pt idx="8">
                  <c:v>443.13336721811612</c:v>
                </c:pt>
                <c:pt idx="9">
                  <c:v>146.28943485879554</c:v>
                </c:pt>
                <c:pt idx="10">
                  <c:v>73.216911738286399</c:v>
                </c:pt>
                <c:pt idx="11">
                  <c:v>0</c:v>
                </c:pt>
              </c:numCache>
            </c:numRef>
          </c:val>
        </c:ser>
        <c:ser>
          <c:idx val="4"/>
          <c:order val="4"/>
          <c:tx>
            <c:strRef>
              <c:f>'Pivot Tables &amp; Chart Data'!$L$149</c:f>
              <c:strCache>
                <c:ptCount val="1"/>
                <c:pt idx="0">
                  <c:v>PSE Own All Other</c:v>
                </c:pt>
              </c:strCache>
            </c:strRef>
          </c:tx>
          <c:invertIfNegative val="0"/>
          <c:cat>
            <c:numRef>
              <c:f>'Pivot Tables &amp; Chart Data'!$M$144:$X$144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Data'!$M$149:$X$149</c:f>
              <c:numCache>
                <c:formatCode>#,##0</c:formatCode>
                <c:ptCount val="12"/>
                <c:pt idx="0">
                  <c:v>826.92483582004934</c:v>
                </c:pt>
                <c:pt idx="1">
                  <c:v>279.12608144781461</c:v>
                </c:pt>
                <c:pt idx="2">
                  <c:v>276.53314305868162</c:v>
                </c:pt>
                <c:pt idx="3">
                  <c:v>347.09375232197834</c:v>
                </c:pt>
                <c:pt idx="4">
                  <c:v>108.02796988771064</c:v>
                </c:pt>
                <c:pt idx="5">
                  <c:v>227.30610425912414</c:v>
                </c:pt>
                <c:pt idx="6">
                  <c:v>9818.7936691478917</c:v>
                </c:pt>
                <c:pt idx="7">
                  <c:v>58.102864249031725</c:v>
                </c:pt>
                <c:pt idx="8">
                  <c:v>295.85336071042411</c:v>
                </c:pt>
                <c:pt idx="9">
                  <c:v>242.83216303235292</c:v>
                </c:pt>
                <c:pt idx="10">
                  <c:v>154.32192726660614</c:v>
                </c:pt>
                <c:pt idx="11">
                  <c:v>333.66340633373909</c:v>
                </c:pt>
              </c:numCache>
            </c:numRef>
          </c:val>
        </c:ser>
        <c:ser>
          <c:idx val="5"/>
          <c:order val="5"/>
          <c:tx>
            <c:strRef>
              <c:f>'Pivot Tables &amp; Chart Data'!$L$150</c:f>
              <c:strCache>
                <c:ptCount val="1"/>
                <c:pt idx="0">
                  <c:v>PSE Firm All Other</c:v>
                </c:pt>
              </c:strCache>
            </c:strRef>
          </c:tx>
          <c:invertIfNegative val="0"/>
          <c:cat>
            <c:numRef>
              <c:f>'Pivot Tables &amp; Chart Data'!$M$144:$X$144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Data'!$M$150:$X$150</c:f>
              <c:numCache>
                <c:formatCode>#,##0</c:formatCode>
                <c:ptCount val="12"/>
                <c:pt idx="0">
                  <c:v>512046.59252142929</c:v>
                </c:pt>
                <c:pt idx="1">
                  <c:v>535253.13632534014</c:v>
                </c:pt>
                <c:pt idx="2">
                  <c:v>497236.43459163315</c:v>
                </c:pt>
                <c:pt idx="3">
                  <c:v>360847.42584262649</c:v>
                </c:pt>
                <c:pt idx="4">
                  <c:v>1166289.8349494766</c:v>
                </c:pt>
                <c:pt idx="5">
                  <c:v>995514.70648542873</c:v>
                </c:pt>
                <c:pt idx="6">
                  <c:v>716802.0398193968</c:v>
                </c:pt>
                <c:pt idx="7">
                  <c:v>453073.9076416645</c:v>
                </c:pt>
                <c:pt idx="8">
                  <c:v>274492.81674150657</c:v>
                </c:pt>
                <c:pt idx="9">
                  <c:v>228656.31777479444</c:v>
                </c:pt>
                <c:pt idx="10">
                  <c:v>561550.62960845511</c:v>
                </c:pt>
                <c:pt idx="11">
                  <c:v>695208.75009773928</c:v>
                </c:pt>
              </c:numCache>
            </c:numRef>
          </c:val>
        </c:ser>
        <c:ser>
          <c:idx val="6"/>
          <c:order val="6"/>
          <c:tx>
            <c:strRef>
              <c:f>'Pivot Tables &amp; Chart Data'!$L$151</c:f>
              <c:strCache>
                <c:ptCount val="1"/>
                <c:pt idx="0">
                  <c:v>Unknown</c:v>
                </c:pt>
              </c:strCache>
            </c:strRef>
          </c:tx>
          <c:invertIfNegative val="0"/>
          <c:cat>
            <c:numRef>
              <c:f>'Pivot Tables &amp; Chart Data'!$M$144:$X$144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Data'!$M$151:$X$151</c:f>
              <c:numCache>
                <c:formatCode>#,##0</c:formatCode>
                <c:ptCount val="12"/>
                <c:pt idx="0">
                  <c:v>2813194.0433686208</c:v>
                </c:pt>
                <c:pt idx="1">
                  <c:v>2845785.9772744137</c:v>
                </c:pt>
                <c:pt idx="2">
                  <c:v>2528583.844295471</c:v>
                </c:pt>
                <c:pt idx="3">
                  <c:v>2237040.6983839241</c:v>
                </c:pt>
                <c:pt idx="4">
                  <c:v>1721761.4727691016</c:v>
                </c:pt>
                <c:pt idx="5">
                  <c:v>2779990.5935310605</c:v>
                </c:pt>
                <c:pt idx="6">
                  <c:v>3165402.4210693794</c:v>
                </c:pt>
                <c:pt idx="7">
                  <c:v>3018095.8530895701</c:v>
                </c:pt>
                <c:pt idx="8">
                  <c:v>2846929.1446136935</c:v>
                </c:pt>
                <c:pt idx="9">
                  <c:v>1679941.419697365</c:v>
                </c:pt>
                <c:pt idx="10">
                  <c:v>1394899.5063469519</c:v>
                </c:pt>
                <c:pt idx="11">
                  <c:v>1078342.1309647267</c:v>
                </c:pt>
              </c:numCache>
            </c:numRef>
          </c:val>
        </c:ser>
        <c:dLbls>
          <c:showLegendKey val="0"/>
          <c:showVal val="0"/>
          <c:showCatName val="0"/>
          <c:showSerName val="0"/>
          <c:showPercent val="0"/>
          <c:showBubbleSize val="0"/>
        </c:dLbls>
        <c:gapWidth val="150"/>
        <c:overlap val="100"/>
        <c:axId val="176762240"/>
        <c:axId val="176765568"/>
      </c:barChart>
      <c:catAx>
        <c:axId val="176762240"/>
        <c:scaling>
          <c:orientation val="minMax"/>
        </c:scaling>
        <c:delete val="0"/>
        <c:axPos val="b"/>
        <c:numFmt formatCode="General" sourceLinked="1"/>
        <c:majorTickMark val="out"/>
        <c:minorTickMark val="none"/>
        <c:tickLblPos val="nextTo"/>
        <c:crossAx val="176765568"/>
        <c:crosses val="autoZero"/>
        <c:auto val="1"/>
        <c:lblAlgn val="ctr"/>
        <c:lblOffset val="100"/>
        <c:noMultiLvlLbl val="0"/>
      </c:catAx>
      <c:valAx>
        <c:axId val="176765568"/>
        <c:scaling>
          <c:orientation val="minMax"/>
        </c:scaling>
        <c:delete val="0"/>
        <c:axPos val="l"/>
        <c:majorGridlines/>
        <c:title>
          <c:tx>
            <c:rich>
              <a:bodyPr rot="-5400000" vert="horz"/>
              <a:lstStyle/>
              <a:p>
                <a:pPr>
                  <a:defRPr/>
                </a:pPr>
                <a:r>
                  <a:rPr lang="en-US"/>
                  <a:t>Metric Tons CO2</a:t>
                </a:r>
              </a:p>
            </c:rich>
          </c:tx>
          <c:layout/>
          <c:overlay val="0"/>
        </c:title>
        <c:numFmt formatCode="#,##0" sourceLinked="1"/>
        <c:majorTickMark val="out"/>
        <c:minorTickMark val="none"/>
        <c:tickLblPos val="nextTo"/>
        <c:crossAx val="176762240"/>
        <c:crosses val="autoZero"/>
        <c:crossBetween val="between"/>
      </c:valAx>
      <c:dTable>
        <c:showHorzBorder val="1"/>
        <c:showVertBorder val="0"/>
        <c:showOutline val="0"/>
        <c:showKeys val="1"/>
      </c:dTable>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PSE</a:t>
            </a:r>
            <a:r>
              <a:rPr lang="en-US" baseline="0"/>
              <a:t> Load Served  by Resource Type (Owned, Firm &amp; Unspecified)</a:t>
            </a:r>
            <a:endParaRPr lang="en-US"/>
          </a:p>
        </c:rich>
      </c:tx>
      <c:layout/>
      <c:overlay val="0"/>
    </c:title>
    <c:autoTitleDeleted val="0"/>
    <c:plotArea>
      <c:layout/>
      <c:barChart>
        <c:barDir val="col"/>
        <c:grouping val="stacked"/>
        <c:varyColors val="0"/>
        <c:ser>
          <c:idx val="6"/>
          <c:order val="0"/>
          <c:tx>
            <c:strRef>
              <c:f>'Pivot Tables &amp; Chart Data'!$L$132</c:f>
              <c:strCache>
                <c:ptCount val="1"/>
                <c:pt idx="0">
                  <c:v>PSE Owned Coal</c:v>
                </c:pt>
              </c:strCache>
            </c:strRef>
          </c:tx>
          <c:invertIfNegative val="0"/>
          <c:cat>
            <c:numRef>
              <c:f>'Pivot Tables &amp; Chart Data'!$M$131:$X$131</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Data'!$M$132:$X$132</c:f>
              <c:numCache>
                <c:formatCode>0.0%</c:formatCode>
                <c:ptCount val="12"/>
                <c:pt idx="0">
                  <c:v>0.21250295347609921</c:v>
                </c:pt>
                <c:pt idx="1">
                  <c:v>0.22170284092854453</c:v>
                </c:pt>
                <c:pt idx="2">
                  <c:v>0.2149784694182803</c:v>
                </c:pt>
                <c:pt idx="3">
                  <c:v>0.1898736544445003</c:v>
                </c:pt>
                <c:pt idx="4">
                  <c:v>0.23006293839795164</c:v>
                </c:pt>
                <c:pt idx="5">
                  <c:v>0.18426924421676422</c:v>
                </c:pt>
                <c:pt idx="6">
                  <c:v>0.16994899169285149</c:v>
                </c:pt>
                <c:pt idx="7">
                  <c:v>0.19059696338498339</c:v>
                </c:pt>
                <c:pt idx="8">
                  <c:v>0.20242689076101647</c:v>
                </c:pt>
                <c:pt idx="9">
                  <c:v>0.20403354439504875</c:v>
                </c:pt>
                <c:pt idx="10">
                  <c:v>0.20021893441668334</c:v>
                </c:pt>
                <c:pt idx="11">
                  <c:v>0.21358873151033572</c:v>
                </c:pt>
              </c:numCache>
            </c:numRef>
          </c:val>
        </c:ser>
        <c:ser>
          <c:idx val="5"/>
          <c:order val="1"/>
          <c:tx>
            <c:strRef>
              <c:f>'Pivot Tables &amp; Chart Data'!$L$133</c:f>
              <c:strCache>
                <c:ptCount val="1"/>
                <c:pt idx="0">
                  <c:v>Firm Coal</c:v>
                </c:pt>
              </c:strCache>
            </c:strRef>
          </c:tx>
          <c:invertIfNegative val="0"/>
          <c:cat>
            <c:numRef>
              <c:f>'Pivot Tables &amp; Chart Data'!$M$131:$X$131</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Data'!$M$133:$X$133</c:f>
              <c:numCache>
                <c:formatCode>0.0%</c:formatCode>
                <c:ptCount val="12"/>
                <c:pt idx="0">
                  <c:v>3.2048667335181649E-2</c:v>
                </c:pt>
                <c:pt idx="1">
                  <c:v>3.2093231598355185E-2</c:v>
                </c:pt>
                <c:pt idx="2">
                  <c:v>3.3743395277689853E-2</c:v>
                </c:pt>
                <c:pt idx="3">
                  <c:v>2.5249961225898801E-2</c:v>
                </c:pt>
                <c:pt idx="4">
                  <c:v>3.488994646266369E-2</c:v>
                </c:pt>
                <c:pt idx="5">
                  <c:v>0</c:v>
                </c:pt>
                <c:pt idx="6">
                  <c:v>0</c:v>
                </c:pt>
                <c:pt idx="7">
                  <c:v>0</c:v>
                </c:pt>
                <c:pt idx="8">
                  <c:v>5.9710444503941083E-3</c:v>
                </c:pt>
                <c:pt idx="9">
                  <c:v>7.4948408761847177E-2</c:v>
                </c:pt>
                <c:pt idx="10">
                  <c:v>6.9351303052399768E-2</c:v>
                </c:pt>
                <c:pt idx="11">
                  <c:v>9.9095547808643686E-2</c:v>
                </c:pt>
              </c:numCache>
            </c:numRef>
          </c:val>
        </c:ser>
        <c:ser>
          <c:idx val="4"/>
          <c:order val="2"/>
          <c:tx>
            <c:strRef>
              <c:f>'Pivot Tables &amp; Chart Data'!$L$134</c:f>
              <c:strCache>
                <c:ptCount val="1"/>
                <c:pt idx="0">
                  <c:v>PSE Owned Gas</c:v>
                </c:pt>
              </c:strCache>
            </c:strRef>
          </c:tx>
          <c:invertIfNegative val="0"/>
          <c:cat>
            <c:numRef>
              <c:f>'Pivot Tables &amp; Chart Data'!$M$131:$X$131</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Data'!$M$134:$X$134</c:f>
              <c:numCache>
                <c:formatCode>0.0%</c:formatCode>
                <c:ptCount val="12"/>
                <c:pt idx="0">
                  <c:v>3.1969548077272161E-2</c:v>
                </c:pt>
                <c:pt idx="1">
                  <c:v>5.6485470531408399E-2</c:v>
                </c:pt>
                <c:pt idx="2">
                  <c:v>9.6268356235216124E-2</c:v>
                </c:pt>
                <c:pt idx="3">
                  <c:v>0.18610368189200469</c:v>
                </c:pt>
                <c:pt idx="4">
                  <c:v>0.18155897614576064</c:v>
                </c:pt>
                <c:pt idx="5">
                  <c:v>7.9774612782302329E-2</c:v>
                </c:pt>
                <c:pt idx="6">
                  <c:v>0.11688411538186411</c:v>
                </c:pt>
                <c:pt idx="7">
                  <c:v>0.23484490251918141</c:v>
                </c:pt>
                <c:pt idx="8">
                  <c:v>0.18649415561474766</c:v>
                </c:pt>
                <c:pt idx="9">
                  <c:v>0.26463002919809131</c:v>
                </c:pt>
                <c:pt idx="10">
                  <c:v>0.18354555974362091</c:v>
                </c:pt>
                <c:pt idx="11">
                  <c:v>0.18775889849979635</c:v>
                </c:pt>
              </c:numCache>
            </c:numRef>
          </c:val>
        </c:ser>
        <c:ser>
          <c:idx val="0"/>
          <c:order val="3"/>
          <c:tx>
            <c:strRef>
              <c:f>'Pivot Tables &amp; Chart Data'!$L$135</c:f>
              <c:strCache>
                <c:ptCount val="1"/>
                <c:pt idx="0">
                  <c:v>Firm Gas</c:v>
                </c:pt>
              </c:strCache>
            </c:strRef>
          </c:tx>
          <c:invertIfNegative val="0"/>
          <c:cat>
            <c:numRef>
              <c:f>'Pivot Tables &amp; Chart Data'!$M$131:$X$131</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Data'!$M$135:$X$135</c:f>
              <c:numCache>
                <c:formatCode>0.0%</c:formatCode>
                <c:ptCount val="12"/>
                <c:pt idx="0">
                  <c:v>0.10659092963207736</c:v>
                </c:pt>
                <c:pt idx="1">
                  <c:v>8.5501198070105824E-2</c:v>
                </c:pt>
                <c:pt idx="2">
                  <c:v>6.4252032218979419E-2</c:v>
                </c:pt>
                <c:pt idx="3">
                  <c:v>7.9441881877830064E-2</c:v>
                </c:pt>
                <c:pt idx="4">
                  <c:v>7.674364214959449E-2</c:v>
                </c:pt>
                <c:pt idx="5">
                  <c:v>3.7246212978243515E-2</c:v>
                </c:pt>
                <c:pt idx="6">
                  <c:v>2.2305803974133277E-5</c:v>
                </c:pt>
                <c:pt idx="7">
                  <c:v>3.705631071046553E-4</c:v>
                </c:pt>
                <c:pt idx="8">
                  <c:v>5.3865985118575629E-5</c:v>
                </c:pt>
                <c:pt idx="9">
                  <c:v>1.8156359678422646E-5</c:v>
                </c:pt>
                <c:pt idx="10">
                  <c:v>8.8412904156220508E-6</c:v>
                </c:pt>
                <c:pt idx="11">
                  <c:v>0</c:v>
                </c:pt>
              </c:numCache>
            </c:numRef>
          </c:val>
        </c:ser>
        <c:ser>
          <c:idx val="1"/>
          <c:order val="4"/>
          <c:tx>
            <c:strRef>
              <c:f>'Pivot Tables &amp; Chart Data'!$L$136</c:f>
              <c:strCache>
                <c:ptCount val="1"/>
                <c:pt idx="0">
                  <c:v>PSE Own All Other</c:v>
                </c:pt>
              </c:strCache>
            </c:strRef>
          </c:tx>
          <c:invertIfNegative val="0"/>
          <c:cat>
            <c:numRef>
              <c:f>'Pivot Tables &amp; Chart Data'!$M$131:$X$131</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Data'!$M$136:$X$136</c:f>
              <c:numCache>
                <c:formatCode>0.0%</c:formatCode>
                <c:ptCount val="12"/>
                <c:pt idx="0">
                  <c:v>5.8578095390607439E-2</c:v>
                </c:pt>
                <c:pt idx="1">
                  <c:v>9.3539714449922984E-2</c:v>
                </c:pt>
                <c:pt idx="2">
                  <c:v>8.8355513476242986E-2</c:v>
                </c:pt>
                <c:pt idx="3">
                  <c:v>8.252944850669687E-2</c:v>
                </c:pt>
                <c:pt idx="4">
                  <c:v>8.5005450314827397E-2</c:v>
                </c:pt>
                <c:pt idx="5">
                  <c:v>8.088029069791243E-2</c:v>
                </c:pt>
                <c:pt idx="6">
                  <c:v>0.11464518498517949</c:v>
                </c:pt>
                <c:pt idx="7">
                  <c:v>0.11929142178978015</c:v>
                </c:pt>
                <c:pt idx="8">
                  <c:v>0.13360165224525902</c:v>
                </c:pt>
                <c:pt idx="9">
                  <c:v>0.10993485942388115</c:v>
                </c:pt>
                <c:pt idx="10">
                  <c:v>0.12804046421747381</c:v>
                </c:pt>
                <c:pt idx="11">
                  <c:v>0.12153960529543134</c:v>
                </c:pt>
              </c:numCache>
            </c:numRef>
          </c:val>
        </c:ser>
        <c:ser>
          <c:idx val="2"/>
          <c:order val="5"/>
          <c:tx>
            <c:strRef>
              <c:f>'Pivot Tables &amp; Chart Data'!$L$137</c:f>
              <c:strCache>
                <c:ptCount val="1"/>
                <c:pt idx="0">
                  <c:v>Firm All Other (Renewable)</c:v>
                </c:pt>
              </c:strCache>
            </c:strRef>
          </c:tx>
          <c:invertIfNegative val="0"/>
          <c:cat>
            <c:numRef>
              <c:f>'Pivot Tables &amp; Chart Data'!$M$131:$X$131</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Data'!$M$137:$X$137</c:f>
              <c:numCache>
                <c:formatCode>0.0%</c:formatCode>
                <c:ptCount val="12"/>
                <c:pt idx="0">
                  <c:v>0.2874874762878602</c:v>
                </c:pt>
                <c:pt idx="1">
                  <c:v>0.28563418846070232</c:v>
                </c:pt>
                <c:pt idx="2">
                  <c:v>0.27155836992404314</c:v>
                </c:pt>
                <c:pt idx="3">
                  <c:v>0.24875928805576675</c:v>
                </c:pt>
                <c:pt idx="4">
                  <c:v>0.25076603038780737</c:v>
                </c:pt>
                <c:pt idx="5">
                  <c:v>0.32134438049333286</c:v>
                </c:pt>
                <c:pt idx="6">
                  <c:v>0.25378522089029415</c:v>
                </c:pt>
                <c:pt idx="7">
                  <c:v>0.19715819498178322</c:v>
                </c:pt>
                <c:pt idx="8">
                  <c:v>0.19360498738735385</c:v>
                </c:pt>
                <c:pt idx="9">
                  <c:v>0.18990668281259143</c:v>
                </c:pt>
                <c:pt idx="10">
                  <c:v>0.23466512620867494</c:v>
                </c:pt>
                <c:pt idx="11">
                  <c:v>0.25674961132198593</c:v>
                </c:pt>
              </c:numCache>
            </c:numRef>
          </c:val>
        </c:ser>
        <c:ser>
          <c:idx val="3"/>
          <c:order val="6"/>
          <c:tx>
            <c:strRef>
              <c:f>'Pivot Tables &amp; Chart Data'!$L$138</c:f>
              <c:strCache>
                <c:ptCount val="1"/>
                <c:pt idx="0">
                  <c:v>Unspecified</c:v>
                </c:pt>
              </c:strCache>
            </c:strRef>
          </c:tx>
          <c:invertIfNegative val="0"/>
          <c:cat>
            <c:numRef>
              <c:f>'Pivot Tables &amp; Chart Data'!$M$131:$X$131</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Data'!$M$138:$X$138</c:f>
              <c:numCache>
                <c:formatCode>0.0%</c:formatCode>
                <c:ptCount val="12"/>
                <c:pt idx="0">
                  <c:v>0.27082232980090204</c:v>
                </c:pt>
                <c:pt idx="1">
                  <c:v>0.22504335596096078</c:v>
                </c:pt>
                <c:pt idx="2">
                  <c:v>0.23084386344954827</c:v>
                </c:pt>
                <c:pt idx="3">
                  <c:v>0.18804208399730254</c:v>
                </c:pt>
                <c:pt idx="4">
                  <c:v>0.14097301614139468</c:v>
                </c:pt>
                <c:pt idx="5">
                  <c:v>0.29648525883144472</c:v>
                </c:pt>
                <c:pt idx="6">
                  <c:v>0.34471418124583669</c:v>
                </c:pt>
                <c:pt idx="7">
                  <c:v>0.25773795421716722</c:v>
                </c:pt>
                <c:pt idx="8">
                  <c:v>0.27784740355611032</c:v>
                </c:pt>
                <c:pt idx="9">
                  <c:v>0.15652831904886194</c:v>
                </c:pt>
                <c:pt idx="10">
                  <c:v>0.18416977107073171</c:v>
                </c:pt>
                <c:pt idx="11">
                  <c:v>0.12126760556380688</c:v>
                </c:pt>
              </c:numCache>
            </c:numRef>
          </c:val>
        </c:ser>
        <c:dLbls>
          <c:showLegendKey val="0"/>
          <c:showVal val="0"/>
          <c:showCatName val="0"/>
          <c:showSerName val="0"/>
          <c:showPercent val="0"/>
          <c:showBubbleSize val="0"/>
        </c:dLbls>
        <c:gapWidth val="150"/>
        <c:overlap val="100"/>
        <c:axId val="182483200"/>
        <c:axId val="182489088"/>
      </c:barChart>
      <c:catAx>
        <c:axId val="182483200"/>
        <c:scaling>
          <c:orientation val="minMax"/>
        </c:scaling>
        <c:delete val="0"/>
        <c:axPos val="b"/>
        <c:numFmt formatCode="General" sourceLinked="1"/>
        <c:majorTickMark val="out"/>
        <c:minorTickMark val="none"/>
        <c:tickLblPos val="nextTo"/>
        <c:crossAx val="182489088"/>
        <c:crosses val="autoZero"/>
        <c:auto val="1"/>
        <c:lblAlgn val="ctr"/>
        <c:lblOffset val="100"/>
        <c:noMultiLvlLbl val="0"/>
      </c:catAx>
      <c:valAx>
        <c:axId val="182489088"/>
        <c:scaling>
          <c:orientation val="minMax"/>
          <c:max val="1"/>
        </c:scaling>
        <c:delete val="0"/>
        <c:axPos val="l"/>
        <c:majorGridlines/>
        <c:title>
          <c:tx>
            <c:rich>
              <a:bodyPr rot="-5400000" vert="horz"/>
              <a:lstStyle/>
              <a:p>
                <a:pPr>
                  <a:defRPr/>
                </a:pPr>
                <a:r>
                  <a:rPr lang="en-US"/>
                  <a:t>MWh</a:t>
                </a:r>
              </a:p>
            </c:rich>
          </c:tx>
          <c:layout/>
          <c:overlay val="0"/>
        </c:title>
        <c:numFmt formatCode="0.0%" sourceLinked="1"/>
        <c:majorTickMark val="out"/>
        <c:minorTickMark val="none"/>
        <c:tickLblPos val="nextTo"/>
        <c:crossAx val="182483200"/>
        <c:crosses val="autoZero"/>
        <c:crossBetween val="between"/>
      </c:valAx>
      <c:dTable>
        <c:showHorzBorder val="1"/>
        <c:showVertBorder val="1"/>
        <c:showOutline val="1"/>
        <c:showKeys val="1"/>
      </c:dTable>
    </c:plotArea>
    <c:plotVisOnly val="1"/>
    <c:dispBlanksAs val="zero"/>
    <c:showDLblsOverMax val="0"/>
  </c:char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b="1" i="0" baseline="0">
                <a:effectLst/>
              </a:rPr>
              <a:t>Percent Breakout of PSE Load Served  by Resource Type (Owned, Firm &amp; Unspecified)</a:t>
            </a:r>
            <a:endParaRPr lang="en-US" sz="1600">
              <a:effectLst/>
            </a:endParaRPr>
          </a:p>
        </c:rich>
      </c:tx>
      <c:layout/>
      <c:overlay val="0"/>
    </c:title>
    <c:autoTitleDeleted val="0"/>
    <c:plotArea>
      <c:layout/>
      <c:barChart>
        <c:barDir val="col"/>
        <c:grouping val="percentStacked"/>
        <c:varyColors val="0"/>
        <c:ser>
          <c:idx val="6"/>
          <c:order val="0"/>
          <c:tx>
            <c:strRef>
              <c:f>'Pivot Tables &amp; Chart Data'!$L$114</c:f>
              <c:strCache>
                <c:ptCount val="1"/>
                <c:pt idx="0">
                  <c:v>PSE Owned Coal</c:v>
                </c:pt>
              </c:strCache>
            </c:strRef>
          </c:tx>
          <c:invertIfNegative val="0"/>
          <c:cat>
            <c:numRef>
              <c:f>'Pivot Tables &amp; Chart Data'!$M$113:$X$113</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Data'!$M$114:$X$114</c:f>
              <c:numCache>
                <c:formatCode>#,##0</c:formatCode>
                <c:ptCount val="12"/>
                <c:pt idx="0">
                  <c:v>4800028</c:v>
                </c:pt>
                <c:pt idx="1">
                  <c:v>5142912</c:v>
                </c:pt>
                <c:pt idx="2">
                  <c:v>5067445</c:v>
                </c:pt>
                <c:pt idx="3">
                  <c:v>4451104</c:v>
                </c:pt>
                <c:pt idx="4">
                  <c:v>5198105</c:v>
                </c:pt>
                <c:pt idx="5">
                  <c:v>4210583</c:v>
                </c:pt>
                <c:pt idx="6">
                  <c:v>3809524.0120000001</c:v>
                </c:pt>
                <c:pt idx="7">
                  <c:v>4346208</c:v>
                </c:pt>
                <c:pt idx="8">
                  <c:v>4509567</c:v>
                </c:pt>
                <c:pt idx="9">
                  <c:v>4495032</c:v>
                </c:pt>
                <c:pt idx="10">
                  <c:v>4529179</c:v>
                </c:pt>
                <c:pt idx="11">
                  <c:v>4463705</c:v>
                </c:pt>
              </c:numCache>
            </c:numRef>
          </c:val>
        </c:ser>
        <c:ser>
          <c:idx val="5"/>
          <c:order val="1"/>
          <c:tx>
            <c:strRef>
              <c:f>'Pivot Tables &amp; Chart Data'!$L$115</c:f>
              <c:strCache>
                <c:ptCount val="1"/>
                <c:pt idx="0">
                  <c:v>Firm Coal</c:v>
                </c:pt>
              </c:strCache>
            </c:strRef>
          </c:tx>
          <c:invertIfNegative val="0"/>
          <c:cat>
            <c:numRef>
              <c:f>'Pivot Tables &amp; Chart Data'!$M$113:$X$113</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Data'!$M$115:$X$115</c:f>
              <c:numCache>
                <c:formatCode>#,##0</c:formatCode>
                <c:ptCount val="12"/>
                <c:pt idx="0">
                  <c:v>723917</c:v>
                </c:pt>
                <c:pt idx="1">
                  <c:v>744477</c:v>
                </c:pt>
                <c:pt idx="2">
                  <c:v>795395</c:v>
                </c:pt>
                <c:pt idx="3">
                  <c:v>591921</c:v>
                </c:pt>
                <c:pt idx="4">
                  <c:v>788313</c:v>
                </c:pt>
                <c:pt idx="5">
                  <c:v>0</c:v>
                </c:pt>
                <c:pt idx="6">
                  <c:v>0</c:v>
                </c:pt>
                <c:pt idx="7">
                  <c:v>0</c:v>
                </c:pt>
                <c:pt idx="8">
                  <c:v>133020</c:v>
                </c:pt>
                <c:pt idx="9">
                  <c:v>1651177</c:v>
                </c:pt>
                <c:pt idx="10">
                  <c:v>1568805</c:v>
                </c:pt>
                <c:pt idx="11">
                  <c:v>2070958</c:v>
                </c:pt>
              </c:numCache>
            </c:numRef>
          </c:val>
        </c:ser>
        <c:ser>
          <c:idx val="4"/>
          <c:order val="2"/>
          <c:tx>
            <c:strRef>
              <c:f>'Pivot Tables &amp; Chart Data'!$L$116</c:f>
              <c:strCache>
                <c:ptCount val="1"/>
                <c:pt idx="0">
                  <c:v>PSE Owned Gas</c:v>
                </c:pt>
              </c:strCache>
            </c:strRef>
          </c:tx>
          <c:invertIfNegative val="0"/>
          <c:cat>
            <c:numRef>
              <c:f>'Pivot Tables &amp; Chart Data'!$M$113:$X$113</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Data'!$M$116:$X$116</c:f>
              <c:numCache>
                <c:formatCode>#,##0</c:formatCode>
                <c:ptCount val="12"/>
                <c:pt idx="0">
                  <c:v>722129.85000000009</c:v>
                </c:pt>
                <c:pt idx="1">
                  <c:v>1310311.5999999999</c:v>
                </c:pt>
                <c:pt idx="2">
                  <c:v>2269225.3870000001</c:v>
                </c:pt>
                <c:pt idx="3">
                  <c:v>4362726.5999999996</c:v>
                </c:pt>
                <c:pt idx="4">
                  <c:v>4102193.2009999999</c:v>
                </c:pt>
                <c:pt idx="5">
                  <c:v>1822863.2229999998</c:v>
                </c:pt>
                <c:pt idx="6">
                  <c:v>2620038.1639999999</c:v>
                </c:pt>
                <c:pt idx="7">
                  <c:v>5355199.6630000006</c:v>
                </c:pt>
                <c:pt idx="8">
                  <c:v>4154625.34</c:v>
                </c:pt>
                <c:pt idx="9">
                  <c:v>5830023.9449999994</c:v>
                </c:pt>
                <c:pt idx="10">
                  <c:v>4152008.3859999999</c:v>
                </c:pt>
                <c:pt idx="11">
                  <c:v>3923897.7079999992</c:v>
                </c:pt>
              </c:numCache>
            </c:numRef>
          </c:val>
        </c:ser>
        <c:ser>
          <c:idx val="0"/>
          <c:order val="3"/>
          <c:tx>
            <c:strRef>
              <c:f>'Pivot Tables &amp; Chart Data'!$L$117</c:f>
              <c:strCache>
                <c:ptCount val="1"/>
                <c:pt idx="0">
                  <c:v>Firm Gas</c:v>
                </c:pt>
              </c:strCache>
            </c:strRef>
          </c:tx>
          <c:invertIfNegative val="0"/>
          <c:cat>
            <c:numRef>
              <c:f>'Pivot Tables &amp; Chart Data'!$M$113:$X$113</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Data'!$M$117:$X$117</c:f>
              <c:numCache>
                <c:formatCode>#,##0</c:formatCode>
                <c:ptCount val="12"/>
                <c:pt idx="0">
                  <c:v>2407681.58</c:v>
                </c:pt>
                <c:pt idx="1">
                  <c:v>1983398.75</c:v>
                </c:pt>
                <c:pt idx="2">
                  <c:v>1514540.69</c:v>
                </c:pt>
                <c:pt idx="3">
                  <c:v>1862312.49</c:v>
                </c:pt>
                <c:pt idx="4">
                  <c:v>1733966.8559999999</c:v>
                </c:pt>
                <c:pt idx="5">
                  <c:v>851082.18599999987</c:v>
                </c:pt>
                <c:pt idx="6">
                  <c:v>500</c:v>
                </c:pt>
                <c:pt idx="7">
                  <c:v>8450</c:v>
                </c:pt>
                <c:pt idx="8">
                  <c:v>1200</c:v>
                </c:pt>
                <c:pt idx="9">
                  <c:v>400</c:v>
                </c:pt>
                <c:pt idx="10">
                  <c:v>200</c:v>
                </c:pt>
                <c:pt idx="11">
                  <c:v>0</c:v>
                </c:pt>
              </c:numCache>
            </c:numRef>
          </c:val>
        </c:ser>
        <c:ser>
          <c:idx val="1"/>
          <c:order val="4"/>
          <c:tx>
            <c:strRef>
              <c:f>'Pivot Tables &amp; Chart Data'!$L$118</c:f>
              <c:strCache>
                <c:ptCount val="1"/>
                <c:pt idx="0">
                  <c:v>PSE Own All Other</c:v>
                </c:pt>
              </c:strCache>
            </c:strRef>
          </c:tx>
          <c:invertIfNegative val="0"/>
          <c:cat>
            <c:numRef>
              <c:f>'Pivot Tables &amp; Chart Data'!$M$113:$X$113</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Data'!$M$118:$X$118</c:f>
              <c:numCache>
                <c:formatCode>#,##0</c:formatCode>
                <c:ptCount val="12"/>
                <c:pt idx="0">
                  <c:v>1323165.1299999994</c:v>
                </c:pt>
                <c:pt idx="1">
                  <c:v>2169870.7960000001</c:v>
                </c:pt>
                <c:pt idx="2">
                  <c:v>2082704.8690000009</c:v>
                </c:pt>
                <c:pt idx="3">
                  <c:v>1934692.6220000014</c:v>
                </c:pt>
                <c:pt idx="4">
                  <c:v>1920636.4109999998</c:v>
                </c:pt>
                <c:pt idx="5">
                  <c:v>1848128.1480000005</c:v>
                </c:pt>
                <c:pt idx="6">
                  <c:v>2569850.9929999998</c:v>
                </c:pt>
                <c:pt idx="7">
                  <c:v>2720218.216</c:v>
                </c:pt>
                <c:pt idx="8">
                  <c:v>2976312.0890000015</c:v>
                </c:pt>
                <c:pt idx="9">
                  <c:v>2421958.176</c:v>
                </c:pt>
                <c:pt idx="10">
                  <c:v>2896420.2780000004</c:v>
                </c:pt>
                <c:pt idx="11">
                  <c:v>2540007.3309999998</c:v>
                </c:pt>
              </c:numCache>
            </c:numRef>
          </c:val>
        </c:ser>
        <c:ser>
          <c:idx val="2"/>
          <c:order val="5"/>
          <c:tx>
            <c:strRef>
              <c:f>'Pivot Tables &amp; Chart Data'!$L$119</c:f>
              <c:strCache>
                <c:ptCount val="1"/>
                <c:pt idx="0">
                  <c:v>Firm All Other (Renewable)</c:v>
                </c:pt>
              </c:strCache>
            </c:strRef>
          </c:tx>
          <c:invertIfNegative val="0"/>
          <c:cat>
            <c:numRef>
              <c:f>'Pivot Tables &amp; Chart Data'!$M$113:$X$113</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Data'!$M$119:$X$119</c:f>
              <c:numCache>
                <c:formatCode>#,##0</c:formatCode>
                <c:ptCount val="12"/>
                <c:pt idx="0">
                  <c:v>6493782.3840000015</c:v>
                </c:pt>
                <c:pt idx="1">
                  <c:v>6625947.9999999981</c:v>
                </c:pt>
                <c:pt idx="2">
                  <c:v>6401139.182</c:v>
                </c:pt>
                <c:pt idx="3">
                  <c:v>5831527.629999999</c:v>
                </c:pt>
                <c:pt idx="4">
                  <c:v>5665876.3269999996</c:v>
                </c:pt>
                <c:pt idx="5">
                  <c:v>7342772.7529999996</c:v>
                </c:pt>
                <c:pt idx="6">
                  <c:v>5688770.9849999994</c:v>
                </c:pt>
                <c:pt idx="7">
                  <c:v>4495824.6399999997</c:v>
                </c:pt>
                <c:pt idx="8">
                  <c:v>4313036.9629999995</c:v>
                </c:pt>
                <c:pt idx="9">
                  <c:v>4183805.26</c:v>
                </c:pt>
                <c:pt idx="10">
                  <c:v>5308390.8609999996</c:v>
                </c:pt>
                <c:pt idx="11">
                  <c:v>5365706.8689999999</c:v>
                </c:pt>
              </c:numCache>
            </c:numRef>
          </c:val>
        </c:ser>
        <c:ser>
          <c:idx val="3"/>
          <c:order val="6"/>
          <c:tx>
            <c:strRef>
              <c:f>'Pivot Tables &amp; Chart Data'!$L$120</c:f>
              <c:strCache>
                <c:ptCount val="1"/>
                <c:pt idx="0">
                  <c:v>Unspecified</c:v>
                </c:pt>
              </c:strCache>
            </c:strRef>
          </c:tx>
          <c:invertIfNegative val="0"/>
          <c:cat>
            <c:numRef>
              <c:f>'Pivot Tables &amp; Chart Data'!$M$113:$X$113</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Data'!$M$120:$X$120</c:f>
              <c:numCache>
                <c:formatCode>#,##0</c:formatCode>
                <c:ptCount val="12"/>
                <c:pt idx="0">
                  <c:v>6117349.1699999999</c:v>
                </c:pt>
                <c:pt idx="1">
                  <c:v>5220403</c:v>
                </c:pt>
                <c:pt idx="2">
                  <c:v>5441422.0399999991</c:v>
                </c:pt>
                <c:pt idx="3">
                  <c:v>4408167.4979999997</c:v>
                </c:pt>
                <c:pt idx="4">
                  <c:v>3185182.9120000005</c:v>
                </c:pt>
                <c:pt idx="5">
                  <c:v>6774737.6720000021</c:v>
                </c:pt>
                <c:pt idx="6">
                  <c:v>7727006.4249999989</c:v>
                </c:pt>
                <c:pt idx="7">
                  <c:v>5877232.977</c:v>
                </c:pt>
                <c:pt idx="8">
                  <c:v>6189748.1970000006</c:v>
                </c:pt>
                <c:pt idx="9">
                  <c:v>3448451.602</c:v>
                </c:pt>
                <c:pt idx="10">
                  <c:v>4166128.7529999991</c:v>
                </c:pt>
                <c:pt idx="11">
                  <c:v>2534322.9180000001</c:v>
                </c:pt>
              </c:numCache>
            </c:numRef>
          </c:val>
        </c:ser>
        <c:dLbls>
          <c:showLegendKey val="0"/>
          <c:showVal val="0"/>
          <c:showCatName val="0"/>
          <c:showSerName val="0"/>
          <c:showPercent val="0"/>
          <c:showBubbleSize val="0"/>
        </c:dLbls>
        <c:gapWidth val="75"/>
        <c:overlap val="100"/>
        <c:axId val="183278592"/>
        <c:axId val="183300864"/>
      </c:barChart>
      <c:catAx>
        <c:axId val="183278592"/>
        <c:scaling>
          <c:orientation val="minMax"/>
        </c:scaling>
        <c:delete val="0"/>
        <c:axPos val="b"/>
        <c:numFmt formatCode="General" sourceLinked="1"/>
        <c:majorTickMark val="none"/>
        <c:minorTickMark val="none"/>
        <c:tickLblPos val="nextTo"/>
        <c:crossAx val="183300864"/>
        <c:crosses val="autoZero"/>
        <c:auto val="1"/>
        <c:lblAlgn val="ctr"/>
        <c:lblOffset val="100"/>
        <c:noMultiLvlLbl val="0"/>
      </c:catAx>
      <c:valAx>
        <c:axId val="183300864"/>
        <c:scaling>
          <c:orientation val="minMax"/>
        </c:scaling>
        <c:delete val="0"/>
        <c:axPos val="l"/>
        <c:majorGridlines/>
        <c:minorGridlines/>
        <c:numFmt formatCode="0%" sourceLinked="1"/>
        <c:majorTickMark val="out"/>
        <c:minorTickMark val="none"/>
        <c:tickLblPos val="nextTo"/>
        <c:crossAx val="183278592"/>
        <c:crosses val="autoZero"/>
        <c:crossBetween val="between"/>
      </c:valAx>
      <c:dTable>
        <c:showHorzBorder val="1"/>
        <c:showVertBorder val="1"/>
        <c:showOutline val="1"/>
        <c:showKeys val="1"/>
      </c:dTable>
    </c:plotArea>
    <c:plotVisOnly val="1"/>
    <c:dispBlanksAs val="zero"/>
    <c:showDLblsOverMax val="0"/>
  </c:char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b="1" i="0" baseline="0">
                <a:effectLst/>
              </a:rPr>
              <a:t>PSE Total Electric Emissions by Resource Type (Owned, Firm &amp; Unspecified)</a:t>
            </a:r>
            <a:endParaRPr lang="en-US" sz="1600">
              <a:effectLst/>
            </a:endParaRPr>
          </a:p>
        </c:rich>
      </c:tx>
      <c:overlay val="0"/>
    </c:title>
    <c:autoTitleDeleted val="0"/>
    <c:plotArea>
      <c:layout/>
      <c:barChart>
        <c:barDir val="col"/>
        <c:grouping val="stacked"/>
        <c:varyColors val="0"/>
        <c:ser>
          <c:idx val="0"/>
          <c:order val="0"/>
          <c:tx>
            <c:strRef>
              <c:f>'Pivot Tables &amp; Chart Data'!$L$167</c:f>
              <c:strCache>
                <c:ptCount val="1"/>
                <c:pt idx="0">
                  <c:v>PSE Owned Coal</c:v>
                </c:pt>
              </c:strCache>
            </c:strRef>
          </c:tx>
          <c:invertIfNegative val="0"/>
          <c:cat>
            <c:numRef>
              <c:f>'Pivot Tables &amp; Chart Data'!$M$166:$X$166</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Data'!$M$167:$X$167</c:f>
              <c:numCache>
                <c:formatCode>0.0%</c:formatCode>
                <c:ptCount val="12"/>
                <c:pt idx="0">
                  <c:v>0.5013224757558743</c:v>
                </c:pt>
                <c:pt idx="1">
                  <c:v>0.51743117111749393</c:v>
                </c:pt>
                <c:pt idx="2">
                  <c:v>0.52946482053046429</c:v>
                </c:pt>
                <c:pt idx="3">
                  <c:v>0.44953858020357584</c:v>
                </c:pt>
                <c:pt idx="4">
                  <c:v>0.48398465542971814</c:v>
                </c:pt>
                <c:pt idx="5">
                  <c:v>0.48104978280034577</c:v>
                </c:pt>
                <c:pt idx="6">
                  <c:v>0.44084651360513577</c:v>
                </c:pt>
                <c:pt idx="7">
                  <c:v>0.44159024661850904</c:v>
                </c:pt>
                <c:pt idx="8">
                  <c:v>0.48348739546507069</c:v>
                </c:pt>
                <c:pt idx="9">
                  <c:v>0.44587233556478301</c:v>
                </c:pt>
                <c:pt idx="10">
                  <c:v>0.45393463310275911</c:v>
                </c:pt>
                <c:pt idx="11">
                  <c:v>0.43748369642720109</c:v>
                </c:pt>
              </c:numCache>
            </c:numRef>
          </c:val>
        </c:ser>
        <c:ser>
          <c:idx val="1"/>
          <c:order val="1"/>
          <c:tx>
            <c:strRef>
              <c:f>'Pivot Tables &amp; Chart Data'!$L$168</c:f>
              <c:strCache>
                <c:ptCount val="1"/>
                <c:pt idx="0">
                  <c:v>PSE Firm Coal</c:v>
                </c:pt>
              </c:strCache>
            </c:strRef>
          </c:tx>
          <c:invertIfNegative val="0"/>
          <c:cat>
            <c:numRef>
              <c:f>'Pivot Tables &amp; Chart Data'!$M$166:$X$166</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Data'!$M$168:$X$168</c:f>
              <c:numCache>
                <c:formatCode>0.0%</c:formatCode>
                <c:ptCount val="12"/>
                <c:pt idx="0">
                  <c:v>7.5607030351023896E-2</c:v>
                </c:pt>
                <c:pt idx="1">
                  <c:v>7.4902235538939557E-2</c:v>
                </c:pt>
                <c:pt idx="2">
                  <c:v>6.9252424118669179E-2</c:v>
                </c:pt>
                <c:pt idx="3">
                  <c:v>6.1254352493553203E-2</c:v>
                </c:pt>
                <c:pt idx="4">
                  <c:v>6.7522447530424884E-2</c:v>
                </c:pt>
                <c:pt idx="5">
                  <c:v>0</c:v>
                </c:pt>
                <c:pt idx="6">
                  <c:v>0</c:v>
                </c:pt>
                <c:pt idx="7">
                  <c:v>0</c:v>
                </c:pt>
                <c:pt idx="8">
                  <c:v>1.4241308234115001E-2</c:v>
                </c:pt>
                <c:pt idx="9">
                  <c:v>0.16082835908072157</c:v>
                </c:pt>
                <c:pt idx="10">
                  <c:v>0.16901386230812263</c:v>
                </c:pt>
                <c:pt idx="11">
                  <c:v>0.21832514796834401</c:v>
                </c:pt>
              </c:numCache>
            </c:numRef>
          </c:val>
        </c:ser>
        <c:ser>
          <c:idx val="2"/>
          <c:order val="2"/>
          <c:tx>
            <c:strRef>
              <c:f>'Pivot Tables &amp; Chart Data'!$L$169</c:f>
              <c:strCache>
                <c:ptCount val="1"/>
                <c:pt idx="0">
                  <c:v>PSE Owned Gas</c:v>
                </c:pt>
              </c:strCache>
            </c:strRef>
          </c:tx>
          <c:invertIfNegative val="0"/>
          <c:cat>
            <c:numRef>
              <c:f>'Pivot Tables &amp; Chart Data'!$M$166:$X$166</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Data'!$M$169:$X$169</c:f>
              <c:numCache>
                <c:formatCode>0.0%</c:formatCode>
                <c:ptCount val="12"/>
                <c:pt idx="0">
                  <c:v>2.8610373570692037E-2</c:v>
                </c:pt>
                <c:pt idx="1">
                  <c:v>3.8624498446511217E-2</c:v>
                </c:pt>
                <c:pt idx="2">
                  <c:v>6.3196702430761226E-2</c:v>
                </c:pt>
                <c:pt idx="3">
                  <c:v>0.18131904941563087</c:v>
                </c:pt>
                <c:pt idx="4">
                  <c:v>0.14207025315429217</c:v>
                </c:pt>
                <c:pt idx="5">
                  <c:v>8.5629757633141484E-2</c:v>
                </c:pt>
                <c:pt idx="6">
                  <c:v>0.14146157391295514</c:v>
                </c:pt>
                <c:pt idx="7">
                  <c:v>0.2297064162517321</c:v>
                </c:pt>
                <c:pt idx="8">
                  <c:v>0.19126481950407134</c:v>
                </c:pt>
                <c:pt idx="9">
                  <c:v>0.22297276640859406</c:v>
                </c:pt>
                <c:pt idx="10">
                  <c:v>0.18430089697482374</c:v>
                </c:pt>
                <c:pt idx="11">
                  <c:v>0.16988510903415038</c:v>
                </c:pt>
              </c:numCache>
            </c:numRef>
          </c:val>
        </c:ser>
        <c:ser>
          <c:idx val="3"/>
          <c:order val="3"/>
          <c:tx>
            <c:strRef>
              <c:f>'Pivot Tables &amp; Chart Data'!$L$170</c:f>
              <c:strCache>
                <c:ptCount val="1"/>
                <c:pt idx="0">
                  <c:v>PSE Firm Gas</c:v>
                </c:pt>
              </c:strCache>
            </c:strRef>
          </c:tx>
          <c:invertIfNegative val="0"/>
          <c:cat>
            <c:numRef>
              <c:f>'Pivot Tables &amp; Chart Data'!$M$166:$X$166</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Data'!$M$170:$X$170</c:f>
              <c:numCache>
                <c:formatCode>0.0%</c:formatCode>
                <c:ptCount val="12"/>
                <c:pt idx="0">
                  <c:v>8.3862505390916858E-2</c:v>
                </c:pt>
                <c:pt idx="1">
                  <c:v>6.4351543492601929E-2</c:v>
                </c:pt>
                <c:pt idx="2">
                  <c:v>5.0009828945761559E-2</c:v>
                </c:pt>
                <c:pt idx="3">
                  <c:v>6.3058343814301088E-2</c:v>
                </c:pt>
                <c:pt idx="4">
                  <c:v>5.3550749582428503E-2</c:v>
                </c:pt>
                <c:pt idx="5">
                  <c:v>2.964596274318591E-2</c:v>
                </c:pt>
                <c:pt idx="6">
                  <c:v>1.9516654696258345E-5</c:v>
                </c:pt>
                <c:pt idx="7">
                  <c:v>2.9278937255097375E-4</c:v>
                </c:pt>
                <c:pt idx="8">
                  <c:v>4.414165367554081E-5</c:v>
                </c:pt>
                <c:pt idx="9">
                  <c:v>1.3052459217026072E-5</c:v>
                </c:pt>
                <c:pt idx="10">
                  <c:v>7.212533984004128E-6</c:v>
                </c:pt>
                <c:pt idx="11">
                  <c:v>0</c:v>
                </c:pt>
              </c:numCache>
            </c:numRef>
          </c:val>
        </c:ser>
        <c:ser>
          <c:idx val="4"/>
          <c:order val="4"/>
          <c:tx>
            <c:strRef>
              <c:f>'Pivot Tables &amp; Chart Data'!$L$171</c:f>
              <c:strCache>
                <c:ptCount val="1"/>
                <c:pt idx="0">
                  <c:v>PSE Own All Other</c:v>
                </c:pt>
              </c:strCache>
            </c:strRef>
          </c:tx>
          <c:invertIfNegative val="0"/>
          <c:cat>
            <c:numRef>
              <c:f>'Pivot Tables &amp; Chart Data'!$M$166:$X$166</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Data'!$M$171:$X$171</c:f>
              <c:numCache>
                <c:formatCode>0.0%</c:formatCode>
                <c:ptCount val="12"/>
                <c:pt idx="0">
                  <c:v>7.7220584682673001E-5</c:v>
                </c:pt>
                <c:pt idx="1">
                  <c:v>2.5152048295731379E-5</c:v>
                </c:pt>
                <c:pt idx="2">
                  <c:v>2.632520656292472E-5</c:v>
                </c:pt>
                <c:pt idx="3">
                  <c:v>3.2706373028015197E-5</c:v>
                </c:pt>
                <c:pt idx="4">
                  <c:v>9.4583553773066989E-6</c:v>
                </c:pt>
                <c:pt idx="5">
                  <c:v>2.4301953245557288E-5</c:v>
                </c:pt>
                <c:pt idx="6">
                  <c:v>1.0537036414475084E-3</c:v>
                </c:pt>
                <c:pt idx="7">
                  <c:v>5.4970731464809606E-6</c:v>
                </c:pt>
                <c:pt idx="8">
                  <c:v>2.9470713679740472E-5</c:v>
                </c:pt>
                <c:pt idx="9">
                  <c:v>2.1666341849097965E-5</c:v>
                </c:pt>
                <c:pt idx="10">
                  <c:v>1.5202118178188274E-5</c:v>
                </c:pt>
                <c:pt idx="11">
                  <c:v>3.2786547142858961E-5</c:v>
                </c:pt>
              </c:numCache>
            </c:numRef>
          </c:val>
        </c:ser>
        <c:ser>
          <c:idx val="5"/>
          <c:order val="5"/>
          <c:tx>
            <c:strRef>
              <c:f>'Pivot Tables &amp; Chart Data'!$L$172</c:f>
              <c:strCache>
                <c:ptCount val="1"/>
                <c:pt idx="0">
                  <c:v>PSE Firm All Other</c:v>
                </c:pt>
              </c:strCache>
            </c:strRef>
          </c:tx>
          <c:invertIfNegative val="0"/>
          <c:cat>
            <c:numRef>
              <c:f>'Pivot Tables &amp; Chart Data'!$M$166:$X$166</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Data'!$M$172:$X$172</c:f>
              <c:numCache>
                <c:formatCode>0.0%</c:formatCode>
                <c:ptCount val="12"/>
                <c:pt idx="0">
                  <c:v>4.781636195515087E-2</c:v>
                </c:pt>
                <c:pt idx="1">
                  <c:v>4.823165454645497E-2</c:v>
                </c:pt>
                <c:pt idx="2">
                  <c:v>4.7335562408370065E-2</c:v>
                </c:pt>
                <c:pt idx="3">
                  <c:v>3.4002370935389138E-2</c:v>
                </c:pt>
                <c:pt idx="4">
                  <c:v>0.10211414454385154</c:v>
                </c:pt>
                <c:pt idx="5">
                  <c:v>0.10643335748121451</c:v>
                </c:pt>
                <c:pt idx="6">
                  <c:v>7.6923596218133744E-2</c:v>
                </c:pt>
                <c:pt idx="7">
                  <c:v>4.2865019534896576E-2</c:v>
                </c:pt>
                <c:pt idx="8">
                  <c:v>2.7342934992894224E-2</c:v>
                </c:pt>
                <c:pt idx="9">
                  <c:v>2.0401522949019826E-2</c:v>
                </c:pt>
                <c:pt idx="10">
                  <c:v>5.5317861729368402E-2</c:v>
                </c:pt>
                <c:pt idx="11">
                  <c:v>6.8312838706708276E-2</c:v>
                </c:pt>
              </c:numCache>
            </c:numRef>
          </c:val>
        </c:ser>
        <c:ser>
          <c:idx val="6"/>
          <c:order val="6"/>
          <c:tx>
            <c:strRef>
              <c:f>'Pivot Tables &amp; Chart Data'!$L$173</c:f>
              <c:strCache>
                <c:ptCount val="1"/>
                <c:pt idx="0">
                  <c:v>Unknown</c:v>
                </c:pt>
              </c:strCache>
            </c:strRef>
          </c:tx>
          <c:invertIfNegative val="0"/>
          <c:cat>
            <c:numRef>
              <c:f>'Pivot Tables &amp; Chart Data'!$M$166:$X$166</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Data'!$M$173:$X$173</c:f>
              <c:numCache>
                <c:formatCode>0.0%</c:formatCode>
                <c:ptCount val="12"/>
                <c:pt idx="0">
                  <c:v>0.26270403239165935</c:v>
                </c:pt>
                <c:pt idx="1">
                  <c:v>0.25643374480970266</c:v>
                </c:pt>
                <c:pt idx="2">
                  <c:v>0.24071433635941081</c:v>
                </c:pt>
                <c:pt idx="3">
                  <c:v>0.21079459676452189</c:v>
                </c:pt>
                <c:pt idx="4">
                  <c:v>0.15074829140390736</c:v>
                </c:pt>
                <c:pt idx="5">
                  <c:v>0.29721683738886673</c:v>
                </c:pt>
                <c:pt idx="6">
                  <c:v>0.33969509596763137</c:v>
                </c:pt>
                <c:pt idx="7">
                  <c:v>0.28554003114916499</c:v>
                </c:pt>
                <c:pt idx="8">
                  <c:v>0.28358992943649347</c:v>
                </c:pt>
                <c:pt idx="9">
                  <c:v>0.14989029719581537</c:v>
                </c:pt>
                <c:pt idx="10">
                  <c:v>0.13741033123276389</c:v>
                </c:pt>
                <c:pt idx="11">
                  <c:v>0.10596042131645347</c:v>
                </c:pt>
              </c:numCache>
            </c:numRef>
          </c:val>
        </c:ser>
        <c:dLbls>
          <c:showLegendKey val="0"/>
          <c:showVal val="0"/>
          <c:showCatName val="0"/>
          <c:showSerName val="0"/>
          <c:showPercent val="0"/>
          <c:showBubbleSize val="0"/>
        </c:dLbls>
        <c:gapWidth val="150"/>
        <c:overlap val="100"/>
        <c:axId val="185109504"/>
        <c:axId val="185127680"/>
      </c:barChart>
      <c:catAx>
        <c:axId val="185109504"/>
        <c:scaling>
          <c:orientation val="minMax"/>
        </c:scaling>
        <c:delete val="0"/>
        <c:axPos val="b"/>
        <c:numFmt formatCode="General" sourceLinked="1"/>
        <c:majorTickMark val="out"/>
        <c:minorTickMark val="none"/>
        <c:tickLblPos val="nextTo"/>
        <c:crossAx val="185127680"/>
        <c:crosses val="autoZero"/>
        <c:auto val="1"/>
        <c:lblAlgn val="ctr"/>
        <c:lblOffset val="100"/>
        <c:noMultiLvlLbl val="0"/>
      </c:catAx>
      <c:valAx>
        <c:axId val="185127680"/>
        <c:scaling>
          <c:orientation val="minMax"/>
          <c:max val="1"/>
        </c:scaling>
        <c:delete val="0"/>
        <c:axPos val="l"/>
        <c:majorGridlines/>
        <c:numFmt formatCode="0%" sourceLinked="0"/>
        <c:majorTickMark val="out"/>
        <c:minorTickMark val="none"/>
        <c:tickLblPos val="nextTo"/>
        <c:crossAx val="185109504"/>
        <c:crosses val="autoZero"/>
        <c:crossBetween val="between"/>
      </c:valAx>
      <c:dTable>
        <c:showHorzBorder val="1"/>
        <c:showVertBorder val="1"/>
        <c:showOutline val="1"/>
        <c:showKeys val="1"/>
      </c:dTable>
    </c:plotArea>
    <c:plotVisOnly val="1"/>
    <c:dispBlanksAs val="gap"/>
    <c:showDLblsOverMax val="0"/>
  </c:char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baseline="0">
                <a:effectLst/>
              </a:rPr>
              <a:t>Percent Breakout of PSE Total Emissions by Resource Type (Owned, Firm &amp; Unspecified)</a:t>
            </a:r>
            <a:endParaRPr lang="en-US" sz="1400">
              <a:effectLst/>
            </a:endParaRPr>
          </a:p>
        </c:rich>
      </c:tx>
      <c:overlay val="0"/>
    </c:title>
    <c:autoTitleDeleted val="0"/>
    <c:plotArea>
      <c:layout/>
      <c:barChart>
        <c:barDir val="col"/>
        <c:grouping val="percentStacked"/>
        <c:varyColors val="0"/>
        <c:ser>
          <c:idx val="0"/>
          <c:order val="0"/>
          <c:tx>
            <c:strRef>
              <c:f>'Pivot Tables &amp; Chart Data'!$L$145</c:f>
              <c:strCache>
                <c:ptCount val="1"/>
                <c:pt idx="0">
                  <c:v>PSE Owned Coal</c:v>
                </c:pt>
              </c:strCache>
            </c:strRef>
          </c:tx>
          <c:invertIfNegative val="0"/>
          <c:cat>
            <c:numRef>
              <c:f>'Pivot Tables &amp; Chart Data'!$M$144:$X$144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Data'!$M$145:$X$145</c:f>
              <c:numCache>
                <c:formatCode>#,##0</c:formatCode>
                <c:ptCount val="12"/>
                <c:pt idx="0">
                  <c:v>5368464.9975247653</c:v>
                </c:pt>
                <c:pt idx="1">
                  <c:v>5742217.6323306067</c:v>
                </c:pt>
                <c:pt idx="2">
                  <c:v>5561763.4228364993</c:v>
                </c:pt>
                <c:pt idx="3">
                  <c:v>4770692.0141436001</c:v>
                </c:pt>
                <c:pt idx="4">
                  <c:v>5527798.1950561497</c:v>
                </c:pt>
                <c:pt idx="5">
                  <c:v>4499455.2897938034</c:v>
                </c:pt>
                <c:pt idx="6">
                  <c:v>4107968.1103746672</c:v>
                </c:pt>
                <c:pt idx="7">
                  <c:v>4667512.5961161405</c:v>
                </c:pt>
                <c:pt idx="8">
                  <c:v>4853678.5489454996</c:v>
                </c:pt>
                <c:pt idx="9">
                  <c:v>4997250.7789076101</c:v>
                </c:pt>
                <c:pt idx="10">
                  <c:v>4608046.4980194001</c:v>
                </c:pt>
                <c:pt idx="11">
                  <c:v>4452201.0728771938</c:v>
                </c:pt>
              </c:numCache>
            </c:numRef>
          </c:val>
        </c:ser>
        <c:ser>
          <c:idx val="1"/>
          <c:order val="1"/>
          <c:tx>
            <c:strRef>
              <c:f>'Pivot Tables &amp; Chart Data'!$L$146</c:f>
              <c:strCache>
                <c:ptCount val="1"/>
                <c:pt idx="0">
                  <c:v>PSE Firm Coal</c:v>
                </c:pt>
              </c:strCache>
            </c:strRef>
          </c:tx>
          <c:invertIfNegative val="0"/>
          <c:cat>
            <c:numRef>
              <c:f>'Pivot Tables &amp; Chart Data'!$M$144:$X$144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Data'!$M$146:$X$146</c:f>
              <c:numCache>
                <c:formatCode>#,##0</c:formatCode>
                <c:ptCount val="12"/>
                <c:pt idx="0">
                  <c:v>809645.91781821428</c:v>
                </c:pt>
                <c:pt idx="1">
                  <c:v>831231.20836300426</c:v>
                </c:pt>
                <c:pt idx="2">
                  <c:v>727462.11735102953</c:v>
                </c:pt>
                <c:pt idx="3">
                  <c:v>650056.88753164525</c:v>
                </c:pt>
                <c:pt idx="4">
                  <c:v>771203.09372836689</c:v>
                </c:pt>
                <c:pt idx="5">
                  <c:v>0</c:v>
                </c:pt>
                <c:pt idx="6">
                  <c:v>0</c:v>
                </c:pt>
                <c:pt idx="7">
                  <c:v>0</c:v>
                </c:pt>
                <c:pt idx="8">
                  <c:v>142966.97893924441</c:v>
                </c:pt>
                <c:pt idx="9">
                  <c:v>1802533.0987815796</c:v>
                </c:pt>
                <c:pt idx="10">
                  <c:v>1715717.8138231456</c:v>
                </c:pt>
                <c:pt idx="11">
                  <c:v>2221859.845198785</c:v>
                </c:pt>
              </c:numCache>
            </c:numRef>
          </c:val>
        </c:ser>
        <c:ser>
          <c:idx val="2"/>
          <c:order val="2"/>
          <c:tx>
            <c:strRef>
              <c:f>'Pivot Tables &amp; Chart Data'!$L$147</c:f>
              <c:strCache>
                <c:ptCount val="1"/>
                <c:pt idx="0">
                  <c:v>PSE Owned Gas</c:v>
                </c:pt>
              </c:strCache>
            </c:strRef>
          </c:tx>
          <c:invertIfNegative val="0"/>
          <c:cat>
            <c:numRef>
              <c:f>'Pivot Tables &amp; Chart Data'!$M$144:$X$144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Data'!$M$147:$X$147</c:f>
              <c:numCache>
                <c:formatCode>#,##0</c:formatCode>
                <c:ptCount val="12"/>
                <c:pt idx="0">
                  <c:v>306377.22525563044</c:v>
                </c:pt>
                <c:pt idx="1">
                  <c:v>428637.25341572159</c:v>
                </c:pt>
                <c:pt idx="2">
                  <c:v>663849.78641478322</c:v>
                </c:pt>
                <c:pt idx="3">
                  <c:v>1924233.8236409687</c:v>
                </c:pt>
                <c:pt idx="4">
                  <c:v>1622645.8424806593</c:v>
                </c:pt>
                <c:pt idx="5">
                  <c:v>800930.13181155268</c:v>
                </c:pt>
                <c:pt idx="6">
                  <c:v>1318190.3826925461</c:v>
                </c:pt>
                <c:pt idx="7">
                  <c:v>2427946.7209109277</c:v>
                </c:pt>
                <c:pt idx="8">
                  <c:v>1920087.1838693283</c:v>
                </c:pt>
                <c:pt idx="9">
                  <c:v>2499035.5797677343</c:v>
                </c:pt>
                <c:pt idx="10">
                  <c:v>1870901.7575541951</c:v>
                </c:pt>
                <c:pt idx="11">
                  <c:v>1728893.3756496338</c:v>
                </c:pt>
              </c:numCache>
            </c:numRef>
          </c:val>
        </c:ser>
        <c:ser>
          <c:idx val="3"/>
          <c:order val="3"/>
          <c:tx>
            <c:strRef>
              <c:f>'Pivot Tables &amp; Chart Data'!$L$148</c:f>
              <c:strCache>
                <c:ptCount val="1"/>
                <c:pt idx="0">
                  <c:v>PSE Firm Gas</c:v>
                </c:pt>
              </c:strCache>
            </c:strRef>
          </c:tx>
          <c:invertIfNegative val="0"/>
          <c:cat>
            <c:numRef>
              <c:f>'Pivot Tables &amp; Chart Data'!$M$144:$X$144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Data'!$M$148:$X$148</c:f>
              <c:numCache>
                <c:formatCode>#,##0</c:formatCode>
                <c:ptCount val="12"/>
                <c:pt idx="0">
                  <c:v>898050.5494333877</c:v>
                </c:pt>
                <c:pt idx="1">
                  <c:v>714144.389316277</c:v>
                </c:pt>
                <c:pt idx="2">
                  <c:v>525328.26852250309</c:v>
                </c:pt>
                <c:pt idx="3">
                  <c:v>669201.6002803907</c:v>
                </c:pt>
                <c:pt idx="4">
                  <c:v>611626.2851821722</c:v>
                </c:pt>
                <c:pt idx="5">
                  <c:v>277290.80992272298</c:v>
                </c:pt>
                <c:pt idx="6">
                  <c:v>181.86328492831083</c:v>
                </c:pt>
                <c:pt idx="7">
                  <c:v>3094.7198106284695</c:v>
                </c:pt>
                <c:pt idx="8">
                  <c:v>443.13336721811612</c:v>
                </c:pt>
                <c:pt idx="9">
                  <c:v>146.28943485879554</c:v>
                </c:pt>
                <c:pt idx="10">
                  <c:v>73.216911738286399</c:v>
                </c:pt>
                <c:pt idx="11">
                  <c:v>0</c:v>
                </c:pt>
              </c:numCache>
            </c:numRef>
          </c:val>
        </c:ser>
        <c:ser>
          <c:idx val="4"/>
          <c:order val="4"/>
          <c:tx>
            <c:strRef>
              <c:f>'Pivot Tables &amp; Chart Data'!$L$149</c:f>
              <c:strCache>
                <c:ptCount val="1"/>
                <c:pt idx="0">
                  <c:v>PSE Own All Other</c:v>
                </c:pt>
              </c:strCache>
            </c:strRef>
          </c:tx>
          <c:invertIfNegative val="0"/>
          <c:cat>
            <c:numRef>
              <c:f>'Pivot Tables &amp; Chart Data'!$M$144:$X$144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Data'!$M$149:$X$149</c:f>
              <c:numCache>
                <c:formatCode>#,##0</c:formatCode>
                <c:ptCount val="12"/>
                <c:pt idx="0">
                  <c:v>826.92483582004934</c:v>
                </c:pt>
                <c:pt idx="1">
                  <c:v>279.12608144781461</c:v>
                </c:pt>
                <c:pt idx="2">
                  <c:v>276.53314305868162</c:v>
                </c:pt>
                <c:pt idx="3">
                  <c:v>347.09375232197834</c:v>
                </c:pt>
                <c:pt idx="4">
                  <c:v>108.02796988771064</c:v>
                </c:pt>
                <c:pt idx="5">
                  <c:v>227.30610425912414</c:v>
                </c:pt>
                <c:pt idx="6">
                  <c:v>9818.7936691478917</c:v>
                </c:pt>
                <c:pt idx="7">
                  <c:v>58.102864249031725</c:v>
                </c:pt>
                <c:pt idx="8">
                  <c:v>295.85336071042411</c:v>
                </c:pt>
                <c:pt idx="9">
                  <c:v>242.83216303235292</c:v>
                </c:pt>
                <c:pt idx="10">
                  <c:v>154.32192726660614</c:v>
                </c:pt>
                <c:pt idx="11">
                  <c:v>333.66340633373909</c:v>
                </c:pt>
              </c:numCache>
            </c:numRef>
          </c:val>
        </c:ser>
        <c:ser>
          <c:idx val="5"/>
          <c:order val="5"/>
          <c:tx>
            <c:strRef>
              <c:f>'Pivot Tables &amp; Chart Data'!$L$150</c:f>
              <c:strCache>
                <c:ptCount val="1"/>
                <c:pt idx="0">
                  <c:v>PSE Firm All Other</c:v>
                </c:pt>
              </c:strCache>
            </c:strRef>
          </c:tx>
          <c:invertIfNegative val="0"/>
          <c:cat>
            <c:numRef>
              <c:f>'Pivot Tables &amp; Chart Data'!$M$144:$X$144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Data'!$M$150:$X$150</c:f>
              <c:numCache>
                <c:formatCode>#,##0</c:formatCode>
                <c:ptCount val="12"/>
                <c:pt idx="0">
                  <c:v>512046.59252142929</c:v>
                </c:pt>
                <c:pt idx="1">
                  <c:v>535253.13632534014</c:v>
                </c:pt>
                <c:pt idx="2">
                  <c:v>497236.43459163315</c:v>
                </c:pt>
                <c:pt idx="3">
                  <c:v>360847.42584262649</c:v>
                </c:pt>
                <c:pt idx="4">
                  <c:v>1166289.8349494766</c:v>
                </c:pt>
                <c:pt idx="5">
                  <c:v>995514.70648542873</c:v>
                </c:pt>
                <c:pt idx="6">
                  <c:v>716802.0398193968</c:v>
                </c:pt>
                <c:pt idx="7">
                  <c:v>453073.9076416645</c:v>
                </c:pt>
                <c:pt idx="8">
                  <c:v>274492.81674150657</c:v>
                </c:pt>
                <c:pt idx="9">
                  <c:v>228656.31777479444</c:v>
                </c:pt>
                <c:pt idx="10">
                  <c:v>561550.62960845511</c:v>
                </c:pt>
                <c:pt idx="11">
                  <c:v>695208.75009773928</c:v>
                </c:pt>
              </c:numCache>
            </c:numRef>
          </c:val>
        </c:ser>
        <c:ser>
          <c:idx val="6"/>
          <c:order val="6"/>
          <c:tx>
            <c:strRef>
              <c:f>'Pivot Tables &amp; Chart Data'!$L$151</c:f>
              <c:strCache>
                <c:ptCount val="1"/>
                <c:pt idx="0">
                  <c:v>Unknown</c:v>
                </c:pt>
              </c:strCache>
            </c:strRef>
          </c:tx>
          <c:invertIfNegative val="0"/>
          <c:cat>
            <c:numRef>
              <c:f>'Pivot Tables &amp; Chart Data'!$M$144:$X$144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Data'!$M$151:$X$151</c:f>
              <c:numCache>
                <c:formatCode>#,##0</c:formatCode>
                <c:ptCount val="12"/>
                <c:pt idx="0">
                  <c:v>2813194.0433686208</c:v>
                </c:pt>
                <c:pt idx="1">
                  <c:v>2845785.9772744137</c:v>
                </c:pt>
                <c:pt idx="2">
                  <c:v>2528583.844295471</c:v>
                </c:pt>
                <c:pt idx="3">
                  <c:v>2237040.6983839241</c:v>
                </c:pt>
                <c:pt idx="4">
                  <c:v>1721761.4727691016</c:v>
                </c:pt>
                <c:pt idx="5">
                  <c:v>2779990.5935310605</c:v>
                </c:pt>
                <c:pt idx="6">
                  <c:v>3165402.4210693794</c:v>
                </c:pt>
                <c:pt idx="7">
                  <c:v>3018095.8530895701</c:v>
                </c:pt>
                <c:pt idx="8">
                  <c:v>2846929.1446136935</c:v>
                </c:pt>
                <c:pt idx="9">
                  <c:v>1679941.419697365</c:v>
                </c:pt>
                <c:pt idx="10">
                  <c:v>1394899.5063469519</c:v>
                </c:pt>
                <c:pt idx="11">
                  <c:v>1078342.1309647267</c:v>
                </c:pt>
              </c:numCache>
            </c:numRef>
          </c:val>
        </c:ser>
        <c:dLbls>
          <c:showLegendKey val="0"/>
          <c:showVal val="0"/>
          <c:showCatName val="0"/>
          <c:showSerName val="0"/>
          <c:showPercent val="0"/>
          <c:showBubbleSize val="0"/>
        </c:dLbls>
        <c:gapWidth val="75"/>
        <c:overlap val="100"/>
        <c:serLines/>
        <c:axId val="191241216"/>
        <c:axId val="191259392"/>
      </c:barChart>
      <c:catAx>
        <c:axId val="191241216"/>
        <c:scaling>
          <c:orientation val="minMax"/>
        </c:scaling>
        <c:delete val="0"/>
        <c:axPos val="b"/>
        <c:numFmt formatCode="General" sourceLinked="1"/>
        <c:majorTickMark val="none"/>
        <c:minorTickMark val="none"/>
        <c:tickLblPos val="nextTo"/>
        <c:crossAx val="191259392"/>
        <c:crosses val="autoZero"/>
        <c:auto val="1"/>
        <c:lblAlgn val="ctr"/>
        <c:lblOffset val="100"/>
        <c:noMultiLvlLbl val="0"/>
      </c:catAx>
      <c:valAx>
        <c:axId val="191259392"/>
        <c:scaling>
          <c:orientation val="minMax"/>
        </c:scaling>
        <c:delete val="0"/>
        <c:axPos val="l"/>
        <c:majorGridlines/>
        <c:minorGridlines/>
        <c:numFmt formatCode="0%" sourceLinked="1"/>
        <c:majorTickMark val="out"/>
        <c:minorTickMark val="none"/>
        <c:tickLblPos val="nextTo"/>
        <c:crossAx val="191241216"/>
        <c:crosses val="autoZero"/>
        <c:crossBetween val="between"/>
      </c:valAx>
      <c:dTable>
        <c:showHorzBorder val="1"/>
        <c:showVertBorder val="1"/>
        <c:showOutline val="0"/>
        <c:showKeys val="1"/>
      </c:dTable>
    </c:plotArea>
    <c:plotVisOnly val="1"/>
    <c:dispBlanksAs val="gap"/>
    <c:showDLblsOverMax val="0"/>
  </c:char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b="1" i="0" baseline="0">
                <a:effectLst/>
              </a:rPr>
              <a:t>PSE Total Emissions by Resource Type (Owned, Firm &amp; Unspecified)</a:t>
            </a:r>
            <a:endParaRPr lang="en-US" sz="1600">
              <a:effectLst/>
            </a:endParaRPr>
          </a:p>
        </c:rich>
      </c:tx>
      <c:overlay val="0"/>
    </c:title>
    <c:autoTitleDeleted val="0"/>
    <c:plotArea>
      <c:layout>
        <c:manualLayout>
          <c:layoutTarget val="inner"/>
          <c:xMode val="edge"/>
          <c:yMode val="edge"/>
          <c:x val="0.11216597937894486"/>
          <c:y val="8.0259409212755137E-2"/>
          <c:w val="0.57513259038632714"/>
          <c:h val="0.86900874408239281"/>
        </c:manualLayout>
      </c:layout>
      <c:barChart>
        <c:barDir val="col"/>
        <c:grouping val="stacked"/>
        <c:varyColors val="0"/>
        <c:ser>
          <c:idx val="0"/>
          <c:order val="0"/>
          <c:tx>
            <c:strRef>
              <c:f>'Pivot Tables &amp; Chart Data'!$L$145</c:f>
              <c:strCache>
                <c:ptCount val="1"/>
                <c:pt idx="0">
                  <c:v>PSE Owned Coal</c:v>
                </c:pt>
              </c:strCache>
            </c:strRef>
          </c:tx>
          <c:spPr>
            <a:solidFill>
              <a:schemeClr val="bg1">
                <a:lumMod val="50000"/>
              </a:schemeClr>
            </a:solidFill>
          </c:spPr>
          <c:invertIfNegative val="0"/>
          <c:cat>
            <c:numRef>
              <c:f>'Pivot Tables &amp; Chart Data'!$M$144:$X$144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Data'!$M$145:$X$145</c:f>
              <c:numCache>
                <c:formatCode>#,##0</c:formatCode>
                <c:ptCount val="12"/>
                <c:pt idx="0">
                  <c:v>5368464.9975247653</c:v>
                </c:pt>
                <c:pt idx="1">
                  <c:v>5742217.6323306067</c:v>
                </c:pt>
                <c:pt idx="2">
                  <c:v>5561763.4228364993</c:v>
                </c:pt>
                <c:pt idx="3">
                  <c:v>4770692.0141436001</c:v>
                </c:pt>
                <c:pt idx="4">
                  <c:v>5527798.1950561497</c:v>
                </c:pt>
                <c:pt idx="5">
                  <c:v>4499455.2897938034</c:v>
                </c:pt>
                <c:pt idx="6">
                  <c:v>4107968.1103746672</c:v>
                </c:pt>
                <c:pt idx="7">
                  <c:v>4667512.5961161405</c:v>
                </c:pt>
                <c:pt idx="8">
                  <c:v>4853678.5489454996</c:v>
                </c:pt>
                <c:pt idx="9">
                  <c:v>4997250.7789076101</c:v>
                </c:pt>
                <c:pt idx="10">
                  <c:v>4608046.4980194001</c:v>
                </c:pt>
                <c:pt idx="11">
                  <c:v>4452201.0728771938</c:v>
                </c:pt>
              </c:numCache>
            </c:numRef>
          </c:val>
        </c:ser>
        <c:ser>
          <c:idx val="1"/>
          <c:order val="1"/>
          <c:tx>
            <c:strRef>
              <c:f>'Pivot Tables &amp; Chart Data'!$L$146</c:f>
              <c:strCache>
                <c:ptCount val="1"/>
                <c:pt idx="0">
                  <c:v>PSE Firm Coal</c:v>
                </c:pt>
              </c:strCache>
            </c:strRef>
          </c:tx>
          <c:spPr>
            <a:solidFill>
              <a:srgbClr val="C00000"/>
            </a:solidFill>
          </c:spPr>
          <c:invertIfNegative val="0"/>
          <c:cat>
            <c:numRef>
              <c:f>'Pivot Tables &amp; Chart Data'!$M$144:$X$144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Data'!$M$146:$X$146</c:f>
              <c:numCache>
                <c:formatCode>#,##0</c:formatCode>
                <c:ptCount val="12"/>
                <c:pt idx="0">
                  <c:v>809645.91781821428</c:v>
                </c:pt>
                <c:pt idx="1">
                  <c:v>831231.20836300426</c:v>
                </c:pt>
                <c:pt idx="2">
                  <c:v>727462.11735102953</c:v>
                </c:pt>
                <c:pt idx="3">
                  <c:v>650056.88753164525</c:v>
                </c:pt>
                <c:pt idx="4">
                  <c:v>771203.09372836689</c:v>
                </c:pt>
                <c:pt idx="5">
                  <c:v>0</c:v>
                </c:pt>
                <c:pt idx="6">
                  <c:v>0</c:v>
                </c:pt>
                <c:pt idx="7">
                  <c:v>0</c:v>
                </c:pt>
                <c:pt idx="8">
                  <c:v>142966.97893924441</c:v>
                </c:pt>
                <c:pt idx="9">
                  <c:v>1802533.0987815796</c:v>
                </c:pt>
                <c:pt idx="10">
                  <c:v>1715717.8138231456</c:v>
                </c:pt>
                <c:pt idx="11">
                  <c:v>2221859.845198785</c:v>
                </c:pt>
              </c:numCache>
            </c:numRef>
          </c:val>
        </c:ser>
        <c:ser>
          <c:idx val="2"/>
          <c:order val="2"/>
          <c:tx>
            <c:strRef>
              <c:f>'Pivot Tables &amp; Chart Data'!$L$147</c:f>
              <c:strCache>
                <c:ptCount val="1"/>
                <c:pt idx="0">
                  <c:v>PSE Owned Gas</c:v>
                </c:pt>
              </c:strCache>
            </c:strRef>
          </c:tx>
          <c:spPr>
            <a:solidFill>
              <a:schemeClr val="accent1">
                <a:lumMod val="75000"/>
              </a:schemeClr>
            </a:solidFill>
          </c:spPr>
          <c:invertIfNegative val="0"/>
          <c:cat>
            <c:numRef>
              <c:f>'Pivot Tables &amp; Chart Data'!$M$144:$X$144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Data'!$M$147:$X$147</c:f>
              <c:numCache>
                <c:formatCode>#,##0</c:formatCode>
                <c:ptCount val="12"/>
                <c:pt idx="0">
                  <c:v>306377.22525563044</c:v>
                </c:pt>
                <c:pt idx="1">
                  <c:v>428637.25341572159</c:v>
                </c:pt>
                <c:pt idx="2">
                  <c:v>663849.78641478322</c:v>
                </c:pt>
                <c:pt idx="3">
                  <c:v>1924233.8236409687</c:v>
                </c:pt>
                <c:pt idx="4">
                  <c:v>1622645.8424806593</c:v>
                </c:pt>
                <c:pt idx="5">
                  <c:v>800930.13181155268</c:v>
                </c:pt>
                <c:pt idx="6">
                  <c:v>1318190.3826925461</c:v>
                </c:pt>
                <c:pt idx="7">
                  <c:v>2427946.7209109277</c:v>
                </c:pt>
                <c:pt idx="8">
                  <c:v>1920087.1838693283</c:v>
                </c:pt>
                <c:pt idx="9">
                  <c:v>2499035.5797677343</c:v>
                </c:pt>
                <c:pt idx="10">
                  <c:v>1870901.7575541951</c:v>
                </c:pt>
                <c:pt idx="11">
                  <c:v>1728893.3756496338</c:v>
                </c:pt>
              </c:numCache>
            </c:numRef>
          </c:val>
        </c:ser>
        <c:ser>
          <c:idx val="3"/>
          <c:order val="3"/>
          <c:tx>
            <c:strRef>
              <c:f>'Pivot Tables &amp; Chart Data'!$L$148</c:f>
              <c:strCache>
                <c:ptCount val="1"/>
                <c:pt idx="0">
                  <c:v>PSE Firm Gas</c:v>
                </c:pt>
              </c:strCache>
            </c:strRef>
          </c:tx>
          <c:spPr>
            <a:solidFill>
              <a:schemeClr val="bg2">
                <a:lumMod val="25000"/>
              </a:schemeClr>
            </a:solidFill>
          </c:spPr>
          <c:invertIfNegative val="0"/>
          <c:cat>
            <c:numRef>
              <c:f>'Pivot Tables &amp; Chart Data'!$M$144:$X$144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Data'!$M$148:$X$148</c:f>
              <c:numCache>
                <c:formatCode>#,##0</c:formatCode>
                <c:ptCount val="12"/>
                <c:pt idx="0">
                  <c:v>898050.5494333877</c:v>
                </c:pt>
                <c:pt idx="1">
                  <c:v>714144.389316277</c:v>
                </c:pt>
                <c:pt idx="2">
                  <c:v>525328.26852250309</c:v>
                </c:pt>
                <c:pt idx="3">
                  <c:v>669201.6002803907</c:v>
                </c:pt>
                <c:pt idx="4">
                  <c:v>611626.2851821722</c:v>
                </c:pt>
                <c:pt idx="5">
                  <c:v>277290.80992272298</c:v>
                </c:pt>
                <c:pt idx="6">
                  <c:v>181.86328492831083</c:v>
                </c:pt>
                <c:pt idx="7">
                  <c:v>3094.7198106284695</c:v>
                </c:pt>
                <c:pt idx="8">
                  <c:v>443.13336721811612</c:v>
                </c:pt>
                <c:pt idx="9">
                  <c:v>146.28943485879554</c:v>
                </c:pt>
                <c:pt idx="10">
                  <c:v>73.216911738286399</c:v>
                </c:pt>
                <c:pt idx="11">
                  <c:v>0</c:v>
                </c:pt>
              </c:numCache>
            </c:numRef>
          </c:val>
        </c:ser>
        <c:ser>
          <c:idx val="4"/>
          <c:order val="4"/>
          <c:tx>
            <c:strRef>
              <c:f>'Pivot Tables &amp; Chart Data'!$L$149</c:f>
              <c:strCache>
                <c:ptCount val="1"/>
                <c:pt idx="0">
                  <c:v>PSE Own All Other</c:v>
                </c:pt>
              </c:strCache>
            </c:strRef>
          </c:tx>
          <c:spPr>
            <a:solidFill>
              <a:schemeClr val="accent6">
                <a:lumMod val="60000"/>
                <a:lumOff val="40000"/>
              </a:schemeClr>
            </a:solidFill>
          </c:spPr>
          <c:invertIfNegative val="0"/>
          <c:cat>
            <c:numRef>
              <c:f>'Pivot Tables &amp; Chart Data'!$M$144:$X$144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Data'!$M$149:$X$149</c:f>
              <c:numCache>
                <c:formatCode>#,##0</c:formatCode>
                <c:ptCount val="12"/>
                <c:pt idx="0">
                  <c:v>826.92483582004934</c:v>
                </c:pt>
                <c:pt idx="1">
                  <c:v>279.12608144781461</c:v>
                </c:pt>
                <c:pt idx="2">
                  <c:v>276.53314305868162</c:v>
                </c:pt>
                <c:pt idx="3">
                  <c:v>347.09375232197834</c:v>
                </c:pt>
                <c:pt idx="4">
                  <c:v>108.02796988771064</c:v>
                </c:pt>
                <c:pt idx="5">
                  <c:v>227.30610425912414</c:v>
                </c:pt>
                <c:pt idx="6">
                  <c:v>9818.7936691478917</c:v>
                </c:pt>
                <c:pt idx="7">
                  <c:v>58.102864249031725</c:v>
                </c:pt>
                <c:pt idx="8">
                  <c:v>295.85336071042411</c:v>
                </c:pt>
                <c:pt idx="9">
                  <c:v>242.83216303235292</c:v>
                </c:pt>
                <c:pt idx="10">
                  <c:v>154.32192726660614</c:v>
                </c:pt>
                <c:pt idx="11">
                  <c:v>333.66340633373909</c:v>
                </c:pt>
              </c:numCache>
            </c:numRef>
          </c:val>
        </c:ser>
        <c:ser>
          <c:idx val="5"/>
          <c:order val="5"/>
          <c:tx>
            <c:strRef>
              <c:f>'Pivot Tables &amp; Chart Data'!$L$150</c:f>
              <c:strCache>
                <c:ptCount val="1"/>
                <c:pt idx="0">
                  <c:v>PSE Firm All Other</c:v>
                </c:pt>
              </c:strCache>
            </c:strRef>
          </c:tx>
          <c:spPr>
            <a:solidFill>
              <a:schemeClr val="accent6">
                <a:lumMod val="50000"/>
              </a:schemeClr>
            </a:solidFill>
          </c:spPr>
          <c:invertIfNegative val="0"/>
          <c:cat>
            <c:numRef>
              <c:f>'Pivot Tables &amp; Chart Data'!$M$144:$X$144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Data'!$M$150:$X$150</c:f>
              <c:numCache>
                <c:formatCode>#,##0</c:formatCode>
                <c:ptCount val="12"/>
                <c:pt idx="0">
                  <c:v>512046.59252142929</c:v>
                </c:pt>
                <c:pt idx="1">
                  <c:v>535253.13632534014</c:v>
                </c:pt>
                <c:pt idx="2">
                  <c:v>497236.43459163315</c:v>
                </c:pt>
                <c:pt idx="3">
                  <c:v>360847.42584262649</c:v>
                </c:pt>
                <c:pt idx="4">
                  <c:v>1166289.8349494766</c:v>
                </c:pt>
                <c:pt idx="5">
                  <c:v>995514.70648542873</c:v>
                </c:pt>
                <c:pt idx="6">
                  <c:v>716802.0398193968</c:v>
                </c:pt>
                <c:pt idx="7">
                  <c:v>453073.9076416645</c:v>
                </c:pt>
                <c:pt idx="8">
                  <c:v>274492.81674150657</c:v>
                </c:pt>
                <c:pt idx="9">
                  <c:v>228656.31777479444</c:v>
                </c:pt>
                <c:pt idx="10">
                  <c:v>561550.62960845511</c:v>
                </c:pt>
                <c:pt idx="11">
                  <c:v>695208.75009773928</c:v>
                </c:pt>
              </c:numCache>
            </c:numRef>
          </c:val>
        </c:ser>
        <c:ser>
          <c:idx val="6"/>
          <c:order val="6"/>
          <c:tx>
            <c:strRef>
              <c:f>'Pivot Tables &amp; Chart Data'!$L$151</c:f>
              <c:strCache>
                <c:ptCount val="1"/>
                <c:pt idx="0">
                  <c:v>Unknown</c:v>
                </c:pt>
              </c:strCache>
            </c:strRef>
          </c:tx>
          <c:invertIfNegative val="0"/>
          <c:cat>
            <c:numRef>
              <c:f>'Pivot Tables &amp; Chart Data'!$M$144:$X$144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Data'!$M$151:$X$151</c:f>
              <c:numCache>
                <c:formatCode>#,##0</c:formatCode>
                <c:ptCount val="12"/>
                <c:pt idx="0">
                  <c:v>2813194.0433686208</c:v>
                </c:pt>
                <c:pt idx="1">
                  <c:v>2845785.9772744137</c:v>
                </c:pt>
                <c:pt idx="2">
                  <c:v>2528583.844295471</c:v>
                </c:pt>
                <c:pt idx="3">
                  <c:v>2237040.6983839241</c:v>
                </c:pt>
                <c:pt idx="4">
                  <c:v>1721761.4727691016</c:v>
                </c:pt>
                <c:pt idx="5">
                  <c:v>2779990.5935310605</c:v>
                </c:pt>
                <c:pt idx="6">
                  <c:v>3165402.4210693794</c:v>
                </c:pt>
                <c:pt idx="7">
                  <c:v>3018095.8530895701</c:v>
                </c:pt>
                <c:pt idx="8">
                  <c:v>2846929.1446136935</c:v>
                </c:pt>
                <c:pt idx="9">
                  <c:v>1679941.419697365</c:v>
                </c:pt>
                <c:pt idx="10">
                  <c:v>1394899.5063469519</c:v>
                </c:pt>
                <c:pt idx="11">
                  <c:v>1078342.1309647267</c:v>
                </c:pt>
              </c:numCache>
            </c:numRef>
          </c:val>
        </c:ser>
        <c:dLbls>
          <c:showLegendKey val="0"/>
          <c:showVal val="0"/>
          <c:showCatName val="0"/>
          <c:showSerName val="0"/>
          <c:showPercent val="0"/>
          <c:showBubbleSize val="0"/>
        </c:dLbls>
        <c:gapWidth val="150"/>
        <c:overlap val="100"/>
        <c:axId val="191399424"/>
        <c:axId val="191400960"/>
      </c:barChart>
      <c:lineChart>
        <c:grouping val="standard"/>
        <c:varyColors val="0"/>
        <c:ser>
          <c:idx val="7"/>
          <c:order val="7"/>
          <c:tx>
            <c:strRef>
              <c:f>'Pivot Tables &amp; Chart Data'!$L$162</c:f>
              <c:strCache>
                <c:ptCount val="1"/>
                <c:pt idx="0">
                  <c:v>Total Population Served</c:v>
                </c:pt>
              </c:strCache>
            </c:strRef>
          </c:tx>
          <c:spPr>
            <a:ln>
              <a:solidFill>
                <a:schemeClr val="tx1">
                  <a:lumMod val="95000"/>
                  <a:lumOff val="5000"/>
                </a:schemeClr>
              </a:solidFill>
              <a:prstDash val="sysDash"/>
            </a:ln>
          </c:spPr>
          <c:marker>
            <c:symbol val="none"/>
          </c:marker>
          <c:cat>
            <c:numRef>
              <c:f>'Pivot Tables &amp; Chart Data'!$M$144:$X$144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Data'!$M$162:$X$162</c:f>
              <c:numCache>
                <c:formatCode>#,##0</c:formatCode>
                <c:ptCount val="12"/>
                <c:pt idx="0">
                  <c:v>2267102.1722361753</c:v>
                </c:pt>
                <c:pt idx="1">
                  <c:v>2307477.0404587844</c:v>
                </c:pt>
                <c:pt idx="2">
                  <c:v>2340765.6259595291</c:v>
                </c:pt>
                <c:pt idx="3">
                  <c:v>2360347.5865471303</c:v>
                </c:pt>
                <c:pt idx="4">
                  <c:v>2374059.1947814561</c:v>
                </c:pt>
                <c:pt idx="5">
                  <c:v>2384581.4774588249</c:v>
                </c:pt>
                <c:pt idx="6">
                  <c:v>2396763.2060900475</c:v>
                </c:pt>
                <c:pt idx="7">
                  <c:v>2383976.003935121</c:v>
                </c:pt>
                <c:pt idx="8">
                  <c:v>2393758.2634168519</c:v>
                </c:pt>
                <c:pt idx="9">
                  <c:v>2418978.85192273</c:v>
                </c:pt>
              </c:numCache>
            </c:numRef>
          </c:val>
          <c:smooth val="0"/>
        </c:ser>
        <c:dLbls>
          <c:showLegendKey val="0"/>
          <c:showVal val="0"/>
          <c:showCatName val="0"/>
          <c:showSerName val="0"/>
          <c:showPercent val="0"/>
          <c:showBubbleSize val="0"/>
        </c:dLbls>
        <c:marker val="1"/>
        <c:smooth val="0"/>
        <c:axId val="191421440"/>
        <c:axId val="191419520"/>
      </c:lineChart>
      <c:catAx>
        <c:axId val="191399424"/>
        <c:scaling>
          <c:orientation val="minMax"/>
        </c:scaling>
        <c:delete val="0"/>
        <c:axPos val="b"/>
        <c:numFmt formatCode="General" sourceLinked="1"/>
        <c:majorTickMark val="out"/>
        <c:minorTickMark val="none"/>
        <c:tickLblPos val="nextTo"/>
        <c:crossAx val="191400960"/>
        <c:crosses val="autoZero"/>
        <c:auto val="1"/>
        <c:lblAlgn val="ctr"/>
        <c:lblOffset val="100"/>
        <c:noMultiLvlLbl val="0"/>
      </c:catAx>
      <c:valAx>
        <c:axId val="191400960"/>
        <c:scaling>
          <c:orientation val="minMax"/>
        </c:scaling>
        <c:delete val="0"/>
        <c:axPos val="l"/>
        <c:majorGridlines/>
        <c:title>
          <c:tx>
            <c:rich>
              <a:bodyPr rot="-5400000" vert="horz"/>
              <a:lstStyle/>
              <a:p>
                <a:pPr>
                  <a:defRPr/>
                </a:pPr>
                <a:r>
                  <a:rPr lang="en-US"/>
                  <a:t>Metric Tons CO2</a:t>
                </a:r>
              </a:p>
            </c:rich>
          </c:tx>
          <c:overlay val="0"/>
        </c:title>
        <c:numFmt formatCode="#,##0" sourceLinked="1"/>
        <c:majorTickMark val="out"/>
        <c:minorTickMark val="none"/>
        <c:tickLblPos val="nextTo"/>
        <c:crossAx val="191399424"/>
        <c:crosses val="autoZero"/>
        <c:crossBetween val="between"/>
      </c:valAx>
      <c:valAx>
        <c:axId val="191419520"/>
        <c:scaling>
          <c:orientation val="minMax"/>
          <c:min val="0"/>
        </c:scaling>
        <c:delete val="0"/>
        <c:axPos val="r"/>
        <c:title>
          <c:tx>
            <c:rich>
              <a:bodyPr rot="-5400000" vert="horz"/>
              <a:lstStyle/>
              <a:p>
                <a:pPr>
                  <a:defRPr/>
                </a:pPr>
                <a:r>
                  <a:rPr lang="en-US"/>
                  <a:t>Total Population Served</a:t>
                </a:r>
              </a:p>
            </c:rich>
          </c:tx>
          <c:overlay val="0"/>
        </c:title>
        <c:numFmt formatCode="#,##0" sourceLinked="1"/>
        <c:majorTickMark val="out"/>
        <c:minorTickMark val="none"/>
        <c:tickLblPos val="nextTo"/>
        <c:crossAx val="191421440"/>
        <c:crosses val="max"/>
        <c:crossBetween val="between"/>
      </c:valAx>
      <c:catAx>
        <c:axId val="191421440"/>
        <c:scaling>
          <c:orientation val="minMax"/>
        </c:scaling>
        <c:delete val="1"/>
        <c:axPos val="b"/>
        <c:numFmt formatCode="General" sourceLinked="1"/>
        <c:majorTickMark val="out"/>
        <c:minorTickMark val="none"/>
        <c:tickLblPos val="nextTo"/>
        <c:crossAx val="191419520"/>
        <c:crosses val="autoZero"/>
        <c:auto val="1"/>
        <c:lblAlgn val="ctr"/>
        <c:lblOffset val="100"/>
        <c:noMultiLvlLbl val="0"/>
      </c:catAx>
    </c:plotArea>
    <c:legend>
      <c:legendPos val="tr"/>
      <c:layout>
        <c:manualLayout>
          <c:xMode val="edge"/>
          <c:yMode val="edge"/>
          <c:x val="0.81162188477362562"/>
          <c:y val="8.2076887395602233E-2"/>
          <c:w val="0.18630442316474097"/>
          <c:h val="0.70202430841191987"/>
        </c:manualLayout>
      </c:layout>
      <c:overlay val="0"/>
      <c:spPr>
        <a:ln>
          <a:noFill/>
        </a:ln>
      </c:spPr>
    </c:legend>
    <c:plotVisOnly val="1"/>
    <c:dispBlanksAs val="gap"/>
    <c:showDLblsOverMax val="0"/>
  </c:chart>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b="1" i="0" baseline="0">
                <a:effectLst/>
              </a:rPr>
              <a:t>PSE Total Emissions by Resource Type (Owned, Firm &amp; Unspecified)</a:t>
            </a:r>
            <a:endParaRPr lang="en-US" sz="1600">
              <a:effectLst/>
            </a:endParaRPr>
          </a:p>
        </c:rich>
      </c:tx>
      <c:overlay val="0"/>
    </c:title>
    <c:autoTitleDeleted val="0"/>
    <c:plotArea>
      <c:layout>
        <c:manualLayout>
          <c:layoutTarget val="inner"/>
          <c:xMode val="edge"/>
          <c:yMode val="edge"/>
          <c:x val="0.11216597937894486"/>
          <c:y val="8.0259409212755137E-2"/>
          <c:w val="0.53262934667217376"/>
          <c:h val="0.86900874408239281"/>
        </c:manualLayout>
      </c:layout>
      <c:barChart>
        <c:barDir val="col"/>
        <c:grouping val="stacked"/>
        <c:varyColors val="0"/>
        <c:ser>
          <c:idx val="0"/>
          <c:order val="0"/>
          <c:tx>
            <c:strRef>
              <c:f>'Pivot Tables &amp; Chart Data'!$L$145</c:f>
              <c:strCache>
                <c:ptCount val="1"/>
                <c:pt idx="0">
                  <c:v>PSE Owned Coal</c:v>
                </c:pt>
              </c:strCache>
            </c:strRef>
          </c:tx>
          <c:spPr>
            <a:solidFill>
              <a:schemeClr val="bg1">
                <a:lumMod val="50000"/>
              </a:schemeClr>
            </a:solidFill>
          </c:spPr>
          <c:invertIfNegative val="0"/>
          <c:cat>
            <c:numRef>
              <c:f>'Pivot Tables &amp; Chart Data'!$M$144:$X$144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Data'!$M$145:$X$145</c:f>
              <c:numCache>
                <c:formatCode>#,##0</c:formatCode>
                <c:ptCount val="12"/>
                <c:pt idx="0">
                  <c:v>5368464.9975247653</c:v>
                </c:pt>
                <c:pt idx="1">
                  <c:v>5742217.6323306067</c:v>
                </c:pt>
                <c:pt idx="2">
                  <c:v>5561763.4228364993</c:v>
                </c:pt>
                <c:pt idx="3">
                  <c:v>4770692.0141436001</c:v>
                </c:pt>
                <c:pt idx="4">
                  <c:v>5527798.1950561497</c:v>
                </c:pt>
                <c:pt idx="5">
                  <c:v>4499455.2897938034</c:v>
                </c:pt>
                <c:pt idx="6">
                  <c:v>4107968.1103746672</c:v>
                </c:pt>
                <c:pt idx="7">
                  <c:v>4667512.5961161405</c:v>
                </c:pt>
                <c:pt idx="8">
                  <c:v>4853678.5489454996</c:v>
                </c:pt>
                <c:pt idx="9">
                  <c:v>4997250.7789076101</c:v>
                </c:pt>
                <c:pt idx="10">
                  <c:v>4608046.4980194001</c:v>
                </c:pt>
                <c:pt idx="11">
                  <c:v>4452201.0728771938</c:v>
                </c:pt>
              </c:numCache>
            </c:numRef>
          </c:val>
        </c:ser>
        <c:ser>
          <c:idx val="1"/>
          <c:order val="1"/>
          <c:tx>
            <c:strRef>
              <c:f>'Pivot Tables &amp; Chart Data'!$L$146</c:f>
              <c:strCache>
                <c:ptCount val="1"/>
                <c:pt idx="0">
                  <c:v>PSE Firm Coal</c:v>
                </c:pt>
              </c:strCache>
            </c:strRef>
          </c:tx>
          <c:spPr>
            <a:solidFill>
              <a:srgbClr val="C00000"/>
            </a:solidFill>
          </c:spPr>
          <c:invertIfNegative val="0"/>
          <c:cat>
            <c:numRef>
              <c:f>'Pivot Tables &amp; Chart Data'!$M$144:$X$144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Data'!$M$146:$X$146</c:f>
              <c:numCache>
                <c:formatCode>#,##0</c:formatCode>
                <c:ptCount val="12"/>
                <c:pt idx="0">
                  <c:v>809645.91781821428</c:v>
                </c:pt>
                <c:pt idx="1">
                  <c:v>831231.20836300426</c:v>
                </c:pt>
                <c:pt idx="2">
                  <c:v>727462.11735102953</c:v>
                </c:pt>
                <c:pt idx="3">
                  <c:v>650056.88753164525</c:v>
                </c:pt>
                <c:pt idx="4">
                  <c:v>771203.09372836689</c:v>
                </c:pt>
                <c:pt idx="5">
                  <c:v>0</c:v>
                </c:pt>
                <c:pt idx="6">
                  <c:v>0</c:v>
                </c:pt>
                <c:pt idx="7">
                  <c:v>0</c:v>
                </c:pt>
                <c:pt idx="8">
                  <c:v>142966.97893924441</c:v>
                </c:pt>
                <c:pt idx="9">
                  <c:v>1802533.0987815796</c:v>
                </c:pt>
                <c:pt idx="10">
                  <c:v>1715717.8138231456</c:v>
                </c:pt>
                <c:pt idx="11">
                  <c:v>2221859.845198785</c:v>
                </c:pt>
              </c:numCache>
            </c:numRef>
          </c:val>
        </c:ser>
        <c:ser>
          <c:idx val="2"/>
          <c:order val="2"/>
          <c:tx>
            <c:strRef>
              <c:f>'Pivot Tables &amp; Chart Data'!$L$147</c:f>
              <c:strCache>
                <c:ptCount val="1"/>
                <c:pt idx="0">
                  <c:v>PSE Owned Gas</c:v>
                </c:pt>
              </c:strCache>
            </c:strRef>
          </c:tx>
          <c:spPr>
            <a:solidFill>
              <a:schemeClr val="accent1">
                <a:lumMod val="75000"/>
              </a:schemeClr>
            </a:solidFill>
          </c:spPr>
          <c:invertIfNegative val="0"/>
          <c:cat>
            <c:numRef>
              <c:f>'Pivot Tables &amp; Chart Data'!$M$144:$X$144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Data'!$M$147:$X$147</c:f>
              <c:numCache>
                <c:formatCode>#,##0</c:formatCode>
                <c:ptCount val="12"/>
                <c:pt idx="0">
                  <c:v>306377.22525563044</c:v>
                </c:pt>
                <c:pt idx="1">
                  <c:v>428637.25341572159</c:v>
                </c:pt>
                <c:pt idx="2">
                  <c:v>663849.78641478322</c:v>
                </c:pt>
                <c:pt idx="3">
                  <c:v>1924233.8236409687</c:v>
                </c:pt>
                <c:pt idx="4">
                  <c:v>1622645.8424806593</c:v>
                </c:pt>
                <c:pt idx="5">
                  <c:v>800930.13181155268</c:v>
                </c:pt>
                <c:pt idx="6">
                  <c:v>1318190.3826925461</c:v>
                </c:pt>
                <c:pt idx="7">
                  <c:v>2427946.7209109277</c:v>
                </c:pt>
                <c:pt idx="8">
                  <c:v>1920087.1838693283</c:v>
                </c:pt>
                <c:pt idx="9">
                  <c:v>2499035.5797677343</c:v>
                </c:pt>
                <c:pt idx="10">
                  <c:v>1870901.7575541951</c:v>
                </c:pt>
                <c:pt idx="11">
                  <c:v>1728893.3756496338</c:v>
                </c:pt>
              </c:numCache>
            </c:numRef>
          </c:val>
        </c:ser>
        <c:ser>
          <c:idx val="3"/>
          <c:order val="3"/>
          <c:tx>
            <c:strRef>
              <c:f>'Pivot Tables &amp; Chart Data'!$L$148</c:f>
              <c:strCache>
                <c:ptCount val="1"/>
                <c:pt idx="0">
                  <c:v>PSE Firm Gas</c:v>
                </c:pt>
              </c:strCache>
            </c:strRef>
          </c:tx>
          <c:spPr>
            <a:solidFill>
              <a:schemeClr val="bg2">
                <a:lumMod val="25000"/>
              </a:schemeClr>
            </a:solidFill>
          </c:spPr>
          <c:invertIfNegative val="0"/>
          <c:cat>
            <c:numRef>
              <c:f>'Pivot Tables &amp; Chart Data'!$M$144:$X$144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Data'!$M$148:$X$148</c:f>
              <c:numCache>
                <c:formatCode>#,##0</c:formatCode>
                <c:ptCount val="12"/>
                <c:pt idx="0">
                  <c:v>898050.5494333877</c:v>
                </c:pt>
                <c:pt idx="1">
                  <c:v>714144.389316277</c:v>
                </c:pt>
                <c:pt idx="2">
                  <c:v>525328.26852250309</c:v>
                </c:pt>
                <c:pt idx="3">
                  <c:v>669201.6002803907</c:v>
                </c:pt>
                <c:pt idx="4">
                  <c:v>611626.2851821722</c:v>
                </c:pt>
                <c:pt idx="5">
                  <c:v>277290.80992272298</c:v>
                </c:pt>
                <c:pt idx="6">
                  <c:v>181.86328492831083</c:v>
                </c:pt>
                <c:pt idx="7">
                  <c:v>3094.7198106284695</c:v>
                </c:pt>
                <c:pt idx="8">
                  <c:v>443.13336721811612</c:v>
                </c:pt>
                <c:pt idx="9">
                  <c:v>146.28943485879554</c:v>
                </c:pt>
                <c:pt idx="10">
                  <c:v>73.216911738286399</c:v>
                </c:pt>
                <c:pt idx="11">
                  <c:v>0</c:v>
                </c:pt>
              </c:numCache>
            </c:numRef>
          </c:val>
        </c:ser>
        <c:ser>
          <c:idx val="4"/>
          <c:order val="4"/>
          <c:tx>
            <c:strRef>
              <c:f>'Pivot Tables &amp; Chart Data'!$L$149</c:f>
              <c:strCache>
                <c:ptCount val="1"/>
                <c:pt idx="0">
                  <c:v>PSE Own All Other</c:v>
                </c:pt>
              </c:strCache>
            </c:strRef>
          </c:tx>
          <c:spPr>
            <a:solidFill>
              <a:schemeClr val="accent6">
                <a:lumMod val="60000"/>
                <a:lumOff val="40000"/>
              </a:schemeClr>
            </a:solidFill>
          </c:spPr>
          <c:invertIfNegative val="0"/>
          <c:cat>
            <c:numRef>
              <c:f>'Pivot Tables &amp; Chart Data'!$M$144:$X$144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Data'!$M$149:$X$149</c:f>
              <c:numCache>
                <c:formatCode>#,##0</c:formatCode>
                <c:ptCount val="12"/>
                <c:pt idx="0">
                  <c:v>826.92483582004934</c:v>
                </c:pt>
                <c:pt idx="1">
                  <c:v>279.12608144781461</c:v>
                </c:pt>
                <c:pt idx="2">
                  <c:v>276.53314305868162</c:v>
                </c:pt>
                <c:pt idx="3">
                  <c:v>347.09375232197834</c:v>
                </c:pt>
                <c:pt idx="4">
                  <c:v>108.02796988771064</c:v>
                </c:pt>
                <c:pt idx="5">
                  <c:v>227.30610425912414</c:v>
                </c:pt>
                <c:pt idx="6">
                  <c:v>9818.7936691478917</c:v>
                </c:pt>
                <c:pt idx="7">
                  <c:v>58.102864249031725</c:v>
                </c:pt>
                <c:pt idx="8">
                  <c:v>295.85336071042411</c:v>
                </c:pt>
                <c:pt idx="9">
                  <c:v>242.83216303235292</c:v>
                </c:pt>
                <c:pt idx="10">
                  <c:v>154.32192726660614</c:v>
                </c:pt>
                <c:pt idx="11">
                  <c:v>333.66340633373909</c:v>
                </c:pt>
              </c:numCache>
            </c:numRef>
          </c:val>
        </c:ser>
        <c:ser>
          <c:idx val="5"/>
          <c:order val="5"/>
          <c:tx>
            <c:strRef>
              <c:f>'Pivot Tables &amp; Chart Data'!$L$150</c:f>
              <c:strCache>
                <c:ptCount val="1"/>
                <c:pt idx="0">
                  <c:v>PSE Firm All Other</c:v>
                </c:pt>
              </c:strCache>
            </c:strRef>
          </c:tx>
          <c:spPr>
            <a:solidFill>
              <a:schemeClr val="accent6">
                <a:lumMod val="50000"/>
              </a:schemeClr>
            </a:solidFill>
          </c:spPr>
          <c:invertIfNegative val="0"/>
          <c:cat>
            <c:numRef>
              <c:f>'Pivot Tables &amp; Chart Data'!$M$144:$X$144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Data'!$M$150:$X$150</c:f>
              <c:numCache>
                <c:formatCode>#,##0</c:formatCode>
                <c:ptCount val="12"/>
                <c:pt idx="0">
                  <c:v>512046.59252142929</c:v>
                </c:pt>
                <c:pt idx="1">
                  <c:v>535253.13632534014</c:v>
                </c:pt>
                <c:pt idx="2">
                  <c:v>497236.43459163315</c:v>
                </c:pt>
                <c:pt idx="3">
                  <c:v>360847.42584262649</c:v>
                </c:pt>
                <c:pt idx="4">
                  <c:v>1166289.8349494766</c:v>
                </c:pt>
                <c:pt idx="5">
                  <c:v>995514.70648542873</c:v>
                </c:pt>
                <c:pt idx="6">
                  <c:v>716802.0398193968</c:v>
                </c:pt>
                <c:pt idx="7">
                  <c:v>453073.9076416645</c:v>
                </c:pt>
                <c:pt idx="8">
                  <c:v>274492.81674150657</c:v>
                </c:pt>
                <c:pt idx="9">
                  <c:v>228656.31777479444</c:v>
                </c:pt>
                <c:pt idx="10">
                  <c:v>561550.62960845511</c:v>
                </c:pt>
                <c:pt idx="11">
                  <c:v>695208.75009773928</c:v>
                </c:pt>
              </c:numCache>
            </c:numRef>
          </c:val>
        </c:ser>
        <c:ser>
          <c:idx val="6"/>
          <c:order val="6"/>
          <c:tx>
            <c:strRef>
              <c:f>'Pivot Tables &amp; Chart Data'!$L$151</c:f>
              <c:strCache>
                <c:ptCount val="1"/>
                <c:pt idx="0">
                  <c:v>Unknown</c:v>
                </c:pt>
              </c:strCache>
            </c:strRef>
          </c:tx>
          <c:invertIfNegative val="0"/>
          <c:cat>
            <c:numRef>
              <c:f>'Pivot Tables &amp; Chart Data'!$M$144:$X$144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Data'!$M$151:$X$151</c:f>
              <c:numCache>
                <c:formatCode>#,##0</c:formatCode>
                <c:ptCount val="12"/>
                <c:pt idx="0">
                  <c:v>2813194.0433686208</c:v>
                </c:pt>
                <c:pt idx="1">
                  <c:v>2845785.9772744137</c:v>
                </c:pt>
                <c:pt idx="2">
                  <c:v>2528583.844295471</c:v>
                </c:pt>
                <c:pt idx="3">
                  <c:v>2237040.6983839241</c:v>
                </c:pt>
                <c:pt idx="4">
                  <c:v>1721761.4727691016</c:v>
                </c:pt>
                <c:pt idx="5">
                  <c:v>2779990.5935310605</c:v>
                </c:pt>
                <c:pt idx="6">
                  <c:v>3165402.4210693794</c:v>
                </c:pt>
                <c:pt idx="7">
                  <c:v>3018095.8530895701</c:v>
                </c:pt>
                <c:pt idx="8">
                  <c:v>2846929.1446136935</c:v>
                </c:pt>
                <c:pt idx="9">
                  <c:v>1679941.419697365</c:v>
                </c:pt>
                <c:pt idx="10">
                  <c:v>1394899.5063469519</c:v>
                </c:pt>
                <c:pt idx="11">
                  <c:v>1078342.1309647267</c:v>
                </c:pt>
              </c:numCache>
            </c:numRef>
          </c:val>
        </c:ser>
        <c:dLbls>
          <c:showLegendKey val="0"/>
          <c:showVal val="0"/>
          <c:showCatName val="0"/>
          <c:showSerName val="0"/>
          <c:showPercent val="0"/>
          <c:showBubbleSize val="0"/>
        </c:dLbls>
        <c:gapWidth val="150"/>
        <c:overlap val="100"/>
        <c:axId val="193743488"/>
        <c:axId val="193765760"/>
      </c:barChart>
      <c:lineChart>
        <c:grouping val="standard"/>
        <c:varyColors val="0"/>
        <c:ser>
          <c:idx val="7"/>
          <c:order val="7"/>
          <c:tx>
            <c:strRef>
              <c:f>'Pivot Tables &amp; Chart Data'!$L$160</c:f>
              <c:strCache>
                <c:ptCount val="1"/>
                <c:pt idx="0">
                  <c:v>Hydro aMW - (Idaho, Montana, Oregon, Washington)</c:v>
                </c:pt>
              </c:strCache>
            </c:strRef>
          </c:tx>
          <c:spPr>
            <a:ln>
              <a:solidFill>
                <a:schemeClr val="tx1">
                  <a:lumMod val="95000"/>
                  <a:lumOff val="5000"/>
                </a:schemeClr>
              </a:solidFill>
              <a:prstDash val="sysDash"/>
            </a:ln>
          </c:spPr>
          <c:marker>
            <c:symbol val="none"/>
          </c:marker>
          <c:cat>
            <c:numRef>
              <c:f>'Pivot Tables &amp; Chart Data'!$M$144:$X$144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Data'!$M$160:$X$160</c:f>
              <c:numCache>
                <c:formatCode>#,##0</c:formatCode>
                <c:ptCount val="12"/>
                <c:pt idx="0">
                  <c:v>16122.198515981736</c:v>
                </c:pt>
                <c:pt idx="1">
                  <c:v>14931.810502283104</c:v>
                </c:pt>
                <c:pt idx="2">
                  <c:v>14891.147540983606</c:v>
                </c:pt>
                <c:pt idx="3">
                  <c:v>14372.879109589041</c:v>
                </c:pt>
                <c:pt idx="4">
                  <c:v>13401.775</c:v>
                </c:pt>
                <c:pt idx="5">
                  <c:v>18280.046010273974</c:v>
                </c:pt>
                <c:pt idx="6">
                  <c:v>17201.548622495444</c:v>
                </c:pt>
                <c:pt idx="7">
                  <c:v>14767.632938356164</c:v>
                </c:pt>
                <c:pt idx="8">
                  <c:v>15434.936244292237</c:v>
                </c:pt>
              </c:numCache>
            </c:numRef>
          </c:val>
          <c:smooth val="0"/>
        </c:ser>
        <c:ser>
          <c:idx val="8"/>
          <c:order val="8"/>
          <c:tx>
            <c:strRef>
              <c:f>'Pivot Tables &amp; Chart Data'!$L$161</c:f>
              <c:strCache>
                <c:ptCount val="1"/>
                <c:pt idx="0">
                  <c:v>Thermal Coal + Gas aMW (ID, MT, OR, WA)</c:v>
                </c:pt>
              </c:strCache>
            </c:strRef>
          </c:tx>
          <c:spPr>
            <a:ln>
              <a:solidFill>
                <a:schemeClr val="tx1">
                  <a:lumMod val="95000"/>
                  <a:lumOff val="5000"/>
                </a:schemeClr>
              </a:solidFill>
            </a:ln>
          </c:spPr>
          <c:marker>
            <c:symbol val="none"/>
          </c:marker>
          <c:cat>
            <c:numRef>
              <c:f>'Pivot Tables &amp; Chart Data'!$M$144:$X$144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'Pivot Tables &amp; Chart Data'!$M$161:$X$161</c:f>
              <c:numCache>
                <c:formatCode>#,##0</c:formatCode>
                <c:ptCount val="12"/>
                <c:pt idx="0">
                  <c:v>5252.3812785388127</c:v>
                </c:pt>
                <c:pt idx="1">
                  <c:v>6307.8847031963469</c:v>
                </c:pt>
                <c:pt idx="2">
                  <c:v>6852.1939890710382</c:v>
                </c:pt>
                <c:pt idx="3">
                  <c:v>6414.8936073059358</c:v>
                </c:pt>
                <c:pt idx="4">
                  <c:v>6746.4651826484014</c:v>
                </c:pt>
                <c:pt idx="5">
                  <c:v>4403.8137899543372</c:v>
                </c:pt>
                <c:pt idx="6">
                  <c:v>4540.7407502276865</c:v>
                </c:pt>
                <c:pt idx="7">
                  <c:v>4540.7407502276865</c:v>
                </c:pt>
                <c:pt idx="8">
                  <c:v>6308.7701038812784</c:v>
                </c:pt>
              </c:numCache>
            </c:numRef>
          </c:val>
          <c:smooth val="0"/>
        </c:ser>
        <c:dLbls>
          <c:showLegendKey val="0"/>
          <c:showVal val="0"/>
          <c:showCatName val="0"/>
          <c:showSerName val="0"/>
          <c:showPercent val="0"/>
          <c:showBubbleSize val="0"/>
        </c:dLbls>
        <c:marker val="1"/>
        <c:smooth val="0"/>
        <c:axId val="193769856"/>
        <c:axId val="193767680"/>
      </c:lineChart>
      <c:catAx>
        <c:axId val="193743488"/>
        <c:scaling>
          <c:orientation val="minMax"/>
        </c:scaling>
        <c:delete val="0"/>
        <c:axPos val="b"/>
        <c:numFmt formatCode="General" sourceLinked="1"/>
        <c:majorTickMark val="out"/>
        <c:minorTickMark val="none"/>
        <c:tickLblPos val="nextTo"/>
        <c:crossAx val="193765760"/>
        <c:crosses val="autoZero"/>
        <c:auto val="1"/>
        <c:lblAlgn val="ctr"/>
        <c:lblOffset val="100"/>
        <c:noMultiLvlLbl val="0"/>
      </c:catAx>
      <c:valAx>
        <c:axId val="193765760"/>
        <c:scaling>
          <c:orientation val="minMax"/>
        </c:scaling>
        <c:delete val="0"/>
        <c:axPos val="l"/>
        <c:majorGridlines/>
        <c:title>
          <c:tx>
            <c:rich>
              <a:bodyPr rot="-5400000" vert="horz"/>
              <a:lstStyle/>
              <a:p>
                <a:pPr>
                  <a:defRPr/>
                </a:pPr>
                <a:r>
                  <a:rPr lang="en-US"/>
                  <a:t>Metric Tons CO2</a:t>
                </a:r>
              </a:p>
            </c:rich>
          </c:tx>
          <c:overlay val="0"/>
        </c:title>
        <c:numFmt formatCode="#,##0" sourceLinked="1"/>
        <c:majorTickMark val="out"/>
        <c:minorTickMark val="none"/>
        <c:tickLblPos val="nextTo"/>
        <c:crossAx val="193743488"/>
        <c:crosses val="autoZero"/>
        <c:crossBetween val="between"/>
      </c:valAx>
      <c:valAx>
        <c:axId val="193767680"/>
        <c:scaling>
          <c:orientation val="minMax"/>
        </c:scaling>
        <c:delete val="0"/>
        <c:axPos val="r"/>
        <c:title>
          <c:tx>
            <c:rich>
              <a:bodyPr rot="-5400000" vert="horz"/>
              <a:lstStyle/>
              <a:p>
                <a:pPr>
                  <a:defRPr/>
                </a:pPr>
                <a:r>
                  <a:rPr lang="en-US"/>
                  <a:t>Regional Generation Supply (aMW)</a:t>
                </a:r>
              </a:p>
            </c:rich>
          </c:tx>
          <c:overlay val="0"/>
        </c:title>
        <c:numFmt formatCode="#,##0" sourceLinked="1"/>
        <c:majorTickMark val="out"/>
        <c:minorTickMark val="none"/>
        <c:tickLblPos val="nextTo"/>
        <c:crossAx val="193769856"/>
        <c:crosses val="max"/>
        <c:crossBetween val="between"/>
      </c:valAx>
      <c:catAx>
        <c:axId val="193769856"/>
        <c:scaling>
          <c:orientation val="minMax"/>
        </c:scaling>
        <c:delete val="1"/>
        <c:axPos val="b"/>
        <c:numFmt formatCode="General" sourceLinked="1"/>
        <c:majorTickMark val="out"/>
        <c:minorTickMark val="none"/>
        <c:tickLblPos val="nextTo"/>
        <c:crossAx val="193767680"/>
        <c:crosses val="autoZero"/>
        <c:auto val="1"/>
        <c:lblAlgn val="ctr"/>
        <c:lblOffset val="100"/>
        <c:noMultiLvlLbl val="0"/>
      </c:catAx>
    </c:plotArea>
    <c:legend>
      <c:legendPos val="tr"/>
      <c:layout>
        <c:manualLayout>
          <c:xMode val="edge"/>
          <c:yMode val="edge"/>
          <c:x val="0.73101228462609324"/>
          <c:y val="8.2076887395602233E-2"/>
          <c:w val="0.2601939408123578"/>
          <c:h val="0.83533421236047811"/>
        </c:manualLayout>
      </c:layout>
      <c:overlay val="0"/>
      <c:spPr>
        <a:ln>
          <a:noFill/>
        </a:ln>
      </c:spPr>
    </c:legend>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zoomScale="117" workbookViewId="0" zoomToFit="1"/>
  </sheetViews>
  <pageMargins left="0.7" right="0.7" top="0.75" bottom="0.75"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117" workbookViewId="0" zoomToFit="1"/>
  </sheetViews>
  <pageMargins left="0.7" right="0.7" top="0.75" bottom="0.75" header="0.3" footer="0.3"/>
  <pageSetup orientation="landscape" r:id="rId1"/>
  <drawing r:id="rId2"/>
</chartsheet>
</file>

<file path=xl/chartsheets/sheet3.xml><?xml version="1.0" encoding="utf-8"?>
<chartsheet xmlns="http://schemas.openxmlformats.org/spreadsheetml/2006/main" xmlns:r="http://schemas.openxmlformats.org/officeDocument/2006/relationships">
  <sheetPr/>
  <sheetViews>
    <sheetView zoomScale="117" workbookViewId="0" zoomToFit="1"/>
  </sheetViews>
  <pageMargins left="0.7" right="0.7" top="0.75" bottom="0.75" header="0.3" footer="0.3"/>
  <pageSetup orientation="landscape" r:id="rId1"/>
  <drawing r:id="rId2"/>
</chartsheet>
</file>

<file path=xl/chartsheets/sheet4.xml><?xml version="1.0" encoding="utf-8"?>
<chartsheet xmlns="http://schemas.openxmlformats.org/spreadsheetml/2006/main" xmlns:r="http://schemas.openxmlformats.org/officeDocument/2006/relationships">
  <sheetPr/>
  <sheetViews>
    <sheetView zoomScale="117" workbookViewId="0" zoomToFit="1"/>
  </sheetViews>
  <pageMargins left="0.7" right="0.7" top="0.75" bottom="0.75"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sheetPr/>
  <sheetViews>
    <sheetView zoomScale="117" workbookViewId="0" zoomToFit="1"/>
  </sheetViews>
  <pageMargins left="0.7" right="0.7" top="0.75" bottom="0.75"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sheetViews>
    <sheetView zoomScale="117" workbookViewId="0" zoomToFit="1"/>
  </sheetViews>
  <pageMargins left="0.7" right="0.7" top="0.75" bottom="0.75" header="0.3" footer="0.3"/>
  <pageSetup orientation="landscape" r:id="rId1"/>
  <drawing r:id="rId2"/>
</chartsheet>
</file>

<file path=xl/chartsheets/sheet7.xml><?xml version="1.0" encoding="utf-8"?>
<chartsheet xmlns="http://schemas.openxmlformats.org/spreadsheetml/2006/main" xmlns:r="http://schemas.openxmlformats.org/officeDocument/2006/relationships">
  <sheetPr/>
  <sheetViews>
    <sheetView zoomScale="117" workbookViewId="0" zoomToFit="1"/>
  </sheetViews>
  <pageMargins left="0.7" right="0.7" top="0.75" bottom="0.75" header="0.3" footer="0.3"/>
  <pageSetup orientation="landscape" r:id="rId1"/>
  <drawing r:id="rId2"/>
</chartsheet>
</file>

<file path=xl/chartsheets/sheet8.xml><?xml version="1.0" encoding="utf-8"?>
<chartsheet xmlns="http://schemas.openxmlformats.org/spreadsheetml/2006/main" xmlns:r="http://schemas.openxmlformats.org/officeDocument/2006/relationships">
  <sheetPr/>
  <sheetViews>
    <sheetView zoomScale="117" workbookViewId="0" zoomToFit="1"/>
  </sheetViews>
  <pageMargins left="0.7" right="0.7" top="0.75" bottom="0.75" header="0.3" footer="0.3"/>
  <pageSetup orientation="landscape" r:id="rId1"/>
  <drawing r:id="rId2"/>
</chartsheet>
</file>

<file path=xl/chartsheets/sheet9.xml><?xml version="1.0" encoding="utf-8"?>
<chartsheet xmlns="http://schemas.openxmlformats.org/spreadsheetml/2006/main" xmlns:r="http://schemas.openxmlformats.org/officeDocument/2006/relationships">
  <sheetPr/>
  <sheetViews>
    <sheetView zoomScale="117" workbookViewId="0" zoomToFit="1"/>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8662051" cy="627673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2051" cy="627673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2051" cy="627673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2051" cy="627673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62051" cy="627673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62051" cy="627673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62051" cy="627673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62051" cy="627673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662051" cy="627673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Puget Sound Energy" refreshedDate="43242.492560648148" createdVersion="4" refreshedVersion="4" minRefreshableVersion="3" recordCount="2060">
  <cacheSource type="worksheet">
    <worksheetSource ref="A1:I2061" sheet="2005-2017 Working data"/>
  </cacheSource>
  <cacheFields count="9">
    <cacheField name="Sort Order" numFmtId="171">
      <sharedItems containsSemiMixedTypes="0" containsString="0" containsNumber="1" containsInteger="1" minValue="2" maxValue="3236"/>
    </cacheField>
    <cacheField name="Year" numFmtId="0">
      <sharedItems containsSemiMixedTypes="0" containsString="0" containsNumber="1" containsInteger="1" minValue="2005" maxValue="2015" count="11">
        <n v="2005"/>
        <n v="2006"/>
        <n v="2007"/>
        <n v="2008"/>
        <n v="2009"/>
        <n v="2010"/>
        <n v="2011"/>
        <n v="2012"/>
        <n v="2013"/>
        <n v="2014"/>
        <n v="2015"/>
      </sharedItems>
    </cacheField>
    <cacheField name="Type" numFmtId="0">
      <sharedItems/>
    </cacheField>
    <cacheField name="Primary / Secondary Claim" numFmtId="0">
      <sharedItems count="3">
        <s v="PSE Generation"/>
        <s v="Firm Primary"/>
        <s v="Secondary"/>
      </sharedItems>
    </cacheField>
    <cacheField name="Fuel (Primary)" numFmtId="0">
      <sharedItems count="8">
        <s v="Renewable"/>
        <s v="Coal"/>
        <s v="Gas"/>
        <s v="Diesel"/>
        <s v="System"/>
        <s v="Black Liquor"/>
        <s v="MSW"/>
        <s v="Not applicable, financial settlement only"/>
      </sharedItems>
    </cacheField>
    <cacheField name="Facility / Firm" numFmtId="0">
      <sharedItems/>
    </cacheField>
    <cacheField name="MWh" numFmtId="4">
      <sharedItems containsSemiMixedTypes="0" containsString="0" containsNumber="1" minValue="-5721875" maxValue="5724128"/>
    </cacheField>
    <cacheField name="lbs CO2/MWh" numFmtId="0">
      <sharedItems containsSemiMixedTypes="0" containsString="0" containsNumber="1" minValue="0" maxValue="72576.7303584982"/>
    </cacheField>
    <cacheField name="Short Tons CO2" numFmtId="4">
      <sharedItems containsSemiMixedTypes="0" containsString="0" containsNumber="1" minValue="-3072646.875" maxValue="3476192"/>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Puget Sound Energy" refreshedDate="43242.49256111111" createdVersion="4" refreshedVersion="4" minRefreshableVersion="3" recordCount="2331">
  <cacheSource type="worksheet">
    <worksheetSource ref="B1:I2332" sheet="2005-2017 Working data"/>
  </cacheSource>
  <cacheFields count="8">
    <cacheField name="Year" numFmtId="0">
      <sharedItems containsString="0" containsBlank="1" containsNumber="1" containsInteger="1" minValue="2005" maxValue="2017" count="14">
        <n v="2005"/>
        <n v="2006"/>
        <n v="2007"/>
        <n v="2008"/>
        <n v="2009"/>
        <n v="2010"/>
        <n v="2011"/>
        <n v="2012"/>
        <n v="2013"/>
        <n v="2014"/>
        <n v="2015"/>
        <n v="2016"/>
        <n v="2017"/>
        <m/>
      </sharedItems>
    </cacheField>
    <cacheField name="Type" numFmtId="0">
      <sharedItems containsBlank="1"/>
    </cacheField>
    <cacheField name="Primary / Secondary Claim" numFmtId="0">
      <sharedItems containsBlank="1" count="4">
        <s v="PSE Generation"/>
        <s v="Firm Primary"/>
        <s v="Secondary"/>
        <m/>
      </sharedItems>
    </cacheField>
    <cacheField name="Fuel (Primary)" numFmtId="0">
      <sharedItems containsBlank="1" count="10">
        <s v="Renewable"/>
        <s v="Coal"/>
        <s v="Gas"/>
        <s v="Diesel"/>
        <s v="System"/>
        <s v="Black Liquor"/>
        <s v="MSW"/>
        <s v="Not applicable, financial settlement only"/>
        <s v="Oil"/>
        <m/>
      </sharedItems>
    </cacheField>
    <cacheField name="Facility / Firm" numFmtId="0">
      <sharedItems containsBlank="1"/>
    </cacheField>
    <cacheField name="MWh" numFmtId="0">
      <sharedItems containsString="0" containsBlank="1" containsNumber="1" minValue="-5721875" maxValue="5724128"/>
    </cacheField>
    <cacheField name="lbs CO2/MWh" numFmtId="0">
      <sharedItems containsString="0" containsBlank="1" containsNumber="1" minValue="0" maxValue="72576.7303584982"/>
    </cacheField>
    <cacheField name="Short Tons CO2" numFmtId="4">
      <sharedItems containsString="0" containsBlank="1" containsNumber="1" minValue="-3072646.875" maxValue="3476192"/>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Puget Sound Energy" refreshedDate="43242.492561226849" createdVersion="4" refreshedVersion="4" minRefreshableVersion="3" recordCount="2192">
  <cacheSource type="worksheet">
    <worksheetSource ref="B1:I2193" sheet="2005-2017 Working data"/>
  </cacheSource>
  <cacheFields count="8">
    <cacheField name="Year" numFmtId="0">
      <sharedItems containsSemiMixedTypes="0" containsString="0" containsNumber="1" containsInteger="1" minValue="2005" maxValue="2016" count="12">
        <n v="2005"/>
        <n v="2006"/>
        <n v="2007"/>
        <n v="2008"/>
        <n v="2009"/>
        <n v="2010"/>
        <n v="2011"/>
        <n v="2012"/>
        <n v="2013"/>
        <n v="2014"/>
        <n v="2015"/>
        <n v="2016"/>
      </sharedItems>
    </cacheField>
    <cacheField name="Type" numFmtId="0">
      <sharedItems/>
    </cacheField>
    <cacheField name="Primary / Secondary Claim" numFmtId="0">
      <sharedItems count="3">
        <s v="PSE Generation"/>
        <s v="Firm Primary"/>
        <s v="Secondary"/>
      </sharedItems>
    </cacheField>
    <cacheField name="Fuel (Primary)" numFmtId="0">
      <sharedItems count="9">
        <s v="Renewable"/>
        <s v="Coal"/>
        <s v="Gas"/>
        <s v="Diesel"/>
        <s v="System"/>
        <s v="Black Liquor"/>
        <s v="MSW"/>
        <s v="Not applicable, financial settlement only"/>
        <s v="Oil"/>
      </sharedItems>
    </cacheField>
    <cacheField name="Facility / Firm" numFmtId="0">
      <sharedItems/>
    </cacheField>
    <cacheField name="MWh" numFmtId="0">
      <sharedItems containsSemiMixedTypes="0" containsString="0" containsNumber="1" minValue="-5721875" maxValue="5724128"/>
    </cacheField>
    <cacheField name="lbs CO2/MWh" numFmtId="0">
      <sharedItems containsSemiMixedTypes="0" containsString="0" containsNumber="1" minValue="0" maxValue="72576.7303584982"/>
    </cacheField>
    <cacheField name="Short Tons CO2" numFmtId="4">
      <sharedItems containsSemiMixedTypes="0" containsString="0" containsNumber="1" minValue="-3072646.875" maxValue="347619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60">
  <r>
    <n v="2"/>
    <x v="0"/>
    <s v="Generation - Hydro"/>
    <x v="0"/>
    <x v="0"/>
    <s v="Electron"/>
    <n v="96719.5"/>
    <n v="0"/>
    <n v="0"/>
  </r>
  <r>
    <n v="3"/>
    <x v="0"/>
    <s v="Generation - Hydro"/>
    <x v="0"/>
    <x v="0"/>
    <s v="Lower Baker"/>
    <n v="296318.98"/>
    <n v="0"/>
    <n v="0"/>
  </r>
  <r>
    <n v="5"/>
    <x v="0"/>
    <s v="Generation - Hydro"/>
    <x v="0"/>
    <x v="0"/>
    <s v="Snoqualmie Falls #1"/>
    <n v="51530.6"/>
    <n v="0"/>
    <n v="0"/>
  </r>
  <r>
    <n v="6"/>
    <x v="0"/>
    <s v="Generation - Hydro"/>
    <x v="0"/>
    <x v="0"/>
    <s v="Snoqualmie Falls #2"/>
    <n v="139699"/>
    <n v="0"/>
    <n v="0"/>
  </r>
  <r>
    <n v="8"/>
    <x v="0"/>
    <s v="Generation - Hydro"/>
    <x v="0"/>
    <x v="0"/>
    <s v="Upper Baker"/>
    <n v="295224.46999999997"/>
    <n v="0"/>
    <n v="0"/>
  </r>
  <r>
    <n v="11"/>
    <x v="0"/>
    <s v="Generation - Steam"/>
    <x v="0"/>
    <x v="1"/>
    <s v="Colstrip 1 &amp; 2"/>
    <n v="2241315"/>
    <n v="2524.3397737488931"/>
    <n v="2828920.3"/>
  </r>
  <r>
    <n v="12"/>
    <x v="0"/>
    <s v="Generation - Steam"/>
    <x v="0"/>
    <x v="1"/>
    <s v="Colstrip 3 &amp; 4"/>
    <n v="2934484"/>
    <n v="2310.6620278045475"/>
    <n v="3390300.375"/>
  </r>
  <r>
    <n v="13"/>
    <x v="0"/>
    <s v="Generation - Steam"/>
    <x v="0"/>
    <x v="2"/>
    <s v="Encogen"/>
    <n v="459081.82"/>
    <n v="1031.6341819212798"/>
    <n v="236802.24890531611"/>
  </r>
  <r>
    <n v="15"/>
    <x v="0"/>
    <s v="Generation - Oil/Gas/Wind"/>
    <x v="0"/>
    <x v="3"/>
    <s v="Crystal Mountain"/>
    <n v="59.29"/>
    <n v="2020.7866419294992"/>
    <n v="59.906220000000005"/>
  </r>
  <r>
    <n v="17"/>
    <x v="0"/>
    <s v="Generation - Oil/Gas/Wind"/>
    <x v="0"/>
    <x v="2"/>
    <s v="Freddie #1"/>
    <n v="338805"/>
    <n v="654.2795507080267"/>
    <n v="110836.59158881649"/>
  </r>
  <r>
    <n v="18"/>
    <x v="0"/>
    <s v="Generation - Oil/Gas/Wind"/>
    <x v="0"/>
    <x v="2"/>
    <s v="Fredonia"/>
    <n v="12655"/>
    <n v="1064.3026985697352"/>
    <n v="6734.3753251999997"/>
  </r>
  <r>
    <n v="20"/>
    <x v="0"/>
    <s v="Generation - Oil/Gas/Wind"/>
    <x v="0"/>
    <x v="2"/>
    <s v="Fredrickson 1 &amp; 2"/>
    <n v="1421.5"/>
    <n v="1692.1277762926486"/>
    <n v="1202.679817"/>
  </r>
  <r>
    <n v="21"/>
    <x v="0"/>
    <s v="Generation - Oil/Gas/Wind"/>
    <x v="0"/>
    <x v="0"/>
    <s v="Hopkins Ridge (W184)"/>
    <n v="33670.17"/>
    <n v="0"/>
    <n v="0"/>
  </r>
  <r>
    <n v="26"/>
    <x v="0"/>
    <s v="Generation - Oil/Gas/Wind"/>
    <x v="0"/>
    <x v="2"/>
    <s v="Whitehorn 2&amp;3"/>
    <n v="1054.7"/>
    <n v="1564.08208400493"/>
    <n v="824.81868699999995"/>
  </r>
  <r>
    <n v="28"/>
    <x v="0"/>
    <s v="Purchases - Firm"/>
    <x v="1"/>
    <x v="4"/>
    <s v="BC Hydro (Point Roberts)"/>
    <n v="21622.68"/>
    <n v="1009.3086315923503"/>
    <n v="10911.978781079641"/>
  </r>
  <r>
    <n v="29"/>
    <x v="0"/>
    <s v="Purchases - Firm"/>
    <x v="1"/>
    <x v="0"/>
    <s v="BPA"/>
    <n v="7000"/>
    <n v="0"/>
    <n v="0"/>
  </r>
  <r>
    <n v="30"/>
    <x v="0"/>
    <s v="Purchases - Firm"/>
    <x v="1"/>
    <x v="4"/>
    <s v="BPA Firm - WNP#3 Exchange"/>
    <n v="407654"/>
    <n v="1009.3086315923503"/>
    <n v="205724.35045157396"/>
  </r>
  <r>
    <n v="32"/>
    <x v="0"/>
    <s v="Purchases - Firm"/>
    <x v="1"/>
    <x v="0"/>
    <s v="Chelan PUD - Rock Island Syst #2"/>
    <n v="1374698"/>
    <n v="0"/>
    <n v="0"/>
  </r>
  <r>
    <n v="33"/>
    <x v="0"/>
    <s v="Purchases - Firm"/>
    <x v="1"/>
    <x v="0"/>
    <s v="Chelan PUD - Rocky Reach"/>
    <n v="2144283"/>
    <n v="0"/>
    <n v="0"/>
  </r>
  <r>
    <n v="34"/>
    <x v="0"/>
    <s v="Purchases - Firm"/>
    <x v="1"/>
    <x v="0"/>
    <s v="Douglas PUD - Wells Project"/>
    <n v="1057504"/>
    <n v="0"/>
    <n v="0"/>
  </r>
  <r>
    <n v="35"/>
    <x v="0"/>
    <s v="Purchases - Firm"/>
    <x v="1"/>
    <x v="0"/>
    <s v="Grant PUD - Priest Rapids"/>
    <n v="386705"/>
    <n v="0"/>
    <n v="0"/>
  </r>
  <r>
    <n v="36"/>
    <x v="0"/>
    <s v="Purchases - Firm"/>
    <x v="1"/>
    <x v="0"/>
    <s v="Grant PUD - Wanapum"/>
    <n v="434635"/>
    <n v="0"/>
    <n v="0"/>
  </r>
  <r>
    <n v="37"/>
    <x v="0"/>
    <s v="Purchases - Firm"/>
    <x v="1"/>
    <x v="1"/>
    <s v="NWestern Energy(MPC) Firm Contract"/>
    <n v="801043"/>
    <n v="2204.67384728877"/>
    <n v="883019.27632686915"/>
  </r>
  <r>
    <n v="38"/>
    <x v="0"/>
    <s v="Purchases - Firm"/>
    <x v="1"/>
    <x v="4"/>
    <s v="Snohomish PUD Conservation"/>
    <n v="89728"/>
    <n v="1009.3086315923503"/>
    <n v="45281.622447759204"/>
  </r>
  <r>
    <n v="39"/>
    <x v="0"/>
    <s v="Purchases - Firm"/>
    <x v="1"/>
    <x v="0"/>
    <s v="VanderHaak Dairy Digester"/>
    <n v="1790.16"/>
    <n v="0"/>
    <n v="0"/>
  </r>
  <r>
    <n v="40"/>
    <x v="0"/>
    <s v="Purchases - Firm"/>
    <x v="1"/>
    <x v="0"/>
    <s v="WASCO Hydro"/>
    <n v="41804"/>
    <n v="0"/>
    <n v="0"/>
  </r>
  <r>
    <n v="42"/>
    <x v="0"/>
    <s v="Purchases - PURPA"/>
    <x v="1"/>
    <x v="0"/>
    <s v="Hutchinson Creek"/>
    <n v="2364"/>
    <n v="0"/>
    <n v="0"/>
  </r>
  <r>
    <n v="43"/>
    <x v="0"/>
    <s v="Purchases - PURPA"/>
    <x v="1"/>
    <x v="0"/>
    <s v="Koma Kulshan Associates"/>
    <n v="31836"/>
    <n v="0"/>
    <n v="0"/>
  </r>
  <r>
    <n v="45"/>
    <x v="0"/>
    <s v="Purchases - PURPA"/>
    <x v="1"/>
    <x v="2"/>
    <s v="March Point Cogen. - 1 &amp; 2"/>
    <n v="1016806.3799999999"/>
    <n v="726.8007471056178"/>
    <n v="369507.81832287932"/>
  </r>
  <r>
    <n v="46"/>
    <x v="0"/>
    <s v="Purchases - PURPA"/>
    <x v="1"/>
    <x v="0"/>
    <s v="Nooksack"/>
    <n v="18809.374"/>
    <n v="0"/>
    <n v="0"/>
  </r>
  <r>
    <n v="47"/>
    <x v="0"/>
    <s v="Purchases - PURPA"/>
    <x v="1"/>
    <x v="5"/>
    <s v="Port Townsend Paper Co."/>
    <n v="2498.48"/>
    <n v="985.78559425261631"/>
    <n v="1231.4827957641385"/>
  </r>
  <r>
    <n v="48"/>
    <x v="0"/>
    <s v="Purchases - PURPA"/>
    <x v="1"/>
    <x v="0"/>
    <s v="Puyallup Energy Recovery Company"/>
    <n v="6483.9880000000003"/>
    <n v="0"/>
    <n v="0"/>
  </r>
  <r>
    <n v="49"/>
    <x v="0"/>
    <s v="Purchases - PURPA"/>
    <x v="1"/>
    <x v="6"/>
    <s v="Spokane MSW"/>
    <n v="147314"/>
    <n v="4414.956753741686"/>
    <n v="325192.46961035137"/>
  </r>
  <r>
    <n v="50"/>
    <x v="0"/>
    <s v="Purchases - PURPA"/>
    <x v="1"/>
    <x v="2"/>
    <s v="Sumas Cogeneration"/>
    <n v="1032316.53"/>
    <n v="927.49481162721986"/>
    <n v="478734.11276600766"/>
  </r>
  <r>
    <n v="51"/>
    <x v="0"/>
    <s v="Purchases - PURPA"/>
    <x v="1"/>
    <x v="0"/>
    <s v="Sygitowicz Creek"/>
    <n v="4.6399999999999997"/>
    <n v="0"/>
    <n v="0"/>
  </r>
  <r>
    <n v="52"/>
    <x v="0"/>
    <s v="Purchases - PURPA"/>
    <x v="1"/>
    <x v="2"/>
    <s v="Tenaska"/>
    <n v="523309.64"/>
    <n v="885.49544452606233"/>
    <n v="231694.15114828682"/>
  </r>
  <r>
    <n v="53"/>
    <x v="0"/>
    <s v="Purchases - PURPA"/>
    <x v="1"/>
    <x v="0"/>
    <s v="Twin Falls Hydro"/>
    <n v="48463"/>
    <n v="0"/>
    <n v="0"/>
  </r>
  <r>
    <n v="54"/>
    <x v="0"/>
    <s v="Purchases - PURPA"/>
    <x v="1"/>
    <x v="0"/>
    <s v="Weeks Falls"/>
    <n v="8206.7999999999993"/>
    <n v="0"/>
    <n v="0"/>
  </r>
  <r>
    <n v="56"/>
    <x v="0"/>
    <s v="Purchases - Secondary"/>
    <x v="2"/>
    <x v="4"/>
    <s v="Arizona Public Service"/>
    <n v="308755"/>
    <n v="1009.3086315923503"/>
    <n v="155814.54327364804"/>
  </r>
  <r>
    <n v="57"/>
    <x v="0"/>
    <s v="Purchases - Secondary"/>
    <x v="2"/>
    <x v="4"/>
    <s v="ATCO Power Canada"/>
    <n v="1589"/>
    <n v="1009.3086315923503"/>
    <n v="801.8957078001223"/>
  </r>
  <r>
    <n v="58"/>
    <x v="0"/>
    <s v="Purchases - Secondary"/>
    <x v="2"/>
    <x v="4"/>
    <s v="Avista Corp. WWP Division"/>
    <n v="61319.42"/>
    <n v="1009.3086315923503"/>
    <n v="30945.109945118296"/>
  </r>
  <r>
    <n v="59"/>
    <x v="0"/>
    <s v="Purchases - Secondary"/>
    <x v="2"/>
    <x v="4"/>
    <s v="Avista Energy"/>
    <n v="764907"/>
    <n v="1009.3086315923503"/>
    <n v="386013.61873270496"/>
  </r>
  <r>
    <n v="60"/>
    <x v="0"/>
    <s v="Purchases - Secondary"/>
    <x v="2"/>
    <x v="4"/>
    <s v="Benton County PUD"/>
    <n v="15549"/>
    <n v="1009.3086315923503"/>
    <n v="7846.8699563147266"/>
  </r>
  <r>
    <n v="61"/>
    <x v="0"/>
    <s v="Purchases - Secondary"/>
    <x v="2"/>
    <x v="4"/>
    <s v="Black Hills Power"/>
    <n v="19825"/>
    <n v="1009.3086315923503"/>
    <n v="10004.771810659173"/>
  </r>
  <r>
    <n v="62"/>
    <x v="0"/>
    <s v="Purchases - Secondary"/>
    <x v="2"/>
    <x v="4"/>
    <s v="Book Outs - EITF 03-11"/>
    <n v="-1263279"/>
    <n v="1009.3086315923503"/>
    <n v="-637519.19940467633"/>
  </r>
  <r>
    <n v="63"/>
    <x v="0"/>
    <s v="Purchases - Secondary"/>
    <x v="2"/>
    <x v="4"/>
    <s v="BP Energy Co."/>
    <n v="121032"/>
    <n v="1009.3086315923503"/>
    <n v="61079.321149442665"/>
  </r>
  <r>
    <n v="64"/>
    <x v="0"/>
    <s v="Purchases - Secondary"/>
    <x v="2"/>
    <x v="4"/>
    <s v="BPA"/>
    <n v="617085"/>
    <n v="1009.3086315923503"/>
    <n v="311414.60846308275"/>
  </r>
  <r>
    <n v="65"/>
    <x v="0"/>
    <s v="Purchases - Secondary"/>
    <x v="2"/>
    <x v="4"/>
    <s v="Burbank, City of"/>
    <n v="6019"/>
    <n v="1009.3086315923503"/>
    <n v="3037.5143267771778"/>
  </r>
  <r>
    <n v="66"/>
    <x v="0"/>
    <s v="Purchases - Secondary"/>
    <x v="2"/>
    <x v="4"/>
    <s v="Calpine Energy Management"/>
    <n v="116791"/>
    <n v="1009.3086315923503"/>
    <n v="58939.082196151096"/>
  </r>
  <r>
    <n v="67"/>
    <x v="0"/>
    <s v="Purchases - Secondary"/>
    <x v="2"/>
    <x v="4"/>
    <s v="Calpine Energy Services"/>
    <n v="111066"/>
    <n v="1009.3086315923503"/>
    <n v="56049.93623821799"/>
  </r>
  <r>
    <n v="68"/>
    <x v="0"/>
    <s v="Purchases - Secondary"/>
    <x v="2"/>
    <x v="4"/>
    <s v="Cargill Power Markets"/>
    <n v="62417"/>
    <n v="1009.3086315923503"/>
    <n v="31499.008429049863"/>
  </r>
  <r>
    <n v="69"/>
    <x v="0"/>
    <s v="Purchases - Secondary"/>
    <x v="2"/>
    <x v="4"/>
    <s v="Chelan County PUD #1"/>
    <n v="86002"/>
    <n v="1009.3086315923503"/>
    <n v="43401.280467102653"/>
  </r>
  <r>
    <n v="70"/>
    <x v="0"/>
    <s v="Purchases - Secondary"/>
    <x v="2"/>
    <x v="4"/>
    <s v="Citigroup Energy Inc"/>
    <n v="5000"/>
    <n v="1009.3086315923503"/>
    <n v="2523.2715789808758"/>
  </r>
  <r>
    <n v="71"/>
    <x v="0"/>
    <s v="Purchases - Secondary"/>
    <x v="2"/>
    <x v="4"/>
    <s v="Clatskanie PUD"/>
    <n v="11269"/>
    <n v="1009.3086315923503"/>
    <n v="5686.9494847070973"/>
  </r>
  <r>
    <n v="72"/>
    <x v="0"/>
    <s v="Purchases - Secondary"/>
    <x v="2"/>
    <x v="4"/>
    <s v="Conoco, Inc."/>
    <n v="21703"/>
    <n v="1009.3086315923503"/>
    <n v="10952.512615724389"/>
  </r>
  <r>
    <n v="73"/>
    <x v="0"/>
    <s v="Purchases - Secondary"/>
    <x v="2"/>
    <x v="4"/>
    <s v="Constellation Power Source, Inc."/>
    <n v="505863"/>
    <n v="1009.3086315923503"/>
    <n v="255285.94615160054"/>
  </r>
  <r>
    <n v="74"/>
    <x v="0"/>
    <s v="Purchases - Secondary"/>
    <x v="2"/>
    <x v="4"/>
    <s v="Douglas County PUD #1"/>
    <n v="283186"/>
    <n v="1009.3086315923503"/>
    <n v="142911.03707305566"/>
  </r>
  <r>
    <n v="75"/>
    <x v="0"/>
    <s v="Purchases - Secondary"/>
    <x v="2"/>
    <x v="4"/>
    <s v="ENMAX Energy Marketing, Inc."/>
    <n v="4290"/>
    <n v="1009.3086315923503"/>
    <n v="2164.9670147655916"/>
  </r>
  <r>
    <n v="76"/>
    <x v="0"/>
    <s v="Purchases - Secondary"/>
    <x v="2"/>
    <x v="4"/>
    <s v="Epcor Merchant &amp; Capital"/>
    <n v="135120"/>
    <n v="1009.3086315923503"/>
    <n v="68188.891150379175"/>
  </r>
  <r>
    <n v="77"/>
    <x v="0"/>
    <s v="Purchases - Secondary"/>
    <x v="2"/>
    <x v="4"/>
    <s v="Eugene Water &amp; Electric"/>
    <n v="41301"/>
    <n v="1009.3086315923503"/>
    <n v="20842.72789669783"/>
  </r>
  <r>
    <n v="78"/>
    <x v="0"/>
    <s v="Purchases - Secondary"/>
    <x v="2"/>
    <x v="4"/>
    <s v="Franklin County PUD #1"/>
    <n v="7145"/>
    <n v="1009.3086315923503"/>
    <n v="3605.7550863636711"/>
  </r>
  <r>
    <n v="79"/>
    <x v="0"/>
    <s v="Purchases - Secondary"/>
    <x v="2"/>
    <x v="4"/>
    <s v="Grant County PUD #2"/>
    <n v="40585"/>
    <n v="1009.3086315923503"/>
    <n v="20481.39540658777"/>
  </r>
  <r>
    <n v="80"/>
    <x v="0"/>
    <s v="Purchases - Secondary"/>
    <x v="2"/>
    <x v="4"/>
    <s v="Grays Harbor PUD #1"/>
    <n v="13983"/>
    <n v="1009.3086315923503"/>
    <n v="7056.5812977779169"/>
  </r>
  <r>
    <n v="81"/>
    <x v="0"/>
    <s v="Purchases - Secondary"/>
    <x v="2"/>
    <x v="4"/>
    <s v="Iberdrola Renewables (PPM Energy)"/>
    <n v="456966"/>
    <n v="1009.3086315923503"/>
    <n v="230609.86407211499"/>
  </r>
  <r>
    <n v="82"/>
    <x v="0"/>
    <s v="Purchases - Secondary"/>
    <x v="2"/>
    <x v="4"/>
    <s v="Idaho Falls Power"/>
    <n v="21760"/>
    <n v="1009.3086315923503"/>
    <n v="10981.27791172477"/>
  </r>
  <r>
    <n v="83"/>
    <x v="0"/>
    <s v="Purchases - Secondary"/>
    <x v="2"/>
    <x v="4"/>
    <s v="Idaho Power Company"/>
    <n v="25318"/>
    <n v="1009.3086315923503"/>
    <n v="12776.837967327561"/>
  </r>
  <r>
    <n v="84"/>
    <x v="0"/>
    <s v="Purchases - Secondary"/>
    <x v="2"/>
    <x v="4"/>
    <s v="J. Aron &amp; Company"/>
    <n v="12800"/>
    <n v="1009.3086315923503"/>
    <n v="6459.575242191042"/>
  </r>
  <r>
    <n v="85"/>
    <x v="0"/>
    <s v="Purchases - Secondary"/>
    <x v="2"/>
    <x v="4"/>
    <s v="Klamath Falls, City of"/>
    <n v="19175"/>
    <n v="1009.3086315923503"/>
    <n v="9676.7465053916567"/>
  </r>
  <r>
    <n v="86"/>
    <x v="0"/>
    <s v="Purchases - Secondary"/>
    <x v="2"/>
    <x v="4"/>
    <s v="Los Angeles Dept. Water &amp; Power"/>
    <n v="6008"/>
    <n v="1009.3086315923503"/>
    <n v="3031.9631293034199"/>
  </r>
  <r>
    <n v="87"/>
    <x v="0"/>
    <s v="Purchases - Secondary"/>
    <x v="2"/>
    <x v="4"/>
    <s v="Macquarie Energy LLC"/>
    <n v="243625"/>
    <n v="1009.3086315923503"/>
    <n v="122946.40768584317"/>
  </r>
  <r>
    <n v="88"/>
    <x v="0"/>
    <s v="Purchases - Secondary"/>
    <x v="2"/>
    <x v="4"/>
    <s v="Merrill Lynch Commodities"/>
    <n v="22000"/>
    <n v="1009.3086315923503"/>
    <n v="11102.394947515853"/>
  </r>
  <r>
    <n v="89"/>
    <x v="0"/>
    <s v="Purchases - Secondary"/>
    <x v="2"/>
    <x v="4"/>
    <s v="Modesto Irrigation District"/>
    <n v="731"/>
    <n v="1009.3086315923503"/>
    <n v="368.90230484700402"/>
  </r>
  <r>
    <n v="90"/>
    <x v="0"/>
    <s v="Purchases - Secondary"/>
    <x v="2"/>
    <x v="4"/>
    <s v="Morgan Stanley CG"/>
    <n v="78183"/>
    <n v="1009.3086315923503"/>
    <n v="39455.388371892361"/>
  </r>
  <r>
    <n v="92"/>
    <x v="0"/>
    <s v="Purchases - Secondary"/>
    <x v="2"/>
    <x v="4"/>
    <s v="N. California Power Agency"/>
    <n v="9220"/>
    <n v="1009.3086315923503"/>
    <n v="4652.9127916407342"/>
  </r>
  <r>
    <n v="93"/>
    <x v="0"/>
    <s v="Purchases - Secondary"/>
    <x v="2"/>
    <x v="4"/>
    <s v="Noble Americas Energy Solutions"/>
    <n v="9400"/>
    <n v="1009.3086315923503"/>
    <n v="4743.7505684840462"/>
  </r>
  <r>
    <n v="94"/>
    <x v="0"/>
    <s v="Purchases - Secondary"/>
    <x v="2"/>
    <x v="4"/>
    <s v="NorthPoint Energy Solutions, Inc."/>
    <n v="1069"/>
    <n v="1009.3086315923503"/>
    <n v="539.47546358611123"/>
  </r>
  <r>
    <n v="95"/>
    <x v="0"/>
    <s v="Purchases - Secondary"/>
    <x v="2"/>
    <x v="4"/>
    <s v="Northwestern Energy"/>
    <n v="13643"/>
    <n v="1009.3086315923503"/>
    <n v="6884.9988304072167"/>
  </r>
  <r>
    <n v="96"/>
    <x v="0"/>
    <s v="Purchases - Secondary"/>
    <x v="2"/>
    <x v="4"/>
    <s v="Okanogan PUD"/>
    <n v="1922"/>
    <n v="1009.3086315923503"/>
    <n v="969.94559496024851"/>
  </r>
  <r>
    <n v="97"/>
    <x v="0"/>
    <s v="Purchases - Secondary"/>
    <x v="2"/>
    <x v="4"/>
    <s v="Pacific Northwest Generatin Coop."/>
    <n v="117381"/>
    <n v="1009.3086315923503"/>
    <n v="59236.82824247083"/>
  </r>
  <r>
    <n v="98"/>
    <x v="0"/>
    <s v="Purchases - Secondary"/>
    <x v="2"/>
    <x v="4"/>
    <s v="Pacificorp"/>
    <n v="202512"/>
    <n v="1009.3086315923503"/>
    <n v="102198.554800515"/>
  </r>
  <r>
    <n v="99"/>
    <x v="0"/>
    <s v="Purchases - Secondary"/>
    <x v="2"/>
    <x v="4"/>
    <s v="Pinnacle West Capital Corp"/>
    <n v="462826"/>
    <n v="1009.3086315923503"/>
    <n v="233567.13836268056"/>
  </r>
  <r>
    <n v="100"/>
    <x v="0"/>
    <s v="Purchases - Secondary"/>
    <x v="2"/>
    <x v="4"/>
    <s v="Portland General Electric"/>
    <n v="156352"/>
    <n v="1009.3086315923503"/>
    <n v="78903.711583363576"/>
  </r>
  <r>
    <n v="101"/>
    <x v="0"/>
    <s v="Purchases - Secondary"/>
    <x v="2"/>
    <x v="4"/>
    <s v="Powerex Corp."/>
    <n v="636760"/>
    <n v="1009.3086315923503"/>
    <n v="321343.68212637247"/>
  </r>
  <r>
    <n v="102"/>
    <x v="0"/>
    <s v="Purchases - Secondary"/>
    <x v="2"/>
    <x v="4"/>
    <s v="PP&amp;L Montana, LLC."/>
    <n v="47005"/>
    <n v="1009.3086315923503"/>
    <n v="23721.276113999211"/>
  </r>
  <r>
    <n v="103"/>
    <x v="0"/>
    <s v="Purchases - Secondary"/>
    <x v="2"/>
    <x v="4"/>
    <s v="Public Service of Colorado"/>
    <n v="82800"/>
    <n v="1009.3086315923503"/>
    <n v="41785.377347923299"/>
  </r>
  <r>
    <n v="104"/>
    <x v="0"/>
    <s v="Purchases - Secondary"/>
    <x v="2"/>
    <x v="4"/>
    <s v="Rainbow Energy Marketing"/>
    <n v="84193"/>
    <n v="1009.3086315923503"/>
    <n v="42488.360809827369"/>
  </r>
  <r>
    <n v="105"/>
    <x v="0"/>
    <s v="Purchases - Secondary"/>
    <x v="2"/>
    <x v="4"/>
    <s v="Redding, City of"/>
    <n v="2052"/>
    <n v="1009.3086315923503"/>
    <n v="1035.5506560137514"/>
  </r>
  <r>
    <n v="106"/>
    <x v="0"/>
    <s v="Purchases - Secondary"/>
    <x v="2"/>
    <x v="4"/>
    <s v="Sacramento Municipal"/>
    <n v="2718"/>
    <n v="1009.3086315923503"/>
    <n v="1371.6504303340041"/>
  </r>
  <r>
    <n v="107"/>
    <x v="0"/>
    <s v="Purchases - Secondary"/>
    <x v="2"/>
    <x v="4"/>
    <s v="San Diego Gas &amp; Electric"/>
    <n v="1285"/>
    <n v="1009.3086315923503"/>
    <n v="648.48079579808507"/>
  </r>
  <r>
    <n v="108"/>
    <x v="0"/>
    <s v="Purchases - Secondary"/>
    <x v="2"/>
    <x v="4"/>
    <s v="Seattle City Light Marketing"/>
    <n v="82827"/>
    <n v="1009.3086315923503"/>
    <n v="41799.003014449794"/>
  </r>
  <r>
    <n v="109"/>
    <x v="0"/>
    <s v="Purchases - Secondary"/>
    <x v="2"/>
    <x v="4"/>
    <s v="Sempra Energy Trading"/>
    <n v="519878"/>
    <n v="1009.3086315923503"/>
    <n v="262358.67638748395"/>
  </r>
  <r>
    <n v="110"/>
    <x v="0"/>
    <s v="Purchases - Secondary"/>
    <x v="2"/>
    <x v="4"/>
    <s v="Shell Energy (Coral Pwr)"/>
    <n v="552827"/>
    <n v="1009.3086315923503"/>
    <n v="278986.53143865208"/>
  </r>
  <r>
    <n v="111"/>
    <x v="0"/>
    <s v="Purchases - Secondary"/>
    <x v="2"/>
    <x v="4"/>
    <s v="Sierra Pacific Power"/>
    <n v="2257"/>
    <n v="1009.3086315923503"/>
    <n v="1139.0047907519674"/>
  </r>
  <r>
    <n v="112"/>
    <x v="0"/>
    <s v="Purchases - Secondary"/>
    <x v="2"/>
    <x v="4"/>
    <s v="Silicon Valley Pwr - Santa Clara"/>
    <n v="2396"/>
    <n v="1009.3086315923503"/>
    <n v="1209.1517406476357"/>
  </r>
  <r>
    <n v="113"/>
    <x v="0"/>
    <s v="Purchases - Secondary"/>
    <x v="2"/>
    <x v="4"/>
    <s v="Snohomish County PUD #1"/>
    <n v="31194"/>
    <n v="1009.3086315923503"/>
    <n v="15742.186726945887"/>
  </r>
  <r>
    <n v="114"/>
    <x v="0"/>
    <s v="Purchases - Secondary"/>
    <x v="2"/>
    <x v="4"/>
    <s v="Southern Cal - Edison"/>
    <n v="69229"/>
    <n v="1009.3086315923503"/>
    <n v="34936.713628253405"/>
  </r>
  <r>
    <n v="115"/>
    <x v="0"/>
    <s v="Purchases - Secondary"/>
    <x v="2"/>
    <x v="4"/>
    <s v="SUEZ Energy Marketing (Tractebel)"/>
    <n v="155175"/>
    <n v="1009.3086315923503"/>
    <n v="78309.733453671477"/>
  </r>
  <r>
    <n v="116"/>
    <x v="0"/>
    <s v="Purchases - Secondary"/>
    <x v="2"/>
    <x v="4"/>
    <s v="Tacoma Power"/>
    <n v="73331"/>
    <n v="1009.3086315923503"/>
    <n v="37006.805631649317"/>
  </r>
  <r>
    <n v="117"/>
    <x v="0"/>
    <s v="Purchases - Secondary"/>
    <x v="2"/>
    <x v="4"/>
    <s v="Tenaska"/>
    <n v="526"/>
    <n v="1009.3086315923503"/>
    <n v="265.44817010878813"/>
  </r>
  <r>
    <n v="119"/>
    <x v="0"/>
    <s v="Purchases - Secondary"/>
    <x v="2"/>
    <x v="4"/>
    <s v="TransAlta Energy Marketing"/>
    <n v="952384"/>
    <n v="1009.3086315923503"/>
    <n v="480624.69589522446"/>
  </r>
  <r>
    <n v="120"/>
    <x v="0"/>
    <s v="Purchases - Secondary"/>
    <x v="2"/>
    <x v="4"/>
    <s v="TransCanada Power Corp."/>
    <n v="2211"/>
    <n v="1009.3086315923503"/>
    <n v="1115.7906922253433"/>
  </r>
  <r>
    <n v="121"/>
    <x v="0"/>
    <s v="Purchases - Secondary"/>
    <x v="2"/>
    <x v="4"/>
    <s v="Turlock Irrigation District"/>
    <n v="54814"/>
    <n v="1009.3086315923503"/>
    <n v="27662.121666051546"/>
  </r>
  <r>
    <n v="122"/>
    <x v="0"/>
    <s v="Purchases - Secondary"/>
    <x v="2"/>
    <x v="4"/>
    <s v="UBS AG"/>
    <n v="9670"/>
    <n v="1009.3086315923503"/>
    <n v="4880.0072337490137"/>
  </r>
  <r>
    <n v="123"/>
    <x v="0"/>
    <s v="Purchases - Secondary"/>
    <x v="2"/>
    <x v="4"/>
    <s v="Western Area Power Association"/>
    <n v="60"/>
    <n v="1009.3086315923503"/>
    <n v="30.279258947770508"/>
  </r>
  <r>
    <n v="125"/>
    <x v="0"/>
    <s v="Interchange - In"/>
    <x v="2"/>
    <x v="4"/>
    <s v="Black Creek Hydro"/>
    <n v="3735"/>
    <n v="1009.3086315923503"/>
    <n v="1884.8838694987141"/>
  </r>
  <r>
    <n v="126"/>
    <x v="0"/>
    <s v="Interchange - In"/>
    <x v="2"/>
    <x v="4"/>
    <s v="BPA"/>
    <n v="59275"/>
    <n v="1009.3086315923503"/>
    <n v="29913.384568818281"/>
  </r>
  <r>
    <n v="127"/>
    <x v="0"/>
    <s v="Interchange - In"/>
    <x v="2"/>
    <x v="4"/>
    <s v="Franklin County PUD #1"/>
    <n v="2520"/>
    <n v="1009.3086315923503"/>
    <n v="1271.7288758063612"/>
  </r>
  <r>
    <n v="128"/>
    <x v="0"/>
    <s v="Interchange - In"/>
    <x v="2"/>
    <x v="4"/>
    <s v="Pacific Gas &amp; Elec - Exchange"/>
    <n v="413000"/>
    <n v="1009.3086315923503"/>
    <n v="208422.23242382033"/>
  </r>
  <r>
    <n v="129"/>
    <x v="0"/>
    <s v="Interchange - In"/>
    <x v="2"/>
    <x v="4"/>
    <s v="Powerex - Exchange"/>
    <n v="745956"/>
    <n v="1009.3086315923503"/>
    <n v="376449.91479405161"/>
  </r>
  <r>
    <n v="130"/>
    <x v="0"/>
    <s v="Interchange - In"/>
    <x v="2"/>
    <x v="4"/>
    <s v="Powerex Corp."/>
    <n v="76800"/>
    <n v="1009.3086315923503"/>
    <n v="38757.451453146248"/>
  </r>
  <r>
    <n v="131"/>
    <x v="0"/>
    <s v="Interchange - In"/>
    <x v="2"/>
    <x v="4"/>
    <s v="Seattle City Light Marketing"/>
    <n v="659600"/>
    <n v="1009.3086315923503"/>
    <n v="332869.9866991571"/>
  </r>
  <r>
    <n v="132"/>
    <x v="0"/>
    <s v="Interchange - In"/>
    <x v="2"/>
    <x v="4"/>
    <s v="TransAlta Energy Marketing"/>
    <n v="1708150"/>
    <n v="1009.3086315923503"/>
    <n v="862025.26952723658"/>
  </r>
  <r>
    <n v="134"/>
    <x v="0"/>
    <s v="Interchange - Out"/>
    <x v="2"/>
    <x v="4"/>
    <s v="Black Creek Hydro"/>
    <n v="-3839"/>
    <n v="1009.3086315923503"/>
    <n v="-1937.3679183415163"/>
  </r>
  <r>
    <n v="135"/>
    <x v="0"/>
    <s v="Interchange - Out"/>
    <x v="2"/>
    <x v="4"/>
    <s v="BPA"/>
    <n v="-59925"/>
    <n v="1009.3086315923503"/>
    <n v="-30241.409874085795"/>
  </r>
  <r>
    <n v="136"/>
    <x v="0"/>
    <s v="Interchange - Out"/>
    <x v="2"/>
    <x v="4"/>
    <s v="Deviation"/>
    <n v="-25112.42"/>
    <n v="1009.3086315923503"/>
    <n v="-12673.091133086184"/>
  </r>
  <r>
    <n v="137"/>
    <x v="0"/>
    <s v="Interchange - Out"/>
    <x v="2"/>
    <x v="4"/>
    <s v="Franklin County PUD #1"/>
    <n v="-2520"/>
    <n v="1009.3086315923503"/>
    <n v="-1271.7288758063612"/>
  </r>
  <r>
    <n v="138"/>
    <x v="0"/>
    <s v="Interchange - Out"/>
    <x v="2"/>
    <x v="4"/>
    <s v="Pacific Gas &amp; Elec - Exchange"/>
    <n v="-413000"/>
    <n v="1009.3086315923503"/>
    <n v="-208422.23242382033"/>
  </r>
  <r>
    <n v="139"/>
    <x v="0"/>
    <s v="Interchange - Out"/>
    <x v="2"/>
    <x v="4"/>
    <s v="Powerex - Exchange"/>
    <n v="-745956"/>
    <n v="1009.3086315923503"/>
    <n v="-376449.91479405161"/>
  </r>
  <r>
    <n v="140"/>
    <x v="0"/>
    <s v="Interchange - Out"/>
    <x v="2"/>
    <x v="4"/>
    <s v="Powerex Corp."/>
    <n v="-76800"/>
    <n v="1009.3086315923503"/>
    <n v="-38757.451453146248"/>
  </r>
  <r>
    <n v="141"/>
    <x v="0"/>
    <s v="Interchange - Out"/>
    <x v="2"/>
    <x v="4"/>
    <s v="Seattle City Light Marketing"/>
    <n v="-659600"/>
    <n v="1009.3086315923503"/>
    <n v="-332869.9866991571"/>
  </r>
  <r>
    <n v="142"/>
    <x v="0"/>
    <s v="Interchange - Out"/>
    <x v="2"/>
    <x v="4"/>
    <s v="TransAlta Energy Marketing"/>
    <n v="-1708150"/>
    <n v="1009.3086315923503"/>
    <n v="-862025.26952723658"/>
  </r>
  <r>
    <n v="199"/>
    <x v="0"/>
    <s v="Sales for Resale"/>
    <x v="2"/>
    <x v="4"/>
    <s v="Arizona Public Service"/>
    <n v="-1600"/>
    <n v="1009.3086315923503"/>
    <n v="-807.44690527388025"/>
  </r>
  <r>
    <n v="200"/>
    <x v="0"/>
    <s v="Sales for Resale"/>
    <x v="2"/>
    <x v="4"/>
    <s v="Avista Corp. WWP Division"/>
    <n v="-52058"/>
    <n v="1009.3086315923503"/>
    <n v="-26271.294371717286"/>
  </r>
  <r>
    <n v="201"/>
    <x v="0"/>
    <s v="Sales for Resale"/>
    <x v="2"/>
    <x v="4"/>
    <s v="Avista Energy"/>
    <n v="-279013"/>
    <n v="1009.3086315923503"/>
    <n v="-140805.11461323823"/>
  </r>
  <r>
    <n v="202"/>
    <x v="0"/>
    <s v="Sales for Resale"/>
    <x v="2"/>
    <x v="4"/>
    <s v="Benton County PUD"/>
    <n v="-5815"/>
    <n v="1009.3086315923503"/>
    <n v="-2934.5648463547582"/>
  </r>
  <r>
    <n v="203"/>
    <x v="0"/>
    <s v="Sales for Resale"/>
    <x v="2"/>
    <x v="4"/>
    <s v="Black Hills Power"/>
    <n v="-1362"/>
    <n v="1009.3086315923503"/>
    <n v="-687.33917811439051"/>
  </r>
  <r>
    <n v="204"/>
    <x v="0"/>
    <s v="Sales for Resale"/>
    <x v="2"/>
    <x v="4"/>
    <s v="Book Outs - EITF 03-11"/>
    <n v="1263279"/>
    <n v="1009.3086315923503"/>
    <n v="637519.19940467633"/>
  </r>
  <r>
    <n v="205"/>
    <x v="0"/>
    <s v="Sales for Resale"/>
    <x v="2"/>
    <x v="4"/>
    <s v="BP Energy Co."/>
    <n v="-53482"/>
    <n v="1009.3086315923503"/>
    <n v="-26989.922117411039"/>
  </r>
  <r>
    <n v="206"/>
    <x v="0"/>
    <s v="Sales for Resale"/>
    <x v="2"/>
    <x v="4"/>
    <s v="BPA"/>
    <n v="-62440"/>
    <n v="1009.3086315923503"/>
    <n v="-31510.615478313175"/>
  </r>
  <r>
    <n v="207"/>
    <x v="0"/>
    <s v="Sales for Resale"/>
    <x v="2"/>
    <x v="4"/>
    <s v="Burbank, City of"/>
    <n v="-2500"/>
    <n v="1009.3086315923503"/>
    <n v="-1261.6357894904379"/>
  </r>
  <r>
    <n v="208"/>
    <x v="0"/>
    <s v="Sales for Resale"/>
    <x v="2"/>
    <x v="4"/>
    <s v="Calpine Energy Management"/>
    <n v="-53467"/>
    <n v="1009.3086315923503"/>
    <n v="-26982.352302674095"/>
  </r>
  <r>
    <n v="209"/>
    <x v="0"/>
    <s v="Sales for Resale"/>
    <x v="2"/>
    <x v="4"/>
    <s v="Calpine Energy Services"/>
    <n v="-469"/>
    <n v="1009.3086315923503"/>
    <n v="-236.68287410840614"/>
  </r>
  <r>
    <n v="210"/>
    <x v="0"/>
    <s v="Sales for Resale"/>
    <x v="2"/>
    <x v="4"/>
    <s v="Cargill Power Markets"/>
    <n v="-75465"/>
    <n v="1009.3086315923503"/>
    <n v="-38083.737941558356"/>
  </r>
  <r>
    <n v="211"/>
    <x v="0"/>
    <s v="Sales for Resale"/>
    <x v="2"/>
    <x v="4"/>
    <s v="Chelan County PUD #1"/>
    <n v="-3000"/>
    <n v="1009.3086315923503"/>
    <n v="-1513.9629473885254"/>
  </r>
  <r>
    <n v="212"/>
    <x v="0"/>
    <s v="Sales for Resale"/>
    <x v="2"/>
    <x v="4"/>
    <s v="Citigroup Energy Inc"/>
    <n v="-14400"/>
    <n v="1009.3086315923503"/>
    <n v="-7267.0221474649215"/>
  </r>
  <r>
    <n v="213"/>
    <x v="0"/>
    <s v="Sales for Resale"/>
    <x v="2"/>
    <x v="4"/>
    <s v="Clatskanie PUD"/>
    <n v="-3681"/>
    <n v="1009.3086315923503"/>
    <n v="-1857.6325364457207"/>
  </r>
  <r>
    <n v="214"/>
    <x v="0"/>
    <s v="Sales for Resale"/>
    <x v="2"/>
    <x v="4"/>
    <s v="Conoco, Inc."/>
    <n v="-18450"/>
    <n v="1009.3086315923503"/>
    <n v="-9310.8721264394317"/>
  </r>
  <r>
    <n v="215"/>
    <x v="0"/>
    <s v="Sales for Resale"/>
    <x v="2"/>
    <x v="4"/>
    <s v="Constellation Power Source, Inc."/>
    <n v="-72439"/>
    <n v="1009.3086315923503"/>
    <n v="-36556.653981959127"/>
  </r>
  <r>
    <n v="216"/>
    <x v="0"/>
    <s v="Sales for Resale"/>
    <x v="2"/>
    <x v="4"/>
    <s v="ENMAX Energy Marketing, Inc."/>
    <n v="-13763"/>
    <n v="1009.3086315923503"/>
    <n v="-6945.5573483027583"/>
  </r>
  <r>
    <n v="217"/>
    <x v="0"/>
    <s v="Sales for Resale"/>
    <x v="2"/>
    <x v="4"/>
    <s v="Epcor Merchant &amp; Capital"/>
    <n v="-47080"/>
    <n v="1009.3086315923503"/>
    <n v="-23759.125187683923"/>
  </r>
  <r>
    <n v="218"/>
    <x v="0"/>
    <s v="Sales for Resale"/>
    <x v="2"/>
    <x v="4"/>
    <s v="Eugene Water &amp; Electric"/>
    <n v="-13400"/>
    <n v="1009.3086315923503"/>
    <n v="-6762.3678316687465"/>
  </r>
  <r>
    <n v="219"/>
    <x v="0"/>
    <s v="Sales for Resale"/>
    <x v="2"/>
    <x v="4"/>
    <s v="Franklin County PUD #1"/>
    <n v="-2610"/>
    <n v="1009.3086315923503"/>
    <n v="-1317.147764228017"/>
  </r>
  <r>
    <n v="220"/>
    <x v="0"/>
    <s v="Sales for Resale"/>
    <x v="2"/>
    <x v="4"/>
    <s v="Grant County PUD #2"/>
    <n v="-5050"/>
    <n v="1009.3086315923503"/>
    <n v="-2548.5042947706847"/>
  </r>
  <r>
    <n v="221"/>
    <x v="0"/>
    <s v="Sales for Resale"/>
    <x v="2"/>
    <x v="4"/>
    <s v="Grays Harbor PUD #1"/>
    <n v="-3395"/>
    <n v="1009.3086315923503"/>
    <n v="-1713.3014021280144"/>
  </r>
  <r>
    <n v="222"/>
    <x v="0"/>
    <s v="Sales for Resale"/>
    <x v="2"/>
    <x v="4"/>
    <s v="Hinson Power Company"/>
    <n v="-400"/>
    <n v="1009.3086315923503"/>
    <n v="-201.86172631847006"/>
  </r>
  <r>
    <n v="223"/>
    <x v="0"/>
    <s v="Sales for Resale"/>
    <x v="2"/>
    <x v="4"/>
    <s v="Iberdrola Renewables (PPM Energy)"/>
    <n v="-201269"/>
    <n v="1009.3086315923503"/>
    <n v="-101571.26948598037"/>
  </r>
  <r>
    <n v="224"/>
    <x v="0"/>
    <s v="Sales for Resale"/>
    <x v="2"/>
    <x v="4"/>
    <s v="Idaho Power Company"/>
    <n v="-13645"/>
    <n v="1009.3086315923503"/>
    <n v="-6886.0081390388095"/>
  </r>
  <r>
    <n v="225"/>
    <x v="0"/>
    <s v="Sales for Resale"/>
    <x v="2"/>
    <x v="4"/>
    <s v="J. Aron &amp; Company"/>
    <n v="-17344"/>
    <n v="1009.3086315923503"/>
    <n v="-8752.7244531688611"/>
  </r>
  <r>
    <n v="226"/>
    <x v="0"/>
    <s v="Sales for Resale"/>
    <x v="2"/>
    <x v="4"/>
    <s v="Klamath Falls, City of"/>
    <n v="-3100"/>
    <n v="1009.3086315923503"/>
    <n v="-1564.4283789681429"/>
  </r>
  <r>
    <n v="227"/>
    <x v="0"/>
    <s v="Sales for Resale"/>
    <x v="2"/>
    <x v="4"/>
    <s v="Los Angeles Dept. Water &amp; Power"/>
    <n v="-9336"/>
    <n v="1009.3086315923503"/>
    <n v="-4711.4526922730902"/>
  </r>
  <r>
    <n v="228"/>
    <x v="0"/>
    <s v="Sales for Resale"/>
    <x v="2"/>
    <x v="4"/>
    <s v="Macquarie Energy LLC"/>
    <n v="-67600"/>
    <n v="1009.3086315923503"/>
    <n v="-34114.631747821433"/>
  </r>
  <r>
    <n v="229"/>
    <x v="0"/>
    <s v="Sales for Resale"/>
    <x v="2"/>
    <x v="4"/>
    <s v="Merrill Lynch Commodities"/>
    <n v="-13210"/>
    <n v="1009.3086315923503"/>
    <n v="-6666.4835116674731"/>
  </r>
  <r>
    <n v="230"/>
    <x v="0"/>
    <s v="Sales for Resale"/>
    <x v="2"/>
    <x v="4"/>
    <s v="Modesto Irrigation District"/>
    <n v="-4485"/>
    <n v="1009.3086315923503"/>
    <n v="-2263.3746063458452"/>
  </r>
  <r>
    <n v="231"/>
    <x v="0"/>
    <s v="Sales for Resale"/>
    <x v="2"/>
    <x v="4"/>
    <s v="Morgan Stanley CG"/>
    <n v="-116067"/>
    <n v="1009.3086315923503"/>
    <n v="-58573.712471514656"/>
  </r>
  <r>
    <n v="232"/>
    <x v="0"/>
    <s v="Sales for Resale"/>
    <x v="2"/>
    <x v="4"/>
    <s v="N. California Power Agency"/>
    <n v="-5064"/>
    <n v="1009.3086315923503"/>
    <n v="-2555.5694551918305"/>
  </r>
  <r>
    <n v="233"/>
    <x v="0"/>
    <s v="Sales for Resale"/>
    <x v="2"/>
    <x v="4"/>
    <s v="Noble Americas Energy Solutions"/>
    <n v="-12200"/>
    <n v="1009.3086315923503"/>
    <n v="-6156.7826527133366"/>
  </r>
  <r>
    <n v="234"/>
    <x v="0"/>
    <s v="Sales for Resale"/>
    <x v="2"/>
    <x v="4"/>
    <s v="NorthPoint Energy Solutions, Inc."/>
    <n v="-7173"/>
    <n v="1009.3086315923503"/>
    <n v="-3619.8854072059639"/>
  </r>
  <r>
    <n v="235"/>
    <x v="0"/>
    <s v="Sales for Resale"/>
    <x v="2"/>
    <x v="4"/>
    <s v="Northwestern Energy"/>
    <n v="-12875"/>
    <n v="1009.3086315923503"/>
    <n v="-6497.4243158757545"/>
  </r>
  <r>
    <n v="236"/>
    <x v="0"/>
    <s v="Sales for Resale"/>
    <x v="2"/>
    <x v="4"/>
    <s v="Okanogan PUD"/>
    <n v="-90"/>
    <n v="1009.3086315923503"/>
    <n v="-45.418888421655765"/>
  </r>
  <r>
    <n v="237"/>
    <x v="0"/>
    <s v="Sales for Resale"/>
    <x v="2"/>
    <x v="4"/>
    <s v="Pacific Northwest Generatin Coop."/>
    <n v="-13771"/>
    <n v="1009.3086315923503"/>
    <n v="-6949.5945828291278"/>
  </r>
  <r>
    <n v="238"/>
    <x v="0"/>
    <s v="Sales for Resale"/>
    <x v="2"/>
    <x v="4"/>
    <s v="Pacificorp"/>
    <n v="-293074"/>
    <n v="1009.3086315923503"/>
    <n v="-147901.05894764821"/>
  </r>
  <r>
    <n v="239"/>
    <x v="0"/>
    <s v="Sales for Resale"/>
    <x v="2"/>
    <x v="4"/>
    <s v="Pinnacle West Capital Corp"/>
    <n v="-11600"/>
    <n v="1009.3086315923503"/>
    <n v="-5853.9900632356312"/>
  </r>
  <r>
    <n v="240"/>
    <x v="0"/>
    <s v="Sales for Resale"/>
    <x v="2"/>
    <x v="4"/>
    <s v="Portland General Electric"/>
    <n v="-125698"/>
    <n v="1009.3086315923503"/>
    <n v="-63434.038186947619"/>
  </r>
  <r>
    <n v="241"/>
    <x v="0"/>
    <s v="Sales for Resale"/>
    <x v="2"/>
    <x v="4"/>
    <s v="Powerex Corp."/>
    <n v="-264088"/>
    <n v="1009.3086315923503"/>
    <n v="-133273.1489499803"/>
  </r>
  <r>
    <n v="242"/>
    <x v="0"/>
    <s v="Sales for Resale"/>
    <x v="2"/>
    <x v="4"/>
    <s v="PP&amp;L Montana, LLC."/>
    <n v="-51102"/>
    <n v="1009.3086315923503"/>
    <n v="-25788.844845816144"/>
  </r>
  <r>
    <n v="243"/>
    <x v="0"/>
    <s v="Sales for Resale"/>
    <x v="2"/>
    <x v="4"/>
    <s v="Public Service of Colorado"/>
    <n v="-50870"/>
    <n v="1009.3086315923503"/>
    <n v="-25671.76504455143"/>
  </r>
  <r>
    <n v="244"/>
    <x v="0"/>
    <s v="Sales for Resale"/>
    <x v="2"/>
    <x v="4"/>
    <s v="Rainbow Energy Marketing"/>
    <n v="-77986"/>
    <n v="1009.3086315923503"/>
    <n v="-39355.971471680517"/>
  </r>
  <r>
    <n v="245"/>
    <x v="0"/>
    <s v="Sales for Resale"/>
    <x v="2"/>
    <x v="4"/>
    <s v="Redding, City of"/>
    <n v="-2812"/>
    <n v="1009.3086315923503"/>
    <n v="-1419.0879360188444"/>
  </r>
  <r>
    <n v="246"/>
    <x v="0"/>
    <s v="Sales for Resale"/>
    <x v="2"/>
    <x v="4"/>
    <s v="Sacramento Municipal"/>
    <n v="-13526"/>
    <n v="1009.3086315923503"/>
    <n v="-6825.9542754590648"/>
  </r>
  <r>
    <n v="247"/>
    <x v="0"/>
    <s v="Sales for Resale"/>
    <x v="2"/>
    <x v="4"/>
    <s v="San Diego Gas &amp; Electric"/>
    <n v="-1262"/>
    <n v="1009.3086315923503"/>
    <n v="-636.87374653477298"/>
  </r>
  <r>
    <n v="248"/>
    <x v="0"/>
    <s v="Sales for Resale"/>
    <x v="2"/>
    <x v="4"/>
    <s v="Seattle City Light Marketing"/>
    <n v="-25005"/>
    <n v="1009.3086315923503"/>
    <n v="-12618.881166483359"/>
  </r>
  <r>
    <n v="249"/>
    <x v="0"/>
    <s v="Sales for Resale"/>
    <x v="2"/>
    <x v="4"/>
    <s v="Sempra Energy Trading"/>
    <n v="-99153"/>
    <n v="1009.3086315923503"/>
    <n v="-50037.989374138153"/>
  </r>
  <r>
    <n v="250"/>
    <x v="0"/>
    <s v="Sales for Resale"/>
    <x v="2"/>
    <x v="4"/>
    <s v="Shell Energy (Coral Pwr)"/>
    <n v="-66693"/>
    <n v="1009.3086315923503"/>
    <n v="-33656.910283394303"/>
  </r>
  <r>
    <n v="251"/>
    <x v="0"/>
    <s v="Sales for Resale"/>
    <x v="2"/>
    <x v="4"/>
    <s v="Sierra Pacific Power"/>
    <n v="-1819"/>
    <n v="1009.3086315923503"/>
    <n v="-917.96620043324265"/>
  </r>
  <r>
    <n v="252"/>
    <x v="0"/>
    <s v="Sales for Resale"/>
    <x v="2"/>
    <x v="4"/>
    <s v="Silicon Valley Pwr - Santa Clara"/>
    <n v="-3354"/>
    <n v="1009.3086315923503"/>
    <n v="-1692.6105751803714"/>
  </r>
  <r>
    <n v="253"/>
    <x v="0"/>
    <s v="Sales for Resale"/>
    <x v="2"/>
    <x v="4"/>
    <s v="Snohomish County PUD #1"/>
    <n v="-23113"/>
    <n v="1009.3086315923503"/>
    <n v="-11664.075200996995"/>
  </r>
  <r>
    <n v="254"/>
    <x v="0"/>
    <s v="Sales for Resale"/>
    <x v="2"/>
    <x v="4"/>
    <s v="Southern Cal - Edison"/>
    <n v="-10104"/>
    <n v="1009.3086315923503"/>
    <n v="-5099.0272068045533"/>
  </r>
  <r>
    <n v="255"/>
    <x v="0"/>
    <s v="Sales for Resale"/>
    <x v="2"/>
    <x v="4"/>
    <s v="SUEZ Energy Marketing (Tractebel)"/>
    <n v="-242108"/>
    <n v="1009.3086315923503"/>
    <n v="-122180.84708878037"/>
  </r>
  <r>
    <n v="256"/>
    <x v="0"/>
    <s v="Sales for Resale"/>
    <x v="2"/>
    <x v="4"/>
    <s v="Tacoma Power"/>
    <n v="-3807"/>
    <n v="1009.3086315923503"/>
    <n v="-1921.2189802360388"/>
  </r>
  <r>
    <n v="257"/>
    <x v="0"/>
    <s v="Sales for Resale"/>
    <x v="2"/>
    <x v="4"/>
    <s v="TransAlta Energy Marketing"/>
    <n v="-468655"/>
    <n v="1009.3086315923503"/>
    <n v="-236508.76836945643"/>
  </r>
  <r>
    <n v="258"/>
    <x v="0"/>
    <s v="Sales for Resale"/>
    <x v="2"/>
    <x v="4"/>
    <s v="TransCanada Power Corp."/>
    <n v="-17924"/>
    <n v="1009.3086315923503"/>
    <n v="-9045.4239563306419"/>
  </r>
  <r>
    <n v="259"/>
    <x v="0"/>
    <s v="Sales for Resale"/>
    <x v="2"/>
    <x v="4"/>
    <s v="Turlock Irrigation District"/>
    <n v="-3885"/>
    <n v="1009.3086315923503"/>
    <n v="-1960.5820168681403"/>
  </r>
  <r>
    <n v="260"/>
    <x v="0"/>
    <s v="Sales for Resale"/>
    <x v="2"/>
    <x v="4"/>
    <s v="UBS AG"/>
    <n v="-9880"/>
    <n v="1009.3086315923503"/>
    <n v="-4985.98464006621"/>
  </r>
  <r>
    <n v="261"/>
    <x v="0"/>
    <s v="Sales for Resale"/>
    <x v="2"/>
    <x v="4"/>
    <s v="Western Area Power Association"/>
    <n v="-200"/>
    <n v="1009.3086315923503"/>
    <n v="-100.93086315923503"/>
  </r>
  <r>
    <n v="295"/>
    <x v="1"/>
    <s v="Generation - Hydro"/>
    <x v="0"/>
    <x v="0"/>
    <s v="Electron"/>
    <n v="67270.350000000006"/>
    <n v="0"/>
    <n v="0"/>
  </r>
  <r>
    <n v="296"/>
    <x v="1"/>
    <s v="Generation - Hydro"/>
    <x v="0"/>
    <x v="0"/>
    <s v="Lower Baker"/>
    <n v="334144.53999999998"/>
    <n v="0"/>
    <n v="0"/>
  </r>
  <r>
    <n v="299"/>
    <x v="1"/>
    <s v="Generation - Hydro"/>
    <x v="0"/>
    <x v="0"/>
    <s v="Snoqualmie Falls #1"/>
    <n v="47557.4"/>
    <n v="0"/>
    <n v="0"/>
  </r>
  <r>
    <n v="300"/>
    <x v="1"/>
    <s v="Generation - Hydro"/>
    <x v="0"/>
    <x v="0"/>
    <s v="Snoqualmie Falls #2"/>
    <n v="161751.4"/>
    <n v="0"/>
    <n v="0"/>
  </r>
  <r>
    <n v="302"/>
    <x v="1"/>
    <s v="Generation - Hydro"/>
    <x v="0"/>
    <x v="0"/>
    <s v="Upper Baker"/>
    <n v="338552.67"/>
    <n v="0"/>
    <n v="0"/>
  </r>
  <r>
    <n v="305"/>
    <x v="1"/>
    <s v="Generation - Steam"/>
    <x v="0"/>
    <x v="1"/>
    <s v="Colstrip 1 &amp; 2"/>
    <n v="2180745"/>
    <n v="2483.2378843010079"/>
    <n v="2707654.3000000003"/>
  </r>
  <r>
    <n v="306"/>
    <x v="1"/>
    <s v="Generation - Steam"/>
    <x v="0"/>
    <x v="1"/>
    <s v="Colstrip 3 &amp; 4"/>
    <n v="2619283"/>
    <n v="2451.1025727269639"/>
    <n v="3210065.65"/>
  </r>
  <r>
    <n v="307"/>
    <x v="1"/>
    <s v="Generation - Steam"/>
    <x v="0"/>
    <x v="2"/>
    <s v="Encogen"/>
    <n v="259963.15"/>
    <n v="1062.5147451436867"/>
    <n v="138107.3400345"/>
  </r>
  <r>
    <n v="309"/>
    <x v="1"/>
    <s v="Generation - Oil/Gas/Wind"/>
    <x v="0"/>
    <x v="3"/>
    <s v="Crystal Mountain"/>
    <n v="1060.42"/>
    <n v="1719.1841723090849"/>
    <n v="911.52864"/>
  </r>
  <r>
    <n v="311"/>
    <x v="1"/>
    <s v="Generation - Oil/Gas/Wind"/>
    <x v="0"/>
    <x v="2"/>
    <s v="Freddie #1"/>
    <n v="393030"/>
    <n v="765.38453586062133"/>
    <n v="150409.54206465001"/>
  </r>
  <r>
    <n v="312"/>
    <x v="1"/>
    <s v="Generation - Oil/Gas/Wind"/>
    <x v="0"/>
    <x v="2"/>
    <s v="Fredonia"/>
    <n v="42874.400000000001"/>
    <n v="1279.4831823559045"/>
    <n v="27428.536876799997"/>
  </r>
  <r>
    <n v="314"/>
    <x v="1"/>
    <s v="Generation - Oil/Gas/Wind"/>
    <x v="0"/>
    <x v="2"/>
    <s v="Fredrickson 1 &amp; 2"/>
    <n v="12684.3"/>
    <n v="1724.8897433047155"/>
    <n v="10939.509485500001"/>
  </r>
  <r>
    <n v="315"/>
    <x v="1"/>
    <s v="Generation - Oil/Gas/Wind"/>
    <x v="0"/>
    <x v="0"/>
    <s v="Hopkins Ridge (W184)"/>
    <n v="361586.57799999998"/>
    <n v="0"/>
    <n v="0"/>
  </r>
  <r>
    <n v="318"/>
    <x v="1"/>
    <s v="Generation - Oil/Gas/Wind"/>
    <x v="0"/>
    <x v="2"/>
    <s v="Whitehorn 2&amp;3"/>
    <n v="13578"/>
    <n v="1596.4305845485346"/>
    <n v="10838.1672385"/>
  </r>
  <r>
    <n v="319"/>
    <x v="1"/>
    <s v="Generation - Oil/Gas/Wind"/>
    <x v="0"/>
    <x v="0"/>
    <s v="Wild Horse (W183)"/>
    <n v="11241.772000000001"/>
    <n v="0"/>
    <n v="0"/>
  </r>
  <r>
    <n v="321"/>
    <x v="1"/>
    <s v="Purchases - Firm"/>
    <x v="1"/>
    <x v="4"/>
    <s v="BC Hydro (Point Roberts)"/>
    <n v="22242.52"/>
    <n v="1013.8429781871461"/>
    <n v="11275.211359593579"/>
  </r>
  <r>
    <n v="322"/>
    <x v="1"/>
    <s v="Purchases - Firm"/>
    <x v="1"/>
    <x v="0"/>
    <s v="BPA"/>
    <n v="7077"/>
    <n v="0"/>
    <n v="0"/>
  </r>
  <r>
    <n v="323"/>
    <x v="1"/>
    <s v="Purchases - Firm"/>
    <x v="1"/>
    <x v="4"/>
    <s v="BPA Firm - WNP#3 Exchange"/>
    <n v="362075"/>
    <n v="1013.8429781871461"/>
    <n v="183543.59816355543"/>
  </r>
  <r>
    <n v="325"/>
    <x v="1"/>
    <s v="Purchases - Firm"/>
    <x v="1"/>
    <x v="0"/>
    <s v="Chelan PUD - Rock Island Syst #2"/>
    <n v="1294355"/>
    <n v="0"/>
    <n v="0"/>
  </r>
  <r>
    <n v="326"/>
    <x v="1"/>
    <s v="Purchases - Firm"/>
    <x v="1"/>
    <x v="0"/>
    <s v="Chelan PUD - Rocky Reach"/>
    <n v="2365522"/>
    <n v="0"/>
    <n v="0"/>
  </r>
  <r>
    <n v="327"/>
    <x v="1"/>
    <s v="Purchases - Firm"/>
    <x v="1"/>
    <x v="0"/>
    <s v="Douglas PUD - Wells Project"/>
    <n v="1133871"/>
    <n v="0"/>
    <n v="0"/>
  </r>
  <r>
    <n v="328"/>
    <x v="1"/>
    <s v="Purchases - Firm"/>
    <x v="1"/>
    <x v="0"/>
    <s v="Grant PUD - Priest Rapids"/>
    <n v="443113"/>
    <n v="0"/>
    <n v="0"/>
  </r>
  <r>
    <n v="329"/>
    <x v="1"/>
    <s v="Purchases - Firm"/>
    <x v="1"/>
    <x v="0"/>
    <s v="Grant PUD - Wanapum"/>
    <n v="455505"/>
    <n v="0"/>
    <n v="0"/>
  </r>
  <r>
    <n v="330"/>
    <x v="1"/>
    <s v="Purchases - Firm"/>
    <x v="1"/>
    <x v="1"/>
    <s v="NWestern Energy(MPC) Firm Contract"/>
    <n v="723917"/>
    <n v="2465.7022625701302"/>
    <n v="892481.8924064904"/>
  </r>
  <r>
    <n v="331"/>
    <x v="1"/>
    <s v="Purchases - Firm"/>
    <x v="1"/>
    <x v="4"/>
    <s v="Snohomish PUD Conservation"/>
    <n v="89664"/>
    <n v="1013.8429781871461"/>
    <n v="45452.608398086129"/>
  </r>
  <r>
    <n v="332"/>
    <x v="1"/>
    <s v="Purchases - Firm"/>
    <x v="1"/>
    <x v="0"/>
    <s v="VanderHaak Dairy Digester"/>
    <n v="1823.28"/>
    <n v="0"/>
    <n v="0"/>
  </r>
  <r>
    <n v="333"/>
    <x v="1"/>
    <s v="Purchases - Firm"/>
    <x v="1"/>
    <x v="0"/>
    <s v="WASCO Hydro"/>
    <n v="36732"/>
    <n v="0"/>
    <n v="0"/>
  </r>
  <r>
    <n v="335"/>
    <x v="1"/>
    <s v="Purchases - PURPA"/>
    <x v="1"/>
    <x v="0"/>
    <s v="Hutchinson Creek"/>
    <n v="2171.36"/>
    <n v="0"/>
    <n v="0"/>
  </r>
  <r>
    <n v="336"/>
    <x v="1"/>
    <s v="Purchases - PURPA"/>
    <x v="1"/>
    <x v="0"/>
    <s v="Koma Kulshan Associates"/>
    <n v="33468"/>
    <n v="0"/>
    <n v="0"/>
  </r>
  <r>
    <n v="338"/>
    <x v="1"/>
    <s v="Purchases - PURPA"/>
    <x v="1"/>
    <x v="2"/>
    <s v="March Point Cogen. - 1 &amp; 2"/>
    <n v="983695.89"/>
    <n v="726.80073847423307"/>
    <n v="357475.44964303396"/>
  </r>
  <r>
    <n v="339"/>
    <x v="1"/>
    <s v="Purchases - PURPA"/>
    <x v="1"/>
    <x v="0"/>
    <s v="Nooksack"/>
    <n v="17652.95"/>
    <n v="0"/>
    <n v="0"/>
  </r>
  <r>
    <n v="340"/>
    <x v="1"/>
    <s v="Purchases - PURPA"/>
    <x v="1"/>
    <x v="5"/>
    <s v="Port Townsend Paper Co."/>
    <n v="1847.0640000000001"/>
    <n v="1056.3533228240403"/>
    <n v="975.57609693433164"/>
  </r>
  <r>
    <n v="341"/>
    <x v="1"/>
    <s v="Purchases - PURPA"/>
    <x v="1"/>
    <x v="0"/>
    <s v="Puyallup Energy Recovery Company"/>
    <n v="4828.6099999999997"/>
    <n v="0"/>
    <n v="0"/>
  </r>
  <r>
    <n v="342"/>
    <x v="1"/>
    <s v="Purchases - PURPA"/>
    <x v="1"/>
    <x v="6"/>
    <s v="Spokane MSW"/>
    <n v="141325"/>
    <n v="4573.6816773508808"/>
    <n v="323187.78152580658"/>
  </r>
  <r>
    <n v="343"/>
    <x v="1"/>
    <s v="Purchases - PURPA"/>
    <x v="1"/>
    <x v="2"/>
    <s v="Sumas Cogeneration"/>
    <n v="579513.65"/>
    <n v="927.49481118458982"/>
    <n v="268747.95169282128"/>
  </r>
  <r>
    <n v="344"/>
    <x v="1"/>
    <s v="Purchases - PURPA"/>
    <x v="1"/>
    <x v="0"/>
    <s v="Sygitowicz Creek"/>
    <n v="585.6"/>
    <n v="0"/>
    <n v="0"/>
  </r>
  <r>
    <n v="345"/>
    <x v="1"/>
    <s v="Purchases - PURPA"/>
    <x v="1"/>
    <x v="2"/>
    <s v="Tenaska"/>
    <n v="844472.04"/>
    <n v="861.38534731103448"/>
    <n v="363707.92073492892"/>
  </r>
  <r>
    <n v="346"/>
    <x v="1"/>
    <s v="Purchases - PURPA"/>
    <x v="1"/>
    <x v="0"/>
    <s v="Twin Falls Hydro"/>
    <n v="67233"/>
    <n v="0"/>
    <n v="0"/>
  </r>
  <r>
    <n v="347"/>
    <x v="1"/>
    <s v="Purchases - PURPA"/>
    <x v="1"/>
    <x v="0"/>
    <s v="Weeks Falls"/>
    <n v="12691"/>
    <n v="0"/>
    <n v="0"/>
  </r>
  <r>
    <n v="349"/>
    <x v="1"/>
    <s v="Purchases - Secondary"/>
    <x v="2"/>
    <x v="4"/>
    <s v="Arizona Public Service"/>
    <n v="2000"/>
    <n v="1013.8429781871461"/>
    <n v="1013.8429781871461"/>
  </r>
  <r>
    <n v="350"/>
    <x v="1"/>
    <s v="Purchases - Secondary"/>
    <x v="2"/>
    <x v="4"/>
    <s v="ATCO Power Canada"/>
    <n v="820"/>
    <n v="1013.8429781871461"/>
    <n v="415.67562105672988"/>
  </r>
  <r>
    <n v="351"/>
    <x v="1"/>
    <s v="Purchases - Secondary"/>
    <x v="2"/>
    <x v="4"/>
    <s v="Avista Corp. WWP Division"/>
    <n v="102666.8"/>
    <n v="1013.8429781871461"/>
    <n v="52044.00713647205"/>
  </r>
  <r>
    <n v="352"/>
    <x v="1"/>
    <s v="Purchases - Secondary"/>
    <x v="2"/>
    <x v="4"/>
    <s v="Avista Energy"/>
    <n v="713907"/>
    <n v="1013.8429781871461"/>
    <n v="361894.79951432545"/>
  </r>
  <r>
    <n v="353"/>
    <x v="1"/>
    <s v="Purchases - Secondary"/>
    <x v="2"/>
    <x v="4"/>
    <s v="Barclays Bank Plc"/>
    <n v="7600"/>
    <n v="1013.8429781871461"/>
    <n v="3852.6033171111549"/>
  </r>
  <r>
    <n v="354"/>
    <x v="1"/>
    <s v="Purchases - Secondary"/>
    <x v="2"/>
    <x v="4"/>
    <s v="Bear Energy LP"/>
    <n v="48"/>
    <n v="1013.8429781871461"/>
    <n v="24.332231476491508"/>
  </r>
  <r>
    <n v="355"/>
    <x v="1"/>
    <s v="Purchases - Secondary"/>
    <x v="2"/>
    <x v="4"/>
    <s v="Benton County PUD"/>
    <n v="22518"/>
    <n v="1013.8429781871461"/>
    <n v="11414.858091409078"/>
  </r>
  <r>
    <n v="356"/>
    <x v="1"/>
    <s v="Purchases - Secondary"/>
    <x v="2"/>
    <x v="4"/>
    <s v="Black Hills Power"/>
    <n v="12360"/>
    <n v="1013.8429781871461"/>
    <n v="6265.5496051965629"/>
  </r>
  <r>
    <n v="357"/>
    <x v="1"/>
    <s v="Purchases - Secondary"/>
    <x v="2"/>
    <x v="4"/>
    <s v="Book Outs - EITF 03-11"/>
    <n v="-2421278"/>
    <n v="1013.8429781871461"/>
    <n v="-1227397.8492695084"/>
  </r>
  <r>
    <n v="358"/>
    <x v="1"/>
    <s v="Purchases - Secondary"/>
    <x v="2"/>
    <x v="4"/>
    <s v="BP Energy Co."/>
    <n v="181121"/>
    <n v="1013.8429781871461"/>
    <n v="91814.127026117043"/>
  </r>
  <r>
    <n v="359"/>
    <x v="1"/>
    <s v="Purchases - Secondary"/>
    <x v="2"/>
    <x v="4"/>
    <s v="BPA"/>
    <n v="739012"/>
    <n v="1013.8429781871461"/>
    <n v="374621.06349801959"/>
  </r>
  <r>
    <n v="360"/>
    <x v="1"/>
    <s v="Purchases - Secondary"/>
    <x v="2"/>
    <x v="4"/>
    <s v="Burbank, City of"/>
    <n v="4195"/>
    <n v="1013.8429781871461"/>
    <n v="2126.535646747539"/>
  </r>
  <r>
    <n v="361"/>
    <x v="1"/>
    <s v="Purchases - Secondary"/>
    <x v="2"/>
    <x v="4"/>
    <s v="Cargill Power Markets"/>
    <n v="48374"/>
    <n v="1013.8429781871461"/>
    <n v="24521.820113412505"/>
  </r>
  <r>
    <n v="362"/>
    <x v="1"/>
    <s v="Purchases - Secondary"/>
    <x v="2"/>
    <x v="4"/>
    <s v="Chelan County PUD #1"/>
    <n v="40907"/>
    <n v="1013.8429781871461"/>
    <n v="20736.637354350791"/>
  </r>
  <r>
    <n v="363"/>
    <x v="1"/>
    <s v="Purchases - Secondary"/>
    <x v="2"/>
    <x v="4"/>
    <s v="Cincinnati Gas &amp; Electric Co"/>
    <n v="7400"/>
    <n v="1013.8429781871461"/>
    <n v="3751.2190192924404"/>
  </r>
  <r>
    <n v="364"/>
    <x v="1"/>
    <s v="Purchases - Secondary"/>
    <x v="2"/>
    <x v="4"/>
    <s v="Cinergy Services"/>
    <n v="21330"/>
    <n v="1013.8429781871461"/>
    <n v="10812.635362365912"/>
  </r>
  <r>
    <n v="365"/>
    <x v="1"/>
    <s v="Purchases - Secondary"/>
    <x v="2"/>
    <x v="4"/>
    <s v="Citigroup Energy Inc"/>
    <n v="117050"/>
    <n v="1013.8429781871461"/>
    <n v="59335.160298402727"/>
  </r>
  <r>
    <n v="366"/>
    <x v="1"/>
    <s v="Purchases - Secondary"/>
    <x v="2"/>
    <x v="4"/>
    <s v="Clatskanie PUD"/>
    <n v="9785"/>
    <n v="1013.8429781871461"/>
    <n v="4960.2267707806113"/>
  </r>
  <r>
    <n v="367"/>
    <x v="1"/>
    <s v="Purchases - Secondary"/>
    <x v="2"/>
    <x v="4"/>
    <s v="Conoco, Inc."/>
    <n v="17475"/>
    <n v="1013.8429781871461"/>
    <n v="8858.4530219101889"/>
  </r>
  <r>
    <n v="368"/>
    <x v="1"/>
    <s v="Purchases - Secondary"/>
    <x v="2"/>
    <x v="4"/>
    <s v="Constellation Power Source, Inc."/>
    <n v="320060"/>
    <n v="1013.8429781871461"/>
    <n v="162245.291799289"/>
  </r>
  <r>
    <n v="369"/>
    <x v="1"/>
    <s v="Purchases - Secondary"/>
    <x v="2"/>
    <x v="4"/>
    <s v="DB Energy Trading LLC"/>
    <n v="27200"/>
    <n v="1013.8429781871461"/>
    <n v="13788.264503345186"/>
  </r>
  <r>
    <n v="370"/>
    <x v="1"/>
    <s v="Purchases - Secondary"/>
    <x v="2"/>
    <x v="4"/>
    <s v="Douglas County PUD #1"/>
    <n v="292497"/>
    <n v="1013.8429781871461"/>
    <n v="148273.01479540282"/>
  </r>
  <r>
    <n v="371"/>
    <x v="1"/>
    <s v="Purchases - Secondary"/>
    <x v="2"/>
    <x v="4"/>
    <s v="ENMAX Energy Marketing, Inc."/>
    <n v="175"/>
    <n v="1013.8429781871461"/>
    <n v="88.711260591375279"/>
  </r>
  <r>
    <n v="372"/>
    <x v="1"/>
    <s v="Purchases - Secondary"/>
    <x v="2"/>
    <x v="4"/>
    <s v="Epcor Merchant &amp; Capital"/>
    <n v="63703"/>
    <n v="1013.8429781871461"/>
    <n v="32292.419619727883"/>
  </r>
  <r>
    <n v="373"/>
    <x v="1"/>
    <s v="Purchases - Secondary"/>
    <x v="2"/>
    <x v="4"/>
    <s v="Eugene Water &amp; Electric"/>
    <n v="63650"/>
    <n v="1013.8429781871461"/>
    <n v="32265.552780805923"/>
  </r>
  <r>
    <n v="374"/>
    <x v="1"/>
    <s v="Purchases - Secondary"/>
    <x v="2"/>
    <x v="4"/>
    <s v="Fortis Energy Marketing &amp; Trading"/>
    <n v="16400"/>
    <n v="1013.8429781871461"/>
    <n v="8313.5124211345974"/>
  </r>
  <r>
    <n v="375"/>
    <x v="1"/>
    <s v="Purchases - Secondary"/>
    <x v="2"/>
    <x v="4"/>
    <s v="Franklin County PUD #1"/>
    <n v="15035"/>
    <n v="1013.8429781871461"/>
    <n v="7621.564588521871"/>
  </r>
  <r>
    <n v="376"/>
    <x v="1"/>
    <s v="Purchases - Secondary"/>
    <x v="2"/>
    <x v="4"/>
    <s v="Grant County PUD #2"/>
    <n v="89108"/>
    <n v="1013.8429781871461"/>
    <n v="45170.760050150107"/>
  </r>
  <r>
    <n v="377"/>
    <x v="1"/>
    <s v="Purchases - Secondary"/>
    <x v="2"/>
    <x v="4"/>
    <s v="Grays Harbor PUD #1"/>
    <n v="21400"/>
    <n v="1013.8429781871461"/>
    <n v="10848.119866602463"/>
  </r>
  <r>
    <n v="378"/>
    <x v="1"/>
    <s v="Purchases - Secondary"/>
    <x v="2"/>
    <x v="4"/>
    <s v="Iberdrola Renewables (PPM Energy)"/>
    <n v="400182"/>
    <n v="1013.8429781871461"/>
    <n v="202860.85534844425"/>
  </r>
  <r>
    <n v="379"/>
    <x v="1"/>
    <s v="Purchases - Secondary"/>
    <x v="2"/>
    <x v="4"/>
    <s v="Idaho Falls Power"/>
    <n v="84230"/>
    <n v="1013.8429781871461"/>
    <n v="42697.997026351652"/>
  </r>
  <r>
    <n v="380"/>
    <x v="1"/>
    <s v="Purchases - Secondary"/>
    <x v="2"/>
    <x v="4"/>
    <s v="Idaho Power Company"/>
    <n v="99558"/>
    <n v="1013.8429781871461"/>
    <n v="50468.089611177944"/>
  </r>
  <r>
    <n v="381"/>
    <x v="1"/>
    <s v="Purchases - Secondary"/>
    <x v="2"/>
    <x v="4"/>
    <s v="J. Aron &amp; Company"/>
    <n v="20000"/>
    <n v="1013.8429781871461"/>
    <n v="10138.42978187146"/>
  </r>
  <r>
    <n v="382"/>
    <x v="1"/>
    <s v="Purchases - Secondary"/>
    <x v="2"/>
    <x v="4"/>
    <s v="JP Morgan Ventures Energy"/>
    <n v="10000"/>
    <n v="1013.8429781871461"/>
    <n v="5069.2148909357302"/>
  </r>
  <r>
    <n v="383"/>
    <x v="1"/>
    <s v="Purchases - Secondary"/>
    <x v="2"/>
    <x v="4"/>
    <s v="King County"/>
    <n v="39.591999999999999"/>
    <n v="1013.8429781871461"/>
    <n v="20.070035596192742"/>
  </r>
  <r>
    <n v="384"/>
    <x v="1"/>
    <s v="Purchases - Secondary"/>
    <x v="2"/>
    <x v="4"/>
    <s v="Klamath Falls, City of"/>
    <n v="31207"/>
    <n v="1013.8429781871461"/>
    <n v="15819.498910143133"/>
  </r>
  <r>
    <n v="385"/>
    <x v="1"/>
    <s v="Purchases - Secondary"/>
    <x v="2"/>
    <x v="4"/>
    <s v="Lehman Bros Commodity Services"/>
    <n v="7800"/>
    <n v="1013.8429781871461"/>
    <n v="3953.9876149298698"/>
  </r>
  <r>
    <n v="386"/>
    <x v="1"/>
    <s v="Purchases - Secondary"/>
    <x v="2"/>
    <x v="4"/>
    <s v="Los Angeles Dept. Water &amp; Power"/>
    <n v="1275"/>
    <n v="1013.8429781871461"/>
    <n v="646.32489859430564"/>
  </r>
  <r>
    <n v="387"/>
    <x v="1"/>
    <s v="Purchases - Secondary"/>
    <x v="2"/>
    <x v="4"/>
    <s v="Macquarie Energy LLC"/>
    <n v="83200"/>
    <n v="1013.8429781871461"/>
    <n v="42175.86789258528"/>
  </r>
  <r>
    <n v="388"/>
    <x v="1"/>
    <s v="Purchases - Secondary"/>
    <x v="2"/>
    <x v="4"/>
    <s v="Merrill Lynch Commodities"/>
    <n v="24400"/>
    <n v="1013.8429781871461"/>
    <n v="12368.884333883181"/>
  </r>
  <r>
    <n v="389"/>
    <x v="1"/>
    <s v="Purchases - Secondary"/>
    <x v="2"/>
    <x v="4"/>
    <s v="Modesto Irrigation District"/>
    <n v="852"/>
    <n v="1013.8429781871461"/>
    <n v="431.89710870772421"/>
  </r>
  <r>
    <n v="390"/>
    <x v="1"/>
    <s v="Purchases - Secondary"/>
    <x v="2"/>
    <x v="4"/>
    <s v="Morgan Stanley CG"/>
    <n v="276663"/>
    <n v="1013.8429781871461"/>
    <n v="140246.4199370952"/>
  </r>
  <r>
    <n v="391"/>
    <x v="1"/>
    <s v="Purchases - Secondary"/>
    <x v="2"/>
    <x v="4"/>
    <s v="N. California Power Agency"/>
    <n v="1315"/>
    <n v="1013.8429781871461"/>
    <n v="666.60175815804848"/>
  </r>
  <r>
    <n v="392"/>
    <x v="1"/>
    <s v="Purchases - Secondary"/>
    <x v="2"/>
    <x v="4"/>
    <s v="New Mexico, Public Service Company"/>
    <n v="3200"/>
    <n v="1013.8429781871461"/>
    <n v="1622.1487650994336"/>
  </r>
  <r>
    <n v="393"/>
    <x v="1"/>
    <s v="Purchases - Secondary"/>
    <x v="2"/>
    <x v="4"/>
    <s v="Noble Americas Energy Solutions"/>
    <n v="29225"/>
    <n v="1013.8429781871461"/>
    <n v="14814.780518759671"/>
  </r>
  <r>
    <n v="394"/>
    <x v="1"/>
    <s v="Purchases - Secondary"/>
    <x v="2"/>
    <x v="4"/>
    <s v="NorthPoint Energy Solutions, Inc."/>
    <n v="1342"/>
    <n v="1013.8429781871461"/>
    <n v="680.28863836357493"/>
  </r>
  <r>
    <n v="395"/>
    <x v="1"/>
    <s v="Purchases - Secondary"/>
    <x v="2"/>
    <x v="4"/>
    <s v="Northwestern Energy"/>
    <n v="9629"/>
    <n v="1013.8429781871461"/>
    <n v="4881.1470184820146"/>
  </r>
  <r>
    <n v="396"/>
    <x v="1"/>
    <s v="Purchases - Secondary"/>
    <x v="2"/>
    <x v="4"/>
    <s v="Occidental Power Services"/>
    <n v="1064"/>
    <n v="1013.8429781871461"/>
    <n v="539.36446439556175"/>
  </r>
  <r>
    <n v="397"/>
    <x v="1"/>
    <s v="Purchases - Secondary"/>
    <x v="2"/>
    <x v="4"/>
    <s v="Okanogan PUD"/>
    <n v="3761"/>
    <n v="1013.8429781871461"/>
    <n v="1906.5317204809282"/>
  </r>
  <r>
    <n v="398"/>
    <x v="1"/>
    <s v="Purchases - Secondary"/>
    <x v="2"/>
    <x v="4"/>
    <s v="Pacific Northwest Generatin Coop."/>
    <n v="181909"/>
    <n v="1013.8429781871461"/>
    <n v="92213.581159522771"/>
  </r>
  <r>
    <n v="399"/>
    <x v="1"/>
    <s v="Purchases - Secondary"/>
    <x v="2"/>
    <x v="4"/>
    <s v="Pacificorp"/>
    <n v="352506"/>
    <n v="1013.8429781871461"/>
    <n v="178692.86643441906"/>
  </r>
  <r>
    <n v="400"/>
    <x v="1"/>
    <s v="Purchases - Secondary"/>
    <x v="2"/>
    <x v="4"/>
    <s v="PG&amp;E Energy Trading"/>
    <n v="24945"/>
    <n v="1013.8429781871461"/>
    <n v="12645.15654543918"/>
  </r>
  <r>
    <n v="401"/>
    <x v="1"/>
    <s v="Purchases - Secondary"/>
    <x v="2"/>
    <x v="4"/>
    <s v="Pinnacle West Capital Corp"/>
    <n v="889475"/>
    <n v="1013.8429781871461"/>
    <n v="450893.99151150585"/>
  </r>
  <r>
    <n v="402"/>
    <x v="1"/>
    <s v="Purchases - Secondary"/>
    <x v="2"/>
    <x v="4"/>
    <s v="Portland General Electric"/>
    <n v="500872"/>
    <n v="1013.8429781871461"/>
    <n v="253902.78008527608"/>
  </r>
  <r>
    <n v="403"/>
    <x v="1"/>
    <s v="Purchases - Secondary"/>
    <x v="2"/>
    <x v="4"/>
    <s v="Powerex Corp."/>
    <n v="504275"/>
    <n v="1013.8429781871461"/>
    <n v="255627.83391266156"/>
  </r>
  <r>
    <n v="404"/>
    <x v="1"/>
    <s v="Purchases - Secondary"/>
    <x v="2"/>
    <x v="4"/>
    <s v="PP&amp;L Montana, LLC."/>
    <n v="41793"/>
    <n v="1013.8429781871461"/>
    <n v="21185.769793687698"/>
  </r>
  <r>
    <n v="405"/>
    <x v="1"/>
    <s v="Purchases - Secondary"/>
    <x v="2"/>
    <x v="4"/>
    <s v="Public Service of Colorado"/>
    <n v="19800"/>
    <n v="1013.8429781871461"/>
    <n v="10037.045484052745"/>
  </r>
  <r>
    <n v="406"/>
    <x v="1"/>
    <s v="Purchases - Secondary"/>
    <x v="2"/>
    <x v="4"/>
    <s v="Rainbow Energy Marketing"/>
    <n v="121336"/>
    <n v="1013.8429781871461"/>
    <n v="61507.825800657782"/>
  </r>
  <r>
    <n v="407"/>
    <x v="1"/>
    <s v="Purchases - Secondary"/>
    <x v="2"/>
    <x v="4"/>
    <s v="Redding, City of"/>
    <n v="2903"/>
    <n v="1013.8429781871461"/>
    <n v="1471.5930828386424"/>
  </r>
  <r>
    <n v="408"/>
    <x v="1"/>
    <s v="Purchases - Secondary"/>
    <x v="2"/>
    <x v="4"/>
    <s v="Sacramento Municipal"/>
    <n v="5025"/>
    <n v="1013.8429781871461"/>
    <n v="2547.2804826952047"/>
  </r>
  <r>
    <n v="409"/>
    <x v="1"/>
    <s v="Purchases - Secondary"/>
    <x v="2"/>
    <x v="4"/>
    <s v="San Diego Gas &amp; Electric"/>
    <n v="6904"/>
    <n v="1013.8429781871461"/>
    <n v="3499.7859607020282"/>
  </r>
  <r>
    <n v="410"/>
    <x v="1"/>
    <s v="Purchases - Secondary"/>
    <x v="2"/>
    <x v="4"/>
    <s v="Seattle City Light Marketing"/>
    <n v="172078"/>
    <n v="1013.8429781871461"/>
    <n v="87230.036000243854"/>
  </r>
  <r>
    <n v="411"/>
    <x v="1"/>
    <s v="Purchases - Secondary"/>
    <x v="2"/>
    <x v="4"/>
    <s v="Sempra Energy Trading"/>
    <n v="1226010"/>
    <n v="1013.8429781871461"/>
    <n v="621490.81484361144"/>
  </r>
  <r>
    <n v="412"/>
    <x v="1"/>
    <s v="Purchases - Secondary"/>
    <x v="2"/>
    <x v="4"/>
    <s v="Shell Energy (Coral Pwr)"/>
    <n v="730645"/>
    <n v="1013.8429781871461"/>
    <n v="370379.65139877365"/>
  </r>
  <r>
    <n v="413"/>
    <x v="1"/>
    <s v="Purchases - Secondary"/>
    <x v="2"/>
    <x v="4"/>
    <s v="Sierra Pacific Power"/>
    <n v="26329"/>
    <n v="1013.8429781871461"/>
    <n v="13346.735886344684"/>
  </r>
  <r>
    <n v="414"/>
    <x v="1"/>
    <s v="Purchases - Secondary"/>
    <x v="2"/>
    <x v="4"/>
    <s v="Silicon Valley Pwr - Santa Clara"/>
    <n v="448"/>
    <n v="1013.8429781871461"/>
    <n v="227.1008271139207"/>
  </r>
  <r>
    <n v="415"/>
    <x v="1"/>
    <s v="Purchases - Secondary"/>
    <x v="2"/>
    <x v="4"/>
    <s v="Snohomish County PUD #1"/>
    <n v="80505"/>
    <n v="1013.8429781871461"/>
    <n v="40809.714479478098"/>
  </r>
  <r>
    <n v="416"/>
    <x v="1"/>
    <s v="Purchases - Secondary"/>
    <x v="2"/>
    <x v="4"/>
    <s v="Southern Cal - Edison"/>
    <n v="29334"/>
    <n v="1013.8429781871461"/>
    <n v="14870.034961070871"/>
  </r>
  <r>
    <n v="417"/>
    <x v="1"/>
    <s v="Purchases - Secondary"/>
    <x v="2"/>
    <x v="4"/>
    <s v="SUEZ Energy Marketing (Tractebel)"/>
    <n v="116640"/>
    <n v="1013.8429781871461"/>
    <n v="59127.322487874357"/>
  </r>
  <r>
    <n v="418"/>
    <x v="1"/>
    <s v="Purchases - Secondary"/>
    <x v="2"/>
    <x v="4"/>
    <s v="Sumas Cogeneration"/>
    <n v="21787.52"/>
    <n v="1013.8429781871461"/>
    <n v="11044.562082056005"/>
  </r>
  <r>
    <n v="419"/>
    <x v="1"/>
    <s v="Purchases - Secondary"/>
    <x v="2"/>
    <x v="4"/>
    <s v="Tacoma Power"/>
    <n v="107444"/>
    <n v="1013.8429781871461"/>
    <n v="54465.672474169856"/>
  </r>
  <r>
    <n v="420"/>
    <x v="1"/>
    <s v="Purchases - Secondary"/>
    <x v="2"/>
    <x v="4"/>
    <s v="Tenaska"/>
    <n v="1537"/>
    <n v="1013.8429781871461"/>
    <n v="779.13832873682179"/>
  </r>
  <r>
    <n v="421"/>
    <x v="1"/>
    <s v="Purchases - Secondary"/>
    <x v="2"/>
    <x v="4"/>
    <s v="TransAlta Energy Marketing"/>
    <n v="1162941"/>
    <n v="1013.8429781871461"/>
    <n v="589519.78344796901"/>
  </r>
  <r>
    <n v="422"/>
    <x v="1"/>
    <s v="Purchases - Secondary"/>
    <x v="2"/>
    <x v="4"/>
    <s v="TransCanada Power Corp."/>
    <n v="3828"/>
    <n v="1013.8429781871461"/>
    <n v="1940.4954602501975"/>
  </r>
  <r>
    <n v="423"/>
    <x v="1"/>
    <s v="Purchases - Secondary"/>
    <x v="2"/>
    <x v="4"/>
    <s v="Turlock Irrigation District"/>
    <n v="13371"/>
    <n v="1013.8429781871461"/>
    <n v="6778.0472306701649"/>
  </r>
  <r>
    <n v="424"/>
    <x v="1"/>
    <s v="Purchases - Secondary"/>
    <x v="2"/>
    <x v="4"/>
    <s v="UBS AG"/>
    <n v="100496"/>
    <n v="1013.8429781871461"/>
    <n v="50943.581967947714"/>
  </r>
  <r>
    <n v="425"/>
    <x v="1"/>
    <s v="Purchases - Secondary"/>
    <x v="2"/>
    <x v="4"/>
    <s v="Western Area Power Association"/>
    <n v="473"/>
    <n v="1013.8429781871461"/>
    <n v="239.77386434126004"/>
  </r>
  <r>
    <n v="426"/>
    <x v="1"/>
    <s v="Purchases - Secondary"/>
    <x v="2"/>
    <x v="4"/>
    <s v="Wild Horse Test Power"/>
    <n v="144854"/>
    <n v="1013.8429781871461"/>
    <n v="73429.605381160422"/>
  </r>
  <r>
    <n v="427"/>
    <x v="1"/>
    <s v="Purchases - Secondary"/>
    <x v="2"/>
    <x v="4"/>
    <s v="Williams Power Company"/>
    <n v="425"/>
    <n v="1013.8429781871461"/>
    <n v="215.44163286476854"/>
  </r>
  <r>
    <n v="429"/>
    <x v="1"/>
    <s v="Interchange - In"/>
    <x v="2"/>
    <x v="4"/>
    <s v="Avista Energy"/>
    <n v="305656"/>
    <n v="1013.8429781871461"/>
    <n v="154943.59467038515"/>
  </r>
  <r>
    <n v="430"/>
    <x v="1"/>
    <s v="Interchange - In"/>
    <x v="2"/>
    <x v="4"/>
    <s v="Black Creek Hydro"/>
    <n v="2816"/>
    <n v="1013.8429781871461"/>
    <n v="1427.4909132875016"/>
  </r>
  <r>
    <n v="431"/>
    <x v="1"/>
    <s v="Interchange - In"/>
    <x v="2"/>
    <x v="4"/>
    <s v="BPA"/>
    <n v="102038"/>
    <n v="1013.8429781871461"/>
    <n v="51725.254904130001"/>
  </r>
  <r>
    <n v="432"/>
    <x v="1"/>
    <s v="Interchange - In"/>
    <x v="2"/>
    <x v="4"/>
    <s v="Cargill Power Markets"/>
    <n v="30396"/>
    <n v="1013.8429781871461"/>
    <n v="15408.385582488247"/>
  </r>
  <r>
    <n v="433"/>
    <x v="1"/>
    <s v="Interchange - In"/>
    <x v="2"/>
    <x v="4"/>
    <s v="Deviation"/>
    <n v="-24937.741999999998"/>
    <n v="1013.8429781871461"/>
    <n v="-12641.477309271337"/>
  </r>
  <r>
    <n v="434"/>
    <x v="1"/>
    <s v="Interchange - In"/>
    <x v="2"/>
    <x v="4"/>
    <s v="Douglas County PUD #1"/>
    <n v="75"/>
    <n v="1013.8429781871461"/>
    <n v="38.019111682017972"/>
  </r>
  <r>
    <n v="435"/>
    <x v="1"/>
    <s v="Interchange - In"/>
    <x v="2"/>
    <x v="4"/>
    <s v="Pacific Gas &amp; Elec - Exchange"/>
    <n v="412904"/>
    <n v="1013.8429781871461"/>
    <n v="209309.91053269268"/>
  </r>
  <r>
    <n v="436"/>
    <x v="1"/>
    <s v="Interchange - In"/>
    <x v="2"/>
    <x v="4"/>
    <s v="Powerex - Exchange"/>
    <n v="610192"/>
    <n v="1013.8429781871461"/>
    <n v="309319.43727298552"/>
  </r>
  <r>
    <n v="437"/>
    <x v="1"/>
    <s v="Interchange - In"/>
    <x v="2"/>
    <x v="4"/>
    <s v="Seattle City Light Marketing"/>
    <n v="78400"/>
    <n v="1013.8429781871461"/>
    <n v="39742.644744936122"/>
  </r>
  <r>
    <n v="438"/>
    <x v="1"/>
    <s v="Interchange - In"/>
    <x v="2"/>
    <x v="4"/>
    <s v="Tacoma Power"/>
    <n v="24876"/>
    <n v="1013.8429781871461"/>
    <n v="12610.178962691722"/>
  </r>
  <r>
    <n v="439"/>
    <x v="1"/>
    <s v="Interchange - In"/>
    <x v="2"/>
    <x v="4"/>
    <s v="Tacoma, City of"/>
    <n v="210"/>
    <n v="1013.8429781871461"/>
    <n v="106.45351270965034"/>
  </r>
  <r>
    <n v="440"/>
    <x v="1"/>
    <s v="Interchange - In"/>
    <x v="2"/>
    <x v="4"/>
    <s v="TransAlta Energy Marketing"/>
    <n v="895958"/>
    <n v="1013.8429781871461"/>
    <n v="454180.36352529947"/>
  </r>
  <r>
    <n v="442"/>
    <x v="1"/>
    <s v="Interchange - Out"/>
    <x v="2"/>
    <x v="4"/>
    <s v="Avista Energy"/>
    <n v="-309216"/>
    <n v="1013.8429781871461"/>
    <n v="-156748.23517155828"/>
  </r>
  <r>
    <n v="443"/>
    <x v="1"/>
    <s v="Interchange - Out"/>
    <x v="2"/>
    <x v="4"/>
    <s v="Black Creek Hydro"/>
    <n v="-3057"/>
    <n v="1013.8429781871461"/>
    <n v="-1549.6589921590528"/>
  </r>
  <r>
    <n v="444"/>
    <x v="1"/>
    <s v="Interchange - Out"/>
    <x v="2"/>
    <x v="4"/>
    <s v="BPA"/>
    <n v="-103655"/>
    <n v="1013.8429781871461"/>
    <n v="-52544.946951994316"/>
  </r>
  <r>
    <n v="445"/>
    <x v="1"/>
    <s v="Interchange - Out"/>
    <x v="2"/>
    <x v="4"/>
    <s v="Cargill Power Markets"/>
    <n v="-31096"/>
    <n v="1013.8429781871461"/>
    <n v="-15763.230624853746"/>
  </r>
  <r>
    <n v="446"/>
    <x v="1"/>
    <s v="Interchange - Out"/>
    <x v="2"/>
    <x v="4"/>
    <s v="Douglas County PUD #1"/>
    <n v="-75"/>
    <n v="1013.8429781871461"/>
    <n v="-38.019111682017972"/>
  </r>
  <r>
    <n v="447"/>
    <x v="1"/>
    <s v="Interchange - Out"/>
    <x v="2"/>
    <x v="4"/>
    <s v="Pacific Gas &amp; Elec - Exchange"/>
    <n v="-413000"/>
    <n v="1013.8429781871461"/>
    <n v="-209358.57499564567"/>
  </r>
  <r>
    <n v="448"/>
    <x v="1"/>
    <s v="Interchange - Out"/>
    <x v="2"/>
    <x v="4"/>
    <s v="Powerex - Exchange"/>
    <n v="-610192"/>
    <n v="1013.8429781871461"/>
    <n v="-309319.43727298552"/>
  </r>
  <r>
    <n v="449"/>
    <x v="1"/>
    <s v="Interchange - Out"/>
    <x v="2"/>
    <x v="4"/>
    <s v="Seattle City Light Marketing"/>
    <n v="-78400"/>
    <n v="1013.8429781871461"/>
    <n v="-39742.644744936122"/>
  </r>
  <r>
    <n v="450"/>
    <x v="1"/>
    <s v="Interchange - Out"/>
    <x v="2"/>
    <x v="4"/>
    <s v="Storage/Interchange - Out"/>
    <n v="-21"/>
    <n v="1013.8429781871461"/>
    <n v="-10.645351270965033"/>
  </r>
  <r>
    <n v="451"/>
    <x v="1"/>
    <s v="Interchange - Out"/>
    <x v="2"/>
    <x v="4"/>
    <s v="Tacoma Power"/>
    <n v="-25065"/>
    <n v="1013.8429781871461"/>
    <n v="-12705.987124130408"/>
  </r>
  <r>
    <n v="452"/>
    <x v="1"/>
    <s v="Interchange - Out"/>
    <x v="2"/>
    <x v="4"/>
    <s v="TransAlta Energy Marketing"/>
    <n v="-895958"/>
    <n v="1013.8429781871461"/>
    <n v="-454180.36352529947"/>
  </r>
  <r>
    <n v="504"/>
    <x v="1"/>
    <s v="Sales for Resale"/>
    <x v="2"/>
    <x v="4"/>
    <s v="Arizona Public Service"/>
    <n v="-3400"/>
    <n v="1013.8429781871461"/>
    <n v="-1723.5330629181483"/>
  </r>
  <r>
    <n v="505"/>
    <x v="1"/>
    <s v="Sales for Resale"/>
    <x v="2"/>
    <x v="4"/>
    <s v="Avista Corp. WWP Division"/>
    <n v="-41478"/>
    <n v="1013.8429781871461"/>
    <n v="-21026.089524623221"/>
  </r>
  <r>
    <n v="506"/>
    <x v="1"/>
    <s v="Sales for Resale"/>
    <x v="2"/>
    <x v="4"/>
    <s v="Avista Energy"/>
    <n v="-307922"/>
    <n v="1013.8429781871461"/>
    <n v="-156092.27876467121"/>
  </r>
  <r>
    <n v="507"/>
    <x v="1"/>
    <s v="Sales for Resale"/>
    <x v="2"/>
    <x v="4"/>
    <s v="Barclays Bank Plc"/>
    <n v="-6000"/>
    <n v="1013.8429781871461"/>
    <n v="-3041.5289345614383"/>
  </r>
  <r>
    <n v="508"/>
    <x v="1"/>
    <s v="Sales for Resale"/>
    <x v="2"/>
    <x v="4"/>
    <s v="Bear Energy LP"/>
    <n v="-3298"/>
    <n v="1013.8429781871461"/>
    <n v="-1671.827071030604"/>
  </r>
  <r>
    <n v="509"/>
    <x v="1"/>
    <s v="Sales for Resale"/>
    <x v="2"/>
    <x v="4"/>
    <s v="Benton County PUD"/>
    <n v="-4433"/>
    <n v="1013.8429781871461"/>
    <n v="-2247.1829611518096"/>
  </r>
  <r>
    <n v="510"/>
    <x v="1"/>
    <s v="Sales for Resale"/>
    <x v="2"/>
    <x v="4"/>
    <s v="Black Hills Power"/>
    <n v="-650"/>
    <n v="1013.8429781871461"/>
    <n v="-329.4989679108225"/>
  </r>
  <r>
    <n v="511"/>
    <x v="1"/>
    <s v="Sales for Resale"/>
    <x v="2"/>
    <x v="4"/>
    <s v="Book Outs - EITF 03-11"/>
    <n v="2421278"/>
    <n v="1013.8429781871461"/>
    <n v="1227397.8492695084"/>
  </r>
  <r>
    <n v="512"/>
    <x v="1"/>
    <s v="Sales for Resale"/>
    <x v="2"/>
    <x v="4"/>
    <s v="BP Energy Co."/>
    <n v="-95783"/>
    <n v="1013.8429781871461"/>
    <n v="-48554.460989849707"/>
  </r>
  <r>
    <n v="513"/>
    <x v="1"/>
    <s v="Sales for Resale"/>
    <x v="2"/>
    <x v="4"/>
    <s v="BPA"/>
    <n v="-141345"/>
    <n v="1013.8429781871461"/>
    <n v="-71650.817875931083"/>
  </r>
  <r>
    <n v="514"/>
    <x v="1"/>
    <s v="Sales for Resale"/>
    <x v="2"/>
    <x v="4"/>
    <s v="British Columbia Transmission Corp"/>
    <n v="-23"/>
    <n v="1013.8429781871461"/>
    <n v="-11.659194249152181"/>
  </r>
  <r>
    <n v="515"/>
    <x v="1"/>
    <s v="Sales for Resale"/>
    <x v="2"/>
    <x v="4"/>
    <s v="Burbank, City of"/>
    <n v="-3121"/>
    <n v="1013.8429781871461"/>
    <n v="-1582.1019674610413"/>
  </r>
  <r>
    <n v="516"/>
    <x v="1"/>
    <s v="Sales for Resale"/>
    <x v="2"/>
    <x v="4"/>
    <s v="Cargill Power Markets"/>
    <n v="-84873"/>
    <n v="1013.8429781871461"/>
    <n v="-43023.947543838818"/>
  </r>
  <r>
    <n v="517"/>
    <x v="1"/>
    <s v="Sales for Resale"/>
    <x v="2"/>
    <x v="4"/>
    <s v="Chelan County PUD #1"/>
    <n v="-1200"/>
    <n v="1013.8429781871461"/>
    <n v="-608.30578691228754"/>
  </r>
  <r>
    <n v="518"/>
    <x v="1"/>
    <s v="Sales for Resale"/>
    <x v="2"/>
    <x v="4"/>
    <s v="Cincinnati Gas &amp; Electric Co"/>
    <n v="-13200"/>
    <n v="1013.8429781871461"/>
    <n v="-6691.3636560351642"/>
  </r>
  <r>
    <n v="519"/>
    <x v="1"/>
    <s v="Sales for Resale"/>
    <x v="2"/>
    <x v="4"/>
    <s v="Cinergy Services"/>
    <n v="-24697"/>
    <n v="1013.8429781871461"/>
    <n v="-12519.440016143973"/>
  </r>
  <r>
    <n v="520"/>
    <x v="1"/>
    <s v="Sales for Resale"/>
    <x v="2"/>
    <x v="4"/>
    <s v="Citigroup Energy Inc"/>
    <n v="-88920"/>
    <n v="1013.8429781871461"/>
    <n v="-45075.458810200515"/>
  </r>
  <r>
    <n v="521"/>
    <x v="1"/>
    <s v="Sales for Resale"/>
    <x v="2"/>
    <x v="4"/>
    <s v="Clatskanie PUD"/>
    <n v="-4691"/>
    <n v="1013.8429781871461"/>
    <n v="-2377.9687053379512"/>
  </r>
  <r>
    <n v="522"/>
    <x v="1"/>
    <s v="Sales for Resale"/>
    <x v="2"/>
    <x v="4"/>
    <s v="Conoco, Inc."/>
    <n v="-44413"/>
    <n v="1013.8429781871461"/>
    <n v="-22513.904095112859"/>
  </r>
  <r>
    <n v="523"/>
    <x v="1"/>
    <s v="Sales for Resale"/>
    <x v="2"/>
    <x v="4"/>
    <s v="Constellation Power Source, Inc."/>
    <n v="-80970"/>
    <n v="1013.8429781871461"/>
    <n v="-41045.432971906608"/>
  </r>
  <r>
    <n v="524"/>
    <x v="1"/>
    <s v="Sales for Resale"/>
    <x v="2"/>
    <x v="4"/>
    <s v="DB Energy Trading LLC"/>
    <n v="-30000"/>
    <n v="1013.8429781871461"/>
    <n v="-15207.644672807191"/>
  </r>
  <r>
    <n v="525"/>
    <x v="1"/>
    <s v="Sales for Resale"/>
    <x v="2"/>
    <x v="4"/>
    <s v="Douglas County PUD #1"/>
    <n v="-980"/>
    <n v="1013.8429781871461"/>
    <n v="-496.78305931170155"/>
  </r>
  <r>
    <n v="526"/>
    <x v="1"/>
    <s v="Sales for Resale"/>
    <x v="2"/>
    <x v="4"/>
    <s v="ENMAX Energy Marketing, Inc."/>
    <n v="-6322"/>
    <n v="1013.8429781871461"/>
    <n v="-3204.7576540495688"/>
  </r>
  <r>
    <n v="527"/>
    <x v="1"/>
    <s v="Sales for Resale"/>
    <x v="2"/>
    <x v="4"/>
    <s v="Epcor Merchant &amp; Capital"/>
    <n v="-21189"/>
    <n v="1013.8429781871461"/>
    <n v="-10741.15943240372"/>
  </r>
  <r>
    <n v="528"/>
    <x v="1"/>
    <s v="Sales for Resale"/>
    <x v="2"/>
    <x v="4"/>
    <s v="Eugene Water &amp; Electric"/>
    <n v="-16203"/>
    <n v="1013.8429781871461"/>
    <n v="-8213.6488877831634"/>
  </r>
  <r>
    <n v="529"/>
    <x v="1"/>
    <s v="Sales for Resale"/>
    <x v="2"/>
    <x v="4"/>
    <s v="Fortis Energy Marketing &amp; Trading"/>
    <n v="-45575"/>
    <n v="1013.8429781871461"/>
    <n v="-23102.94686543959"/>
  </r>
  <r>
    <n v="530"/>
    <x v="1"/>
    <s v="Sales for Resale"/>
    <x v="2"/>
    <x v="4"/>
    <s v="Franklin County PUD #1"/>
    <n v="-1725"/>
    <n v="1013.8429781871461"/>
    <n v="-874.43956868641351"/>
  </r>
  <r>
    <n v="531"/>
    <x v="1"/>
    <s v="Sales for Resale"/>
    <x v="2"/>
    <x v="4"/>
    <s v="Grant County PUD #2"/>
    <n v="-16830"/>
    <n v="1013.8429781871461"/>
    <n v="-8531.4886614448333"/>
  </r>
  <r>
    <n v="532"/>
    <x v="1"/>
    <s v="Sales for Resale"/>
    <x v="2"/>
    <x v="4"/>
    <s v="Grays Harbor PUD #1"/>
    <n v="-4477"/>
    <n v="1013.8429781871461"/>
    <n v="-2269.4875066719264"/>
  </r>
  <r>
    <n v="533"/>
    <x v="1"/>
    <s v="Sales for Resale"/>
    <x v="2"/>
    <x v="4"/>
    <s v="Hinson Power Company"/>
    <n v="-3200"/>
    <n v="1013.8429781871461"/>
    <n v="-1622.1487650994336"/>
  </r>
  <r>
    <n v="534"/>
    <x v="1"/>
    <s v="Sales for Resale"/>
    <x v="2"/>
    <x v="4"/>
    <s v="Iberdrola Renewables (PPM Energy)"/>
    <n v="-183683"/>
    <n v="1013.8429781871461"/>
    <n v="-93112.85988117478"/>
  </r>
  <r>
    <n v="535"/>
    <x v="1"/>
    <s v="Sales for Resale"/>
    <x v="2"/>
    <x v="4"/>
    <s v="Idaho Power Company"/>
    <n v="-77637"/>
    <n v="1013.8429781871461"/>
    <n v="-39355.863648757724"/>
  </r>
  <r>
    <n v="536"/>
    <x v="1"/>
    <s v="Sales for Resale"/>
    <x v="2"/>
    <x v="4"/>
    <s v="J. Aron &amp; Company"/>
    <n v="-13600"/>
    <n v="1013.8429781871461"/>
    <n v="-6894.1322516725932"/>
  </r>
  <r>
    <n v="537"/>
    <x v="1"/>
    <s v="Sales for Resale"/>
    <x v="2"/>
    <x v="4"/>
    <s v="JP Morgan Ventures Energy"/>
    <n v="-20000"/>
    <n v="1013.8429781871461"/>
    <n v="-10138.42978187146"/>
  </r>
  <r>
    <n v="538"/>
    <x v="1"/>
    <s v="Sales for Resale"/>
    <x v="2"/>
    <x v="4"/>
    <s v="Klamath Falls, City of"/>
    <n v="-9281"/>
    <n v="1013.8429781871461"/>
    <n v="-4704.7383402774512"/>
  </r>
  <r>
    <n v="539"/>
    <x v="1"/>
    <s v="Sales for Resale"/>
    <x v="2"/>
    <x v="4"/>
    <s v="Lehman Bros Commodity Services"/>
    <n v="-49275"/>
    <n v="1013.8429781871461"/>
    <n v="-24978.556375085813"/>
  </r>
  <r>
    <n v="540"/>
    <x v="1"/>
    <s v="Sales for Resale"/>
    <x v="2"/>
    <x v="4"/>
    <s v="Los Angeles Dept. Water &amp; Power"/>
    <n v="-3215"/>
    <n v="1013.8429781871461"/>
    <n v="-1629.7525874358373"/>
  </r>
  <r>
    <n v="541"/>
    <x v="1"/>
    <s v="Sales for Resale"/>
    <x v="2"/>
    <x v="4"/>
    <s v="Macquarie Energy LLC"/>
    <n v="-77000"/>
    <n v="1013.8429781871461"/>
    <n v="-39032.954660205127"/>
  </r>
  <r>
    <n v="542"/>
    <x v="1"/>
    <s v="Sales for Resale"/>
    <x v="2"/>
    <x v="4"/>
    <s v="Merrill Lynch Commodities"/>
    <n v="-40881"/>
    <n v="1013.8429781871461"/>
    <n v="-20723.457395634359"/>
  </r>
  <r>
    <n v="543"/>
    <x v="1"/>
    <s v="Sales for Resale"/>
    <x v="2"/>
    <x v="4"/>
    <s v="Modesto Irrigation District"/>
    <n v="-8394"/>
    <n v="1013.8429781871461"/>
    <n v="-4255.0989794514526"/>
  </r>
  <r>
    <n v="544"/>
    <x v="1"/>
    <s v="Sales for Resale"/>
    <x v="2"/>
    <x v="4"/>
    <s v="Morgan Stanley CG"/>
    <n v="-252602"/>
    <n v="1013.8429781871461"/>
    <n v="-128049.38198801473"/>
  </r>
  <r>
    <n v="545"/>
    <x v="1"/>
    <s v="Sales for Resale"/>
    <x v="2"/>
    <x v="4"/>
    <s v="N. California Power Agency"/>
    <n v="-3417"/>
    <n v="1013.8429781871461"/>
    <n v="-1732.1507282327391"/>
  </r>
  <r>
    <n v="546"/>
    <x v="1"/>
    <s v="Sales for Resale"/>
    <x v="2"/>
    <x v="4"/>
    <s v="Noble Americas Energy Solutions"/>
    <n v="-2072"/>
    <n v="1013.8429781871461"/>
    <n v="-1050.3413254018833"/>
  </r>
  <r>
    <n v="547"/>
    <x v="1"/>
    <s v="Sales for Resale"/>
    <x v="2"/>
    <x v="4"/>
    <s v="NorthPoint Energy Solutions, Inc."/>
    <n v="-17324"/>
    <n v="1013.8429781871461"/>
    <n v="-8781.9078770570595"/>
  </r>
  <r>
    <n v="548"/>
    <x v="1"/>
    <s v="Sales for Resale"/>
    <x v="2"/>
    <x v="4"/>
    <s v="Northwestern Energy"/>
    <n v="-25569"/>
    <n v="1013.8429781871461"/>
    <n v="-12961.475554633569"/>
  </r>
  <r>
    <n v="549"/>
    <x v="1"/>
    <s v="Sales for Resale"/>
    <x v="2"/>
    <x v="4"/>
    <s v="Occidental Power Services"/>
    <n v="-5300"/>
    <n v="1013.8429781871461"/>
    <n v="-2686.683892195937"/>
  </r>
  <r>
    <n v="550"/>
    <x v="1"/>
    <s v="Sales for Resale"/>
    <x v="2"/>
    <x v="4"/>
    <s v="Okanogan PUD"/>
    <n v="-260"/>
    <n v="1013.8429781871461"/>
    <n v="-131.79958716432898"/>
  </r>
  <r>
    <n v="551"/>
    <x v="1"/>
    <s v="Sales for Resale"/>
    <x v="2"/>
    <x v="4"/>
    <s v="Pacific Northwest Generatin Coop."/>
    <n v="-7665"/>
    <n v="1013.8429781871461"/>
    <n v="-3885.5532139022375"/>
  </r>
  <r>
    <n v="552"/>
    <x v="1"/>
    <s v="Sales for Resale"/>
    <x v="2"/>
    <x v="4"/>
    <s v="Pacificorp"/>
    <n v="-299493"/>
    <n v="1013.8429781871461"/>
    <n v="-151819.43753310147"/>
  </r>
  <r>
    <n v="553"/>
    <x v="1"/>
    <s v="Sales for Resale"/>
    <x v="2"/>
    <x v="4"/>
    <s v="PG&amp;E Energy Trading"/>
    <n v="-10225"/>
    <n v="1013.8429781871461"/>
    <n v="-5183.2722259817838"/>
  </r>
  <r>
    <n v="554"/>
    <x v="1"/>
    <s v="Sales for Resale"/>
    <x v="2"/>
    <x v="4"/>
    <s v="Pinnacle West Capital Corp"/>
    <n v="-11000"/>
    <n v="1013.8429781871461"/>
    <n v="-5576.1363800293029"/>
  </r>
  <r>
    <n v="555"/>
    <x v="1"/>
    <s v="Sales for Resale"/>
    <x v="2"/>
    <x v="4"/>
    <s v="Portland General Electric"/>
    <n v="-84922"/>
    <n v="1013.8429781871461"/>
    <n v="-43048.786696804411"/>
  </r>
  <r>
    <n v="556"/>
    <x v="1"/>
    <s v="Sales for Resale"/>
    <x v="2"/>
    <x v="4"/>
    <s v="Powerex Corp."/>
    <n v="-546974"/>
    <n v="1013.8429781871461"/>
    <n v="-277272.87457546801"/>
  </r>
  <r>
    <n v="557"/>
    <x v="1"/>
    <s v="Sales for Resale"/>
    <x v="2"/>
    <x v="4"/>
    <s v="PP&amp;L Montana, LLC."/>
    <n v="-54840"/>
    <n v="1013.8429781871461"/>
    <n v="-27799.574461891541"/>
  </r>
  <r>
    <n v="558"/>
    <x v="1"/>
    <s v="Sales for Resale"/>
    <x v="2"/>
    <x v="4"/>
    <s v="Public Service of Colorado"/>
    <n v="-12930"/>
    <n v="1013.8429781871461"/>
    <n v="-6554.4948539798997"/>
  </r>
  <r>
    <n v="559"/>
    <x v="1"/>
    <s v="Sales for Resale"/>
    <x v="2"/>
    <x v="4"/>
    <s v="Rainbow Energy Marketing"/>
    <n v="-182633"/>
    <n v="1013.8429781871461"/>
    <n v="-92580.592317626521"/>
  </r>
  <r>
    <n v="560"/>
    <x v="1"/>
    <s v="Sales for Resale"/>
    <x v="2"/>
    <x v="4"/>
    <s v="Redding, City of"/>
    <n v="-2030"/>
    <n v="1013.8429781871461"/>
    <n v="-1029.0506228599531"/>
  </r>
  <r>
    <n v="561"/>
    <x v="1"/>
    <s v="Sales for Resale"/>
    <x v="2"/>
    <x v="4"/>
    <s v="Sacramento Municipal"/>
    <n v="-9398"/>
    <n v="1013.8429781871461"/>
    <n v="-4764.048154501399"/>
  </r>
  <r>
    <n v="562"/>
    <x v="1"/>
    <s v="Sales for Resale"/>
    <x v="2"/>
    <x v="4"/>
    <s v="San Diego Gas &amp; Electric"/>
    <n v="-11112"/>
    <n v="1013.8429781871461"/>
    <n v="-5632.9115868077834"/>
  </r>
  <r>
    <n v="563"/>
    <x v="1"/>
    <s v="Sales for Resale"/>
    <x v="2"/>
    <x v="4"/>
    <s v="Seattle City Light Marketing"/>
    <n v="-43046"/>
    <n v="1013.8429781871461"/>
    <n v="-21820.942419521947"/>
  </r>
  <r>
    <n v="564"/>
    <x v="1"/>
    <s v="Sales for Resale"/>
    <x v="2"/>
    <x v="4"/>
    <s v="Sempra Energy Trading"/>
    <n v="-186355"/>
    <n v="1013.8429781871461"/>
    <n v="-94467.354100032811"/>
  </r>
  <r>
    <n v="565"/>
    <x v="1"/>
    <s v="Sales for Resale"/>
    <x v="2"/>
    <x v="4"/>
    <s v="Shell Energy (Coral Pwr)"/>
    <n v="-215517"/>
    <n v="1013.8429781871461"/>
    <n v="-109250.19856497958"/>
  </r>
  <r>
    <n v="566"/>
    <x v="1"/>
    <s v="Sales for Resale"/>
    <x v="2"/>
    <x v="4"/>
    <s v="Sierra Pacific Power"/>
    <n v="-23099"/>
    <n v="1013.8429781871461"/>
    <n v="-11709.379476572443"/>
  </r>
  <r>
    <n v="567"/>
    <x v="1"/>
    <s v="Sales for Resale"/>
    <x v="2"/>
    <x v="4"/>
    <s v="Silicon Valley Pwr - Santa Clara"/>
    <n v="-16202"/>
    <n v="1013.8429781871461"/>
    <n v="-8213.1419662940698"/>
  </r>
  <r>
    <n v="568"/>
    <x v="1"/>
    <s v="Sales for Resale"/>
    <x v="2"/>
    <x v="4"/>
    <s v="Snohomish County PUD #1"/>
    <n v="-29170"/>
    <n v="1013.8429781871461"/>
    <n v="-14786.899836859526"/>
  </r>
  <r>
    <n v="569"/>
    <x v="1"/>
    <s v="Sales for Resale"/>
    <x v="2"/>
    <x v="4"/>
    <s v="Southern Cal - Edison"/>
    <n v="-18966"/>
    <n v="1013.8429781871461"/>
    <n v="-9614.2729621487051"/>
  </r>
  <r>
    <n v="570"/>
    <x v="1"/>
    <s v="Sales for Resale"/>
    <x v="2"/>
    <x v="4"/>
    <s v="SUEZ Energy Marketing (Tractebel)"/>
    <n v="-115860"/>
    <n v="1013.8429781871461"/>
    <n v="-58731.92372638137"/>
  </r>
  <r>
    <n v="571"/>
    <x v="1"/>
    <s v="Sales for Resale"/>
    <x v="2"/>
    <x v="4"/>
    <s v="Tacoma Power"/>
    <n v="-9162"/>
    <n v="1013.8429781871461"/>
    <n v="-4644.4146830753161"/>
  </r>
  <r>
    <n v="572"/>
    <x v="1"/>
    <s v="Sales for Resale"/>
    <x v="2"/>
    <x v="4"/>
    <s v="TransAlta Energy Marketing"/>
    <n v="-618699"/>
    <n v="1013.8429781871461"/>
    <n v="-313631.8183807045"/>
  </r>
  <r>
    <n v="573"/>
    <x v="1"/>
    <s v="Sales for Resale"/>
    <x v="2"/>
    <x v="4"/>
    <s v="TransCanada Power Corp."/>
    <n v="-15432"/>
    <n v="1013.8429781871461"/>
    <n v="-7822.8124196920189"/>
  </r>
  <r>
    <n v="574"/>
    <x v="1"/>
    <s v="Sales for Resale"/>
    <x v="2"/>
    <x v="4"/>
    <s v="Turlock Irrigation District"/>
    <n v="-2765"/>
    <n v="1013.8429781871461"/>
    <n v="-1401.6379173437294"/>
  </r>
  <r>
    <n v="575"/>
    <x v="1"/>
    <s v="Sales for Resale"/>
    <x v="2"/>
    <x v="4"/>
    <s v="UBS AG"/>
    <n v="-74264"/>
    <n v="1013.8429781871461"/>
    <n v="-37646.017466045101"/>
  </r>
  <r>
    <n v="576"/>
    <x v="1"/>
    <s v="Sales for Resale"/>
    <x v="2"/>
    <x v="4"/>
    <s v="Western Area Power Association"/>
    <n v="-515"/>
    <n v="1013.8429781871461"/>
    <n v="-261.06456688319008"/>
  </r>
  <r>
    <n v="577"/>
    <x v="1"/>
    <s v="Sales for Resale"/>
    <x v="2"/>
    <x v="4"/>
    <s v="Williams Power Company"/>
    <n v="-425"/>
    <n v="1013.8429781871461"/>
    <n v="-215.44163286476854"/>
  </r>
  <r>
    <n v="617"/>
    <x v="2"/>
    <s v="Generation - Hydro"/>
    <x v="0"/>
    <x v="0"/>
    <s v="Electron"/>
    <n v="88728.5"/>
    <n v="0"/>
    <n v="0"/>
  </r>
  <r>
    <n v="618"/>
    <x v="2"/>
    <s v="Generation - Hydro"/>
    <x v="0"/>
    <x v="0"/>
    <s v="Lower Baker"/>
    <n v="436208.3"/>
    <n v="0"/>
    <n v="0"/>
  </r>
  <r>
    <n v="620"/>
    <x v="2"/>
    <s v="Generation - Hydro"/>
    <x v="0"/>
    <x v="0"/>
    <s v="Snoqualmie Falls #1"/>
    <n v="52146.400000000001"/>
    <n v="0"/>
    <n v="0"/>
  </r>
  <r>
    <n v="621"/>
    <x v="2"/>
    <s v="Generation - Hydro"/>
    <x v="0"/>
    <x v="0"/>
    <s v="Snoqualmie Falls #2"/>
    <n v="176100.2"/>
    <n v="0"/>
    <n v="0"/>
  </r>
  <r>
    <n v="623"/>
    <x v="2"/>
    <s v="Generation - Hydro"/>
    <x v="0"/>
    <x v="0"/>
    <s v="Upper Baker"/>
    <n v="401050.43"/>
    <n v="0"/>
    <n v="0"/>
  </r>
  <r>
    <n v="627"/>
    <x v="2"/>
    <s v="Generation - Steam"/>
    <x v="0"/>
    <x v="1"/>
    <s v="Colstrip 1 &amp; 2"/>
    <n v="2366043"/>
    <n v="2509.6325806420255"/>
    <n v="2968949.3"/>
  </r>
  <r>
    <n v="628"/>
    <x v="2"/>
    <s v="Generation - Steam"/>
    <x v="0"/>
    <x v="1"/>
    <s v="Colstrip 3 &amp; 4"/>
    <n v="2776869"/>
    <n v="2420.5408501445331"/>
    <n v="3360762.4249999998"/>
  </r>
  <r>
    <n v="629"/>
    <x v="2"/>
    <s v="Generation - Steam"/>
    <x v="0"/>
    <x v="2"/>
    <s v="Encogen"/>
    <n v="182970"/>
    <n v="1127.5436203061972"/>
    <n v="103153.32810371245"/>
  </r>
  <r>
    <n v="630"/>
    <x v="2"/>
    <s v="Generation - Steam"/>
    <x v="0"/>
    <x v="2"/>
    <s v="Goldendale"/>
    <n v="636737.19999999995"/>
    <n v="783.94989064411186"/>
    <n v="249585.02915451897"/>
  </r>
  <r>
    <n v="632"/>
    <x v="2"/>
    <s v="Generation - Oil/Gas/Wind"/>
    <x v="0"/>
    <x v="3"/>
    <s v="Crystal Mountain"/>
    <n v="313.42"/>
    <n v="1963.3964030374577"/>
    <n v="307.68385032000003"/>
  </r>
  <r>
    <n v="634"/>
    <x v="2"/>
    <s v="Generation - Oil/Gas/Wind"/>
    <x v="0"/>
    <x v="2"/>
    <s v="Freddie #1"/>
    <n v="440914"/>
    <n v="391.94270735263399"/>
    <n v="86406.513434839639"/>
  </r>
  <r>
    <n v="635"/>
    <x v="2"/>
    <s v="Generation - Oil/Gas/Wind"/>
    <x v="0"/>
    <x v="2"/>
    <s v="Fredonia"/>
    <n v="7927.5"/>
    <n v="1599.7328073884109"/>
    <n v="6340.9409152858134"/>
  </r>
  <r>
    <n v="636"/>
    <x v="2"/>
    <s v="Generation - Oil/Gas/Wind"/>
    <x v="0"/>
    <x v="2"/>
    <s v="Fredonia 3 &amp; 4"/>
    <n v="19646.900000000001"/>
    <n v="1159.4426591845654"/>
    <n v="11389.726990366618"/>
  </r>
  <r>
    <n v="637"/>
    <x v="2"/>
    <s v="Generation - Oil/Gas/Wind"/>
    <x v="0"/>
    <x v="2"/>
    <s v="Fredrickson 1 &amp; 2"/>
    <n v="8908"/>
    <n v="1324.5215387832911"/>
    <n v="5899.4189337407788"/>
  </r>
  <r>
    <n v="639"/>
    <x v="2"/>
    <s v="Generation - Oil/Gas/Wind"/>
    <x v="0"/>
    <x v="0"/>
    <s v="Hopkins Ridge (W184)"/>
    <n v="402465.2"/>
    <n v="0"/>
    <n v="0"/>
  </r>
  <r>
    <n v="642"/>
    <x v="2"/>
    <s v="Generation - Oil/Gas/Wind"/>
    <x v="0"/>
    <x v="2"/>
    <s v="Whitehorn 2&amp;3"/>
    <n v="13208"/>
    <n v="1471.3440376388919"/>
    <n v="9716.756024567243"/>
  </r>
  <r>
    <n v="643"/>
    <x v="2"/>
    <s v="Generation - Oil/Gas/Wind"/>
    <x v="0"/>
    <x v="0"/>
    <s v="Wild Horse (W183)"/>
    <n v="612858.34600000002"/>
    <n v="0"/>
    <n v="0"/>
  </r>
  <r>
    <n v="645"/>
    <x v="2"/>
    <s v="Purchases - Firm"/>
    <x v="1"/>
    <x v="4"/>
    <s v="BC Hydro (Point Roberts)"/>
    <n v="22373.439999999999"/>
    <n v="1201.8007841674578"/>
    <n v="13444.208868261783"/>
  </r>
  <r>
    <n v="646"/>
    <x v="2"/>
    <s v="Purchases - Firm"/>
    <x v="1"/>
    <x v="0"/>
    <s v="BPA"/>
    <n v="6923"/>
    <n v="0"/>
    <n v="0"/>
  </r>
  <r>
    <n v="647"/>
    <x v="2"/>
    <s v="Purchases - Firm"/>
    <x v="1"/>
    <x v="4"/>
    <s v="BPA Firm - WNP#3 Exchange"/>
    <n v="339510"/>
    <n v="1201.8007841674578"/>
    <n v="204011.69211634679"/>
  </r>
  <r>
    <n v="649"/>
    <x v="2"/>
    <s v="Purchases - Firm"/>
    <x v="1"/>
    <x v="0"/>
    <s v="Chelan PUD - Rock Island Syst #2"/>
    <n v="1279176"/>
    <n v="0"/>
    <n v="0"/>
  </r>
  <r>
    <n v="650"/>
    <x v="2"/>
    <s v="Purchases - Firm"/>
    <x v="1"/>
    <x v="0"/>
    <s v="Chelan PUD - Rocky Reach"/>
    <n v="2478149"/>
    <n v="0"/>
    <n v="0"/>
  </r>
  <r>
    <n v="651"/>
    <x v="2"/>
    <s v="Purchases - Firm"/>
    <x v="1"/>
    <x v="0"/>
    <s v="Douglas PUD - Wells Project"/>
    <n v="1143974"/>
    <n v="0"/>
    <n v="0"/>
  </r>
  <r>
    <n v="652"/>
    <x v="2"/>
    <s v="Purchases - Firm"/>
    <x v="1"/>
    <x v="0"/>
    <s v="Grant PUD - Priest Rapids"/>
    <n v="437351"/>
    <n v="0"/>
    <n v="0"/>
  </r>
  <r>
    <n v="653"/>
    <x v="2"/>
    <s v="Purchases - Firm"/>
    <x v="1"/>
    <x v="0"/>
    <s v="Grant PUD - Wanapum"/>
    <n v="471766"/>
    <n v="0"/>
    <n v="0"/>
  </r>
  <r>
    <n v="654"/>
    <x v="2"/>
    <s v="Purchases - Firm"/>
    <x v="1"/>
    <x v="0"/>
    <s v="Klondike Wind Power III"/>
    <n v="8570"/>
    <n v="0"/>
    <n v="0"/>
  </r>
  <r>
    <n v="655"/>
    <x v="2"/>
    <s v="Purchases - Firm"/>
    <x v="1"/>
    <x v="1"/>
    <s v="NWestern Energy(MPC) Firm Contract"/>
    <n v="744477"/>
    <n v="2461.5283034203198"/>
    <n v="916275.60337272473"/>
  </r>
  <r>
    <n v="656"/>
    <x v="2"/>
    <s v="Purchases - Firm"/>
    <x v="1"/>
    <x v="4"/>
    <s v="Snohomish PUD Conservation"/>
    <n v="89728"/>
    <n v="1201.8007841674578"/>
    <n v="53917.590380888825"/>
  </r>
  <r>
    <n v="657"/>
    <x v="2"/>
    <s v="Purchases - Firm"/>
    <x v="1"/>
    <x v="0"/>
    <s v="VanderHaak Dairy Digester"/>
    <n v="2091.6"/>
    <n v="0"/>
    <n v="0"/>
  </r>
  <r>
    <n v="658"/>
    <x v="2"/>
    <s v="Purchases - Firm"/>
    <x v="1"/>
    <x v="0"/>
    <s v="WASCO Hydro"/>
    <n v="43893"/>
    <n v="0"/>
    <n v="0"/>
  </r>
  <r>
    <n v="660"/>
    <x v="2"/>
    <s v="Purchases - PURPA"/>
    <x v="1"/>
    <x v="0"/>
    <s v="Hutchinson Creek"/>
    <n v="1860.32"/>
    <n v="0"/>
    <n v="0"/>
  </r>
  <r>
    <n v="661"/>
    <x v="2"/>
    <s v="Purchases - PURPA"/>
    <x v="1"/>
    <x v="0"/>
    <s v="Koma Kulshan Associates"/>
    <n v="43644"/>
    <n v="0"/>
    <n v="0"/>
  </r>
  <r>
    <n v="663"/>
    <x v="2"/>
    <s v="Purchases - PURPA"/>
    <x v="1"/>
    <x v="2"/>
    <s v="March Point Cogen. - 1 &amp; 2"/>
    <n v="1025307.58"/>
    <n v="716.46716245229504"/>
    <n v="367299.60624171473"/>
  </r>
  <r>
    <n v="664"/>
    <x v="2"/>
    <s v="Purchases - PURPA"/>
    <x v="1"/>
    <x v="0"/>
    <s v="Nooksack"/>
    <n v="22963.77"/>
    <n v="0"/>
    <n v="0"/>
  </r>
  <r>
    <n v="665"/>
    <x v="2"/>
    <s v="Purchases - PURPA"/>
    <x v="1"/>
    <x v="5"/>
    <s v="Port Townsend Paper Co."/>
    <n v="2611.3200000000002"/>
    <n v="1070.767948493221"/>
    <n v="1398.058879629659"/>
  </r>
  <r>
    <n v="666"/>
    <x v="2"/>
    <s v="Purchases - PURPA"/>
    <x v="1"/>
    <x v="0"/>
    <s v="Puyallup Energy Recovery Company"/>
    <n v="2756.55"/>
    <n v="0"/>
    <n v="0"/>
  </r>
  <r>
    <n v="667"/>
    <x v="2"/>
    <s v="Purchases - PURPA"/>
    <x v="1"/>
    <x v="6"/>
    <s v="Spokane MSW"/>
    <n v="141747"/>
    <n v="4476.201431413494"/>
    <n v="317244.06214928423"/>
  </r>
  <r>
    <n v="668"/>
    <x v="2"/>
    <s v="Purchases - PURPA"/>
    <x v="1"/>
    <x v="2"/>
    <s v="Sumas Cogeneration"/>
    <n v="228957.17"/>
    <n v="848.73172220786239"/>
    <n v="97161.606602969172"/>
  </r>
  <r>
    <n v="669"/>
    <x v="2"/>
    <s v="Purchases - PURPA"/>
    <x v="1"/>
    <x v="0"/>
    <s v="Sygitowicz Creek"/>
    <n v="458.4"/>
    <n v="0"/>
    <n v="0"/>
  </r>
  <r>
    <n v="670"/>
    <x v="2"/>
    <s v="Purchases - PURPA"/>
    <x v="1"/>
    <x v="2"/>
    <s v="Tenaska"/>
    <n v="729134"/>
    <n v="885.29203093487365"/>
    <n v="322748.25984183408"/>
  </r>
  <r>
    <n v="671"/>
    <x v="2"/>
    <s v="Purchases - PURPA"/>
    <x v="1"/>
    <x v="0"/>
    <s v="Twin Falls Hydro"/>
    <n v="73012"/>
    <n v="0"/>
    <n v="0"/>
  </r>
  <r>
    <n v="672"/>
    <x v="2"/>
    <s v="Purchases - PURPA"/>
    <x v="1"/>
    <x v="0"/>
    <s v="Weeks Falls"/>
    <n v="13389.6"/>
    <n v="0"/>
    <n v="0"/>
  </r>
  <r>
    <n v="674"/>
    <x v="2"/>
    <s v="Purchases - Secondary"/>
    <x v="2"/>
    <x v="4"/>
    <s v="ATCO Power Canada"/>
    <n v="343"/>
    <n v="1201.8007841674578"/>
    <n v="206.10883448471901"/>
  </r>
  <r>
    <n v="675"/>
    <x v="2"/>
    <s v="Purchases - Secondary"/>
    <x v="2"/>
    <x v="4"/>
    <s v="Avista Corp. WWP Division"/>
    <n v="78343.520000000004"/>
    <n v="1201.8007841674578"/>
    <n v="47076.651885219457"/>
  </r>
  <r>
    <n v="676"/>
    <x v="2"/>
    <s v="Purchases - Secondary"/>
    <x v="2"/>
    <x v="4"/>
    <s v="Avista Energy"/>
    <n v="213884"/>
    <n v="1201.8007841674578"/>
    <n v="128522.97946043627"/>
  </r>
  <r>
    <n v="677"/>
    <x v="2"/>
    <s v="Purchases - Secondary"/>
    <x v="2"/>
    <x v="4"/>
    <s v="Barclays Bank Plc"/>
    <n v="61000"/>
    <n v="1201.8007841674578"/>
    <n v="36654.923917107466"/>
  </r>
  <r>
    <n v="678"/>
    <x v="2"/>
    <s v="Purchases - Secondary"/>
    <x v="2"/>
    <x v="4"/>
    <s v="Bear Energy LP"/>
    <n v="160006"/>
    <n v="1201.8007841674578"/>
    <n v="96147.668135749132"/>
  </r>
  <r>
    <n v="679"/>
    <x v="2"/>
    <s v="Purchases - Secondary"/>
    <x v="2"/>
    <x v="4"/>
    <s v="Benton County PUD"/>
    <n v="23621"/>
    <n v="1201.8007841674578"/>
    <n v="14193.86816140976"/>
  </r>
  <r>
    <n v="680"/>
    <x v="2"/>
    <s v="Purchases - Secondary"/>
    <x v="2"/>
    <x v="4"/>
    <s v="Black Hills Power"/>
    <n v="4400"/>
    <n v="1201.8007841674578"/>
    <n v="2643.9617251684072"/>
  </r>
  <r>
    <n v="681"/>
    <x v="2"/>
    <s v="Purchases - Secondary"/>
    <x v="2"/>
    <x v="4"/>
    <s v="Book Outs - EITF 03-11"/>
    <n v="-2169507"/>
    <n v="1201.8007841674578"/>
    <n v="-1303657.6069283944"/>
  </r>
  <r>
    <n v="682"/>
    <x v="2"/>
    <s v="Purchases - Secondary"/>
    <x v="2"/>
    <x v="4"/>
    <s v="BP Energy Co."/>
    <n v="32332"/>
    <n v="1201.8007841674578"/>
    <n v="19428.311476851122"/>
  </r>
  <r>
    <n v="683"/>
    <x v="2"/>
    <s v="Purchases - Secondary"/>
    <x v="2"/>
    <x v="4"/>
    <s v="BPA"/>
    <n v="246829"/>
    <n v="1201.8007841674578"/>
    <n v="148319.6428776347"/>
  </r>
  <r>
    <n v="684"/>
    <x v="2"/>
    <s v="Purchases - Secondary"/>
    <x v="2"/>
    <x v="4"/>
    <s v="British Columbia Transmission Corp"/>
    <n v="85"/>
    <n v="1201.8007841674578"/>
    <n v="51.076533327116955"/>
  </r>
  <r>
    <n v="685"/>
    <x v="2"/>
    <s v="Purchases - Secondary"/>
    <x v="2"/>
    <x v="4"/>
    <s v="Burbank, City of"/>
    <n v="1105"/>
    <n v="1201.8007841674578"/>
    <n v="663.99493325252035"/>
  </r>
  <r>
    <n v="686"/>
    <x v="2"/>
    <s v="Purchases - Secondary"/>
    <x v="2"/>
    <x v="4"/>
    <s v="Cargill Power Markets"/>
    <n v="87029"/>
    <n v="1201.8007841674578"/>
    <n v="52295.760222654841"/>
  </r>
  <r>
    <n v="687"/>
    <x v="2"/>
    <s v="Purchases - Secondary"/>
    <x v="2"/>
    <x v="4"/>
    <s v="Chelan County PUD #1"/>
    <n v="57329"/>
    <n v="1201.8007841674578"/>
    <n v="34449.018577768096"/>
  </r>
  <r>
    <n v="688"/>
    <x v="2"/>
    <s v="Purchases - Secondary"/>
    <x v="2"/>
    <x v="4"/>
    <s v="Citigroup Energy Inc"/>
    <n v="186496"/>
    <n v="1201.8007841674578"/>
    <n v="112065.51952204711"/>
  </r>
  <r>
    <n v="689"/>
    <x v="2"/>
    <s v="Purchases - Secondary"/>
    <x v="2"/>
    <x v="4"/>
    <s v="Clatskanie PUD"/>
    <n v="17582"/>
    <n v="1201.8007841674578"/>
    <n v="10565.030693616121"/>
  </r>
  <r>
    <n v="690"/>
    <x v="2"/>
    <s v="Purchases - Secondary"/>
    <x v="2"/>
    <x v="4"/>
    <s v="Conoco, Inc."/>
    <n v="46240"/>
    <n v="1201.8007841674578"/>
    <n v="27785.634129951621"/>
  </r>
  <r>
    <n v="691"/>
    <x v="2"/>
    <s v="Purchases - Secondary"/>
    <x v="2"/>
    <x v="4"/>
    <s v="Constellation Power Source, Inc."/>
    <n v="927668"/>
    <n v="1201.8007841674578"/>
    <n v="557436.06492352858"/>
  </r>
  <r>
    <n v="692"/>
    <x v="2"/>
    <s v="Purchases - Secondary"/>
    <x v="2"/>
    <x v="4"/>
    <s v="CP Energy Marketing (Epcor)"/>
    <n v="79114"/>
    <n v="1201.8007841674578"/>
    <n v="47539.633619312131"/>
  </r>
  <r>
    <n v="693"/>
    <x v="2"/>
    <s v="Purchases - Secondary"/>
    <x v="2"/>
    <x v="4"/>
    <s v="Credit Suisse Energy, LLC"/>
    <n v="153200"/>
    <n v="1201.8007841674578"/>
    <n v="92057.94006722726"/>
  </r>
  <r>
    <n v="694"/>
    <x v="2"/>
    <s v="Purchases - Secondary"/>
    <x v="2"/>
    <x v="4"/>
    <s v="DB Energy Trading LLC"/>
    <n v="25400"/>
    <n v="1201.8007841674578"/>
    <n v="15262.869958926713"/>
  </r>
  <r>
    <n v="695"/>
    <x v="2"/>
    <s v="Purchases - Secondary"/>
    <x v="2"/>
    <x v="4"/>
    <s v="Douglas County PUD #1"/>
    <n v="299493"/>
    <n v="1201.8007841674578"/>
    <n v="179965.46112633223"/>
  </r>
  <r>
    <n v="696"/>
    <x v="2"/>
    <s v="Purchases - Secondary"/>
    <x v="2"/>
    <x v="4"/>
    <s v="ENMAX Energy Marketing, Inc."/>
    <n v="1711"/>
    <n v="1201.8007841674578"/>
    <n v="1028.1405708552602"/>
  </r>
  <r>
    <n v="698"/>
    <x v="2"/>
    <s v="Purchases - Secondary"/>
    <x v="2"/>
    <x v="4"/>
    <s v="Eugene Water &amp; Electric"/>
    <n v="94235"/>
    <n v="1201.8007841674578"/>
    <n v="56625.848448010191"/>
  </r>
  <r>
    <n v="699"/>
    <x v="2"/>
    <s v="Purchases - Secondary"/>
    <x v="2"/>
    <x v="4"/>
    <s v="Fortis Energy Marketing &amp; Trading"/>
    <n v="93400"/>
    <n v="1201.8007841674578"/>
    <n v="56124.096620620279"/>
  </r>
  <r>
    <n v="700"/>
    <x v="2"/>
    <s v="Purchases - Secondary"/>
    <x v="2"/>
    <x v="4"/>
    <s v="Franklin County PUD #1"/>
    <n v="18589"/>
    <n v="1201.8007841674578"/>
    <n v="11170.137388444437"/>
  </r>
  <r>
    <n v="701"/>
    <x v="2"/>
    <s v="Purchases - Secondary"/>
    <x v="2"/>
    <x v="4"/>
    <s v="Grant County PUD #2"/>
    <n v="56689"/>
    <n v="1201.8007841674578"/>
    <n v="34064.442326834505"/>
  </r>
  <r>
    <n v="702"/>
    <x v="2"/>
    <s v="Purchases - Secondary"/>
    <x v="2"/>
    <x v="4"/>
    <s v="Grays Harbor PUD #1"/>
    <n v="32287"/>
    <n v="1201.8007841674578"/>
    <n v="19401.270959207355"/>
  </r>
  <r>
    <n v="703"/>
    <x v="2"/>
    <s v="Purchases - Secondary"/>
    <x v="2"/>
    <x v="4"/>
    <s v="Highland Energy LLC"/>
    <n v="950"/>
    <n v="1201.8007841674578"/>
    <n v="570.85537247954244"/>
  </r>
  <r>
    <n v="704"/>
    <x v="2"/>
    <s v="Purchases - Secondary"/>
    <x v="2"/>
    <x v="4"/>
    <s v="Hinson Power Company"/>
    <n v="1600"/>
    <n v="1201.8007841674578"/>
    <n v="961.44062733396618"/>
  </r>
  <r>
    <n v="705"/>
    <x v="2"/>
    <s v="Purchases - Secondary"/>
    <x v="2"/>
    <x v="4"/>
    <s v="Iberdrola Renewables (PPM Energy)"/>
    <n v="297538"/>
    <n v="1201.8007841674578"/>
    <n v="178790.70085980854"/>
  </r>
  <r>
    <n v="706"/>
    <x v="2"/>
    <s v="Purchases - Secondary"/>
    <x v="2"/>
    <x v="4"/>
    <s v="Idaho Falls Power"/>
    <n v="42710"/>
    <n v="1201.8007841674578"/>
    <n v="25664.455745896059"/>
  </r>
  <r>
    <n v="707"/>
    <x v="2"/>
    <s v="Purchases - Secondary"/>
    <x v="2"/>
    <x v="4"/>
    <s v="Idaho Power Company"/>
    <n v="60463"/>
    <n v="1201.8007841674578"/>
    <n v="36332.2404065585"/>
  </r>
  <r>
    <n v="708"/>
    <x v="2"/>
    <s v="Purchases - Secondary"/>
    <x v="2"/>
    <x v="4"/>
    <s v="J. Aron &amp; Company"/>
    <n v="22050"/>
    <n v="1201.8007841674578"/>
    <n v="13249.853645446223"/>
  </r>
  <r>
    <n v="709"/>
    <x v="2"/>
    <s v="Purchases - Secondary"/>
    <x v="2"/>
    <x v="4"/>
    <s v="JP Morgan Ventures Energy"/>
    <n v="79600"/>
    <n v="1201.8007841674578"/>
    <n v="47831.67120986482"/>
  </r>
  <r>
    <n v="710"/>
    <x v="2"/>
    <s v="Purchases - Secondary"/>
    <x v="2"/>
    <x v="4"/>
    <s v="Klamath Falls, City of"/>
    <n v="139856"/>
    <n v="1201.8007841674578"/>
    <n v="84039.525235261986"/>
  </r>
  <r>
    <n v="711"/>
    <x v="2"/>
    <s v="Purchases - Secondary"/>
    <x v="2"/>
    <x v="4"/>
    <s v="Lehman Bros Commodity Services"/>
    <n v="67050"/>
    <n v="1201.8007841674578"/>
    <n v="40290.371289214025"/>
  </r>
  <r>
    <n v="712"/>
    <x v="2"/>
    <s v="Purchases - Secondary"/>
    <x v="2"/>
    <x v="4"/>
    <s v="Los Angeles Dept. Water &amp; Power"/>
    <n v="1425"/>
    <n v="1201.8007841674578"/>
    <n v="856.28305871931366"/>
  </r>
  <r>
    <n v="713"/>
    <x v="2"/>
    <s v="Purchases - Secondary"/>
    <x v="2"/>
    <x v="4"/>
    <s v="Merrill Lynch Commodities"/>
    <n v="16400"/>
    <n v="1201.8007841674578"/>
    <n v="9854.7664301731529"/>
  </r>
  <r>
    <n v="714"/>
    <x v="2"/>
    <s v="Purchases - Secondary"/>
    <x v="2"/>
    <x v="4"/>
    <s v="Modesto Irrigation District"/>
    <n v="2538"/>
    <n v="1201.8007841674578"/>
    <n v="1525.085195108504"/>
  </r>
  <r>
    <n v="715"/>
    <x v="2"/>
    <s v="Purchases - Secondary"/>
    <x v="2"/>
    <x v="4"/>
    <s v="Morgan Stanley CG"/>
    <n v="744517"/>
    <n v="1201.8007841674578"/>
    <n v="447380.55721300159"/>
  </r>
  <r>
    <n v="716"/>
    <x v="2"/>
    <s v="Purchases - Secondary"/>
    <x v="2"/>
    <x v="4"/>
    <s v="N. California Power Agency"/>
    <n v="521"/>
    <n v="1201.8007841674578"/>
    <n v="313.06910427562275"/>
  </r>
  <r>
    <n v="717"/>
    <x v="2"/>
    <s v="Purchases - Secondary"/>
    <x v="2"/>
    <x v="4"/>
    <s v="Noble Americas Energy Solutions"/>
    <n v="2096"/>
    <n v="1201.8007841674578"/>
    <n v="1259.4872218074956"/>
  </r>
  <r>
    <n v="718"/>
    <x v="2"/>
    <s v="Purchases - Secondary"/>
    <x v="2"/>
    <x v="4"/>
    <s v="NorthPoint Energy Solutions, Inc."/>
    <n v="6276"/>
    <n v="1201.8007841674578"/>
    <n v="3771.2508607174823"/>
  </r>
  <r>
    <n v="719"/>
    <x v="2"/>
    <s v="Purchases - Secondary"/>
    <x v="2"/>
    <x v="4"/>
    <s v="Northwestern Energy"/>
    <n v="12808"/>
    <n v="1201.8007841674578"/>
    <n v="7696.3322218084004"/>
  </r>
  <r>
    <n v="720"/>
    <x v="2"/>
    <s v="Purchases - Secondary"/>
    <x v="2"/>
    <x v="4"/>
    <s v="Occidental Power Services"/>
    <n v="10803"/>
    <n v="1201.8007841674578"/>
    <n v="6491.5269356805238"/>
  </r>
  <r>
    <n v="721"/>
    <x v="2"/>
    <s v="Purchases - Secondary"/>
    <x v="2"/>
    <x v="4"/>
    <s v="Okanogan PUD"/>
    <n v="4694"/>
    <n v="1201.8007841674578"/>
    <n v="2820.6264404410235"/>
  </r>
  <r>
    <n v="722"/>
    <x v="2"/>
    <s v="Purchases - Secondary"/>
    <x v="2"/>
    <x v="4"/>
    <s v="Pacific Northwest Generatin Coop."/>
    <n v="170767"/>
    <n v="1201.8007841674578"/>
    <n v="102613.95725496214"/>
  </r>
  <r>
    <n v="723"/>
    <x v="2"/>
    <s v="Purchases - Secondary"/>
    <x v="2"/>
    <x v="4"/>
    <s v="Pacific Summit Energy LLC"/>
    <n v="5580"/>
    <n v="1201.8007841674578"/>
    <n v="3353.0241878272072"/>
  </r>
  <r>
    <n v="724"/>
    <x v="2"/>
    <s v="Purchases - Secondary"/>
    <x v="2"/>
    <x v="4"/>
    <s v="Pacificorp"/>
    <n v="207443"/>
    <n v="1201.8007841674578"/>
    <n v="124652.58003502498"/>
  </r>
  <r>
    <n v="725"/>
    <x v="2"/>
    <s v="Purchases - Secondary"/>
    <x v="2"/>
    <x v="4"/>
    <s v="PG&amp;E Energy Trading"/>
    <n v="7857"/>
    <n v="1201.8007841674578"/>
    <n v="4721.274380601858"/>
  </r>
  <r>
    <n v="726"/>
    <x v="2"/>
    <s v="Purchases - Secondary"/>
    <x v="2"/>
    <x v="4"/>
    <s v="Pinnacle West Marketing &amp; Trading"/>
    <n v="21000"/>
    <n v="1201.8007841674578"/>
    <n v="12618.908233758306"/>
  </r>
  <r>
    <n v="727"/>
    <x v="2"/>
    <s v="Purchases - Secondary"/>
    <x v="2"/>
    <x v="4"/>
    <s v="Portland General Electric"/>
    <n v="315978"/>
    <n v="1201.8007841674578"/>
    <n v="189871.3040898325"/>
  </r>
  <r>
    <n v="728"/>
    <x v="2"/>
    <s v="Purchases - Secondary"/>
    <x v="2"/>
    <x v="4"/>
    <s v="Powerex Corp."/>
    <n v="287187"/>
    <n v="1201.8007841674578"/>
    <n v="172570.78090134985"/>
  </r>
  <r>
    <n v="729"/>
    <x v="2"/>
    <s v="Purchases - Secondary"/>
    <x v="2"/>
    <x v="4"/>
    <s v="PP&amp;L Montana, LLC."/>
    <n v="61832"/>
    <n v="1201.8007841674578"/>
    <n v="37154.873043321124"/>
  </r>
  <r>
    <n v="730"/>
    <x v="2"/>
    <s v="Purchases - Secondary"/>
    <x v="2"/>
    <x v="4"/>
    <s v="Public Service of Colorado"/>
    <n v="18791"/>
    <n v="1201.8007841674578"/>
    <n v="11291.51926764535"/>
  </r>
  <r>
    <n v="731"/>
    <x v="2"/>
    <s v="Purchases - Secondary"/>
    <x v="2"/>
    <x v="4"/>
    <s v="Rainbow Energy Marketing"/>
    <n v="181241"/>
    <n v="1201.8007841674578"/>
    <n v="108907.7879616471"/>
  </r>
  <r>
    <n v="732"/>
    <x v="2"/>
    <s v="Purchases - Secondary"/>
    <x v="2"/>
    <x v="4"/>
    <s v="Redding, City of"/>
    <n v="1171"/>
    <n v="1201.8007841674578"/>
    <n v="703.6543591300466"/>
  </r>
  <r>
    <n v="733"/>
    <x v="2"/>
    <s v="Purchases - Secondary"/>
    <x v="2"/>
    <x v="4"/>
    <s v="Sacramento Municipal"/>
    <n v="4925"/>
    <n v="1201.8007841674578"/>
    <n v="2959.4344310123647"/>
  </r>
  <r>
    <n v="734"/>
    <x v="2"/>
    <s v="Purchases - Secondary"/>
    <x v="2"/>
    <x v="4"/>
    <s v="San Diego Gas &amp; Electric"/>
    <n v="3300"/>
    <n v="1201.8007841674578"/>
    <n v="1982.9712938763053"/>
  </r>
  <r>
    <n v="735"/>
    <x v="2"/>
    <s v="Purchases - Secondary"/>
    <x v="2"/>
    <x v="4"/>
    <s v="Seattle City Light Marketing"/>
    <n v="132332"/>
    <n v="1201.8007841674578"/>
    <n v="79518.35068522401"/>
  </r>
  <r>
    <n v="736"/>
    <x v="2"/>
    <s v="Purchases - Secondary"/>
    <x v="2"/>
    <x v="4"/>
    <s v="Sempra Energy Trading"/>
    <n v="934094"/>
    <n v="1201.8007841674578"/>
    <n v="561297.45084305876"/>
  </r>
  <r>
    <n v="737"/>
    <x v="2"/>
    <s v="Purchases - Secondary"/>
    <x v="2"/>
    <x v="4"/>
    <s v="Shell Energy (Coral Pwr)"/>
    <n v="700864"/>
    <n v="1201.8007841674578"/>
    <n v="421149.45239737059"/>
  </r>
  <r>
    <n v="738"/>
    <x v="2"/>
    <s v="Purchases - Secondary"/>
    <x v="2"/>
    <x v="4"/>
    <s v="Sierra Pacific Industries"/>
    <n v="13296.48"/>
    <n v="1201.8007841674578"/>
    <n v="7989.8600453334593"/>
  </r>
  <r>
    <n v="739"/>
    <x v="2"/>
    <s v="Purchases - Secondary"/>
    <x v="2"/>
    <x v="4"/>
    <s v="Sierra Pacific Power"/>
    <n v="16272"/>
    <n v="1201.8007841674578"/>
    <n v="9777.8511799864355"/>
  </r>
  <r>
    <n v="740"/>
    <x v="2"/>
    <s v="Purchases - Secondary"/>
    <x v="2"/>
    <x v="4"/>
    <s v="Silicon Valley Pwr - Santa Clara"/>
    <n v="80"/>
    <n v="1201.8007841674578"/>
    <n v="48.072031366698312"/>
  </r>
  <r>
    <n v="741"/>
    <x v="2"/>
    <s v="Purchases - Secondary"/>
    <x v="2"/>
    <x v="4"/>
    <s v="Snohomish County PUD #1"/>
    <n v="72772"/>
    <n v="1201.8007841674578"/>
    <n v="43728.72333271712"/>
  </r>
  <r>
    <n v="742"/>
    <x v="2"/>
    <s v="Purchases - Secondary"/>
    <x v="2"/>
    <x v="4"/>
    <s v="Southern Cal - Edison"/>
    <n v="10850"/>
    <n v="1201.8007841674578"/>
    <n v="6519.7692541084589"/>
  </r>
  <r>
    <n v="743"/>
    <x v="2"/>
    <s v="Purchases - Secondary"/>
    <x v="2"/>
    <x v="4"/>
    <s v="SUEZ Energy Marketing (Tractebel)"/>
    <n v="106896"/>
    <n v="1201.8007841674578"/>
    <n v="64233.848312182286"/>
  </r>
  <r>
    <n v="744"/>
    <x v="2"/>
    <s v="Purchases - Secondary"/>
    <x v="2"/>
    <x v="4"/>
    <s v="Tacoma Power"/>
    <n v="81554"/>
    <n v="1201.8007841674578"/>
    <n v="49005.830575996428"/>
  </r>
  <r>
    <n v="745"/>
    <x v="2"/>
    <s v="Purchases - Secondary"/>
    <x v="2"/>
    <x v="4"/>
    <s v="Talen Energy (PPL Energy Plus)"/>
    <n v="11082"/>
    <n v="1201.8007841674578"/>
    <n v="6659.1781450718836"/>
  </r>
  <r>
    <n v="746"/>
    <x v="2"/>
    <s v="Purchases - Secondary"/>
    <x v="2"/>
    <x v="4"/>
    <s v="Tenaska"/>
    <n v="658"/>
    <n v="1201.8007841674578"/>
    <n v="395.39245799109364"/>
  </r>
  <r>
    <n v="747"/>
    <x v="2"/>
    <s v="Purchases - Secondary"/>
    <x v="2"/>
    <x v="4"/>
    <s v="The Energy Authority"/>
    <n v="13880"/>
    <n v="1201.8007841674578"/>
    <n v="8340.4974421221559"/>
  </r>
  <r>
    <n v="748"/>
    <x v="2"/>
    <s v="Purchases - Secondary"/>
    <x v="2"/>
    <x v="4"/>
    <s v="TransAlta Energy Marketing"/>
    <n v="1681755"/>
    <n v="1201.8007841674578"/>
    <n v="1010567.2388887715"/>
  </r>
  <r>
    <n v="749"/>
    <x v="2"/>
    <s v="Purchases - Secondary"/>
    <x v="2"/>
    <x v="4"/>
    <s v="TransCanada Energy Marketing"/>
    <n v="9169"/>
    <n v="1201.8007841674578"/>
    <n v="5509.6556950157101"/>
  </r>
  <r>
    <n v="750"/>
    <x v="2"/>
    <s v="Purchases - Secondary"/>
    <x v="2"/>
    <x v="4"/>
    <s v="TransCanada Power Corp."/>
    <n v="5615"/>
    <n v="1201.8007841674578"/>
    <n v="3374.0557015501377"/>
  </r>
  <r>
    <n v="751"/>
    <x v="2"/>
    <s v="Purchases - Secondary"/>
    <x v="2"/>
    <x v="4"/>
    <s v="Turlock Irrigation District"/>
    <n v="8922"/>
    <n v="1201.8007841674578"/>
    <n v="5361.2332981710297"/>
  </r>
  <r>
    <n v="752"/>
    <x v="2"/>
    <s v="Purchases - Secondary"/>
    <x v="2"/>
    <x v="4"/>
    <s v="UBS AG"/>
    <n v="20016"/>
    <n v="1201.8007841674578"/>
    <n v="12027.622247947918"/>
  </r>
  <r>
    <n v="753"/>
    <x v="2"/>
    <s v="Purchases - Secondary"/>
    <x v="2"/>
    <x v="4"/>
    <s v="Western Area Power Association"/>
    <n v="171"/>
    <n v="1201.8007841674578"/>
    <n v="102.75396704631764"/>
  </r>
  <r>
    <n v="754"/>
    <x v="2"/>
    <s v="Purchases - Secondary"/>
    <x v="2"/>
    <x v="4"/>
    <s v="Williams Power Company"/>
    <n v="90"/>
    <n v="1201.8007841674578"/>
    <n v="54.081035287535599"/>
  </r>
  <r>
    <n v="756"/>
    <x v="2"/>
    <s v="Interchange - In"/>
    <x v="2"/>
    <x v="4"/>
    <s v="Avista Energy"/>
    <n v="31945"/>
    <n v="1201.8007841674578"/>
    <n v="19195.76302511472"/>
  </r>
  <r>
    <n v="757"/>
    <x v="2"/>
    <s v="Interchange - In"/>
    <x v="2"/>
    <x v="4"/>
    <s v="Black Creek Hydro"/>
    <n v="2245"/>
    <n v="1201.8007841674578"/>
    <n v="1349.0213802279713"/>
  </r>
  <r>
    <n v="758"/>
    <x v="2"/>
    <s v="Interchange - In"/>
    <x v="2"/>
    <x v="4"/>
    <s v="BPA"/>
    <n v="82864"/>
    <n v="1201.8007841674578"/>
    <n v="49793.010089626114"/>
  </r>
  <r>
    <n v="759"/>
    <x v="2"/>
    <s v="Interchange - In"/>
    <x v="2"/>
    <x v="4"/>
    <s v="Cargill Power Markets"/>
    <n v="28800"/>
    <n v="1201.8007841674578"/>
    <n v="17305.931292011392"/>
  </r>
  <r>
    <n v="760"/>
    <x v="2"/>
    <s v="Interchange - In"/>
    <x v="2"/>
    <x v="4"/>
    <s v="Deviation"/>
    <n v="24866"/>
    <n v="1201.8007841674578"/>
    <n v="14941.989149554003"/>
  </r>
  <r>
    <n v="761"/>
    <x v="2"/>
    <s v="Interchange - In"/>
    <x v="2"/>
    <x v="4"/>
    <s v="Douglas County PUD #1"/>
    <n v="122"/>
    <n v="1201.8007841674578"/>
    <n v="73.309847834214921"/>
  </r>
  <r>
    <n v="762"/>
    <x v="2"/>
    <s v="Interchange - In"/>
    <x v="2"/>
    <x v="4"/>
    <s v="Pacific Gas &amp; Elec - Exchange"/>
    <n v="412900"/>
    <n v="1201.8007841674578"/>
    <n v="248111.77189137167"/>
  </r>
  <r>
    <n v="763"/>
    <x v="2"/>
    <s v="Interchange - In"/>
    <x v="2"/>
    <x v="4"/>
    <s v="Powerex - Exchange"/>
    <n v="483866"/>
    <n v="1201.8007841674578"/>
    <n v="290755.26911598555"/>
  </r>
  <r>
    <n v="764"/>
    <x v="2"/>
    <s v="Interchange - In"/>
    <x v="2"/>
    <x v="4"/>
    <s v="Shell Energy (Coral Pwr)"/>
    <n v="28832"/>
    <n v="1201.8007841674578"/>
    <n v="17325.160104558072"/>
  </r>
  <r>
    <n v="765"/>
    <x v="2"/>
    <s v="Interchange - In"/>
    <x v="2"/>
    <x v="4"/>
    <s v="Tacoma Power"/>
    <n v="30800"/>
    <n v="1201.8007841674578"/>
    <n v="18507.732076178851"/>
  </r>
  <r>
    <n v="766"/>
    <x v="2"/>
    <s v="Interchange - In"/>
    <x v="2"/>
    <x v="4"/>
    <s v="TransAlta Energy Marketing"/>
    <n v="602125"/>
    <n v="1201.8007841674578"/>
    <n v="361817.14858341526"/>
  </r>
  <r>
    <n v="768"/>
    <x v="2"/>
    <s v="Interchange - Out"/>
    <x v="2"/>
    <x v="4"/>
    <s v="Avista Energy"/>
    <n v="-32120"/>
    <n v="1201.8007841674578"/>
    <n v="-19300.920593729374"/>
  </r>
  <r>
    <n v="769"/>
    <x v="2"/>
    <s v="Interchange - Out"/>
    <x v="2"/>
    <x v="4"/>
    <s v="Black Creek Hydro"/>
    <n v="-2959"/>
    <n v="1201.8007841674578"/>
    <n v="-1778.0642601757538"/>
  </r>
  <r>
    <n v="770"/>
    <x v="2"/>
    <s v="Interchange - Out"/>
    <x v="2"/>
    <x v="4"/>
    <s v="BPA"/>
    <n v="-83521"/>
    <n v="1201.8007841674578"/>
    <n v="-50187.801647225118"/>
  </r>
  <r>
    <n v="771"/>
    <x v="2"/>
    <s v="Interchange - Out"/>
    <x v="2"/>
    <x v="4"/>
    <s v="Cargill Power Markets"/>
    <n v="-28800"/>
    <n v="1201.8007841674578"/>
    <n v="-17305.931292011392"/>
  </r>
  <r>
    <n v="772"/>
    <x v="2"/>
    <s v="Interchange - Out"/>
    <x v="2"/>
    <x v="4"/>
    <s v="Citigroup Energy Inc"/>
    <n v="-50000"/>
    <n v="1201.8007841674578"/>
    <n v="-30045.019604186444"/>
  </r>
  <r>
    <n v="773"/>
    <x v="2"/>
    <s v="Interchange - Out"/>
    <x v="2"/>
    <x v="4"/>
    <s v="Douglas County PUD #1"/>
    <n v="-122"/>
    <n v="1201.8007841674578"/>
    <n v="-73.309847834214921"/>
  </r>
  <r>
    <n v="774"/>
    <x v="2"/>
    <s v="Interchange - Out"/>
    <x v="2"/>
    <x v="4"/>
    <s v="Pacific Gas &amp; Elec - Exchange"/>
    <n v="-413001"/>
    <n v="1201.8007841674578"/>
    <n v="-248172.4628309721"/>
  </r>
  <r>
    <n v="775"/>
    <x v="2"/>
    <s v="Interchange - Out"/>
    <x v="2"/>
    <x v="4"/>
    <s v="Powerex - Exchange"/>
    <n v="-483866"/>
    <n v="1201.8007841674578"/>
    <n v="-290755.26911598555"/>
  </r>
  <r>
    <n v="776"/>
    <x v="2"/>
    <s v="Interchange - Out"/>
    <x v="2"/>
    <x v="4"/>
    <s v="Shell Energy (Coral Pwr)"/>
    <n v="-28832"/>
    <n v="1201.8007841674578"/>
    <n v="-17325.160104558072"/>
  </r>
  <r>
    <n v="777"/>
    <x v="2"/>
    <s v="Interchange - Out"/>
    <x v="2"/>
    <x v="4"/>
    <s v="Tacoma Power"/>
    <n v="-30800"/>
    <n v="1201.8007841674578"/>
    <n v="-18507.732076178851"/>
  </r>
  <r>
    <n v="778"/>
    <x v="2"/>
    <s v="Interchange - Out"/>
    <x v="2"/>
    <x v="4"/>
    <s v="TransAlta Energy Marketing"/>
    <n v="-552125"/>
    <n v="1201.8007841674578"/>
    <n v="-331772.12897922879"/>
  </r>
  <r>
    <n v="834"/>
    <x v="2"/>
    <s v="Sales for Resale"/>
    <x v="2"/>
    <x v="4"/>
    <s v="Avista Corp. WWP Division"/>
    <n v="-24864"/>
    <n v="1201.8007841674578"/>
    <n v="-14940.787348769834"/>
  </r>
  <r>
    <n v="835"/>
    <x v="2"/>
    <s v="Sales for Resale"/>
    <x v="2"/>
    <x v="4"/>
    <s v="Avista Energy"/>
    <n v="-123747"/>
    <n v="1201.8007841674578"/>
    <n v="-74359.620819185191"/>
  </r>
  <r>
    <n v="836"/>
    <x v="2"/>
    <s v="Sales for Resale"/>
    <x v="2"/>
    <x v="4"/>
    <s v="Barclays Bank Plc"/>
    <n v="-78600"/>
    <n v="1201.8007841674578"/>
    <n v="-47230.770817781093"/>
  </r>
  <r>
    <n v="837"/>
    <x v="2"/>
    <s v="Sales for Resale"/>
    <x v="2"/>
    <x v="4"/>
    <s v="Bear Energy LP"/>
    <n v="-63113"/>
    <n v="1201.8007841674578"/>
    <n v="-37924.626445580376"/>
  </r>
  <r>
    <n v="838"/>
    <x v="2"/>
    <s v="Sales for Resale"/>
    <x v="2"/>
    <x v="4"/>
    <s v="Benton County PUD"/>
    <n v="-5756"/>
    <n v="1201.8007841674578"/>
    <n v="-3458.7826568339433"/>
  </r>
  <r>
    <n v="839"/>
    <x v="2"/>
    <s v="Sales for Resale"/>
    <x v="2"/>
    <x v="4"/>
    <s v="Black Hills Power"/>
    <n v="-4759"/>
    <n v="1201.8007841674578"/>
    <n v="-2859.6849659264658"/>
  </r>
  <r>
    <n v="840"/>
    <x v="2"/>
    <s v="Sales for Resale"/>
    <x v="2"/>
    <x v="4"/>
    <s v="Book Outs - EITF 03-11"/>
    <n v="2169507"/>
    <n v="1201.8007841674578"/>
    <n v="1303657.6069283944"/>
  </r>
  <r>
    <n v="841"/>
    <x v="2"/>
    <s v="Sales for Resale"/>
    <x v="2"/>
    <x v="4"/>
    <s v="BP Energy Co."/>
    <n v="-29896"/>
    <n v="1201.8007841674578"/>
    <n v="-17964.51812173516"/>
  </r>
  <r>
    <n v="842"/>
    <x v="2"/>
    <s v="Sales for Resale"/>
    <x v="2"/>
    <x v="4"/>
    <s v="BPA"/>
    <n v="-166938"/>
    <n v="1201.8007841674578"/>
    <n v="-100313.10965367353"/>
  </r>
  <r>
    <n v="843"/>
    <x v="2"/>
    <s v="Sales for Resale"/>
    <x v="2"/>
    <x v="4"/>
    <s v="British Columbia Transmission Corp"/>
    <n v="-144"/>
    <n v="1201.8007841674578"/>
    <n v="-86.529656460056955"/>
  </r>
  <r>
    <n v="844"/>
    <x v="2"/>
    <s v="Sales for Resale"/>
    <x v="2"/>
    <x v="4"/>
    <s v="Burbank, City of"/>
    <n v="-990"/>
    <n v="1201.8007841674578"/>
    <n v="-594.89138816289164"/>
  </r>
  <r>
    <n v="845"/>
    <x v="2"/>
    <s v="Sales for Resale"/>
    <x v="2"/>
    <x v="4"/>
    <s v="Cargill Power Markets"/>
    <n v="-103403"/>
    <n v="1201.8007841674578"/>
    <n v="-62134.903242633816"/>
  </r>
  <r>
    <n v="846"/>
    <x v="2"/>
    <s v="Sales for Resale"/>
    <x v="2"/>
    <x v="4"/>
    <s v="Chelan County PUD #1"/>
    <n v="-1500"/>
    <n v="1201.8007841674578"/>
    <n v="-901.35058812559339"/>
  </r>
  <r>
    <n v="847"/>
    <x v="2"/>
    <s v="Sales for Resale"/>
    <x v="2"/>
    <x v="4"/>
    <s v="Citigroup Energy Inc"/>
    <n v="-177691"/>
    <n v="1201.8007841674578"/>
    <n v="-106774.59156974987"/>
  </r>
  <r>
    <n v="848"/>
    <x v="2"/>
    <s v="Sales for Resale"/>
    <x v="2"/>
    <x v="4"/>
    <s v="Clatskanie PUD"/>
    <n v="-8512"/>
    <n v="1201.8007841674578"/>
    <n v="-5114.8641374167"/>
  </r>
  <r>
    <n v="849"/>
    <x v="2"/>
    <s v="Sales for Resale"/>
    <x v="2"/>
    <x v="4"/>
    <s v="Conoco, Inc."/>
    <n v="-27645"/>
    <n v="1201.8007841674578"/>
    <n v="-16611.891339154685"/>
  </r>
  <r>
    <n v="850"/>
    <x v="2"/>
    <s v="Sales for Resale"/>
    <x v="2"/>
    <x v="4"/>
    <s v="Constellation Power Source, Inc."/>
    <n v="-35515"/>
    <n v="1201.8007841674578"/>
    <n v="-21340.977424853631"/>
  </r>
  <r>
    <n v="851"/>
    <x v="2"/>
    <s v="Sales for Resale"/>
    <x v="2"/>
    <x v="4"/>
    <s v="CP Energy Marketing (Epcor)"/>
    <n v="-46075"/>
    <n v="1201.8007841674578"/>
    <n v="-27686.485565257812"/>
  </r>
  <r>
    <n v="852"/>
    <x v="2"/>
    <s v="Sales for Resale"/>
    <x v="2"/>
    <x v="4"/>
    <s v="Credit Suisse Energy, LLC"/>
    <n v="-32236"/>
    <n v="1201.8007841674578"/>
    <n v="-19370.625039211081"/>
  </r>
  <r>
    <n v="853"/>
    <x v="2"/>
    <s v="Sales for Resale"/>
    <x v="2"/>
    <x v="4"/>
    <s v="DB Energy Trading LLC"/>
    <n v="-5600"/>
    <n v="1201.8007841674578"/>
    <n v="-3365.042195668882"/>
  </r>
  <r>
    <n v="854"/>
    <x v="2"/>
    <s v="Sales for Resale"/>
    <x v="2"/>
    <x v="4"/>
    <s v="Douglas County PUD #1"/>
    <n v="-220"/>
    <n v="1201.8007841674578"/>
    <n v="-132.19808625842035"/>
  </r>
  <r>
    <n v="855"/>
    <x v="2"/>
    <s v="Sales for Resale"/>
    <x v="2"/>
    <x v="4"/>
    <s v="ENMAX Energy Marketing, Inc."/>
    <n v="-4053"/>
    <n v="1201.8007841674578"/>
    <n v="-2435.4492891153532"/>
  </r>
  <r>
    <n v="857"/>
    <x v="2"/>
    <s v="Sales for Resale"/>
    <x v="2"/>
    <x v="4"/>
    <s v="Eugene Water &amp; Electric"/>
    <n v="-20381"/>
    <n v="1201.8007841674578"/>
    <n v="-12246.950891058479"/>
  </r>
  <r>
    <n v="858"/>
    <x v="2"/>
    <s v="Sales for Resale"/>
    <x v="2"/>
    <x v="4"/>
    <s v="Fortis Energy Marketing &amp; Trading"/>
    <n v="-82563"/>
    <n v="1201.8007841674578"/>
    <n v="-49612.139071608908"/>
  </r>
  <r>
    <n v="859"/>
    <x v="2"/>
    <s v="Sales for Resale"/>
    <x v="2"/>
    <x v="4"/>
    <s v="Franklin County PUD #1"/>
    <n v="-1984"/>
    <n v="1201.8007841674578"/>
    <n v="-1192.1863778941181"/>
  </r>
  <r>
    <n v="860"/>
    <x v="2"/>
    <s v="Sales for Resale"/>
    <x v="2"/>
    <x v="4"/>
    <s v="Grant County PUD #2"/>
    <n v="-10136"/>
    <n v="1201.8007841674578"/>
    <n v="-6090.7263741606766"/>
  </r>
  <r>
    <n v="861"/>
    <x v="2"/>
    <s v="Sales for Resale"/>
    <x v="2"/>
    <x v="4"/>
    <s v="Grays Harbor PUD #1"/>
    <n v="-4011"/>
    <n v="1201.8007841674578"/>
    <n v="-2410.2114726478362"/>
  </r>
  <r>
    <n v="862"/>
    <x v="2"/>
    <s v="Sales for Resale"/>
    <x v="2"/>
    <x v="4"/>
    <s v="Highland Energy LLC"/>
    <n v="-50"/>
    <n v="1201.8007841674578"/>
    <n v="-30.045019604186443"/>
  </r>
  <r>
    <n v="863"/>
    <x v="2"/>
    <s v="Sales for Resale"/>
    <x v="2"/>
    <x v="4"/>
    <s v="Hinson Power Company"/>
    <n v="-4843"/>
    <n v="1201.8007841674578"/>
    <n v="-2910.1605988614992"/>
  </r>
  <r>
    <n v="864"/>
    <x v="2"/>
    <s v="Sales for Resale"/>
    <x v="2"/>
    <x v="4"/>
    <s v="Iberdrola Renewables (PPM Energy)"/>
    <n v="-168650"/>
    <n v="1201.8007841674578"/>
    <n v="-101341.85112492087"/>
  </r>
  <r>
    <n v="866"/>
    <x v="2"/>
    <s v="Sales for Resale"/>
    <x v="2"/>
    <x v="4"/>
    <s v="Idaho Power Company"/>
    <n v="-47675"/>
    <n v="1201.8007841674578"/>
    <n v="-28647.926192591774"/>
  </r>
  <r>
    <n v="867"/>
    <x v="2"/>
    <s v="Sales for Resale"/>
    <x v="2"/>
    <x v="4"/>
    <s v="J. Aron &amp; Company"/>
    <n v="-35775"/>
    <n v="1201.8007841674578"/>
    <n v="-21497.211526795403"/>
  </r>
  <r>
    <n v="868"/>
    <x v="2"/>
    <s v="Sales for Resale"/>
    <x v="2"/>
    <x v="4"/>
    <s v="JP Morgan Ventures Energy"/>
    <n v="-30400"/>
    <n v="1201.8007841674578"/>
    <n v="-18267.371919345358"/>
  </r>
  <r>
    <n v="869"/>
    <x v="2"/>
    <s v="Sales for Resale"/>
    <x v="2"/>
    <x v="4"/>
    <s v="Klamath Falls, City of"/>
    <n v="-1172"/>
    <n v="1201.8007841674578"/>
    <n v="-704.25525952213025"/>
  </r>
  <r>
    <n v="870"/>
    <x v="2"/>
    <s v="Sales for Resale"/>
    <x v="2"/>
    <x v="4"/>
    <s v="Lehman Bros Commodity Services"/>
    <n v="-42162"/>
    <n v="1201.8007841674578"/>
    <n v="-25335.162331034175"/>
  </r>
  <r>
    <n v="871"/>
    <x v="2"/>
    <s v="Sales for Resale"/>
    <x v="2"/>
    <x v="4"/>
    <s v="Los Angeles Dept. Water &amp; Power"/>
    <n v="-4310"/>
    <n v="1201.8007841674578"/>
    <n v="-2589.8806898808716"/>
  </r>
  <r>
    <n v="872"/>
    <x v="2"/>
    <s v="Sales for Resale"/>
    <x v="2"/>
    <x v="4"/>
    <s v="Merrill Lynch Commodities"/>
    <n v="-20775"/>
    <n v="1201.8007841674578"/>
    <n v="-12483.705645539469"/>
  </r>
  <r>
    <n v="873"/>
    <x v="2"/>
    <s v="Sales for Resale"/>
    <x v="2"/>
    <x v="4"/>
    <s v="Modesto Irrigation District"/>
    <n v="-5467"/>
    <n v="1201.8007841674578"/>
    <n v="-3285.1224435217459"/>
  </r>
  <r>
    <n v="874"/>
    <x v="2"/>
    <s v="Sales for Resale"/>
    <x v="2"/>
    <x v="4"/>
    <s v="Morgan Stanley CG"/>
    <n v="-308680"/>
    <n v="1201.8007841674578"/>
    <n v="-185485.93302840542"/>
  </r>
  <r>
    <n v="875"/>
    <x v="2"/>
    <s v="Sales for Resale"/>
    <x v="2"/>
    <x v="4"/>
    <s v="N. California Power Agency"/>
    <n v="-789"/>
    <n v="1201.8007841674578"/>
    <n v="-474.11040935406209"/>
  </r>
  <r>
    <n v="876"/>
    <x v="2"/>
    <s v="Sales for Resale"/>
    <x v="2"/>
    <x v="4"/>
    <s v="Noble Americas Energy Solutions"/>
    <n v="-5000"/>
    <n v="1201.8007841674578"/>
    <n v="-3004.5019604186446"/>
  </r>
  <r>
    <n v="877"/>
    <x v="2"/>
    <s v="Sales for Resale"/>
    <x v="2"/>
    <x v="4"/>
    <s v="NorthPoint Energy Solutions, Inc."/>
    <n v="-12286"/>
    <n v="1201.8007841674578"/>
    <n v="-7382.6622171406934"/>
  </r>
  <r>
    <n v="878"/>
    <x v="2"/>
    <s v="Sales for Resale"/>
    <x v="2"/>
    <x v="4"/>
    <s v="Northwestern Energy"/>
    <n v="-19257"/>
    <n v="1201.8007841674578"/>
    <n v="-11571.538850356366"/>
  </r>
  <r>
    <n v="879"/>
    <x v="2"/>
    <s v="Sales for Resale"/>
    <x v="2"/>
    <x v="4"/>
    <s v="Occidental Power Services"/>
    <n v="-1275"/>
    <n v="1201.8007841674578"/>
    <n v="-766.14799990675431"/>
  </r>
  <r>
    <n v="880"/>
    <x v="2"/>
    <s v="Sales for Resale"/>
    <x v="2"/>
    <x v="4"/>
    <s v="Pacific Northwest Generatin Coop."/>
    <n v="-15299"/>
    <n v="1201.8007841674578"/>
    <n v="-9193.1750984889677"/>
  </r>
  <r>
    <n v="881"/>
    <x v="2"/>
    <s v="Sales for Resale"/>
    <x v="2"/>
    <x v="4"/>
    <s v="Pacific Summit Energy LLC"/>
    <n v="-5250"/>
    <n v="1201.8007841674578"/>
    <n v="-3154.7270584395765"/>
  </r>
  <r>
    <n v="882"/>
    <x v="2"/>
    <s v="Sales for Resale"/>
    <x v="2"/>
    <x v="4"/>
    <s v="Pacificorp"/>
    <n v="-137660"/>
    <n v="1201.8007841674578"/>
    <n v="-82719.947974246112"/>
  </r>
  <r>
    <n v="883"/>
    <x v="2"/>
    <s v="Sales for Resale"/>
    <x v="2"/>
    <x v="4"/>
    <s v="PG&amp;E Energy Trading"/>
    <n v="-2250"/>
    <n v="1201.8007841674578"/>
    <n v="-1352.0258821883899"/>
  </r>
  <r>
    <n v="885"/>
    <x v="2"/>
    <s v="Sales for Resale"/>
    <x v="2"/>
    <x v="4"/>
    <s v="Pinnacle West Marketing &amp; Trading"/>
    <n v="-1034"/>
    <n v="1201.8007841674578"/>
    <n v="-621.33100541457566"/>
  </r>
  <r>
    <n v="886"/>
    <x v="2"/>
    <s v="Sales for Resale"/>
    <x v="2"/>
    <x v="4"/>
    <s v="Portland General Electric"/>
    <n v="-98543"/>
    <n v="1201.8007841674578"/>
    <n v="-59214.527337106898"/>
  </r>
  <r>
    <n v="887"/>
    <x v="2"/>
    <s v="Sales for Resale"/>
    <x v="2"/>
    <x v="4"/>
    <s v="Powerex Corp."/>
    <n v="-337035"/>
    <n v="1201.8007841674578"/>
    <n v="-202524.46364593957"/>
  </r>
  <r>
    <n v="888"/>
    <x v="2"/>
    <s v="Sales for Resale"/>
    <x v="2"/>
    <x v="4"/>
    <s v="PP&amp;L Montana, LLC."/>
    <n v="-29839"/>
    <n v="1201.8007841674578"/>
    <n v="-17930.266799386387"/>
  </r>
  <r>
    <n v="889"/>
    <x v="2"/>
    <s v="Sales for Resale"/>
    <x v="2"/>
    <x v="4"/>
    <s v="Public Service of Colorado"/>
    <n v="-1668"/>
    <n v="1201.8007841674578"/>
    <n v="-1002.3018539956597"/>
  </r>
  <r>
    <n v="890"/>
    <x v="2"/>
    <s v="Sales for Resale"/>
    <x v="2"/>
    <x v="4"/>
    <s v="Rainbow Energy Marketing"/>
    <n v="-174730"/>
    <n v="1201.8007841674578"/>
    <n v="-104995.32550878995"/>
  </r>
  <r>
    <n v="891"/>
    <x v="2"/>
    <s v="Sales for Resale"/>
    <x v="2"/>
    <x v="4"/>
    <s v="Redding, City of"/>
    <n v="-702"/>
    <n v="1201.8007841674578"/>
    <n v="-421.83207524277771"/>
  </r>
  <r>
    <n v="892"/>
    <x v="2"/>
    <s v="Sales for Resale"/>
    <x v="2"/>
    <x v="4"/>
    <s v="Sacramento Municipal"/>
    <n v="-2980"/>
    <n v="1201.8007841674578"/>
    <n v="-1790.6831684095121"/>
  </r>
  <r>
    <n v="893"/>
    <x v="2"/>
    <s v="Sales for Resale"/>
    <x v="2"/>
    <x v="4"/>
    <s v="San Diego Gas &amp; Electric"/>
    <n v="-1200"/>
    <n v="1201.8007841674578"/>
    <n v="-721.08047050047469"/>
  </r>
  <r>
    <n v="894"/>
    <x v="2"/>
    <s v="Sales for Resale"/>
    <x v="2"/>
    <x v="4"/>
    <s v="Seattle City Light Marketing"/>
    <n v="-45037"/>
    <n v="1201.8007841674578"/>
    <n v="-27062.750958274897"/>
  </r>
  <r>
    <n v="895"/>
    <x v="2"/>
    <s v="Sales for Resale"/>
    <x v="2"/>
    <x v="4"/>
    <s v="Sempra Energy Trading"/>
    <n v="-137302"/>
    <n v="1201.8007841674578"/>
    <n v="-82504.825633880144"/>
  </r>
  <r>
    <n v="896"/>
    <x v="2"/>
    <s v="Sales for Resale"/>
    <x v="2"/>
    <x v="4"/>
    <s v="Shell Energy (Coral Pwr)"/>
    <n v="-155921"/>
    <n v="1201.8007841674578"/>
    <n v="-93692.990034087095"/>
  </r>
  <r>
    <n v="897"/>
    <x v="2"/>
    <s v="Sales for Resale"/>
    <x v="2"/>
    <x v="4"/>
    <s v="Sierra Pacific Power"/>
    <n v="-15870"/>
    <n v="1201.8007841674578"/>
    <n v="-9536.2892223687777"/>
  </r>
  <r>
    <n v="898"/>
    <x v="2"/>
    <s v="Sales for Resale"/>
    <x v="2"/>
    <x v="4"/>
    <s v="Silicon Valley Pwr - Santa Clara"/>
    <n v="-1548"/>
    <n v="1201.8007841674578"/>
    <n v="-930.19380694561232"/>
  </r>
  <r>
    <n v="899"/>
    <x v="2"/>
    <s v="Sales for Resale"/>
    <x v="2"/>
    <x v="4"/>
    <s v="Snohomish County PUD #1"/>
    <n v="-25283"/>
    <n v="1201.8007841674578"/>
    <n v="-15192.564613052919"/>
  </r>
  <r>
    <n v="900"/>
    <x v="2"/>
    <s v="Sales for Resale"/>
    <x v="2"/>
    <x v="4"/>
    <s v="Southern Cal - Edison"/>
    <n v="-5734"/>
    <n v="1201.8007841674578"/>
    <n v="-3445.5628482081015"/>
  </r>
  <r>
    <n v="901"/>
    <x v="2"/>
    <s v="Sales for Resale"/>
    <x v="2"/>
    <x v="4"/>
    <s v="SUEZ Energy Marketing (Tractebel)"/>
    <n v="-83511"/>
    <n v="1201.8007841674578"/>
    <n v="-50181.792643304281"/>
  </r>
  <r>
    <n v="902"/>
    <x v="2"/>
    <s v="Sales for Resale"/>
    <x v="2"/>
    <x v="4"/>
    <s v="Tacoma Power"/>
    <n v="-6646"/>
    <n v="1201.8007841674578"/>
    <n v="-3993.584005788462"/>
  </r>
  <r>
    <n v="903"/>
    <x v="2"/>
    <s v="Sales for Resale"/>
    <x v="2"/>
    <x v="4"/>
    <s v="Talen Energy (PPL Energy Plus)"/>
    <n v="-1217"/>
    <n v="1201.8007841674578"/>
    <n v="-731.29577716589802"/>
  </r>
  <r>
    <n v="904"/>
    <x v="2"/>
    <s v="Sales for Resale"/>
    <x v="2"/>
    <x v="4"/>
    <s v="The Energy Authority"/>
    <n v="-511"/>
    <n v="1201.8007841674578"/>
    <n v="-307.06010035478545"/>
  </r>
  <r>
    <n v="905"/>
    <x v="2"/>
    <s v="Sales for Resale"/>
    <x v="2"/>
    <x v="4"/>
    <s v="TransAlta Energy Marketing"/>
    <n v="-1339719"/>
    <n v="1201.8007841674578"/>
    <n v="-805037.67238202121"/>
  </r>
  <r>
    <n v="906"/>
    <x v="2"/>
    <s v="Sales for Resale"/>
    <x v="2"/>
    <x v="4"/>
    <s v="TransCanada Energy Marketing"/>
    <n v="-3855"/>
    <n v="1201.8007841674578"/>
    <n v="-2316.4710114827749"/>
  </r>
  <r>
    <n v="907"/>
    <x v="2"/>
    <s v="Sales for Resale"/>
    <x v="2"/>
    <x v="4"/>
    <s v="TransCanada Power Corp."/>
    <n v="-2083"/>
    <n v="1201.8007841674578"/>
    <n v="-1251.6755167104072"/>
  </r>
  <r>
    <n v="908"/>
    <x v="2"/>
    <s v="Sales for Resale"/>
    <x v="2"/>
    <x v="4"/>
    <s v="Turlock Irrigation District"/>
    <n v="-1311"/>
    <n v="1201.8007841674578"/>
    <n v="-787.78041402176859"/>
  </r>
  <r>
    <n v="909"/>
    <x v="2"/>
    <s v="Sales for Resale"/>
    <x v="2"/>
    <x v="4"/>
    <s v="UBS AG"/>
    <n v="-18330"/>
    <n v="1201.8007841674578"/>
    <n v="-11014.50418689475"/>
  </r>
  <r>
    <n v="910"/>
    <x v="2"/>
    <s v="Sales for Resale"/>
    <x v="2"/>
    <x v="4"/>
    <s v="Western Area Power Association"/>
    <n v="-410"/>
    <n v="1201.8007841674578"/>
    <n v="-246.36916075432885"/>
  </r>
  <r>
    <n v="911"/>
    <x v="2"/>
    <s v="Sales for Resale"/>
    <x v="2"/>
    <x v="4"/>
    <s v="Williams Power Company"/>
    <n v="-1186"/>
    <n v="1201.8007841674578"/>
    <n v="-712.66786501130241"/>
  </r>
  <r>
    <n v="954"/>
    <x v="3"/>
    <s v="Generation - Hydro"/>
    <x v="0"/>
    <x v="0"/>
    <s v="Electron"/>
    <n v="96154.205000000002"/>
    <n v="0"/>
    <n v="0"/>
  </r>
  <r>
    <n v="955"/>
    <x v="3"/>
    <s v="Generation - Hydro"/>
    <x v="0"/>
    <x v="0"/>
    <s v="Lower Baker"/>
    <n v="321027.40000000002"/>
    <n v="0"/>
    <n v="0"/>
  </r>
  <r>
    <n v="956"/>
    <x v="3"/>
    <s v="Generation - Hydro"/>
    <x v="0"/>
    <x v="0"/>
    <s v="Snoqualmie Falls #1"/>
    <n v="59492"/>
    <n v="0"/>
    <n v="0"/>
  </r>
  <r>
    <n v="957"/>
    <x v="3"/>
    <s v="Generation - Hydro"/>
    <x v="0"/>
    <x v="0"/>
    <s v="Snoqualmie Falls #2"/>
    <n v="181143.4"/>
    <n v="0"/>
    <n v="0"/>
  </r>
  <r>
    <n v="959"/>
    <x v="3"/>
    <s v="Generation - Hydro"/>
    <x v="0"/>
    <x v="0"/>
    <s v="Upper Baker"/>
    <n v="317108.09000000003"/>
    <n v="0"/>
    <n v="0"/>
  </r>
  <r>
    <n v="963"/>
    <x v="3"/>
    <s v="Generation - Steam"/>
    <x v="0"/>
    <x v="1"/>
    <s v="Colstrip 1 &amp; 2"/>
    <n v="2124142"/>
    <n v="2499.4590757115106"/>
    <n v="2654603"/>
  </r>
  <r>
    <n v="964"/>
    <x v="3"/>
    <s v="Generation - Steam"/>
    <x v="0"/>
    <x v="1"/>
    <s v="Colstrip 3 &amp; 4"/>
    <n v="2943303"/>
    <n v="2362.1027124968105"/>
    <n v="3476192"/>
  </r>
  <r>
    <n v="965"/>
    <x v="3"/>
    <s v="Generation - Steam"/>
    <x v="0"/>
    <x v="2"/>
    <s v="Encogen"/>
    <n v="98884"/>
    <n v="906.74784925910285"/>
    <n v="44831.427163068562"/>
  </r>
  <r>
    <n v="966"/>
    <x v="3"/>
    <s v="Generation - Steam"/>
    <x v="0"/>
    <x v="2"/>
    <s v="Goldendale"/>
    <n v="1368284"/>
    <n v="686.37780729974656"/>
    <n v="469579.88584166323"/>
  </r>
  <r>
    <n v="967"/>
    <x v="3"/>
    <s v="Generation - Steam"/>
    <x v="0"/>
    <x v="2"/>
    <s v="Sumas"/>
    <n v="218930.30000000002"/>
    <n v="797.76810168096608"/>
    <n v="87327.804915722212"/>
  </r>
  <r>
    <n v="970"/>
    <x v="3"/>
    <s v="Generation - Oil/Gas/Wind"/>
    <x v="0"/>
    <x v="3"/>
    <s v="Crystal Mountain"/>
    <n v="360.91"/>
    <n v="1689.2057570020049"/>
    <n v="304.82562487979681"/>
  </r>
  <r>
    <n v="972"/>
    <x v="3"/>
    <s v="Generation - Oil/Gas/Wind"/>
    <x v="0"/>
    <x v="2"/>
    <s v="Freddie #1"/>
    <n v="545866.18700000003"/>
    <n v="350.34815600198544"/>
    <n v="95621.606019642481"/>
  </r>
  <r>
    <n v="973"/>
    <x v="3"/>
    <s v="Generation - Oil/Gas/Wind"/>
    <x v="0"/>
    <x v="2"/>
    <s v="Fredonia"/>
    <n v="7453.4"/>
    <n v="1941.0520125311277"/>
    <n v="7233.7185350997534"/>
  </r>
  <r>
    <n v="974"/>
    <x v="3"/>
    <s v="Generation - Oil/Gas/Wind"/>
    <x v="0"/>
    <x v="2"/>
    <s v="Fredonia 3 &amp; 4"/>
    <n v="9931.2999999999993"/>
    <n v="1159.0524695461825"/>
    <n v="5755.4488954019998"/>
  </r>
  <r>
    <n v="975"/>
    <x v="3"/>
    <s v="Generation - Oil/Gas/Wind"/>
    <x v="0"/>
    <x v="2"/>
    <s v="Fredrickson 1 &amp; 2"/>
    <n v="15741.2"/>
    <n v="2256.0428671996333"/>
    <n v="17756.410990581433"/>
  </r>
  <r>
    <n v="977"/>
    <x v="3"/>
    <s v="Generation - Oil/Gas/Wind"/>
    <x v="0"/>
    <x v="0"/>
    <s v="Hopkins Ridge (W184)"/>
    <n v="425322.08"/>
    <n v="0"/>
    <n v="0"/>
  </r>
  <r>
    <n v="981"/>
    <x v="3"/>
    <s v="Generation - Oil/Gas/Wind"/>
    <x v="0"/>
    <x v="2"/>
    <s v="Whitehorn 2&amp;3"/>
    <n v="4135"/>
    <n v="1771.6363840734703"/>
    <n v="3662.8582240718997"/>
  </r>
  <r>
    <n v="982"/>
    <x v="3"/>
    <s v="Generation - Oil/Gas/Wind"/>
    <x v="0"/>
    <x v="0"/>
    <s v="Wild Horse (W183)"/>
    <n v="682096.78399999999"/>
    <n v="0"/>
    <n v="0"/>
  </r>
  <r>
    <n v="984"/>
    <x v="3"/>
    <s v="Purchases - Firm"/>
    <x v="1"/>
    <x v="4"/>
    <s v="BC Hydro (Point Roberts)"/>
    <n v="22695.39"/>
    <n v="1024.4699545804308"/>
    <n v="11625.372581242582"/>
  </r>
  <r>
    <n v="985"/>
    <x v="3"/>
    <s v="Purchases - Firm"/>
    <x v="1"/>
    <x v="0"/>
    <s v="BPA"/>
    <n v="7063"/>
    <n v="0"/>
    <n v="0"/>
  </r>
  <r>
    <n v="986"/>
    <x v="3"/>
    <s v="Purchases - Firm"/>
    <x v="1"/>
    <x v="4"/>
    <s v="BPA Firm - WNP#3 Exchange"/>
    <n v="374999"/>
    <n v="1024.4699545804308"/>
    <n v="192087.60424885349"/>
  </r>
  <r>
    <n v="988"/>
    <x v="3"/>
    <s v="Purchases - Firm"/>
    <x v="1"/>
    <x v="0"/>
    <s v="Chelan PUD - Rock Island Syst #2"/>
    <n v="1327464"/>
    <n v="0"/>
    <n v="0"/>
  </r>
  <r>
    <n v="989"/>
    <x v="3"/>
    <s v="Purchases - Firm"/>
    <x v="1"/>
    <x v="0"/>
    <s v="Chelan PUD - Rocky Reach"/>
    <n v="2144307"/>
    <n v="0"/>
    <n v="0"/>
  </r>
  <r>
    <n v="990"/>
    <x v="3"/>
    <s v="Purchases - Firm"/>
    <x v="1"/>
    <x v="0"/>
    <s v="Douglas PUD - Wells Project"/>
    <n v="1045492"/>
    <n v="0"/>
    <n v="0"/>
  </r>
  <r>
    <n v="991"/>
    <x v="3"/>
    <s v="Purchases - Firm"/>
    <x v="1"/>
    <x v="0"/>
    <s v="Grant PUD - Priest Rapids"/>
    <n v="464474"/>
    <n v="0"/>
    <n v="0"/>
  </r>
  <r>
    <n v="992"/>
    <x v="3"/>
    <s v="Purchases - Firm"/>
    <x v="1"/>
    <x v="0"/>
    <s v="Grant PUD - Wanapum"/>
    <n v="456458"/>
    <n v="0"/>
    <n v="0"/>
  </r>
  <r>
    <n v="993"/>
    <x v="3"/>
    <s v="Purchases - Firm"/>
    <x v="1"/>
    <x v="0"/>
    <s v="Klondike Wind Power III"/>
    <n v="148311"/>
    <n v="0"/>
    <n v="0"/>
  </r>
  <r>
    <n v="994"/>
    <x v="3"/>
    <s v="Purchases - Firm"/>
    <x v="1"/>
    <x v="1"/>
    <s v="NWestern Energy(MPC) Firm Contract"/>
    <n v="795395"/>
    <n v="2016.3308936624701"/>
    <n v="801889.75558233028"/>
  </r>
  <r>
    <n v="995"/>
    <x v="3"/>
    <s v="Purchases - Firm"/>
    <x v="1"/>
    <x v="4"/>
    <s v="Snohomish PUD Conservation"/>
    <n v="89984"/>
    <n v="1024.4699545804308"/>
    <n v="46092.952196482744"/>
  </r>
  <r>
    <n v="996"/>
    <x v="3"/>
    <s v="Purchases - Firm"/>
    <x v="1"/>
    <x v="0"/>
    <s v="VanderHaak Dairy Digester"/>
    <n v="2232"/>
    <n v="0"/>
    <n v="0"/>
  </r>
  <r>
    <n v="997"/>
    <x v="3"/>
    <s v="Purchases - Firm"/>
    <x v="1"/>
    <x v="0"/>
    <s v="WASCO Hydro"/>
    <n v="41552"/>
    <n v="0"/>
    <n v="0"/>
  </r>
  <r>
    <n v="999"/>
    <x v="3"/>
    <s v="Purchases - PURPA"/>
    <x v="1"/>
    <x v="0"/>
    <s v="Hutchinson Creek"/>
    <n v="2058.2399999999998"/>
    <n v="0"/>
    <n v="0"/>
  </r>
  <r>
    <n v="1000"/>
    <x v="3"/>
    <s v="Purchases - PURPA"/>
    <x v="1"/>
    <x v="0"/>
    <s v="Koma Kulshan Associates"/>
    <n v="36091.56"/>
    <n v="0"/>
    <n v="0"/>
  </r>
  <r>
    <n v="1002"/>
    <x v="3"/>
    <s v="Purchases - PURPA"/>
    <x v="1"/>
    <x v="2"/>
    <s v="March Point Cogen. - 1 &amp; 2"/>
    <n v="1022961.27"/>
    <n v="712.18637801833165"/>
    <n v="364269.54086716636"/>
  </r>
  <r>
    <n v="1003"/>
    <x v="3"/>
    <s v="Purchases - PURPA"/>
    <x v="1"/>
    <x v="0"/>
    <s v="Nooksack"/>
    <n v="19741.439999999999"/>
    <n v="0"/>
    <n v="0"/>
  </r>
  <r>
    <n v="1004"/>
    <x v="3"/>
    <s v="Purchases - PURPA"/>
    <x v="1"/>
    <x v="5"/>
    <s v="Port Townsend Paper Co."/>
    <n v="2366.1799999999998"/>
    <n v="2523.9512462867506"/>
    <n v="2986.0614799693917"/>
  </r>
  <r>
    <n v="1005"/>
    <x v="3"/>
    <s v="Purchases - PURPA"/>
    <x v="1"/>
    <x v="0"/>
    <s v="Puyallup Energy Recovery Company"/>
    <n v="1746.732"/>
    <n v="0"/>
    <n v="0"/>
  </r>
  <r>
    <n v="1006"/>
    <x v="3"/>
    <s v="Purchases - PURPA"/>
    <x v="1"/>
    <x v="6"/>
    <s v="Spokane MSW"/>
    <n v="128135"/>
    <n v="4609.4725050143998"/>
    <n v="295317.37971501006"/>
  </r>
  <r>
    <n v="1008"/>
    <x v="3"/>
    <s v="Purchases - PURPA"/>
    <x v="1"/>
    <x v="0"/>
    <s v="Sygitowicz Creek"/>
    <n v="651.84"/>
    <n v="0"/>
    <n v="0"/>
  </r>
  <r>
    <n v="1009"/>
    <x v="3"/>
    <s v="Purchases - PURPA"/>
    <x v="1"/>
    <x v="2"/>
    <s v="Tenaska"/>
    <n v="491579.42"/>
    <n v="873.94129317441275"/>
    <n v="214805.77700636387"/>
  </r>
  <r>
    <n v="1010"/>
    <x v="3"/>
    <s v="Purchases - PURPA"/>
    <x v="1"/>
    <x v="0"/>
    <s v="Twin Falls Hydro"/>
    <n v="73323"/>
    <n v="0"/>
    <n v="0"/>
  </r>
  <r>
    <n v="1011"/>
    <x v="3"/>
    <s v="Purchases - PURPA"/>
    <x v="1"/>
    <x v="0"/>
    <s v="Weeks Falls"/>
    <n v="11993.8"/>
    <n v="0"/>
    <n v="0"/>
  </r>
  <r>
    <n v="1013"/>
    <x v="3"/>
    <s v="Purchases - Secondary"/>
    <x v="2"/>
    <x v="4"/>
    <s v="Avista Corp. WWP Division"/>
    <n v="228885.04"/>
    <n v="1024.4699545804308"/>
    <n v="117242.92326647004"/>
  </r>
  <r>
    <n v="1014"/>
    <x v="3"/>
    <s v="Purchases - Secondary"/>
    <x v="2"/>
    <x v="4"/>
    <s v="Barclays Bank Plc"/>
    <n v="54188"/>
    <n v="1024.4699545804308"/>
    <n v="27756.988949402192"/>
  </r>
  <r>
    <n v="1015"/>
    <x v="3"/>
    <s v="Purchases - Secondary"/>
    <x v="2"/>
    <x v="4"/>
    <s v="Bear Energy LP"/>
    <n v="82433"/>
    <n v="1024.4699545804308"/>
    <n v="42225.065882964329"/>
  </r>
  <r>
    <n v="1016"/>
    <x v="3"/>
    <s v="Purchases - Secondary"/>
    <x v="2"/>
    <x v="4"/>
    <s v="Benton County PUD"/>
    <n v="5473"/>
    <n v="1024.4699545804308"/>
    <n v="2803.4620307093492"/>
  </r>
  <r>
    <n v="1017"/>
    <x v="3"/>
    <s v="Purchases - Secondary"/>
    <x v="2"/>
    <x v="4"/>
    <s v="Black Hills Power"/>
    <n v="4193"/>
    <n v="1024.4699545804308"/>
    <n v="2147.8012597778734"/>
  </r>
  <r>
    <n v="1018"/>
    <x v="3"/>
    <s v="Purchases - Secondary"/>
    <x v="2"/>
    <x v="4"/>
    <s v="Book Outs - EITF 03-11"/>
    <n v="-1458513"/>
    <n v="1024.4699545804308"/>
    <n v="-747101.37343248387"/>
  </r>
  <r>
    <n v="1019"/>
    <x v="3"/>
    <s v="Purchases - Secondary"/>
    <x v="2"/>
    <x v="4"/>
    <s v="BP Energy Co."/>
    <n v="8471"/>
    <n v="1024.4699545804308"/>
    <n v="4339.142492625414"/>
  </r>
  <r>
    <n v="1020"/>
    <x v="3"/>
    <s v="Purchases - Secondary"/>
    <x v="2"/>
    <x v="4"/>
    <s v="BPA"/>
    <n v="287771"/>
    <n v="1024.4699545804308"/>
    <n v="147406.37164978258"/>
  </r>
  <r>
    <n v="1021"/>
    <x v="3"/>
    <s v="Purchases - Secondary"/>
    <x v="2"/>
    <x v="4"/>
    <s v="Burbank, City of"/>
    <n v="1205"/>
    <n v="1024.4699545804308"/>
    <n v="617.24314763470966"/>
  </r>
  <r>
    <n v="1022"/>
    <x v="3"/>
    <s v="Purchases - Secondary"/>
    <x v="2"/>
    <x v="4"/>
    <s v="Cargill Power Markets"/>
    <n v="156466"/>
    <n v="1024.4699545804308"/>
    <n v="80147.357956690845"/>
  </r>
  <r>
    <n v="1023"/>
    <x v="3"/>
    <s v="Purchases - Secondary"/>
    <x v="2"/>
    <x v="4"/>
    <s v="Chelan County PUD #1"/>
    <n v="60076"/>
    <n v="1024.4699545804308"/>
    <n v="30773.02849568698"/>
  </r>
  <r>
    <n v="1024"/>
    <x v="3"/>
    <s v="Purchases - Secondary"/>
    <x v="2"/>
    <x v="4"/>
    <s v="Citigroup Energy Inc"/>
    <n v="176981"/>
    <n v="1024.4699545804308"/>
    <n v="90655.858515799613"/>
  </r>
  <r>
    <n v="1025"/>
    <x v="3"/>
    <s v="Purchases - Secondary"/>
    <x v="2"/>
    <x v="4"/>
    <s v="Clatskanie PUD"/>
    <n v="29829"/>
    <n v="1024.4699545804308"/>
    <n v="15279.457137589834"/>
  </r>
  <r>
    <n v="1026"/>
    <x v="3"/>
    <s v="Purchases - Secondary"/>
    <x v="2"/>
    <x v="4"/>
    <s v="Conoco, Inc."/>
    <n v="260284"/>
    <n v="1024.4699545804308"/>
    <n v="133326.56882900643"/>
  </r>
  <r>
    <n v="1027"/>
    <x v="3"/>
    <s v="Purchases - Secondary"/>
    <x v="2"/>
    <x v="4"/>
    <s v="Constellation Power Source, Inc."/>
    <n v="447128"/>
    <n v="1024.4699545804308"/>
    <n v="229034.60092581942"/>
  </r>
  <r>
    <n v="1028"/>
    <x v="3"/>
    <s v="Purchases - Secondary"/>
    <x v="2"/>
    <x v="4"/>
    <s v="CP Energy Marketing (Epcor)"/>
    <n v="30330"/>
    <n v="1024.4699545804308"/>
    <n v="15536.086861212232"/>
  </r>
  <r>
    <n v="1029"/>
    <x v="3"/>
    <s v="Purchases - Secondary"/>
    <x v="2"/>
    <x v="4"/>
    <s v="Credit Suisse Energy, LLC"/>
    <n v="28450"/>
    <n v="1024.4699545804308"/>
    <n v="14573.085103906627"/>
  </r>
  <r>
    <n v="1030"/>
    <x v="3"/>
    <s v="Purchases - Secondary"/>
    <x v="2"/>
    <x v="4"/>
    <s v="DB Energy Trading LLC"/>
    <n v="43073"/>
    <n v="1024.4699545804308"/>
    <n v="22063.497176821449"/>
  </r>
  <r>
    <n v="1031"/>
    <x v="3"/>
    <s v="Purchases - Secondary"/>
    <x v="2"/>
    <x v="4"/>
    <s v="Douglas County PUD #1"/>
    <n v="239272"/>
    <n v="1024.4699545804308"/>
    <n v="122563.48748618441"/>
  </r>
  <r>
    <n v="1032"/>
    <x v="3"/>
    <s v="Purchases - Secondary"/>
    <x v="2"/>
    <x v="4"/>
    <s v="ENMAX Energy Marketing, Inc."/>
    <n v="868"/>
    <n v="1024.4699545804308"/>
    <n v="444.61996028790696"/>
  </r>
  <r>
    <n v="1033"/>
    <x v="3"/>
    <s v="Purchases - Secondary"/>
    <x v="2"/>
    <x v="4"/>
    <s v="Eugene Water &amp; Electric"/>
    <n v="123300"/>
    <n v="1024.4699545804308"/>
    <n v="63158.57269988356"/>
  </r>
  <r>
    <n v="1034"/>
    <x v="3"/>
    <s v="Purchases - Secondary"/>
    <x v="2"/>
    <x v="4"/>
    <s v="Fortis Energy Marketing &amp; Trading"/>
    <n v="145965"/>
    <n v="1024.4699545804308"/>
    <n v="74768.378460166292"/>
  </r>
  <r>
    <n v="1035"/>
    <x v="3"/>
    <s v="Purchases - Secondary"/>
    <x v="2"/>
    <x v="4"/>
    <s v="Franklin County PUD #1"/>
    <n v="4960"/>
    <n v="1024.4699545804308"/>
    <n v="2540.6854873594684"/>
  </r>
  <r>
    <n v="1036"/>
    <x v="3"/>
    <s v="Purchases - Secondary"/>
    <x v="2"/>
    <x v="4"/>
    <s v="Grant County PUD #2"/>
    <n v="40063"/>
    <n v="1024.4699545804308"/>
    <n v="20521.6698951779"/>
  </r>
  <r>
    <n v="1037"/>
    <x v="3"/>
    <s v="Purchases - Secondary"/>
    <x v="2"/>
    <x v="4"/>
    <s v="Grays Harbor PUD #1"/>
    <n v="10385"/>
    <n v="1024.4699545804308"/>
    <n v="5319.5602391588864"/>
  </r>
  <r>
    <n v="1038"/>
    <x v="3"/>
    <s v="Purchases - Secondary"/>
    <x v="2"/>
    <x v="4"/>
    <s v="Highland Energy LLC"/>
    <n v="14297"/>
    <n v="1024.4699545804308"/>
    <n v="7323.4234703182092"/>
  </r>
  <r>
    <n v="1039"/>
    <x v="3"/>
    <s v="Purchases - Secondary"/>
    <x v="2"/>
    <x v="4"/>
    <s v="Hinson Power Company"/>
    <n v="2000"/>
    <n v="1024.4699545804308"/>
    <n v="1024.4699545804308"/>
  </r>
  <r>
    <n v="1040"/>
    <x v="3"/>
    <s v="Purchases - Secondary"/>
    <x v="2"/>
    <x v="4"/>
    <s v="Iberdrola Renewables (PPM Energy)"/>
    <n v="448401"/>
    <n v="1024.4699545804308"/>
    <n v="229686.67605190986"/>
  </r>
  <r>
    <n v="1041"/>
    <x v="3"/>
    <s v="Purchases - Secondary"/>
    <x v="2"/>
    <x v="4"/>
    <s v="Idaho Power Company"/>
    <n v="55219"/>
    <n v="1024.4699545804308"/>
    <n v="28285.103210988404"/>
  </r>
  <r>
    <n v="1042"/>
    <x v="3"/>
    <s v="Purchases - Secondary"/>
    <x v="2"/>
    <x v="4"/>
    <s v="Integrys Energy Services, Inc"/>
    <n v="2400"/>
    <n v="1024.4699545804308"/>
    <n v="1229.3639454965171"/>
  </r>
  <r>
    <n v="1043"/>
    <x v="3"/>
    <s v="Purchases - Secondary"/>
    <x v="2"/>
    <x v="4"/>
    <s v="J. Aron &amp; Company"/>
    <n v="36400"/>
    <n v="1024.4699545804308"/>
    <n v="18645.353173363841"/>
  </r>
  <r>
    <n v="1044"/>
    <x v="3"/>
    <s v="Purchases - Secondary"/>
    <x v="2"/>
    <x v="4"/>
    <s v="JP Morgan Ventures Energy"/>
    <n v="96579"/>
    <n v="1024.4699545804308"/>
    <n v="49471.141871711719"/>
  </r>
  <r>
    <n v="1045"/>
    <x v="3"/>
    <s v="Purchases - Secondary"/>
    <x v="2"/>
    <x v="4"/>
    <s v="Lehman Bros Commodity Services"/>
    <n v="14444"/>
    <n v="1024.4699545804308"/>
    <n v="7398.7220119798712"/>
  </r>
  <r>
    <n v="1046"/>
    <x v="3"/>
    <s v="Purchases - Secondary"/>
    <x v="2"/>
    <x v="4"/>
    <s v="Los Angeles Dept. Water &amp; Power"/>
    <n v="480"/>
    <n v="1024.4699545804308"/>
    <n v="245.87278909930339"/>
  </r>
  <r>
    <n v="1047"/>
    <x v="3"/>
    <s v="Purchases - Secondary"/>
    <x v="2"/>
    <x v="4"/>
    <s v="Louis Dreyfus Energy"/>
    <n v="285"/>
    <n v="1024.4699545804308"/>
    <n v="145.98696852771138"/>
  </r>
  <r>
    <n v="1048"/>
    <x v="3"/>
    <s v="Purchases - Secondary"/>
    <x v="2"/>
    <x v="4"/>
    <s v="Modesto Irrigation District"/>
    <n v="430"/>
    <n v="1024.4699545804308"/>
    <n v="220.26104023479263"/>
  </r>
  <r>
    <n v="1049"/>
    <x v="3"/>
    <s v="Purchases - Secondary"/>
    <x v="2"/>
    <x v="4"/>
    <s v="Morgan Stanley CG"/>
    <n v="1248783"/>
    <n v="1024.4699545804308"/>
    <n v="639670.33164540713"/>
  </r>
  <r>
    <n v="1050"/>
    <x v="3"/>
    <s v="Purchases - Secondary"/>
    <x v="2"/>
    <x v="4"/>
    <s v="N. California Power Agency"/>
    <n v="439"/>
    <n v="1024.4699545804308"/>
    <n v="224.87115503040457"/>
  </r>
  <r>
    <n v="1051"/>
    <x v="3"/>
    <s v="Purchases - Secondary"/>
    <x v="2"/>
    <x v="4"/>
    <s v="NorthPoint Energy Solutions, Inc."/>
    <n v="8475"/>
    <n v="1024.4699545804308"/>
    <n v="4341.1914325345751"/>
  </r>
  <r>
    <n v="1052"/>
    <x v="3"/>
    <s v="Purchases - Secondary"/>
    <x v="2"/>
    <x v="4"/>
    <s v="Northwestern Energy"/>
    <n v="27923"/>
    <n v="1024.4699545804308"/>
    <n v="14303.137270874684"/>
  </r>
  <r>
    <n v="1053"/>
    <x v="3"/>
    <s v="Purchases - Secondary"/>
    <x v="2"/>
    <x v="4"/>
    <s v="Occidental Power Services"/>
    <n v="200"/>
    <n v="1024.4699545804308"/>
    <n v="102.44699545804308"/>
  </r>
  <r>
    <n v="1054"/>
    <x v="3"/>
    <s v="Purchases - Secondary"/>
    <x v="2"/>
    <x v="4"/>
    <s v="Okanogan PUD"/>
    <n v="3660"/>
    <n v="1024.4699545804308"/>
    <n v="1874.7800168821884"/>
  </r>
  <r>
    <n v="1055"/>
    <x v="3"/>
    <s v="Purchases - Secondary"/>
    <x v="2"/>
    <x v="4"/>
    <s v="Pacific Northwest Generatin Coop."/>
    <n v="156918"/>
    <n v="1024.4699545804308"/>
    <n v="80378.888166426012"/>
  </r>
  <r>
    <n v="1056"/>
    <x v="3"/>
    <s v="Purchases - Secondary"/>
    <x v="2"/>
    <x v="4"/>
    <s v="Pacific Summit Energy LLC"/>
    <n v="82391"/>
    <n v="1024.4699545804308"/>
    <n v="42203.552013918139"/>
  </r>
  <r>
    <n v="1057"/>
    <x v="3"/>
    <s v="Purchases - Secondary"/>
    <x v="2"/>
    <x v="4"/>
    <s v="Pacificorp"/>
    <n v="290962"/>
    <n v="1024.4699545804308"/>
    <n v="149040.91346231566"/>
  </r>
  <r>
    <n v="1058"/>
    <x v="3"/>
    <s v="Purchases - Secondary"/>
    <x v="2"/>
    <x v="4"/>
    <s v="PG&amp;E Energy Trading"/>
    <n v="506"/>
    <n v="1024.4699545804308"/>
    <n v="259.19089850884899"/>
  </r>
  <r>
    <n v="1059"/>
    <x v="3"/>
    <s v="Purchases - Secondary"/>
    <x v="2"/>
    <x v="4"/>
    <s v="Portland General Electric"/>
    <n v="106316"/>
    <n v="1024.4699545804308"/>
    <n v="54458.77384558654"/>
  </r>
  <r>
    <n v="1060"/>
    <x v="3"/>
    <s v="Purchases - Secondary"/>
    <x v="2"/>
    <x v="4"/>
    <s v="Powerex Corp."/>
    <n v="352187"/>
    <n v="1024.4699545804308"/>
    <n v="180402.49994690911"/>
  </r>
  <r>
    <n v="1061"/>
    <x v="3"/>
    <s v="Purchases - Secondary"/>
    <x v="2"/>
    <x v="4"/>
    <s v="Public Service of Colorado"/>
    <n v="9806"/>
    <n v="1024.4699545804308"/>
    <n v="5022.9761873078523"/>
  </r>
  <r>
    <n v="1062"/>
    <x v="3"/>
    <s v="Purchases - Secondary"/>
    <x v="2"/>
    <x v="4"/>
    <s v="Rainbow Energy Marketing"/>
    <n v="82452"/>
    <n v="1024.4699545804308"/>
    <n v="42234.798347532836"/>
  </r>
  <r>
    <n v="1063"/>
    <x v="3"/>
    <s v="Purchases - Secondary"/>
    <x v="2"/>
    <x v="4"/>
    <s v="Redding, City of"/>
    <n v="1284"/>
    <n v="1024.4699545804308"/>
    <n v="657.70971084063649"/>
  </r>
  <r>
    <n v="1064"/>
    <x v="3"/>
    <s v="Purchases - Secondary"/>
    <x v="2"/>
    <x v="4"/>
    <s v="Sacramento Municipal"/>
    <n v="2095"/>
    <n v="1024.4699545804308"/>
    <n v="1073.1322774230014"/>
  </r>
  <r>
    <n v="1065"/>
    <x v="3"/>
    <s v="Purchases - Secondary"/>
    <x v="2"/>
    <x v="4"/>
    <s v="San Diego Gas &amp; Electric"/>
    <n v="1032"/>
    <n v="1024.4699545804308"/>
    <n v="528.6264965635022"/>
  </r>
  <r>
    <n v="1066"/>
    <x v="3"/>
    <s v="Purchases - Secondary"/>
    <x v="2"/>
    <x v="4"/>
    <s v="Seattle City Light Marketing"/>
    <n v="113723"/>
    <n v="1024.4699545804308"/>
    <n v="58252.898322375164"/>
  </r>
  <r>
    <n v="1067"/>
    <x v="3"/>
    <s v="Purchases - Secondary"/>
    <x v="2"/>
    <x v="4"/>
    <s v="Sempra Energy Trading"/>
    <n v="894356"/>
    <n v="1024.4699545804308"/>
    <n v="458120.42534936784"/>
  </r>
  <r>
    <n v="1068"/>
    <x v="3"/>
    <s v="Purchases - Secondary"/>
    <x v="2"/>
    <x v="4"/>
    <s v="Shell Energy (Coral Pwr)"/>
    <n v="940286"/>
    <n v="1024.4699545804308"/>
    <n v="481647.37785630743"/>
  </r>
  <r>
    <n v="1069"/>
    <x v="3"/>
    <s v="Purchases - Secondary"/>
    <x v="2"/>
    <x v="4"/>
    <s v="Sierra Pacific Power"/>
    <n v="7828"/>
    <n v="1024.4699545804308"/>
    <n v="4009.7754022278059"/>
  </r>
  <r>
    <n v="1070"/>
    <x v="3"/>
    <s v="Purchases - Secondary"/>
    <x v="2"/>
    <x v="4"/>
    <s v="Silicon Valley Pwr - Santa Clara"/>
    <n v="1820"/>
    <n v="1024.4699545804308"/>
    <n v="932.26765866819198"/>
  </r>
  <r>
    <n v="1071"/>
    <x v="3"/>
    <s v="Purchases - Secondary"/>
    <x v="2"/>
    <x v="4"/>
    <s v="Snohomish County PUD #1"/>
    <n v="76572"/>
    <n v="1024.4699545804308"/>
    <n v="39222.856681066369"/>
  </r>
  <r>
    <n v="1072"/>
    <x v="3"/>
    <s v="Purchases - Secondary"/>
    <x v="2"/>
    <x v="4"/>
    <s v="Southern Cal - Edison"/>
    <n v="6100"/>
    <n v="1024.4699545804308"/>
    <n v="3124.633361470314"/>
  </r>
  <r>
    <n v="1073"/>
    <x v="3"/>
    <s v="Purchases - Secondary"/>
    <x v="2"/>
    <x v="4"/>
    <s v="SUEZ Energy Marketing (Tractebel)"/>
    <n v="24295"/>
    <n v="1024.4699545804308"/>
    <n v="12444.748773265783"/>
  </r>
  <r>
    <n v="1074"/>
    <x v="3"/>
    <s v="Purchases - Secondary"/>
    <x v="2"/>
    <x v="4"/>
    <s v="Tacoma Power"/>
    <n v="100697"/>
    <n v="1024.4699545804308"/>
    <n v="51580.525508192819"/>
  </r>
  <r>
    <n v="1075"/>
    <x v="3"/>
    <s v="Purchases - Secondary"/>
    <x v="2"/>
    <x v="4"/>
    <s v="Talen Energy (PPL Energy Plus)"/>
    <n v="103775"/>
    <n v="1024.4699545804308"/>
    <n v="53157.1847682921"/>
  </r>
  <r>
    <n v="1076"/>
    <x v="3"/>
    <s v="Purchases - Secondary"/>
    <x v="2"/>
    <x v="4"/>
    <s v="Tenaska"/>
    <n v="114114"/>
    <n v="1024.4699545804308"/>
    <n v="58453.18219849564"/>
  </r>
  <r>
    <n v="1077"/>
    <x v="3"/>
    <s v="Purchases - Secondary"/>
    <x v="2"/>
    <x v="4"/>
    <s v="The Energy Authority"/>
    <n v="54630"/>
    <n v="1024.4699545804308"/>
    <n v="27983.396809364469"/>
  </r>
  <r>
    <n v="1078"/>
    <x v="3"/>
    <s v="Purchases - Secondary"/>
    <x v="2"/>
    <x v="4"/>
    <s v="TransAlta Energy Marketing"/>
    <n v="583432"/>
    <n v="1024.4699545804308"/>
    <n v="298854.27727038495"/>
  </r>
  <r>
    <n v="1079"/>
    <x v="3"/>
    <s v="Purchases - Secondary"/>
    <x v="2"/>
    <x v="4"/>
    <s v="TransCanada Energy Marketing"/>
    <n v="11288"/>
    <n v="1024.4699545804308"/>
    <n v="5782.1084236519509"/>
  </r>
  <r>
    <n v="1080"/>
    <x v="3"/>
    <s v="Purchases - Secondary"/>
    <x v="2"/>
    <x v="4"/>
    <s v="TransCanada Power Corp."/>
    <n v="5120"/>
    <n v="1024.4699545804308"/>
    <n v="2622.6430837259027"/>
  </r>
  <r>
    <n v="1081"/>
    <x v="3"/>
    <s v="Purchases - Secondary"/>
    <x v="2"/>
    <x v="4"/>
    <s v="Turlock Irrigation District"/>
    <n v="6176"/>
    <n v="1024.4699545804308"/>
    <n v="3163.5632197443701"/>
  </r>
  <r>
    <n v="1082"/>
    <x v="3"/>
    <s v="Purchases - Secondary"/>
    <x v="2"/>
    <x v="4"/>
    <s v="UBS AG"/>
    <n v="32800"/>
    <n v="1024.4699545804308"/>
    <n v="16801.307255119067"/>
  </r>
  <r>
    <n v="1083"/>
    <x v="3"/>
    <s v="Purchases - Secondary"/>
    <x v="2"/>
    <x v="4"/>
    <s v="Western Area Power Association"/>
    <n v="796"/>
    <n v="1024.4699545804308"/>
    <n v="407.73904192301148"/>
  </r>
  <r>
    <n v="1085"/>
    <x v="3"/>
    <s v="Interchange - In"/>
    <x v="2"/>
    <x v="4"/>
    <s v="Black Creek Hydro"/>
    <n v="4649"/>
    <n v="1024.4699545804308"/>
    <n v="2381.3804094222114"/>
  </r>
  <r>
    <n v="1086"/>
    <x v="3"/>
    <s v="Interchange - In"/>
    <x v="2"/>
    <x v="4"/>
    <s v="BPA"/>
    <n v="97704"/>
    <n v="1024.4699545804308"/>
    <n v="50047.406221163204"/>
  </r>
  <r>
    <n v="1087"/>
    <x v="3"/>
    <s v="Interchange - In"/>
    <x v="2"/>
    <x v="4"/>
    <s v="Constellation Power Source, Inc."/>
    <n v="70000"/>
    <n v="1024.4699545804308"/>
    <n v="35856.448410315083"/>
  </r>
  <r>
    <n v="1088"/>
    <x v="3"/>
    <s v="Interchange - In"/>
    <x v="2"/>
    <x v="4"/>
    <s v="Deviation"/>
    <n v="-28008"/>
    <n v="1024.4699545804308"/>
    <n v="-14346.677243944352"/>
  </r>
  <r>
    <n v="1089"/>
    <x v="3"/>
    <s v="Interchange - In"/>
    <x v="2"/>
    <x v="4"/>
    <s v="Pacific Gas &amp; Elec - Exchange"/>
    <n v="413116"/>
    <n v="1024.4699545804308"/>
    <n v="211612.46487822462"/>
  </r>
  <r>
    <n v="1090"/>
    <x v="3"/>
    <s v="Interchange - In"/>
    <x v="2"/>
    <x v="4"/>
    <s v="Powerex - Exchange"/>
    <n v="25607"/>
    <n v="1024.4699545804308"/>
    <n v="13116.801063470546"/>
  </r>
  <r>
    <n v="1091"/>
    <x v="3"/>
    <s v="Interchange - In"/>
    <x v="2"/>
    <x v="4"/>
    <s v="Seattle City Light Marketing"/>
    <n v="18800"/>
    <n v="1024.4699545804308"/>
    <n v="9630.0175730560495"/>
  </r>
  <r>
    <n v="1092"/>
    <x v="3"/>
    <s v="Interchange - In"/>
    <x v="2"/>
    <x v="4"/>
    <s v="TransAlta Energy Marketing"/>
    <n v="1099250"/>
    <n v="1024.4699545804308"/>
    <n v="563074.29878626927"/>
  </r>
  <r>
    <n v="1094"/>
    <x v="3"/>
    <s v="Interchange - Out"/>
    <x v="2"/>
    <x v="4"/>
    <s v="Black Creek Hydro"/>
    <n v="-4708"/>
    <n v="1024.4699545804308"/>
    <n v="-2411.6022730823342"/>
  </r>
  <r>
    <n v="1095"/>
    <x v="3"/>
    <s v="Interchange - Out"/>
    <x v="2"/>
    <x v="4"/>
    <s v="BPA"/>
    <n v="-99125"/>
    <n v="1024.4699545804308"/>
    <n v="-50775.292123892599"/>
  </r>
  <r>
    <n v="1096"/>
    <x v="3"/>
    <s v="Interchange - Out"/>
    <x v="2"/>
    <x v="4"/>
    <s v="Constellation Power Source, Inc."/>
    <n v="-70000"/>
    <n v="1024.4699545804308"/>
    <n v="-35856.448410315083"/>
  </r>
  <r>
    <n v="1097"/>
    <x v="3"/>
    <s v="Interchange - Out"/>
    <x v="2"/>
    <x v="4"/>
    <s v="Pacific Gas &amp; Elec - Exchange"/>
    <n v="-413016"/>
    <n v="1024.4699545804308"/>
    <n v="-211561.2413804956"/>
  </r>
  <r>
    <n v="1098"/>
    <x v="3"/>
    <s v="Interchange - Out"/>
    <x v="2"/>
    <x v="4"/>
    <s v="Powerex - Exchange"/>
    <n v="-25607"/>
    <n v="1024.4699545804308"/>
    <n v="-13116.801063470546"/>
  </r>
  <r>
    <n v="1099"/>
    <x v="3"/>
    <s v="Interchange - Out"/>
    <x v="2"/>
    <x v="4"/>
    <s v="Seattle City Light Marketing"/>
    <n v="-18800"/>
    <n v="1024.4699545804308"/>
    <n v="-9630.0175730560495"/>
  </r>
  <r>
    <n v="1100"/>
    <x v="3"/>
    <s v="Interchange - Out"/>
    <x v="2"/>
    <x v="4"/>
    <s v="TransAlta Energy Marketing"/>
    <n v="-1099250"/>
    <n v="1024.4699545804308"/>
    <n v="-563074.29878626927"/>
  </r>
  <r>
    <n v="1154"/>
    <x v="3"/>
    <s v="Sales for Resale"/>
    <x v="2"/>
    <x v="4"/>
    <s v="Arizona Public Service"/>
    <n v="-15"/>
    <n v="1024.4699545804308"/>
    <n v="-7.6835246593532309"/>
  </r>
  <r>
    <n v="1155"/>
    <x v="3"/>
    <s v="Sales for Resale"/>
    <x v="2"/>
    <x v="4"/>
    <s v="Avista Corp. WWP Division"/>
    <n v="-41915"/>
    <n v="1024.4699545804308"/>
    <n v="-21470.329073119381"/>
  </r>
  <r>
    <n v="1156"/>
    <x v="3"/>
    <s v="Sales for Resale"/>
    <x v="2"/>
    <x v="4"/>
    <s v="Barclays Bank Plc"/>
    <n v="-32027"/>
    <n v="1024.4699545804308"/>
    <n v="-16405.349617673728"/>
  </r>
  <r>
    <n v="1157"/>
    <x v="3"/>
    <s v="Sales for Resale"/>
    <x v="2"/>
    <x v="4"/>
    <s v="Bear Energy LP"/>
    <n v="-43931"/>
    <n v="1024.4699545804308"/>
    <n v="-22502.994787336454"/>
  </r>
  <r>
    <n v="1158"/>
    <x v="3"/>
    <s v="Sales for Resale"/>
    <x v="2"/>
    <x v="4"/>
    <s v="Benton County PUD"/>
    <n v="-1335"/>
    <n v="1024.4699545804308"/>
    <n v="-683.83369468243757"/>
  </r>
  <r>
    <n v="1159"/>
    <x v="3"/>
    <s v="Sales for Resale"/>
    <x v="2"/>
    <x v="4"/>
    <s v="Black Hills Power"/>
    <n v="-2123"/>
    <n v="1024.4699545804308"/>
    <n v="-1087.4748567871272"/>
  </r>
  <r>
    <n v="1160"/>
    <x v="3"/>
    <s v="Sales for Resale"/>
    <x v="2"/>
    <x v="4"/>
    <s v="Book Outs - EITF 03-11"/>
    <n v="1458513"/>
    <n v="1024.4699545804308"/>
    <n v="747101.37343248387"/>
  </r>
  <r>
    <n v="1161"/>
    <x v="3"/>
    <s v="Sales for Resale"/>
    <x v="2"/>
    <x v="4"/>
    <s v="BP Energy Co."/>
    <n v="-28512"/>
    <n v="1024.4699545804308"/>
    <n v="-14604.84367249862"/>
  </r>
  <r>
    <n v="1162"/>
    <x v="3"/>
    <s v="Sales for Resale"/>
    <x v="2"/>
    <x v="4"/>
    <s v="BPA"/>
    <n v="-138425"/>
    <n v="1024.4699545804308"/>
    <n v="-70906.126731398064"/>
  </r>
  <r>
    <n v="1163"/>
    <x v="3"/>
    <s v="Sales for Resale"/>
    <x v="2"/>
    <x v="4"/>
    <s v="British Columbia Transmission Corp"/>
    <n v="-23"/>
    <n v="1024.4699545804308"/>
    <n v="-11.781404477674954"/>
  </r>
  <r>
    <n v="1164"/>
    <x v="3"/>
    <s v="Sales for Resale"/>
    <x v="2"/>
    <x v="4"/>
    <s v="Burbank, City of"/>
    <n v="-1085"/>
    <n v="1024.4699545804308"/>
    <n v="-555.77495035988375"/>
  </r>
  <r>
    <n v="1165"/>
    <x v="3"/>
    <s v="Sales for Resale"/>
    <x v="2"/>
    <x v="4"/>
    <s v="Cargill Power Markets"/>
    <n v="-177806"/>
    <n v="1024.4699545804308"/>
    <n v="-91078.452372064043"/>
  </r>
  <r>
    <n v="1166"/>
    <x v="3"/>
    <s v="Sales for Resale"/>
    <x v="2"/>
    <x v="4"/>
    <s v="Chelan County PUD #1"/>
    <n v="-7327"/>
    <n v="1024.4699545804308"/>
    <n v="-3753.1456786054082"/>
  </r>
  <r>
    <n v="1167"/>
    <x v="3"/>
    <s v="Sales for Resale"/>
    <x v="2"/>
    <x v="4"/>
    <s v="Citigroup Energy Inc"/>
    <n v="-232727"/>
    <n v="1024.4699545804308"/>
    <n v="-119210.90955981995"/>
  </r>
  <r>
    <n v="1168"/>
    <x v="3"/>
    <s v="Sales for Resale"/>
    <x v="2"/>
    <x v="4"/>
    <s v="Clatskanie PUD"/>
    <n v="-17042"/>
    <n v="1024.4699545804308"/>
    <n v="-8729.5084829798507"/>
  </r>
  <r>
    <n v="1169"/>
    <x v="3"/>
    <s v="Sales for Resale"/>
    <x v="2"/>
    <x v="4"/>
    <s v="Conoco, Inc."/>
    <n v="-8142"/>
    <n v="1024.4699545804308"/>
    <n v="-4170.617185096934"/>
  </r>
  <r>
    <n v="1170"/>
    <x v="3"/>
    <s v="Sales for Resale"/>
    <x v="2"/>
    <x v="4"/>
    <s v="Constellation Power Source, Inc."/>
    <n v="-86673"/>
    <n v="1024.4699545804308"/>
    <n v="-44396.942186674838"/>
  </r>
  <r>
    <n v="1171"/>
    <x v="3"/>
    <s v="Sales for Resale"/>
    <x v="2"/>
    <x v="4"/>
    <s v="CP Energy Marketing (Epcor)"/>
    <n v="-7691"/>
    <n v="1024.4699545804308"/>
    <n v="-3939.5992103390467"/>
  </r>
  <r>
    <n v="1172"/>
    <x v="3"/>
    <s v="Sales for Resale"/>
    <x v="2"/>
    <x v="4"/>
    <s v="Credit Suisse Energy, LLC"/>
    <n v="-1600"/>
    <n v="1024.4699545804308"/>
    <n v="-819.57596366434461"/>
  </r>
  <r>
    <n v="1173"/>
    <x v="3"/>
    <s v="Sales for Resale"/>
    <x v="2"/>
    <x v="4"/>
    <s v="DB Energy Trading LLC"/>
    <n v="-53578"/>
    <n v="1024.4699545804308"/>
    <n v="-27444.525613255162"/>
  </r>
  <r>
    <n v="1174"/>
    <x v="3"/>
    <s v="Sales for Resale"/>
    <x v="2"/>
    <x v="4"/>
    <s v="Douglas County PUD #1"/>
    <n v="-461"/>
    <n v="1024.4699545804308"/>
    <n v="-236.14032453078931"/>
  </r>
  <r>
    <n v="1175"/>
    <x v="3"/>
    <s v="Sales for Resale"/>
    <x v="2"/>
    <x v="4"/>
    <s v="ENMAX Energy Marketing, Inc."/>
    <n v="-2690"/>
    <n v="1024.4699545804308"/>
    <n v="-1377.9120889106794"/>
  </r>
  <r>
    <n v="1176"/>
    <x v="3"/>
    <s v="Sales for Resale"/>
    <x v="2"/>
    <x v="4"/>
    <s v="Eugene Water &amp; Electric"/>
    <n v="-38663"/>
    <n v="1024.4699545804308"/>
    <n v="-19804.5409269716"/>
  </r>
  <r>
    <n v="1177"/>
    <x v="3"/>
    <s v="Sales for Resale"/>
    <x v="2"/>
    <x v="4"/>
    <s v="Fortis Energy Marketing &amp; Trading"/>
    <n v="-131275"/>
    <n v="1024.4699545804308"/>
    <n v="-67243.646643773012"/>
  </r>
  <r>
    <n v="1178"/>
    <x v="3"/>
    <s v="Sales for Resale"/>
    <x v="2"/>
    <x v="4"/>
    <s v="Franklin County PUD #1"/>
    <n v="-690"/>
    <n v="1024.4699545804308"/>
    <n v="-353.44213433024862"/>
  </r>
  <r>
    <n v="1179"/>
    <x v="3"/>
    <s v="Sales for Resale"/>
    <x v="2"/>
    <x v="4"/>
    <s v="Grant County PUD #2"/>
    <n v="-13801"/>
    <n v="1024.4699545804308"/>
    <n v="-7069.3549215822632"/>
  </r>
  <r>
    <n v="1180"/>
    <x v="3"/>
    <s v="Sales for Resale"/>
    <x v="2"/>
    <x v="4"/>
    <s v="Grays Harbor PUD #1"/>
    <n v="-937"/>
    <n v="1024.4699545804308"/>
    <n v="-479.9641737209318"/>
  </r>
  <r>
    <n v="1181"/>
    <x v="3"/>
    <s v="Sales for Resale"/>
    <x v="2"/>
    <x v="4"/>
    <s v="Highland Energy LLC"/>
    <n v="-14406"/>
    <n v="1024.4699545804308"/>
    <n v="-7379.2570828428425"/>
  </r>
  <r>
    <n v="1182"/>
    <x v="3"/>
    <s v="Sales for Resale"/>
    <x v="2"/>
    <x v="4"/>
    <s v="Hinson Power Company"/>
    <n v="-10318"/>
    <n v="1024.4699545804308"/>
    <n v="-5285.2404956804421"/>
  </r>
  <r>
    <n v="1183"/>
    <x v="3"/>
    <s v="Sales for Resale"/>
    <x v="2"/>
    <x v="4"/>
    <s v="Iberdrola Renewables (PPM Energy)"/>
    <n v="-97329"/>
    <n v="1024.4699545804308"/>
    <n v="-49855.318104679376"/>
  </r>
  <r>
    <n v="1184"/>
    <x v="3"/>
    <s v="Sales for Resale"/>
    <x v="2"/>
    <x v="4"/>
    <s v="Idaho Power Company"/>
    <n v="-22104"/>
    <n v="1024.4699545804308"/>
    <n v="-11322.441938022921"/>
  </r>
  <r>
    <n v="1185"/>
    <x v="3"/>
    <s v="Sales for Resale"/>
    <x v="2"/>
    <x v="4"/>
    <s v="Integrys Energy Services, Inc"/>
    <n v="-3600"/>
    <n v="1024.4699545804308"/>
    <n v="-1844.0459182447753"/>
  </r>
  <r>
    <n v="1186"/>
    <x v="3"/>
    <s v="Sales for Resale"/>
    <x v="2"/>
    <x v="4"/>
    <s v="J. Aron &amp; Company"/>
    <n v="-20700"/>
    <n v="1024.4699545804308"/>
    <n v="-10603.264029907459"/>
  </r>
  <r>
    <n v="1187"/>
    <x v="3"/>
    <s v="Sales for Resale"/>
    <x v="2"/>
    <x v="4"/>
    <s v="JP Morgan Ventures Energy"/>
    <n v="-98388"/>
    <n v="1024.4699545804308"/>
    <n v="-50397.774945629717"/>
  </r>
  <r>
    <n v="1188"/>
    <x v="3"/>
    <s v="Sales for Resale"/>
    <x v="2"/>
    <x v="4"/>
    <s v="Lehman Bros Commodity Services"/>
    <n v="-5520"/>
    <n v="1024.4699545804308"/>
    <n v="-2827.537074641989"/>
  </r>
  <r>
    <n v="1189"/>
    <x v="3"/>
    <s v="Sales for Resale"/>
    <x v="2"/>
    <x v="4"/>
    <s v="Louis Dreyfus Energy"/>
    <n v="-1113"/>
    <n v="1024.4699545804308"/>
    <n v="-570.11752972400973"/>
  </r>
  <r>
    <n v="1190"/>
    <x v="3"/>
    <s v="Sales for Resale"/>
    <x v="2"/>
    <x v="4"/>
    <s v="Merrill Lynch Commodities"/>
    <n v="-5200"/>
    <n v="1024.4699545804308"/>
    <n v="-2663.62188190912"/>
  </r>
  <r>
    <n v="1191"/>
    <x v="3"/>
    <s v="Sales for Resale"/>
    <x v="2"/>
    <x v="4"/>
    <s v="Modesto Irrigation District"/>
    <n v="-180"/>
    <n v="1024.4699545804308"/>
    <n v="-92.202295912238768"/>
  </r>
  <r>
    <n v="1192"/>
    <x v="3"/>
    <s v="Sales for Resale"/>
    <x v="2"/>
    <x v="4"/>
    <s v="Morgan Stanley CG"/>
    <n v="-491984"/>
    <n v="1024.4699545804308"/>
    <n v="-252011.41306714935"/>
  </r>
  <r>
    <n v="1193"/>
    <x v="3"/>
    <s v="Sales for Resale"/>
    <x v="2"/>
    <x v="4"/>
    <s v="N. California Power Agency"/>
    <n v="-260"/>
    <n v="1024.4699545804308"/>
    <n v="-133.18109409545602"/>
  </r>
  <r>
    <n v="1194"/>
    <x v="3"/>
    <s v="Sales for Resale"/>
    <x v="2"/>
    <x v="4"/>
    <s v="NorthPoint Energy Solutions, Inc."/>
    <n v="-5792"/>
    <n v="1024.4699545804308"/>
    <n v="-2966.8649884649276"/>
  </r>
  <r>
    <n v="1195"/>
    <x v="3"/>
    <s v="Sales for Resale"/>
    <x v="2"/>
    <x v="4"/>
    <s v="Northwestern Energy"/>
    <n v="-13384"/>
    <n v="1024.4699545804308"/>
    <n v="-6855.7529360522431"/>
  </r>
  <r>
    <n v="1196"/>
    <x v="3"/>
    <s v="Sales for Resale"/>
    <x v="2"/>
    <x v="4"/>
    <s v="Okanogan PUD"/>
    <n v="-455"/>
    <n v="1024.4699545804308"/>
    <n v="-233.066914667048"/>
  </r>
  <r>
    <n v="1197"/>
    <x v="3"/>
    <s v="Sales for Resale"/>
    <x v="2"/>
    <x v="4"/>
    <s v="Pacific Northwest Generatin Coop."/>
    <n v="-11857"/>
    <n v="1024.4699545804308"/>
    <n v="-6073.5701257300843"/>
  </r>
  <r>
    <n v="1198"/>
    <x v="3"/>
    <s v="Sales for Resale"/>
    <x v="2"/>
    <x v="4"/>
    <s v="Pacific Summit Energy LLC"/>
    <n v="-80207"/>
    <n v="1024.4699545804308"/>
    <n v="-41084.830823516306"/>
  </r>
  <r>
    <n v="1199"/>
    <x v="3"/>
    <s v="Sales for Resale"/>
    <x v="2"/>
    <x v="4"/>
    <s v="Pacificorp"/>
    <n v="-122205"/>
    <n v="1024.4699545804308"/>
    <n v="-62597.675399750769"/>
  </r>
  <r>
    <n v="1200"/>
    <x v="3"/>
    <s v="Sales for Resale"/>
    <x v="2"/>
    <x v="4"/>
    <s v="PG&amp;E Energy Trading"/>
    <n v="-800"/>
    <n v="1024.4699545804308"/>
    <n v="-409.78798183217231"/>
  </r>
  <r>
    <n v="1201"/>
    <x v="3"/>
    <s v="Sales for Resale"/>
    <x v="2"/>
    <x v="4"/>
    <s v="Portland General Electric"/>
    <n v="-37229"/>
    <n v="1024.4699545804308"/>
    <n v="-19069.995969537431"/>
  </r>
  <r>
    <n v="1202"/>
    <x v="3"/>
    <s v="Sales for Resale"/>
    <x v="2"/>
    <x v="4"/>
    <s v="Powerex Corp."/>
    <n v="-317422"/>
    <n v="1024.4699545804308"/>
    <n v="-162594.65096141477"/>
  </r>
  <r>
    <n v="1203"/>
    <x v="3"/>
    <s v="Sales for Resale"/>
    <x v="2"/>
    <x v="4"/>
    <s v="Public Service of Colorado"/>
    <n v="-15435"/>
    <n v="1024.4699545804308"/>
    <n v="-7906.3468744744741"/>
  </r>
  <r>
    <n v="1204"/>
    <x v="3"/>
    <s v="Sales for Resale"/>
    <x v="2"/>
    <x v="4"/>
    <s v="Rainbow Energy Marketing"/>
    <n v="-74196"/>
    <n v="1024.4699545804308"/>
    <n v="-38005.786375024829"/>
  </r>
  <r>
    <n v="1205"/>
    <x v="3"/>
    <s v="Sales for Resale"/>
    <x v="2"/>
    <x v="4"/>
    <s v="Redding, City of"/>
    <n v="-1257"/>
    <n v="1024.4699545804308"/>
    <n v="-643.87936645380069"/>
  </r>
  <r>
    <n v="1206"/>
    <x v="3"/>
    <s v="Sales for Resale"/>
    <x v="2"/>
    <x v="4"/>
    <s v="Sacramento Municipal"/>
    <n v="-2305"/>
    <n v="1024.4699545804308"/>
    <n v="-1180.7016226539465"/>
  </r>
  <r>
    <n v="1207"/>
    <x v="3"/>
    <s v="Sales for Resale"/>
    <x v="2"/>
    <x v="4"/>
    <s v="San Diego Gas &amp; Electric"/>
    <n v="-30998"/>
    <n v="1024.4699545804308"/>
    <n v="-15878.259826042096"/>
  </r>
  <r>
    <n v="1208"/>
    <x v="3"/>
    <s v="Sales for Resale"/>
    <x v="2"/>
    <x v="4"/>
    <s v="Seattle City Light Marketing"/>
    <n v="-51896"/>
    <n v="1024.4699545804308"/>
    <n v="-26582.946381453017"/>
  </r>
  <r>
    <n v="1209"/>
    <x v="3"/>
    <s v="Sales for Resale"/>
    <x v="2"/>
    <x v="4"/>
    <s v="Sempra Energy Trading"/>
    <n v="-38348"/>
    <n v="1024.4699545804308"/>
    <n v="-19643.186909125179"/>
  </r>
  <r>
    <n v="1210"/>
    <x v="3"/>
    <s v="Sales for Resale"/>
    <x v="2"/>
    <x v="4"/>
    <s v="Shell Energy (Coral Pwr)"/>
    <n v="-158471"/>
    <n v="1024.4699545804308"/>
    <n v="-81174.389086157724"/>
  </r>
  <r>
    <n v="1211"/>
    <x v="3"/>
    <s v="Sales for Resale"/>
    <x v="2"/>
    <x v="4"/>
    <s v="Sierra Pacific Power"/>
    <n v="-17217"/>
    <n v="1024.4699545804308"/>
    <n v="-8819.149604005639"/>
  </r>
  <r>
    <n v="1212"/>
    <x v="3"/>
    <s v="Sales for Resale"/>
    <x v="2"/>
    <x v="4"/>
    <s v="Silicon Valley Pwr - Santa Clara"/>
    <n v="-166"/>
    <n v="1024.4699545804308"/>
    <n v="-85.031006230175763"/>
  </r>
  <r>
    <n v="1213"/>
    <x v="3"/>
    <s v="Sales for Resale"/>
    <x v="2"/>
    <x v="4"/>
    <s v="Snohomish County PUD #1"/>
    <n v="-22679"/>
    <n v="1024.4699545804308"/>
    <n v="-11616.977049964795"/>
  </r>
  <r>
    <n v="1214"/>
    <x v="3"/>
    <s v="Sales for Resale"/>
    <x v="2"/>
    <x v="4"/>
    <s v="Southern Cal - Edison"/>
    <n v="-4250"/>
    <n v="1024.4699545804308"/>
    <n v="-2176.9986534834156"/>
  </r>
  <r>
    <n v="1215"/>
    <x v="3"/>
    <s v="Sales for Resale"/>
    <x v="2"/>
    <x v="4"/>
    <s v="SUEZ Energy Marketing (Tractebel)"/>
    <n v="-15700"/>
    <n v="1024.4699545804308"/>
    <n v="-8042.0891434563819"/>
  </r>
  <r>
    <n v="1216"/>
    <x v="3"/>
    <s v="Sales for Resale"/>
    <x v="2"/>
    <x v="4"/>
    <s v="Synergy Power Marketing"/>
    <n v="-2578"/>
    <n v="1024.4699545804308"/>
    <n v="-1320.5417714541752"/>
  </r>
  <r>
    <n v="1217"/>
    <x v="3"/>
    <s v="Sales for Resale"/>
    <x v="2"/>
    <x v="4"/>
    <s v="Tacoma Power"/>
    <n v="-3208"/>
    <n v="1024.4699545804308"/>
    <n v="-1643.2498071470109"/>
  </r>
  <r>
    <n v="1218"/>
    <x v="3"/>
    <s v="Sales for Resale"/>
    <x v="2"/>
    <x v="4"/>
    <s v="Talen Energy (PPL Energy Plus)"/>
    <n v="-22392"/>
    <n v="1024.4699545804308"/>
    <n v="-11469.965611482503"/>
  </r>
  <r>
    <n v="1219"/>
    <x v="3"/>
    <s v="Sales for Resale"/>
    <x v="2"/>
    <x v="4"/>
    <s v="The Energy Authority"/>
    <n v="-11297"/>
    <n v="1024.4699545804308"/>
    <n v="-5786.7185384475633"/>
  </r>
  <r>
    <n v="1220"/>
    <x v="3"/>
    <s v="Sales for Resale"/>
    <x v="2"/>
    <x v="4"/>
    <s v="TransAlta Energy Marketing"/>
    <n v="-200683"/>
    <n v="1024.4699545804308"/>
    <n v="-102796.8519475323"/>
  </r>
  <r>
    <n v="1221"/>
    <x v="3"/>
    <s v="Sales for Resale"/>
    <x v="2"/>
    <x v="4"/>
    <s v="TransCanada Energy Marketing"/>
    <n v="-14678"/>
    <n v="1024.4699545804308"/>
    <n v="-7518.5849966657815"/>
  </r>
  <r>
    <n v="1222"/>
    <x v="3"/>
    <s v="Sales for Resale"/>
    <x v="2"/>
    <x v="4"/>
    <s v="Turlock Irrigation District"/>
    <n v="-2835"/>
    <n v="1024.4699545804308"/>
    <n v="-1452.1861606177606"/>
  </r>
  <r>
    <n v="1223"/>
    <x v="3"/>
    <s v="Sales for Resale"/>
    <x v="2"/>
    <x v="4"/>
    <s v="UBS AG"/>
    <n v="-1600"/>
    <n v="1024.4699545804308"/>
    <n v="-819.57596366434461"/>
  </r>
  <r>
    <n v="1224"/>
    <x v="3"/>
    <s v="Sales for Resale"/>
    <x v="2"/>
    <x v="4"/>
    <s v="Western Area Power Association"/>
    <n v="-275"/>
    <n v="1024.4699545804308"/>
    <n v="-140.86461875480921"/>
  </r>
  <r>
    <n v="1267"/>
    <x v="4"/>
    <s v="Generation - Hydro"/>
    <x v="0"/>
    <x v="0"/>
    <s v="Electron"/>
    <n v="90893.71"/>
    <n v="0"/>
    <n v="0"/>
  </r>
  <r>
    <n v="1268"/>
    <x v="4"/>
    <s v="Generation - Hydro"/>
    <x v="0"/>
    <x v="0"/>
    <s v="Lower Baker"/>
    <n v="344847.47200000001"/>
    <n v="0"/>
    <n v="0"/>
  </r>
  <r>
    <n v="1269"/>
    <x v="4"/>
    <s v="Generation - Hydro"/>
    <x v="0"/>
    <x v="0"/>
    <s v="Snoqualmie Falls #1"/>
    <n v="62769"/>
    <n v="0"/>
    <n v="0"/>
  </r>
  <r>
    <n v="1270"/>
    <x v="4"/>
    <s v="Generation - Hydro"/>
    <x v="0"/>
    <x v="0"/>
    <s v="Snoqualmie Falls #2"/>
    <n v="151915.20000000001"/>
    <n v="0"/>
    <n v="0"/>
  </r>
  <r>
    <n v="1272"/>
    <x v="4"/>
    <s v="Generation - Hydro"/>
    <x v="0"/>
    <x v="0"/>
    <s v="Upper Baker"/>
    <n v="337353.652"/>
    <n v="0"/>
    <n v="0"/>
  </r>
  <r>
    <n v="1274"/>
    <x v="4"/>
    <s v="Generation - Steam"/>
    <x v="0"/>
    <x v="1"/>
    <s v="Colstrip 1 &amp; 2"/>
    <n v="2310597"/>
    <n v="2407.7777301710339"/>
    <n v="2781702"/>
  </r>
  <r>
    <n v="1275"/>
    <x v="4"/>
    <s v="Generation - Steam"/>
    <x v="0"/>
    <x v="1"/>
    <s v="Colstrip 3 &amp; 4"/>
    <n v="2140507"/>
    <n v="2314.4853065185025"/>
    <n v="2477086"/>
  </r>
  <r>
    <n v="1276"/>
    <x v="4"/>
    <s v="Generation - Steam"/>
    <x v="0"/>
    <x v="2"/>
    <s v="Encogen"/>
    <n v="384510"/>
    <n v="1108.3238139486621"/>
    <n v="213080.79485070001"/>
  </r>
  <r>
    <n v="1278"/>
    <x v="4"/>
    <s v="Generation - Steam"/>
    <x v="0"/>
    <x v="2"/>
    <s v="Goldendale"/>
    <n v="1368799"/>
    <n v="888.23154613277768"/>
    <n v="607905.2260575"/>
  </r>
  <r>
    <n v="1279"/>
    <x v="4"/>
    <s v="Generation - Steam"/>
    <x v="0"/>
    <x v="2"/>
    <s v="Mint Farm"/>
    <n v="1426827.5"/>
    <n v="913.81242166386619"/>
    <n v="651926.34653580002"/>
  </r>
  <r>
    <n v="1280"/>
    <x v="4"/>
    <s v="Generation - Steam"/>
    <x v="0"/>
    <x v="2"/>
    <s v="Sumas"/>
    <n v="539532.19999999995"/>
    <n v="1079.7822928444309"/>
    <n v="291288.65798970003"/>
  </r>
  <r>
    <n v="1283"/>
    <x v="4"/>
    <s v="Generation - Oil/Gas/Wind"/>
    <x v="0"/>
    <x v="3"/>
    <s v="Crystal Mountain"/>
    <n v="419.45"/>
    <n v="1824.319399241112"/>
    <n v="382.60538600584221"/>
  </r>
  <r>
    <n v="1285"/>
    <x v="4"/>
    <s v="Generation - Oil/Gas/Wind"/>
    <x v="0"/>
    <x v="2"/>
    <s v="Freddie #1"/>
    <n v="454203"/>
    <n v="938.36446332380979"/>
    <n v="213103.97716753217"/>
  </r>
  <r>
    <n v="1286"/>
    <x v="4"/>
    <s v="Generation - Oil/Gas/Wind"/>
    <x v="0"/>
    <x v="2"/>
    <s v="Fredonia"/>
    <n v="64044.5"/>
    <n v="1569.4444137415658"/>
    <n v="50257.141377935855"/>
  </r>
  <r>
    <n v="1287"/>
    <x v="4"/>
    <s v="Generation - Oil/Gas/Wind"/>
    <x v="0"/>
    <x v="2"/>
    <s v="Fredonia 3 &amp; 4"/>
    <n v="89229"/>
    <n v="1396.7769859261002"/>
    <n v="62316.506838600006"/>
  </r>
  <r>
    <n v="1288"/>
    <x v="4"/>
    <s v="Generation - Oil/Gas/Wind"/>
    <x v="0"/>
    <x v="2"/>
    <s v="Fredrickson 1 &amp; 2"/>
    <n v="18586.099999999999"/>
    <n v="1769.9984040008392"/>
    <n v="16448.683668299996"/>
  </r>
  <r>
    <n v="1290"/>
    <x v="4"/>
    <s v="Generation - Oil/Gas/Wind"/>
    <x v="0"/>
    <x v="0"/>
    <s v="Hopkins Ridge (W184)"/>
    <n v="381219.26400000002"/>
    <n v="0"/>
    <n v="0"/>
  </r>
  <r>
    <n v="1295"/>
    <x v="4"/>
    <s v="Generation - Oil/Gas/Wind"/>
    <x v="0"/>
    <x v="2"/>
    <s v="Whitehorn 2&amp;3"/>
    <n v="16995.3"/>
    <n v="1739.0063960469408"/>
    <n v="14777.467701368285"/>
  </r>
  <r>
    <n v="1296"/>
    <x v="4"/>
    <s v="Generation - Oil/Gas/Wind"/>
    <x v="0"/>
    <x v="0"/>
    <s v="Wild Horse (W183)"/>
    <n v="565274.87399999995"/>
    <n v="0"/>
    <n v="0"/>
  </r>
  <r>
    <n v="1298"/>
    <x v="4"/>
    <s v="Purchases - Firm"/>
    <x v="1"/>
    <x v="4"/>
    <s v="BC Hydro (Point Roberts)"/>
    <n v="22270.57"/>
    <n v="1118.7938637421748"/>
    <n v="12458.088529020284"/>
  </r>
  <r>
    <n v="1299"/>
    <x v="4"/>
    <s v="Purchases - Firm"/>
    <x v="1"/>
    <x v="0"/>
    <s v="BPA"/>
    <n v="7014"/>
    <n v="0"/>
    <n v="0"/>
  </r>
  <r>
    <n v="1300"/>
    <x v="4"/>
    <s v="Purchases - Firm"/>
    <x v="1"/>
    <x v="4"/>
    <s v="BPA Firm - WNP#3 Exchange"/>
    <n v="393717"/>
    <n v="1118.7938637421748"/>
    <n v="220244.08182548892"/>
  </r>
  <r>
    <n v="1302"/>
    <x v="4"/>
    <s v="Purchases - Firm"/>
    <x v="1"/>
    <x v="0"/>
    <s v="Chelan PUD - Rock Island Syst #2"/>
    <n v="1263318"/>
    <n v="0"/>
    <n v="0"/>
  </r>
  <r>
    <n v="1303"/>
    <x v="4"/>
    <s v="Purchases - Firm"/>
    <x v="1"/>
    <x v="0"/>
    <s v="Chelan PUD - Rocky Reach"/>
    <n v="2007333"/>
    <n v="0"/>
    <n v="0"/>
  </r>
  <r>
    <n v="1304"/>
    <x v="4"/>
    <s v="Purchases - Firm"/>
    <x v="1"/>
    <x v="0"/>
    <s v="Douglas PUD - Wells Project"/>
    <n v="959848"/>
    <n v="0"/>
    <n v="0"/>
  </r>
  <r>
    <n v="1305"/>
    <x v="4"/>
    <s v="Purchases - Firm"/>
    <x v="1"/>
    <x v="0"/>
    <s v="Farm Power Rexville LLC"/>
    <n v="1523.01"/>
    <n v="0"/>
    <n v="0"/>
  </r>
  <r>
    <n v="1306"/>
    <x v="4"/>
    <s v="Purchases - Firm"/>
    <x v="1"/>
    <x v="0"/>
    <s v="Grant PUD - Priest Rapids"/>
    <n v="234580"/>
    <n v="0"/>
    <n v="0"/>
  </r>
  <r>
    <n v="1307"/>
    <x v="4"/>
    <s v="Purchases - Firm"/>
    <x v="1"/>
    <x v="0"/>
    <s v="Grant PUD - Priest Rapids Project"/>
    <n v="82584"/>
    <n v="0"/>
    <n v="0"/>
  </r>
  <r>
    <n v="1308"/>
    <x v="4"/>
    <s v="Purchases - Firm"/>
    <x v="1"/>
    <x v="0"/>
    <s v="Grant PUD - Wanapum"/>
    <n v="313799"/>
    <n v="0"/>
    <n v="0"/>
  </r>
  <r>
    <n v="1309"/>
    <x v="4"/>
    <s v="Purchases - Firm"/>
    <x v="1"/>
    <x v="0"/>
    <s v="Klondike Wind Power III"/>
    <n v="132569"/>
    <n v="0"/>
    <n v="0"/>
  </r>
  <r>
    <n v="1310"/>
    <x v="4"/>
    <s v="Purchases - Firm"/>
    <x v="1"/>
    <x v="1"/>
    <s v="NWestern Energy(MPC) Firm Contract"/>
    <n v="591921"/>
    <n v="2421.1511045073498"/>
    <n v="716565.09146554756"/>
  </r>
  <r>
    <n v="1311"/>
    <x v="4"/>
    <s v="Purchases - Firm"/>
    <x v="1"/>
    <x v="0"/>
    <s v="Qualco Energy"/>
    <n v="3036"/>
    <n v="0"/>
    <n v="0"/>
  </r>
  <r>
    <n v="1312"/>
    <x v="4"/>
    <s v="Purchases - Firm"/>
    <x v="1"/>
    <x v="4"/>
    <s v="Snohomish PUD Conservation"/>
    <n v="89728"/>
    <n v="1118.7938637421748"/>
    <n v="50193.567902928931"/>
  </r>
  <r>
    <n v="1313"/>
    <x v="4"/>
    <s v="Purchases - Firm"/>
    <x v="1"/>
    <x v="0"/>
    <s v="VanderHaak Dairy Digester"/>
    <n v="2345.92"/>
    <n v="0"/>
    <n v="0"/>
  </r>
  <r>
    <n v="1314"/>
    <x v="4"/>
    <s v="Purchases - Firm"/>
    <x v="1"/>
    <x v="0"/>
    <s v="WASCO Hydro"/>
    <n v="39992"/>
    <n v="0"/>
    <n v="0"/>
  </r>
  <r>
    <n v="1316"/>
    <x v="4"/>
    <s v="Purchases - PURPA"/>
    <x v="1"/>
    <x v="0"/>
    <s v="Koma Kulshan Associates"/>
    <n v="36065.160000000003"/>
    <n v="0"/>
    <n v="0"/>
  </r>
  <r>
    <n v="1318"/>
    <x v="4"/>
    <s v="Purchases - PURPA"/>
    <x v="1"/>
    <x v="2"/>
    <s v="March Point Cogen. - 1 &amp; 2"/>
    <n v="995857.89"/>
    <n v="711.04062100273177"/>
    <n v="354047.70626803505"/>
  </r>
  <r>
    <n v="1319"/>
    <x v="4"/>
    <s v="Purchases - PURPA"/>
    <x v="1"/>
    <x v="0"/>
    <s v="Nooksack"/>
    <n v="23209.795999999998"/>
    <n v="0"/>
    <n v="0"/>
  </r>
  <r>
    <n v="1320"/>
    <x v="4"/>
    <s v="Purchases - PURPA"/>
    <x v="1"/>
    <x v="5"/>
    <s v="Port Townsend Paper Co."/>
    <n v="1816.9169999999999"/>
    <n v="998.843085984749"/>
    <n v="907.40749162907605"/>
  </r>
  <r>
    <n v="1321"/>
    <x v="4"/>
    <s v="Purchases - PURPA"/>
    <x v="1"/>
    <x v="0"/>
    <s v="Puyallup Energy Recovery Company"/>
    <n v="343.577"/>
    <n v="0"/>
    <n v="0"/>
  </r>
  <r>
    <n v="1322"/>
    <x v="4"/>
    <s v="Purchases - PURPA"/>
    <x v="1"/>
    <x v="6"/>
    <s v="Spokane MSW"/>
    <n v="133987"/>
    <n v="1701.106388137611"/>
    <n v="113963.07081369704"/>
  </r>
  <r>
    <n v="1323"/>
    <x v="4"/>
    <s v="Purchases - PURPA"/>
    <x v="1"/>
    <x v="0"/>
    <s v="Sygitowicz Creek"/>
    <n v="1018.08"/>
    <n v="0"/>
    <n v="0"/>
  </r>
  <r>
    <n v="1324"/>
    <x v="4"/>
    <s v="Purchases - PURPA"/>
    <x v="1"/>
    <x v="2"/>
    <s v="Tenaska"/>
    <n v="866454.6"/>
    <n v="885.49548824682847"/>
    <n v="383620.8195353552"/>
  </r>
  <r>
    <n v="1325"/>
    <x v="4"/>
    <s v="Purchases - PURPA"/>
    <x v="1"/>
    <x v="0"/>
    <s v="Twin Falls Hydro"/>
    <n v="69081.600000000006"/>
    <n v="0"/>
    <n v="0"/>
  </r>
  <r>
    <n v="1326"/>
    <x v="4"/>
    <s v="Purchases - PURPA"/>
    <x v="1"/>
    <x v="0"/>
    <s v="Weeks Falls"/>
    <n v="12348"/>
    <n v="0"/>
    <n v="0"/>
  </r>
  <r>
    <n v="1328"/>
    <x v="4"/>
    <s v="Purchases - Secondary"/>
    <x v="2"/>
    <x v="4"/>
    <s v="Avista Corp. WWP Division"/>
    <n v="165617.92000000001"/>
    <n v="1118.7938637421748"/>
    <n v="92646.156310871214"/>
  </r>
  <r>
    <n v="1329"/>
    <x v="4"/>
    <s v="Purchases - Secondary"/>
    <x v="2"/>
    <x v="4"/>
    <s v="Barclays Bank Plc"/>
    <n v="16746"/>
    <n v="1118.7938637421748"/>
    <n v="9367.6610211132302"/>
  </r>
  <r>
    <n v="1330"/>
    <x v="4"/>
    <s v="Purchases - Secondary"/>
    <x v="2"/>
    <x v="4"/>
    <s v="Black Hills Power"/>
    <n v="3800"/>
    <n v="1118.7938637421748"/>
    <n v="2125.7083411101321"/>
  </r>
  <r>
    <n v="1331"/>
    <x v="4"/>
    <s v="Purchases - Secondary"/>
    <x v="2"/>
    <x v="4"/>
    <s v="Book Outs - EITF 03-11"/>
    <n v="-3599695"/>
    <n v="1118.7938637421748"/>
    <n v="-2013658.338671694"/>
  </r>
  <r>
    <n v="1332"/>
    <x v="4"/>
    <s v="Purchases - Secondary"/>
    <x v="2"/>
    <x v="4"/>
    <s v="BP Energy Co."/>
    <n v="37192"/>
    <n v="1118.7938637421748"/>
    <n v="20805.090690149482"/>
  </r>
  <r>
    <n v="1333"/>
    <x v="4"/>
    <s v="Purchases - Secondary"/>
    <x v="2"/>
    <x v="4"/>
    <s v="BPA"/>
    <n v="334870"/>
    <n v="1118.7938637421748"/>
    <n v="187325.25057567106"/>
  </r>
  <r>
    <n v="1334"/>
    <x v="4"/>
    <s v="Purchases - Secondary"/>
    <x v="2"/>
    <x v="4"/>
    <s v="Burbank, City of"/>
    <n v="175"/>
    <n v="1118.7938637421748"/>
    <n v="97.894463077440307"/>
  </r>
  <r>
    <n v="1335"/>
    <x v="4"/>
    <s v="Purchases - Secondary"/>
    <x v="2"/>
    <x v="4"/>
    <s v="Cargill Power Markets"/>
    <n v="380859"/>
    <n v="1118.7938637421748"/>
    <n v="213051.35607549048"/>
  </r>
  <r>
    <n v="1336"/>
    <x v="4"/>
    <s v="Purchases - Secondary"/>
    <x v="2"/>
    <x v="4"/>
    <s v="Chelan County PUD #1"/>
    <n v="29209"/>
    <n v="1118.7938637421748"/>
    <n v="16339.424983022593"/>
  </r>
  <r>
    <n v="1337"/>
    <x v="4"/>
    <s v="Purchases - Secondary"/>
    <x v="2"/>
    <x v="4"/>
    <s v="Citigroup Energy Inc"/>
    <n v="338327"/>
    <n v="1118.7938637421748"/>
    <n v="189259.08576914939"/>
  </r>
  <r>
    <n v="1338"/>
    <x v="4"/>
    <s v="Purchases - Secondary"/>
    <x v="2"/>
    <x v="4"/>
    <s v="Clatskanie PUD"/>
    <n v="50919"/>
    <n v="1118.7938637421748"/>
    <n v="28483.932373943899"/>
  </r>
  <r>
    <n v="1339"/>
    <x v="4"/>
    <s v="Purchases - Secondary"/>
    <x v="2"/>
    <x v="4"/>
    <s v="Conoco, Inc."/>
    <n v="73722"/>
    <n v="1118.7938637421748"/>
    <n v="41239.860611400305"/>
  </r>
  <r>
    <n v="1340"/>
    <x v="4"/>
    <s v="Purchases - Secondary"/>
    <x v="2"/>
    <x v="4"/>
    <s v="Constellation Power Source, Inc."/>
    <n v="562741"/>
    <n v="1118.7938637421748"/>
    <n v="314795.5888380676"/>
  </r>
  <r>
    <n v="1341"/>
    <x v="4"/>
    <s v="Purchases - Secondary"/>
    <x v="2"/>
    <x v="4"/>
    <s v="CP Energy Marketing (Epcor)"/>
    <n v="28908"/>
    <n v="1118.7938637421748"/>
    <n v="16171.046506529394"/>
  </r>
  <r>
    <n v="1342"/>
    <x v="4"/>
    <s v="Purchases - Secondary"/>
    <x v="2"/>
    <x v="4"/>
    <s v="Credit Suisse Energy, LLC"/>
    <n v="445000"/>
    <n v="1118.7938637421748"/>
    <n v="248931.63468263391"/>
  </r>
  <r>
    <n v="1343"/>
    <x v="4"/>
    <s v="Purchases - Secondary"/>
    <x v="2"/>
    <x v="4"/>
    <s v="DB Energy Trading LLC"/>
    <n v="147600"/>
    <n v="1118.7938637421748"/>
    <n v="82566.987144172512"/>
  </r>
  <r>
    <n v="1344"/>
    <x v="4"/>
    <s v="Purchases - Secondary"/>
    <x v="2"/>
    <x v="4"/>
    <s v="Douglas County PUD #1"/>
    <n v="187749"/>
    <n v="1118.7938637421748"/>
    <n v="105026.21456186479"/>
  </r>
  <r>
    <n v="1345"/>
    <x v="4"/>
    <s v="Purchases - Secondary"/>
    <x v="2"/>
    <x v="4"/>
    <s v="Eagle Energy Partners"/>
    <n v="106240"/>
    <n v="1118.7938637421748"/>
    <n v="59430.330041984329"/>
  </r>
  <r>
    <n v="1346"/>
    <x v="4"/>
    <s v="Purchases - Secondary"/>
    <x v="2"/>
    <x v="4"/>
    <s v="EDF Trading NA LLC"/>
    <n v="31850"/>
    <n v="1118.7938637421748"/>
    <n v="17816.792280094134"/>
  </r>
  <r>
    <n v="1347"/>
    <x v="4"/>
    <s v="Purchases - Secondary"/>
    <x v="2"/>
    <x v="4"/>
    <s v="Endure Energy LLC"/>
    <n v="30600"/>
    <n v="1118.7938637421748"/>
    <n v="17117.546115255274"/>
  </r>
  <r>
    <n v="1348"/>
    <x v="4"/>
    <s v="Purchases - Secondary"/>
    <x v="2"/>
    <x v="4"/>
    <s v="ENMAX Energy Marketing, Inc."/>
    <n v="2456"/>
    <n v="1118.7938637421748"/>
    <n v="1373.8788646753908"/>
  </r>
  <r>
    <n v="1349"/>
    <x v="4"/>
    <s v="Purchases - Secondary"/>
    <x v="2"/>
    <x v="4"/>
    <s v="Eugene Water &amp; Electric"/>
    <n v="89317"/>
    <n v="1118.7938637421748"/>
    <n v="49963.655763929921"/>
  </r>
  <r>
    <n v="1350"/>
    <x v="4"/>
    <s v="Purchases - Secondary"/>
    <x v="2"/>
    <x v="4"/>
    <s v="Fortis Energy Marketing &amp; Trading"/>
    <n v="133941"/>
    <n v="1118.7938637421748"/>
    <n v="74926.184451745314"/>
  </r>
  <r>
    <n v="1351"/>
    <x v="4"/>
    <s v="Purchases - Secondary"/>
    <x v="2"/>
    <x v="4"/>
    <s v="Grant County PUD #2"/>
    <n v="53441"/>
    <n v="1118.7938637421748"/>
    <n v="29894.731436122784"/>
  </r>
  <r>
    <n v="1352"/>
    <x v="4"/>
    <s v="Purchases - Secondary"/>
    <x v="2"/>
    <x v="4"/>
    <s v="Hinson Power Company"/>
    <n v="800"/>
    <n v="1118.7938637421748"/>
    <n v="447.51754549686996"/>
  </r>
  <r>
    <n v="1353"/>
    <x v="4"/>
    <s v="Purchases - Secondary"/>
    <x v="2"/>
    <x v="4"/>
    <s v="Iberdrola Renewables (PPM Energy)"/>
    <n v="882331"/>
    <n v="1118.7938637421748"/>
    <n v="493573.25429474842"/>
  </r>
  <r>
    <n v="1354"/>
    <x v="4"/>
    <s v="Purchases - Secondary"/>
    <x v="2"/>
    <x v="4"/>
    <s v="Idaho Falls Power"/>
    <n v="37654"/>
    <n v="1118.7938637421748"/>
    <n v="21063.532072673923"/>
  </r>
  <r>
    <n v="1355"/>
    <x v="4"/>
    <s v="Purchases - Secondary"/>
    <x v="2"/>
    <x v="4"/>
    <s v="Idaho Power Company"/>
    <n v="92731"/>
    <n v="1118.7938637421748"/>
    <n v="51873.436889337805"/>
  </r>
  <r>
    <n v="1356"/>
    <x v="4"/>
    <s v="Purchases - Secondary"/>
    <x v="2"/>
    <x v="4"/>
    <s v="Integrys Energy Services, Inc"/>
    <n v="1800"/>
    <n v="1118.7938637421748"/>
    <n v="1006.9144773679574"/>
  </r>
  <r>
    <n v="1357"/>
    <x v="4"/>
    <s v="Purchases - Secondary"/>
    <x v="2"/>
    <x v="4"/>
    <s v="J. Aron &amp; Company"/>
    <n v="14000"/>
    <n v="1118.7938637421748"/>
    <n v="7831.5570461952238"/>
  </r>
  <r>
    <n v="1358"/>
    <x v="4"/>
    <s v="Purchases - Secondary"/>
    <x v="2"/>
    <x v="4"/>
    <s v="JP Morgan Ventures Energy"/>
    <n v="143436"/>
    <n v="1118.7938637421748"/>
    <n v="80237.658319861293"/>
  </r>
  <r>
    <n v="1359"/>
    <x v="4"/>
    <s v="Purchases - Secondary"/>
    <x v="2"/>
    <x v="4"/>
    <s v="Los Angeles Dept. Water &amp; Power"/>
    <n v="50"/>
    <n v="1118.7938637421748"/>
    <n v="27.969846593554372"/>
  </r>
  <r>
    <n v="1360"/>
    <x v="4"/>
    <s v="Purchases - Secondary"/>
    <x v="2"/>
    <x v="4"/>
    <s v="Merrill Lynch Commodities"/>
    <n v="400"/>
    <n v="1118.7938637421748"/>
    <n v="223.75877274843498"/>
  </r>
  <r>
    <n v="1361"/>
    <x v="4"/>
    <s v="Purchases - Secondary"/>
    <x v="2"/>
    <x v="4"/>
    <s v="Modesto Irrigation District"/>
    <n v="90"/>
    <n v="1118.7938637421748"/>
    <n v="50.345723868397862"/>
  </r>
  <r>
    <n v="1362"/>
    <x v="4"/>
    <s v="Purchases - Secondary"/>
    <x v="2"/>
    <x v="4"/>
    <s v="Morgan Stanley CG"/>
    <n v="992212"/>
    <n v="1118.7938637421748"/>
    <n v="555040.34856567543"/>
  </r>
  <r>
    <n v="1363"/>
    <x v="4"/>
    <s v="Purchases - Secondary"/>
    <x v="2"/>
    <x v="4"/>
    <s v="N. California Power Agency"/>
    <n v="323"/>
    <n v="1118.7938637421748"/>
    <n v="180.68520899436123"/>
  </r>
  <r>
    <n v="1365"/>
    <x v="4"/>
    <s v="Purchases - Secondary"/>
    <x v="2"/>
    <x v="4"/>
    <s v="Noble Americas Energy Solutions"/>
    <n v="3400"/>
    <n v="1118.7938637421748"/>
    <n v="1901.9495683616972"/>
  </r>
  <r>
    <n v="1366"/>
    <x v="4"/>
    <s v="Purchases - Secondary"/>
    <x v="2"/>
    <x v="4"/>
    <s v="NorthPoint Energy Solutions, Inc."/>
    <n v="6592"/>
    <n v="1118.7938637421748"/>
    <n v="3687.5445748942084"/>
  </r>
  <r>
    <n v="1367"/>
    <x v="4"/>
    <s v="Purchases - Secondary"/>
    <x v="2"/>
    <x v="4"/>
    <s v="Northwestern Energy"/>
    <n v="7969"/>
    <n v="1118.7938637421748"/>
    <n v="4457.8341500806955"/>
  </r>
  <r>
    <n v="1368"/>
    <x v="4"/>
    <s v="Purchases - Secondary"/>
    <x v="2"/>
    <x v="4"/>
    <s v="Occidental Power Services"/>
    <n v="31600"/>
    <n v="1118.7938637421748"/>
    <n v="17676.943047126362"/>
  </r>
  <r>
    <n v="1369"/>
    <x v="4"/>
    <s v="Purchases - Secondary"/>
    <x v="2"/>
    <x v="4"/>
    <s v="Okanogan PUD"/>
    <n v="3810"/>
    <n v="1118.7938637421748"/>
    <n v="2131.3023104288427"/>
  </r>
  <r>
    <n v="1370"/>
    <x v="4"/>
    <s v="Purchases - Secondary"/>
    <x v="2"/>
    <x v="4"/>
    <s v="Pacific Northwest Generatin Coop."/>
    <n v="216587"/>
    <n v="1118.7938637421748"/>
    <n v="121158.1032831632"/>
  </r>
  <r>
    <n v="1371"/>
    <x v="4"/>
    <s v="Purchases - Secondary"/>
    <x v="2"/>
    <x v="4"/>
    <s v="Pacific Summit Energy LLC"/>
    <n v="68094"/>
    <n v="1118.7938637421748"/>
    <n v="38091.574678829827"/>
  </r>
  <r>
    <n v="1372"/>
    <x v="4"/>
    <s v="Purchases - Secondary"/>
    <x v="2"/>
    <x v="4"/>
    <s v="Pacificorp"/>
    <n v="185612"/>
    <n v="1118.7938637421748"/>
    <n v="103830.78331845628"/>
  </r>
  <r>
    <n v="1373"/>
    <x v="4"/>
    <s v="Purchases - Secondary"/>
    <x v="2"/>
    <x v="4"/>
    <s v="Portland General Electric"/>
    <n v="208659"/>
    <n v="1118.7938637421748"/>
    <n v="116723.20440728923"/>
  </r>
  <r>
    <n v="1374"/>
    <x v="4"/>
    <s v="Purchases - Secondary"/>
    <x v="2"/>
    <x v="4"/>
    <s v="Powerex Corp."/>
    <n v="316076"/>
    <n v="1118.7938637421748"/>
    <n v="176811.94463808581"/>
  </r>
  <r>
    <n v="1375"/>
    <x v="4"/>
    <s v="Purchases - Secondary"/>
    <x v="2"/>
    <x v="4"/>
    <s v="Public Service of Colorado"/>
    <n v="3600"/>
    <n v="1118.7938637421748"/>
    <n v="2013.8289547359147"/>
  </r>
  <r>
    <n v="1376"/>
    <x v="4"/>
    <s v="Purchases - Secondary"/>
    <x v="2"/>
    <x v="4"/>
    <s v="Rainbow Energy Marketing"/>
    <n v="222154"/>
    <n v="1118.7938637421748"/>
    <n v="124272.26600288956"/>
  </r>
  <r>
    <n v="1377"/>
    <x v="4"/>
    <s v="Purchases - Secondary"/>
    <x v="2"/>
    <x v="4"/>
    <s v="Redding, City of"/>
    <n v="496"/>
    <n v="1118.7938637421748"/>
    <n v="277.46087820805934"/>
  </r>
  <r>
    <n v="1378"/>
    <x v="4"/>
    <s v="Purchases - Secondary"/>
    <x v="2"/>
    <x v="4"/>
    <s v="Sacramento Municipal"/>
    <n v="6590"/>
    <n v="1118.7938637421748"/>
    <n v="3686.4257810304662"/>
  </r>
  <r>
    <n v="1379"/>
    <x v="4"/>
    <s v="Purchases - Secondary"/>
    <x v="2"/>
    <x v="4"/>
    <s v="Seattle City Light Marketing"/>
    <n v="211502"/>
    <n v="1118.7938637421748"/>
    <n v="118313.56988459874"/>
  </r>
  <r>
    <n v="1380"/>
    <x v="4"/>
    <s v="Purchases - Secondary"/>
    <x v="2"/>
    <x v="4"/>
    <s v="Sempra Energy Trading"/>
    <n v="2267825"/>
    <n v="1118.7938637421748"/>
    <n v="1268614.3470205488"/>
  </r>
  <r>
    <n v="1381"/>
    <x v="4"/>
    <s v="Purchases - Secondary"/>
    <x v="2"/>
    <x v="4"/>
    <s v="Shell Energy (Coral Pwr)"/>
    <n v="485252"/>
    <n v="1118.7938637421748"/>
    <n v="271448.47998430888"/>
  </r>
  <r>
    <n v="1382"/>
    <x v="4"/>
    <s v="Purchases - Secondary"/>
    <x v="2"/>
    <x v="4"/>
    <s v="Sierra Pacific Power"/>
    <n v="25"/>
    <n v="1118.7938637421748"/>
    <n v="13.984923296777186"/>
  </r>
  <r>
    <n v="1383"/>
    <x v="4"/>
    <s v="Purchases - Secondary"/>
    <x v="2"/>
    <x v="4"/>
    <s v="Snohomish County PUD #1"/>
    <n v="57116"/>
    <n v="1118.7938637421748"/>
    <n v="31950.51516074903"/>
  </r>
  <r>
    <n v="1384"/>
    <x v="4"/>
    <s v="Purchases - Secondary"/>
    <x v="2"/>
    <x v="4"/>
    <s v="Southern Cal - Edison"/>
    <n v="7805"/>
    <n v="1118.7938637421748"/>
    <n v="4366.0930532538368"/>
  </r>
  <r>
    <n v="1385"/>
    <x v="4"/>
    <s v="Purchases - Secondary"/>
    <x v="2"/>
    <x v="4"/>
    <s v="Tacoma Power"/>
    <n v="75813"/>
    <n v="1118.7938637421748"/>
    <n v="42409.559595942752"/>
  </r>
  <r>
    <n v="1386"/>
    <x v="4"/>
    <s v="Purchases - Secondary"/>
    <x v="2"/>
    <x v="4"/>
    <s v="Talen Energy (PPL Energy Plus)"/>
    <n v="407444"/>
    <n v="1118.7938637421748"/>
    <n v="227922.92350928334"/>
  </r>
  <r>
    <n v="1387"/>
    <x v="4"/>
    <s v="Purchases - Secondary"/>
    <x v="2"/>
    <x v="4"/>
    <s v="Tenaska"/>
    <n v="2895"/>
    <n v="1118.7938637421748"/>
    <n v="1619.4541177667979"/>
  </r>
  <r>
    <n v="1388"/>
    <x v="4"/>
    <s v="Purchases - Secondary"/>
    <x v="2"/>
    <x v="4"/>
    <s v="The Energy Authority"/>
    <n v="122625"/>
    <n v="1118.7938637421748"/>
    <n v="68596.048770692098"/>
  </r>
  <r>
    <n v="1389"/>
    <x v="4"/>
    <s v="Purchases - Secondary"/>
    <x v="2"/>
    <x v="4"/>
    <s v="TransAlta Energy Marketing"/>
    <n v="278480"/>
    <n v="1118.7938637421748"/>
    <n v="155780.85758746043"/>
  </r>
  <r>
    <n v="1390"/>
    <x v="4"/>
    <s v="Purchases - Secondary"/>
    <x v="2"/>
    <x v="4"/>
    <s v="TransCanada Energy Marketing"/>
    <n v="7326"/>
    <n v="1118.7938637421748"/>
    <n v="4098.1419228875866"/>
  </r>
  <r>
    <n v="1391"/>
    <x v="4"/>
    <s v="Purchases - Secondary"/>
    <x v="2"/>
    <x v="4"/>
    <s v="TransCanada Energy Sales Ltd"/>
    <n v="9898"/>
    <n v="1118.7938637421748"/>
    <n v="5536.9108316600232"/>
  </r>
  <r>
    <n v="1392"/>
    <x v="4"/>
    <s v="Purchases - Secondary"/>
    <x v="2"/>
    <x v="4"/>
    <s v="Turlock Irrigation District"/>
    <n v="850"/>
    <n v="1118.7938637421748"/>
    <n v="475.48739209042429"/>
  </r>
  <r>
    <n v="1393"/>
    <x v="4"/>
    <s v="Purchases - Secondary"/>
    <x v="2"/>
    <x v="4"/>
    <s v="Western Area Power Association"/>
    <n v="360"/>
    <n v="1118.7938637421748"/>
    <n v="201.38289547359145"/>
  </r>
  <r>
    <n v="1396"/>
    <x v="4"/>
    <s v="Interchange - In"/>
    <x v="2"/>
    <x v="4"/>
    <s v="Black Creek Hydro"/>
    <n v="6088"/>
    <n v="1118.7938637421748"/>
    <n v="3405.60852123118"/>
  </r>
  <r>
    <n v="1397"/>
    <x v="4"/>
    <s v="Interchange - In"/>
    <x v="2"/>
    <x v="4"/>
    <s v="BPA"/>
    <n v="76504"/>
    <n v="1118.7938637421748"/>
    <n v="42796.102875865676"/>
  </r>
  <r>
    <n v="1398"/>
    <x v="4"/>
    <s v="Interchange - In"/>
    <x v="2"/>
    <x v="4"/>
    <s v="Deviation"/>
    <n v="-23317.616000000002"/>
    <n v="1118.7938637421748"/>
    <n v="-13043.802848948179"/>
  </r>
  <r>
    <n v="1399"/>
    <x v="4"/>
    <s v="Interchange - In"/>
    <x v="2"/>
    <x v="4"/>
    <s v="Morgan Stanley CG"/>
    <n v="20000"/>
    <n v="1118.7938637421748"/>
    <n v="11187.938637421748"/>
  </r>
  <r>
    <n v="1400"/>
    <x v="4"/>
    <s v="Interchange - In"/>
    <x v="2"/>
    <x v="4"/>
    <s v="Pacific Gas &amp; Elec - Exchange"/>
    <n v="413000"/>
    <n v="1118.7938637421748"/>
    <n v="231030.9328627591"/>
  </r>
  <r>
    <n v="1401"/>
    <x v="4"/>
    <s v="Interchange - In"/>
    <x v="2"/>
    <x v="4"/>
    <s v="Powerex Corp."/>
    <n v="38000"/>
    <n v="1118.7938637421748"/>
    <n v="21257.083411101321"/>
  </r>
  <r>
    <n v="1402"/>
    <x v="4"/>
    <s v="Interchange - In"/>
    <x v="2"/>
    <x v="4"/>
    <s v="TransAlta Energy Marketing"/>
    <n v="1533600"/>
    <n v="1118.7938637421748"/>
    <n v="857891.1347174996"/>
  </r>
  <r>
    <n v="1404"/>
    <x v="4"/>
    <s v="Interchange - Out"/>
    <x v="2"/>
    <x v="4"/>
    <s v="Black Creek Hydro"/>
    <n v="-4172"/>
    <n v="1118.7938637421748"/>
    <n v="-2333.8039997661767"/>
  </r>
  <r>
    <n v="1405"/>
    <x v="4"/>
    <s v="Interchange - Out"/>
    <x v="2"/>
    <x v="4"/>
    <s v="BPA"/>
    <n v="-81545"/>
    <n v="1118.7938637421748"/>
    <n v="-45616.022809427821"/>
  </r>
  <r>
    <n v="1406"/>
    <x v="4"/>
    <s v="Interchange - Out"/>
    <x v="2"/>
    <x v="4"/>
    <s v="Deviation"/>
    <n v="-43828.805999999997"/>
    <n v="1118.7938637421748"/>
    <n v="-24517.699603973106"/>
  </r>
  <r>
    <n v="1407"/>
    <x v="4"/>
    <s v="Interchange - Out"/>
    <x v="2"/>
    <x v="4"/>
    <s v="Morgan Stanley CG"/>
    <n v="-17200"/>
    <n v="1118.7938637421748"/>
    <n v="-9621.6272281827041"/>
  </r>
  <r>
    <n v="1408"/>
    <x v="4"/>
    <s v="Interchange - Out"/>
    <x v="2"/>
    <x v="4"/>
    <s v="Pacific Gas &amp; Elec - Exchange"/>
    <n v="-413000"/>
    <n v="1118.7938637421748"/>
    <n v="-231030.9328627591"/>
  </r>
  <r>
    <n v="1409"/>
    <x v="4"/>
    <s v="Interchange - Out"/>
    <x v="2"/>
    <x v="4"/>
    <s v="Powerex Corp."/>
    <n v="-68795"/>
    <n v="1118.7938637421748"/>
    <n v="-38483.711928071461"/>
  </r>
  <r>
    <n v="1410"/>
    <x v="4"/>
    <s v="Interchange - Out"/>
    <x v="2"/>
    <x v="4"/>
    <s v="TransAlta Energy Marketing"/>
    <n v="-1533600"/>
    <n v="1118.7938637421748"/>
    <n v="-857891.1347174996"/>
  </r>
  <r>
    <n v="1461"/>
    <x v="4"/>
    <s v="Sales for Resale"/>
    <x v="2"/>
    <x v="4"/>
    <s v="Avista Corp. WWP Division"/>
    <n v="-39571"/>
    <n v="1118.7938637421748"/>
    <n v="-22135.8959910708"/>
  </r>
  <r>
    <n v="1462"/>
    <x v="4"/>
    <s v="Sales for Resale"/>
    <x v="2"/>
    <x v="4"/>
    <s v="Barclays Bank Plc"/>
    <n v="-33513"/>
    <n v="1118.7938637421748"/>
    <n v="-18747.069377795753"/>
  </r>
  <r>
    <n v="1463"/>
    <x v="4"/>
    <s v="Sales for Resale"/>
    <x v="2"/>
    <x v="4"/>
    <s v="Black Hills Power"/>
    <n v="-1600"/>
    <n v="1118.7938637421748"/>
    <n v="-895.03509099373991"/>
  </r>
  <r>
    <n v="1464"/>
    <x v="4"/>
    <s v="Sales for Resale"/>
    <x v="2"/>
    <x v="4"/>
    <s v="Book Outs - EITF 03-11"/>
    <n v="3599695"/>
    <n v="1118.7938637421748"/>
    <n v="2013658.338671694"/>
  </r>
  <r>
    <n v="1465"/>
    <x v="4"/>
    <s v="Sales for Resale"/>
    <x v="2"/>
    <x v="4"/>
    <s v="BP Energy Co."/>
    <n v="-152945"/>
    <n v="1118.7938637421748"/>
    <n v="-85556.963745023459"/>
  </r>
  <r>
    <n v="1466"/>
    <x v="4"/>
    <s v="Sales for Resale"/>
    <x v="2"/>
    <x v="4"/>
    <s v="BPA"/>
    <n v="-254156"/>
    <n v="1118.7938637421748"/>
    <n v="-142174.08661662808"/>
  </r>
  <r>
    <n v="1467"/>
    <x v="4"/>
    <s v="Sales for Resale"/>
    <x v="2"/>
    <x v="4"/>
    <s v="British Columbia Transmission Corp"/>
    <n v="-35"/>
    <n v="1118.7938637421748"/>
    <n v="-19.578892615488062"/>
  </r>
  <r>
    <n v="1468"/>
    <x v="4"/>
    <s v="Sales for Resale"/>
    <x v="2"/>
    <x v="4"/>
    <s v="Cargill Power Markets"/>
    <n v="-240421"/>
    <n v="1118.7938637421748"/>
    <n v="-134490.7697573787"/>
  </r>
  <r>
    <n v="1469"/>
    <x v="4"/>
    <s v="Sales for Resale"/>
    <x v="2"/>
    <x v="4"/>
    <s v="Chelan County PUD #1"/>
    <n v="-3890"/>
    <n v="1118.7938637421748"/>
    <n v="-2176.0540649785303"/>
  </r>
  <r>
    <n v="1470"/>
    <x v="4"/>
    <s v="Sales for Resale"/>
    <x v="2"/>
    <x v="4"/>
    <s v="Citigroup Energy Inc"/>
    <n v="-635716"/>
    <n v="1118.7938637421748"/>
    <n v="-355617.57994136022"/>
  </r>
  <r>
    <n v="1471"/>
    <x v="4"/>
    <s v="Sales for Resale"/>
    <x v="2"/>
    <x v="4"/>
    <s v="Clatskanie PUD"/>
    <n v="-15633"/>
    <n v="1118.7938637421748"/>
    <n v="-8745.0522359407096"/>
  </r>
  <r>
    <n v="1472"/>
    <x v="4"/>
    <s v="Sales for Resale"/>
    <x v="2"/>
    <x v="4"/>
    <s v="Conoco, Inc."/>
    <n v="-111736"/>
    <n v="1118.7938637421748"/>
    <n v="-62504.775579547822"/>
  </r>
  <r>
    <n v="1473"/>
    <x v="4"/>
    <s v="Sales for Resale"/>
    <x v="2"/>
    <x v="4"/>
    <s v="Constellation Power Source, Inc."/>
    <n v="-61701"/>
    <n v="1118.7938637421748"/>
    <n v="-34515.350093377965"/>
  </r>
  <r>
    <n v="1474"/>
    <x v="4"/>
    <s v="Sales for Resale"/>
    <x v="2"/>
    <x v="4"/>
    <s v="CP Energy Marketing (Epcor)"/>
    <n v="-605"/>
    <n v="1118.7938637421748"/>
    <n v="-338.43514378200791"/>
  </r>
  <r>
    <n v="1475"/>
    <x v="4"/>
    <s v="Sales for Resale"/>
    <x v="2"/>
    <x v="4"/>
    <s v="Credit Suisse Energy, LLC"/>
    <n v="-8444"/>
    <n v="1118.7938637421748"/>
    <n v="-4723.5476927194622"/>
  </r>
  <r>
    <n v="1476"/>
    <x v="4"/>
    <s v="Sales for Resale"/>
    <x v="2"/>
    <x v="4"/>
    <s v="DB Energy Trading LLC"/>
    <n v="-182400"/>
    <n v="1118.7938637421748"/>
    <n v="-102034.00037328636"/>
  </r>
  <r>
    <n v="1477"/>
    <x v="4"/>
    <s v="Sales for Resale"/>
    <x v="2"/>
    <x v="4"/>
    <s v="Douglas County PUD #1"/>
    <n v="-450"/>
    <n v="1118.7938637421748"/>
    <n v="-251.72861934198934"/>
  </r>
  <r>
    <n v="1478"/>
    <x v="4"/>
    <s v="Sales for Resale"/>
    <x v="2"/>
    <x v="4"/>
    <s v="Eagle Energy Partners"/>
    <n v="-10242"/>
    <n v="1118.7938637421748"/>
    <n v="-5729.3433762236782"/>
  </r>
  <r>
    <n v="1479"/>
    <x v="4"/>
    <s v="Sales for Resale"/>
    <x v="2"/>
    <x v="4"/>
    <s v="ENMAX Energy Marketing, Inc."/>
    <n v="-6394"/>
    <n v="1118.7938637421748"/>
    <n v="-3576.783982383733"/>
  </r>
  <r>
    <n v="1480"/>
    <x v="4"/>
    <s v="Sales for Resale"/>
    <x v="2"/>
    <x v="4"/>
    <s v="Eugene Water &amp; Electric"/>
    <n v="-19889"/>
    <n v="1118.7938637421748"/>
    <n v="-11125.845577984057"/>
  </r>
  <r>
    <n v="1481"/>
    <x v="4"/>
    <s v="Sales for Resale"/>
    <x v="2"/>
    <x v="4"/>
    <s v="Fortis Energy Marketing &amp; Trading"/>
    <n v="-110920"/>
    <n v="1118.7938637421748"/>
    <n v="-62048.307683141014"/>
  </r>
  <r>
    <n v="1482"/>
    <x v="4"/>
    <s v="Sales for Resale"/>
    <x v="2"/>
    <x v="4"/>
    <s v="Grant County PUD #2"/>
    <n v="-22571"/>
    <n v="1118.7938637421748"/>
    <n v="-12626.148149262315"/>
  </r>
  <r>
    <n v="1483"/>
    <x v="4"/>
    <s v="Sales for Resale"/>
    <x v="2"/>
    <x v="4"/>
    <s v="Hinson Power Company"/>
    <n v="-3950"/>
    <n v="1118.7938637421748"/>
    <n v="-2209.6178808907953"/>
  </r>
  <r>
    <n v="1484"/>
    <x v="4"/>
    <s v="Sales for Resale"/>
    <x v="2"/>
    <x v="4"/>
    <s v="Iberdrola Renewables (PPM Energy)"/>
    <n v="-485458"/>
    <n v="1118.7938637421748"/>
    <n v="-271563.71575227432"/>
  </r>
  <r>
    <n v="1485"/>
    <x v="4"/>
    <s v="Sales for Resale"/>
    <x v="2"/>
    <x v="4"/>
    <s v="Idaho Power Company"/>
    <n v="-31952"/>
    <n v="1118.7938637421748"/>
    <n v="-17873.850767144984"/>
  </r>
  <r>
    <n v="1486"/>
    <x v="4"/>
    <s v="Sales for Resale"/>
    <x v="2"/>
    <x v="4"/>
    <s v="Integrys Energy Services, Inc"/>
    <n v="-4800"/>
    <n v="1118.7938637421748"/>
    <n v="-2685.1052729812195"/>
  </r>
  <r>
    <n v="1487"/>
    <x v="4"/>
    <s v="Sales for Resale"/>
    <x v="2"/>
    <x v="4"/>
    <s v="J. Aron &amp; Company"/>
    <n v="-43800"/>
    <n v="1118.7938637421748"/>
    <n v="-24501.585615953627"/>
  </r>
  <r>
    <n v="1488"/>
    <x v="4"/>
    <s v="Sales for Resale"/>
    <x v="2"/>
    <x v="4"/>
    <s v="JP Morgan Ventures Energy"/>
    <n v="-162587"/>
    <n v="1118.7938637421748"/>
    <n v="-90950.668962124502"/>
  </r>
  <r>
    <n v="1489"/>
    <x v="4"/>
    <s v="Sales for Resale"/>
    <x v="2"/>
    <x v="4"/>
    <s v="Los Angeles Dept. Water &amp; Power"/>
    <n v="-400"/>
    <n v="1118.7938637421748"/>
    <n v="-223.75877274843498"/>
  </r>
  <r>
    <n v="1490"/>
    <x v="4"/>
    <s v="Sales for Resale"/>
    <x v="2"/>
    <x v="4"/>
    <s v="Modesto Irrigation District"/>
    <n v="-2329"/>
    <n v="1118.7938637421748"/>
    <n v="-1302.8354543277626"/>
  </r>
  <r>
    <n v="1491"/>
    <x v="4"/>
    <s v="Sales for Resale"/>
    <x v="2"/>
    <x v="4"/>
    <s v="Morgan Stanley CG"/>
    <n v="-660584"/>
    <n v="1118.7938637421748"/>
    <n v="-369528.66284313041"/>
  </r>
  <r>
    <n v="1492"/>
    <x v="4"/>
    <s v="Sales for Resale"/>
    <x v="2"/>
    <x v="4"/>
    <s v="N. California Power Agency"/>
    <n v="-558"/>
    <n v="1118.7938637421748"/>
    <n v="-312.14348798406678"/>
  </r>
  <r>
    <n v="1493"/>
    <x v="4"/>
    <s v="Sales for Resale"/>
    <x v="2"/>
    <x v="4"/>
    <s v="Natur Ener USA"/>
    <n v="-9"/>
    <n v="1118.7938637421748"/>
    <n v="-5.0345723868397876"/>
  </r>
  <r>
    <n v="1494"/>
    <x v="4"/>
    <s v="Sales for Resale"/>
    <x v="2"/>
    <x v="4"/>
    <s v="NorthPoint Energy Solutions, Inc."/>
    <n v="-40364"/>
    <n v="1118.7938637421748"/>
    <n v="-22579.49775804457"/>
  </r>
  <r>
    <n v="1495"/>
    <x v="4"/>
    <s v="Sales for Resale"/>
    <x v="2"/>
    <x v="4"/>
    <s v="Northwestern Energy"/>
    <n v="-22137"/>
    <n v="1118.7938637421748"/>
    <n v="-12383.369880830262"/>
  </r>
  <r>
    <n v="1496"/>
    <x v="4"/>
    <s v="Sales for Resale"/>
    <x v="2"/>
    <x v="4"/>
    <s v="Occidental Power Services"/>
    <n v="-33200"/>
    <n v="1118.7938637421748"/>
    <n v="-18571.978138120103"/>
  </r>
  <r>
    <n v="1497"/>
    <x v="4"/>
    <s v="Sales for Resale"/>
    <x v="2"/>
    <x v="4"/>
    <s v="Okanogan PUD"/>
    <n v="-180"/>
    <n v="1118.7938637421748"/>
    <n v="-100.69144773679572"/>
  </r>
  <r>
    <n v="1498"/>
    <x v="4"/>
    <s v="Sales for Resale"/>
    <x v="2"/>
    <x v="4"/>
    <s v="Pacific Northwest Generatin Coop."/>
    <n v="-15026"/>
    <n v="1118.7938637421748"/>
    <n v="-8405.4982982949605"/>
  </r>
  <r>
    <n v="1499"/>
    <x v="4"/>
    <s v="Sales for Resale"/>
    <x v="2"/>
    <x v="4"/>
    <s v="Pacific Summit Energy LLC"/>
    <n v="-141740"/>
    <n v="1118.7938637421748"/>
    <n v="-79288.921123407927"/>
  </r>
  <r>
    <n v="1500"/>
    <x v="4"/>
    <s v="Sales for Resale"/>
    <x v="2"/>
    <x v="4"/>
    <s v="Pacificorp"/>
    <n v="-175631"/>
    <n v="1118.7938637421748"/>
    <n v="-98247.442541450946"/>
  </r>
  <r>
    <n v="1501"/>
    <x v="4"/>
    <s v="Sales for Resale"/>
    <x v="2"/>
    <x v="4"/>
    <s v="PG&amp;E Energy Trading"/>
    <n v="-1400"/>
    <n v="1118.7938637421748"/>
    <n v="-783.15570461952245"/>
  </r>
  <r>
    <n v="1502"/>
    <x v="4"/>
    <s v="Sales for Resale"/>
    <x v="2"/>
    <x v="4"/>
    <s v="Portland General Electric"/>
    <n v="-88446"/>
    <n v="1118.7938637421748"/>
    <n v="-49476.4210362702"/>
  </r>
  <r>
    <n v="1503"/>
    <x v="4"/>
    <s v="Sales for Resale"/>
    <x v="2"/>
    <x v="4"/>
    <s v="Powerex Corp."/>
    <n v="-547840"/>
    <n v="1118.7938637421748"/>
    <n v="-306460.01515625656"/>
  </r>
  <r>
    <n v="1504"/>
    <x v="4"/>
    <s v="Sales for Resale"/>
    <x v="2"/>
    <x v="4"/>
    <s v="Public Service of Colorado"/>
    <n v="-6800"/>
    <n v="1118.7938637421748"/>
    <n v="-3803.8991367233943"/>
  </r>
  <r>
    <n v="1505"/>
    <x v="4"/>
    <s v="Sales for Resale"/>
    <x v="2"/>
    <x v="4"/>
    <s v="Rainbow Energy Marketing"/>
    <n v="-57994"/>
    <n v="1118.7938637421748"/>
    <n v="-32441.665666931844"/>
  </r>
  <r>
    <n v="1506"/>
    <x v="4"/>
    <s v="Sales for Resale"/>
    <x v="2"/>
    <x v="4"/>
    <s v="Redding, City of"/>
    <n v="-441"/>
    <n v="1118.7938637421748"/>
    <n v="-246.69404695514956"/>
  </r>
  <r>
    <n v="1507"/>
    <x v="4"/>
    <s v="Sales for Resale"/>
    <x v="2"/>
    <x v="4"/>
    <s v="Sacramento Municipal"/>
    <n v="-11919"/>
    <n v="1118.7938637421748"/>
    <n v="-6667.4520309714908"/>
  </r>
  <r>
    <n v="1508"/>
    <x v="4"/>
    <s v="Sales for Resale"/>
    <x v="2"/>
    <x v="4"/>
    <s v="San Diego Gas &amp; Electric"/>
    <n v="-1032"/>
    <n v="1118.7938637421748"/>
    <n v="-577.29763369096224"/>
  </r>
  <r>
    <n v="1509"/>
    <x v="4"/>
    <s v="Sales for Resale"/>
    <x v="2"/>
    <x v="4"/>
    <s v="Seattle City Light Marketing"/>
    <n v="-33841"/>
    <n v="1118.7938637421748"/>
    <n v="-18930.551571449469"/>
  </r>
  <r>
    <n v="1510"/>
    <x v="4"/>
    <s v="Sales for Resale"/>
    <x v="2"/>
    <x v="4"/>
    <s v="Sempra Energy Trading"/>
    <n v="-272319"/>
    <n v="1118.7938637421748"/>
    <n v="-152334.41309020267"/>
  </r>
  <r>
    <n v="1511"/>
    <x v="4"/>
    <s v="Sales for Resale"/>
    <x v="2"/>
    <x v="4"/>
    <s v="Shell Energy (Coral Pwr)"/>
    <n v="-446690"/>
    <n v="1118.7938637421748"/>
    <n v="-249877.01549749603"/>
  </r>
  <r>
    <n v="1512"/>
    <x v="4"/>
    <s v="Sales for Resale"/>
    <x v="2"/>
    <x v="4"/>
    <s v="Sierra Pacific Power"/>
    <n v="-3532"/>
    <n v="1118.7938637421748"/>
    <n v="-1975.7899633686809"/>
  </r>
  <r>
    <n v="1513"/>
    <x v="4"/>
    <s v="Sales for Resale"/>
    <x v="2"/>
    <x v="4"/>
    <s v="Silicon Valley Pwr - Santa Clara"/>
    <n v="-35"/>
    <n v="1118.7938637421748"/>
    <n v="-19.578892615488062"/>
  </r>
  <r>
    <n v="1514"/>
    <x v="4"/>
    <s v="Sales for Resale"/>
    <x v="2"/>
    <x v="4"/>
    <s v="Snohomish County PUD #1"/>
    <n v="-10967"/>
    <n v="1118.7938637421748"/>
    <n v="-6134.906151830216"/>
  </r>
  <r>
    <n v="1515"/>
    <x v="4"/>
    <s v="Sales for Resale"/>
    <x v="2"/>
    <x v="4"/>
    <s v="Southern Cal - Edison"/>
    <n v="-502250"/>
    <n v="1118.7938637421748"/>
    <n v="-280957.10903225368"/>
  </r>
  <r>
    <n v="1516"/>
    <x v="4"/>
    <s v="Sales for Resale"/>
    <x v="2"/>
    <x v="4"/>
    <s v="Tacoma Power"/>
    <n v="-2294"/>
    <n v="1118.7938637421748"/>
    <n v="-1283.2565617122746"/>
  </r>
  <r>
    <n v="1517"/>
    <x v="4"/>
    <s v="Sales for Resale"/>
    <x v="2"/>
    <x v="4"/>
    <s v="Talen Energy (PPL Energy Plus)"/>
    <n v="-71305"/>
    <n v="1118.7938637421748"/>
    <n v="-39887.798227067891"/>
  </r>
  <r>
    <n v="1518"/>
    <x v="4"/>
    <s v="Sales for Resale"/>
    <x v="2"/>
    <x v="4"/>
    <s v="The Energy Authority"/>
    <n v="-14698"/>
    <n v="1118.7938637421748"/>
    <n v="-8222.0161046412431"/>
  </r>
  <r>
    <n v="1519"/>
    <x v="4"/>
    <s v="Sales for Resale"/>
    <x v="2"/>
    <x v="4"/>
    <s v="TransAlta Energy Marketing"/>
    <n v="-297158"/>
    <n v="1118.7938637421748"/>
    <n v="-166229.27348094858"/>
  </r>
  <r>
    <n v="1520"/>
    <x v="4"/>
    <s v="Sales for Resale"/>
    <x v="2"/>
    <x v="4"/>
    <s v="TransCanada Energy Marketing"/>
    <n v="-4687"/>
    <n v="1118.7938637421748"/>
    <n v="-2621.8934196797863"/>
  </r>
  <r>
    <n v="1521"/>
    <x v="4"/>
    <s v="Sales for Resale"/>
    <x v="2"/>
    <x v="4"/>
    <s v="TransCanada Energy Sales Ltd"/>
    <n v="-10850"/>
    <n v="1118.7938637421748"/>
    <n v="-6069.4567108012989"/>
  </r>
  <r>
    <n v="1522"/>
    <x v="4"/>
    <s v="Sales for Resale"/>
    <x v="2"/>
    <x v="4"/>
    <s v="Turlock Irrigation District"/>
    <n v="-3013"/>
    <n v="1118.7938637421748"/>
    <n v="-1685.4629557275862"/>
  </r>
  <r>
    <n v="1523"/>
    <x v="4"/>
    <s v="Sales for Resale"/>
    <x v="2"/>
    <x v="4"/>
    <s v="Western Area Power Association"/>
    <n v="-80"/>
    <n v="1118.7938637421748"/>
    <n v="-44.751754549686993"/>
  </r>
  <r>
    <n v="1571"/>
    <x v="5"/>
    <s v="Generation - Hydro"/>
    <x v="0"/>
    <x v="0"/>
    <s v="Electron"/>
    <n v="88025.31"/>
    <n v="0"/>
    <n v="0"/>
  </r>
  <r>
    <n v="1572"/>
    <x v="5"/>
    <s v="Generation - Hydro"/>
    <x v="0"/>
    <x v="0"/>
    <s v="Lower Baker"/>
    <n v="366338.20400000003"/>
    <n v="0"/>
    <n v="0"/>
  </r>
  <r>
    <n v="1573"/>
    <x v="5"/>
    <s v="Generation - Hydro"/>
    <x v="0"/>
    <x v="0"/>
    <s v="Snoqualmie Falls #1"/>
    <n v="13051.4"/>
    <n v="0"/>
    <n v="0"/>
  </r>
  <r>
    <n v="1574"/>
    <x v="5"/>
    <s v="Generation - Hydro"/>
    <x v="0"/>
    <x v="0"/>
    <s v="Snoqualmie Falls #2"/>
    <n v="101676.9"/>
    <n v="0"/>
    <n v="0"/>
  </r>
  <r>
    <n v="1576"/>
    <x v="5"/>
    <s v="Generation - Hydro"/>
    <x v="0"/>
    <x v="0"/>
    <s v="Upper Baker"/>
    <n v="360504.88400000002"/>
    <n v="0"/>
    <n v="0"/>
  </r>
  <r>
    <n v="1578"/>
    <x v="5"/>
    <s v="Generation - Steam"/>
    <x v="0"/>
    <x v="1"/>
    <s v="Colstrip 1 &amp; 2"/>
    <n v="2293375"/>
    <n v="2459.3791415279557"/>
    <n v="2820139.3193508377"/>
  </r>
  <r>
    <n v="1579"/>
    <x v="5"/>
    <s v="Generation - Steam"/>
    <x v="0"/>
    <x v="1"/>
    <s v="Colstrip 3 &amp; 4"/>
    <n v="2904730"/>
    <n v="2253.7140624002409"/>
    <n v="3273215.424237926"/>
  </r>
  <r>
    <n v="1580"/>
    <x v="5"/>
    <s v="Generation - Steam"/>
    <x v="0"/>
    <x v="2"/>
    <s v="Encogen"/>
    <n v="197771.9"/>
    <n v="1048.0399821103836"/>
    <n v="103636.42926896828"/>
  </r>
  <r>
    <n v="1581"/>
    <x v="5"/>
    <s v="Generation - Steam"/>
    <x v="0"/>
    <x v="2"/>
    <s v="Freddie #1"/>
    <n v="418445.701"/>
    <n v="852.04390676417449"/>
    <n v="178267.05492435681"/>
  </r>
  <r>
    <n v="1582"/>
    <x v="5"/>
    <s v="Generation - Steam"/>
    <x v="0"/>
    <x v="2"/>
    <s v="Goldendale"/>
    <n v="1541236"/>
    <n v="802.12478285881059"/>
    <n v="618131.79591709084"/>
  </r>
  <r>
    <n v="1583"/>
    <x v="5"/>
    <s v="Generation - Steam"/>
    <x v="0"/>
    <x v="2"/>
    <s v="Mint Farm"/>
    <n v="1441302.4"/>
    <n v="853.14312133657666"/>
    <n v="614818.61416294961"/>
  </r>
  <r>
    <n v="1584"/>
    <x v="5"/>
    <s v="Generation - Steam"/>
    <x v="0"/>
    <x v="2"/>
    <s v="Sumas"/>
    <n v="410625.5"/>
    <n v="1003.9238425075457"/>
    <n v="206118.36489579111"/>
  </r>
  <r>
    <n v="1587"/>
    <x v="5"/>
    <s v="Generation - Oil/Gas/Wind"/>
    <x v="0"/>
    <x v="3"/>
    <s v="Crystal Mountain"/>
    <n v="113.77"/>
    <n v="2093.3542823985194"/>
    <n v="119.08045835423978"/>
  </r>
  <r>
    <n v="1590"/>
    <x v="5"/>
    <s v="Generation - Oil/Gas/Wind"/>
    <x v="0"/>
    <x v="2"/>
    <s v="Fredonia"/>
    <n v="11884.6"/>
    <n v="1778.949592432009"/>
    <n v="10571.052163108727"/>
  </r>
  <r>
    <n v="1591"/>
    <x v="5"/>
    <s v="Generation - Oil/Gas/Wind"/>
    <x v="0"/>
    <x v="2"/>
    <s v="Fredonia 3 &amp; 4"/>
    <n v="62288.3"/>
    <n v="1250.8379732879328"/>
    <n v="38956.285465775371"/>
  </r>
  <r>
    <n v="1592"/>
    <x v="5"/>
    <s v="Generation - Oil/Gas/Wind"/>
    <x v="0"/>
    <x v="2"/>
    <s v="Fredrickson 1 &amp; 2"/>
    <n v="10272.1"/>
    <n v="2012.6363069602537"/>
    <n v="10337.000704363212"/>
  </r>
  <r>
    <n v="1594"/>
    <x v="5"/>
    <s v="Generation - Oil/Gas/Wind"/>
    <x v="0"/>
    <x v="0"/>
    <s v="Hopkins Ridge (W184)"/>
    <n v="381270.98800000001"/>
    <n v="0"/>
    <n v="0"/>
  </r>
  <r>
    <n v="1599"/>
    <x v="5"/>
    <s v="Generation - Oil/Gas/Wind"/>
    <x v="0"/>
    <x v="2"/>
    <s v="Whitehorn 2&amp;3"/>
    <n v="8366.7000000000007"/>
    <n v="1870.3544180877277"/>
    <n v="7824.3471549072965"/>
  </r>
  <r>
    <n v="1600"/>
    <x v="5"/>
    <s v="Generation - Oil/Gas/Wind"/>
    <x v="0"/>
    <x v="0"/>
    <s v="Wild Horse (W183)"/>
    <n v="609654.95499999996"/>
    <n v="0"/>
    <n v="0"/>
  </r>
  <r>
    <n v="1602"/>
    <x v="5"/>
    <s v="Purchases - Firm"/>
    <x v="1"/>
    <x v="4"/>
    <s v="BC Hydro (Point Roberts)"/>
    <n v="20921"/>
    <n v="1191.716320391361"/>
    <n v="12465.948569453833"/>
  </r>
  <r>
    <n v="1603"/>
    <x v="5"/>
    <s v="Purchases - Firm"/>
    <x v="1"/>
    <x v="7"/>
    <s v="Book Outs - EITF 03-11"/>
    <n v="-753803"/>
    <n v="0"/>
    <n v="0"/>
  </r>
  <r>
    <n v="1604"/>
    <x v="5"/>
    <s v="Purchases - Firm"/>
    <x v="1"/>
    <x v="0"/>
    <s v="BPA"/>
    <n v="7000"/>
    <n v="0"/>
    <n v="0"/>
  </r>
  <r>
    <n v="1605"/>
    <x v="5"/>
    <s v="Purchases - Firm"/>
    <x v="1"/>
    <x v="4"/>
    <s v="BPA Firm - WNP#3 Exchange"/>
    <n v="406710"/>
    <n v="1191.716320391361"/>
    <n v="242341.47233318523"/>
  </r>
  <r>
    <n v="1607"/>
    <x v="5"/>
    <s v="Purchases - Firm"/>
    <x v="1"/>
    <x v="0"/>
    <s v="Chelan PUD - Rock Island Syst #2"/>
    <n v="1213235"/>
    <n v="0"/>
    <n v="0"/>
  </r>
  <r>
    <n v="1608"/>
    <x v="5"/>
    <s v="Purchases - Firm"/>
    <x v="1"/>
    <x v="0"/>
    <s v="Chelan PUD - Rocky Reach"/>
    <n v="1914094"/>
    <n v="0"/>
    <n v="0"/>
  </r>
  <r>
    <n v="1609"/>
    <x v="5"/>
    <s v="Purchases - Firm"/>
    <x v="1"/>
    <x v="4"/>
    <s v="Credit Suisse Energy, LLC"/>
    <n v="107950"/>
    <n v="1191.716320391361"/>
    <n v="64322.888393123707"/>
  </r>
  <r>
    <n v="1610"/>
    <x v="5"/>
    <s v="Purchases - Firm"/>
    <x v="1"/>
    <x v="0"/>
    <s v="Douglas PUD - Wells Project"/>
    <n v="871104"/>
    <n v="0"/>
    <n v="0"/>
  </r>
  <r>
    <n v="1611"/>
    <x v="5"/>
    <s v="Purchases - Firm"/>
    <x v="1"/>
    <x v="0"/>
    <s v="Farm Power Lynden LLC"/>
    <n v="204.023"/>
    <n v="0"/>
    <n v="0"/>
  </r>
  <r>
    <n v="1612"/>
    <x v="5"/>
    <s v="Purchases - Firm"/>
    <x v="1"/>
    <x v="0"/>
    <s v="Farm Power Rexville LLC"/>
    <n v="4873.87"/>
    <n v="0"/>
    <n v="0"/>
  </r>
  <r>
    <n v="1614"/>
    <x v="5"/>
    <s v="Purchases - Firm"/>
    <x v="1"/>
    <x v="0"/>
    <s v="Grant PUD - Priest Rapids Project"/>
    <n v="331731"/>
    <n v="0"/>
    <n v="0"/>
  </r>
  <r>
    <n v="1616"/>
    <x v="5"/>
    <s v="Purchases - Firm"/>
    <x v="1"/>
    <x v="0"/>
    <s v="Klondike Wind Power III"/>
    <n v="120632"/>
    <n v="0"/>
    <n v="0"/>
  </r>
  <r>
    <n v="1617"/>
    <x v="5"/>
    <s v="Purchases - Firm"/>
    <x v="1"/>
    <x v="1"/>
    <s v="NWestern Energy(MPC) Firm Contract"/>
    <n v="788313"/>
    <n v="2156.77257820159"/>
    <n v="850105.93071991508"/>
  </r>
  <r>
    <n v="1618"/>
    <x v="5"/>
    <s v="Purchases - Firm"/>
    <x v="1"/>
    <x v="4"/>
    <s v="Powerex Corp."/>
    <n v="179999"/>
    <n v="1191.716320391361"/>
    <n v="107253.8729770623"/>
  </r>
  <r>
    <n v="1619"/>
    <x v="5"/>
    <s v="Purchases - Firm"/>
    <x v="1"/>
    <x v="0"/>
    <s v="Qualco Energy"/>
    <n v="3520"/>
    <n v="0"/>
    <n v="0"/>
  </r>
  <r>
    <n v="1620"/>
    <x v="5"/>
    <s v="Purchases - Firm"/>
    <x v="1"/>
    <x v="4"/>
    <s v="Sempra Energy Trading"/>
    <n v="547795"/>
    <n v="1191.716320391361"/>
    <n v="326408.12086439284"/>
  </r>
  <r>
    <n v="1621"/>
    <x v="5"/>
    <s v="Purchases - Firm"/>
    <x v="1"/>
    <x v="4"/>
    <s v="Shell Energy (Coral Pwr)"/>
    <n v="330050"/>
    <n v="1191.716320391361"/>
    <n v="196662.98577258436"/>
  </r>
  <r>
    <n v="1622"/>
    <x v="5"/>
    <s v="Purchases - Firm"/>
    <x v="1"/>
    <x v="4"/>
    <s v="Snohomish PUD Conservation"/>
    <n v="14464"/>
    <n v="1191.716320391361"/>
    <n v="8618.4924290703239"/>
  </r>
  <r>
    <n v="1623"/>
    <x v="5"/>
    <s v="Purchases - Firm"/>
    <x v="1"/>
    <x v="0"/>
    <s v="VanderHaak Dairy Digester"/>
    <n v="2551.8000000000002"/>
    <n v="0"/>
    <n v="0"/>
  </r>
  <r>
    <n v="1624"/>
    <x v="5"/>
    <s v="Purchases - Firm"/>
    <x v="1"/>
    <x v="0"/>
    <s v="WASCO Hydro"/>
    <n v="40782"/>
    <n v="0"/>
    <n v="0"/>
  </r>
  <r>
    <n v="1626"/>
    <x v="5"/>
    <s v="Purchases - PURPA"/>
    <x v="1"/>
    <x v="0"/>
    <s v="Hutchinson Creek"/>
    <n v="1106.72"/>
    <n v="0"/>
    <n v="0"/>
  </r>
  <r>
    <n v="1627"/>
    <x v="5"/>
    <s v="Purchases - PURPA"/>
    <x v="1"/>
    <x v="0"/>
    <s v="Koma Kulshan Associates"/>
    <n v="42708.480000000003"/>
    <n v="0"/>
    <n v="0"/>
  </r>
  <r>
    <n v="1629"/>
    <x v="5"/>
    <s v="Purchases - PURPA"/>
    <x v="1"/>
    <x v="2"/>
    <s v="March Point Cogen. - 1 &amp; 2"/>
    <n v="1081243.416"/>
    <n v="712.53279701083932"/>
    <n v="385210.69772601721"/>
  </r>
  <r>
    <n v="1630"/>
    <x v="5"/>
    <s v="Purchases - PURPA"/>
    <x v="1"/>
    <x v="0"/>
    <s v="Nooksack"/>
    <n v="25921.554"/>
    <n v="0"/>
    <n v="0"/>
  </r>
  <r>
    <n v="1631"/>
    <x v="5"/>
    <s v="Purchases - PURPA"/>
    <x v="1"/>
    <x v="5"/>
    <s v="Port Townsend Paper Co."/>
    <n v="2886.24"/>
    <n v="1034.1967526732399"/>
    <n v="1492.4700177178058"/>
  </r>
  <r>
    <n v="1632"/>
    <x v="5"/>
    <s v="Purchases - PURPA"/>
    <x v="1"/>
    <x v="6"/>
    <s v="Spokane MSW"/>
    <n v="141480"/>
    <n v="4609.1077496501721"/>
    <n v="326048.28221025318"/>
  </r>
  <r>
    <n v="1633"/>
    <x v="5"/>
    <s v="Purchases - PURPA"/>
    <x v="1"/>
    <x v="0"/>
    <s v="Sygitowicz Creek"/>
    <n v="1227.8399999999999"/>
    <n v="0"/>
    <n v="0"/>
  </r>
  <r>
    <n v="1634"/>
    <x v="5"/>
    <s v="Purchases - PURPA"/>
    <x v="1"/>
    <x v="2"/>
    <s v="Tenaska"/>
    <n v="652723.43999999994"/>
    <n v="885.49571382392162"/>
    <n v="288991.90421620279"/>
  </r>
  <r>
    <n v="1635"/>
    <x v="5"/>
    <s v="Purchases - PURPA"/>
    <x v="1"/>
    <x v="0"/>
    <s v="Twin Falls Hydro"/>
    <n v="73497.600000000006"/>
    <n v="0"/>
    <n v="0"/>
  </r>
  <r>
    <n v="1636"/>
    <x v="5"/>
    <s v="Purchases - PURPA"/>
    <x v="1"/>
    <x v="0"/>
    <s v="Weeks Falls"/>
    <n v="13234.2"/>
    <n v="0"/>
    <n v="0"/>
  </r>
  <r>
    <n v="1638"/>
    <x v="5"/>
    <s v="Purchases - Secondary"/>
    <x v="2"/>
    <x v="4"/>
    <s v="Avista Corp. WWP Division"/>
    <n v="165694.6"/>
    <n v="1191.716320391361"/>
    <n v="98730.479510359219"/>
  </r>
  <r>
    <n v="1640"/>
    <x v="5"/>
    <s v="Purchases - Secondary"/>
    <x v="2"/>
    <x v="4"/>
    <s v="Barclays Bank Plc"/>
    <n v="138700"/>
    <n v="1191.716320391361"/>
    <n v="82645.526819140883"/>
  </r>
  <r>
    <n v="1641"/>
    <x v="5"/>
    <s v="Purchases - Secondary"/>
    <x v="2"/>
    <x v="4"/>
    <s v="Black Hills Power"/>
    <n v="1224"/>
    <n v="1191.716320391361"/>
    <n v="729.330388079513"/>
  </r>
  <r>
    <n v="1642"/>
    <x v="5"/>
    <s v="Purchases - Secondary"/>
    <x v="2"/>
    <x v="4"/>
    <s v="BNP Paribas Energy Trading"/>
    <n v="15600"/>
    <n v="1191.716320391361"/>
    <n v="9295.3872990526161"/>
  </r>
  <r>
    <n v="1643"/>
    <x v="5"/>
    <s v="Purchases - Secondary"/>
    <x v="2"/>
    <x v="4"/>
    <s v="Book Outs - EITF 03-11"/>
    <n v="-3094185"/>
    <n v="1191.716320391361"/>
    <n v="-1843695.3814050718"/>
  </r>
  <r>
    <n v="1644"/>
    <x v="5"/>
    <s v="Purchases - Secondary"/>
    <x v="2"/>
    <x v="4"/>
    <s v="BP Energy Co."/>
    <n v="78616"/>
    <n v="1191.716320391361"/>
    <n v="46843.985121943624"/>
  </r>
  <r>
    <n v="1645"/>
    <x v="5"/>
    <s v="Purchases - Secondary"/>
    <x v="2"/>
    <x v="4"/>
    <s v="BPA"/>
    <n v="206160"/>
    <n v="1191.716320391361"/>
    <n v="122842.11830594149"/>
  </r>
  <r>
    <n v="1648"/>
    <x v="5"/>
    <s v="Purchases - Secondary"/>
    <x v="2"/>
    <x v="4"/>
    <s v="Burbank, City of"/>
    <n v="59686"/>
    <n v="1191.716320391361"/>
    <n v="35564.390149439387"/>
  </r>
  <r>
    <n v="1649"/>
    <x v="5"/>
    <s v="Purchases - Secondary"/>
    <x v="2"/>
    <x v="4"/>
    <s v="Cargill Power Markets"/>
    <n v="183821"/>
    <n v="1191.716320391361"/>
    <n v="109531.24286533019"/>
  </r>
  <r>
    <n v="1650"/>
    <x v="5"/>
    <s v="Purchases - Secondary"/>
    <x v="2"/>
    <x v="4"/>
    <s v="Chelan County PUD #1"/>
    <n v="15633"/>
    <n v="1191.716320391361"/>
    <n v="9315.0506183390735"/>
  </r>
  <r>
    <n v="1652"/>
    <x v="5"/>
    <s v="Purchases - Secondary"/>
    <x v="2"/>
    <x v="4"/>
    <s v="Citigroup Energy Inc"/>
    <n v="775756"/>
    <n v="1191.716320391361"/>
    <n v="462240.54292076034"/>
  </r>
  <r>
    <n v="1653"/>
    <x v="5"/>
    <s v="Purchases - Secondary"/>
    <x v="2"/>
    <x v="4"/>
    <s v="Clatskanie PUD"/>
    <n v="25594"/>
    <n v="1191.716320391361"/>
    <n v="15250.393752048247"/>
  </r>
  <r>
    <n v="1654"/>
    <x v="5"/>
    <s v="Purchases - Secondary"/>
    <x v="2"/>
    <x v="4"/>
    <s v="Conoco, Inc."/>
    <n v="82208"/>
    <n v="1191.716320391361"/>
    <n v="48984.307633366501"/>
  </r>
  <r>
    <n v="1656"/>
    <x v="5"/>
    <s v="Purchases - Secondary"/>
    <x v="2"/>
    <x v="4"/>
    <s v="Constellation Power Source, Inc."/>
    <n v="95234"/>
    <n v="1191.716320391361"/>
    <n v="56745.956028075438"/>
  </r>
  <r>
    <n v="1657"/>
    <x v="5"/>
    <s v="Purchases - Secondary"/>
    <x v="2"/>
    <x v="4"/>
    <s v="CP Energy Marketing (Epcor)"/>
    <n v="10876"/>
    <n v="1191.716320391361"/>
    <n v="6480.5533502882217"/>
  </r>
  <r>
    <n v="1658"/>
    <x v="5"/>
    <s v="Purchases - Secondary"/>
    <x v="2"/>
    <x v="4"/>
    <s v="DB Energy Trading LLC"/>
    <n v="117600"/>
    <n v="1191.716320391361"/>
    <n v="70072.91963901202"/>
  </r>
  <r>
    <n v="1660"/>
    <x v="5"/>
    <s v="Purchases - Secondary"/>
    <x v="2"/>
    <x v="4"/>
    <s v="Douglas County PUD #1"/>
    <n v="184451"/>
    <n v="1191.716320391361"/>
    <n v="109906.63350625346"/>
  </r>
  <r>
    <n v="1661"/>
    <x v="5"/>
    <s v="Purchases - Secondary"/>
    <x v="2"/>
    <x v="4"/>
    <s v="Eagle Energy Partners"/>
    <n v="31"/>
    <n v="1191.716320391361"/>
    <n v="18.471602966066097"/>
  </r>
  <r>
    <n v="1662"/>
    <x v="5"/>
    <s v="Purchases - Secondary"/>
    <x v="2"/>
    <x v="4"/>
    <s v="EDF Trading NA LLC"/>
    <n v="320131"/>
    <n v="1191.716320391361"/>
    <n v="190752.66868160339"/>
  </r>
  <r>
    <n v="1663"/>
    <x v="5"/>
    <s v="Purchases - Secondary"/>
    <x v="2"/>
    <x v="4"/>
    <s v="Endure Energy LLC"/>
    <n v="17600"/>
    <n v="1191.716320391361"/>
    <n v="10487.103619443977"/>
  </r>
  <r>
    <n v="1664"/>
    <x v="5"/>
    <s v="Purchases - Secondary"/>
    <x v="2"/>
    <x v="4"/>
    <s v="ENMAX Energy Marketing, Inc."/>
    <n v="430"/>
    <n v="1191.716320391361"/>
    <n v="256.21900888414262"/>
  </r>
  <r>
    <n v="1665"/>
    <x v="5"/>
    <s v="Purchases - Secondary"/>
    <x v="2"/>
    <x v="4"/>
    <s v="Eugene Water &amp; Electric"/>
    <n v="63929"/>
    <n v="1191.716320391361"/>
    <n v="38092.616323149661"/>
  </r>
  <r>
    <n v="1666"/>
    <x v="5"/>
    <s v="Purchases - Secondary"/>
    <x v="2"/>
    <x v="4"/>
    <s v="Fortis Energy Marketing &amp; Trading"/>
    <n v="4000"/>
    <n v="1191.716320391361"/>
    <n v="2383.432640782722"/>
  </r>
  <r>
    <n v="1667"/>
    <x v="5"/>
    <s v="Purchases - Secondary"/>
    <x v="2"/>
    <x v="4"/>
    <s v="Grant County PUD #2"/>
    <n v="20495"/>
    <n v="1191.716320391361"/>
    <n v="12212.112993210472"/>
  </r>
  <r>
    <n v="1668"/>
    <x v="5"/>
    <s v="Purchases - Secondary"/>
    <x v="2"/>
    <x v="4"/>
    <s v="Iberdrola Renewables (PPM Energy)"/>
    <n v="682132"/>
    <n v="1191.716320391361"/>
    <n v="406453.91853059997"/>
  </r>
  <r>
    <n v="1669"/>
    <x v="5"/>
    <s v="Purchases - Secondary"/>
    <x v="2"/>
    <x v="4"/>
    <s v="Idaho Power Company"/>
    <n v="17382"/>
    <n v="1191.716320391361"/>
    <n v="10357.206540521318"/>
  </r>
  <r>
    <n v="1670"/>
    <x v="5"/>
    <s v="Purchases - Secondary"/>
    <x v="2"/>
    <x v="4"/>
    <s v="J. Aron &amp; Company"/>
    <n v="32200"/>
    <n v="1191.716320391361"/>
    <n v="19186.632758300912"/>
  </r>
  <r>
    <n v="1672"/>
    <x v="5"/>
    <s v="Purchases - Secondary"/>
    <x v="2"/>
    <x v="4"/>
    <s v="JP Morgan Ventures Energy"/>
    <n v="136924"/>
    <n v="1191.716320391361"/>
    <n v="81587.282726633348"/>
  </r>
  <r>
    <n v="1674"/>
    <x v="5"/>
    <s v="Purchases - Secondary"/>
    <x v="2"/>
    <x v="4"/>
    <s v="Merrill Lynch Commodities"/>
    <n v="55600"/>
    <n v="1191.716320391361"/>
    <n v="33129.713706879833"/>
  </r>
  <r>
    <n v="1675"/>
    <x v="5"/>
    <s v="Purchases - Secondary"/>
    <x v="2"/>
    <x v="4"/>
    <s v="Modesto Irrigation District"/>
    <n v="45"/>
    <n v="1191.716320391361"/>
    <n v="26.813617208805624"/>
  </r>
  <r>
    <n v="1676"/>
    <x v="5"/>
    <s v="Purchases - Secondary"/>
    <x v="2"/>
    <x v="4"/>
    <s v="Morgan Stanley CG"/>
    <n v="1135590"/>
    <n v="1191.716320391361"/>
    <n v="676650.56813661277"/>
  </r>
  <r>
    <n v="1678"/>
    <x v="5"/>
    <s v="Purchases - Secondary"/>
    <x v="2"/>
    <x v="4"/>
    <s v="NextEra Energy Power Marketing"/>
    <n v="20186"/>
    <n v="1191.716320391361"/>
    <n v="12027.992821710008"/>
  </r>
  <r>
    <n v="1679"/>
    <x v="5"/>
    <s v="Purchases - Secondary"/>
    <x v="2"/>
    <x v="4"/>
    <s v="Noble Americas Energy Solutions"/>
    <n v="24200"/>
    <n v="1191.716320391361"/>
    <n v="14419.767476735469"/>
  </r>
  <r>
    <n v="1680"/>
    <x v="5"/>
    <s v="Purchases - Secondary"/>
    <x v="2"/>
    <x v="4"/>
    <s v="NorthPoint Energy Solutions, Inc."/>
    <n v="4037"/>
    <n v="1191.716320391361"/>
    <n v="2405.4793927099622"/>
  </r>
  <r>
    <n v="1681"/>
    <x v="5"/>
    <s v="Purchases - Secondary"/>
    <x v="2"/>
    <x v="4"/>
    <s v="Northwestern Energy"/>
    <n v="2854"/>
    <n v="1191.716320391361"/>
    <n v="1700.579189198472"/>
  </r>
  <r>
    <n v="1682"/>
    <x v="5"/>
    <s v="Purchases - Secondary"/>
    <x v="2"/>
    <x v="4"/>
    <s v="Occidental Power Services"/>
    <n v="30400"/>
    <n v="1191.716320391361"/>
    <n v="18114.088069948688"/>
  </r>
  <r>
    <n v="1683"/>
    <x v="5"/>
    <s v="Purchases - Secondary"/>
    <x v="2"/>
    <x v="4"/>
    <s v="Okanogan PUD"/>
    <n v="2374"/>
    <n v="1191.716320391361"/>
    <n v="1414.5672723045457"/>
  </r>
  <r>
    <n v="1684"/>
    <x v="5"/>
    <s v="Purchases - Secondary"/>
    <x v="2"/>
    <x v="4"/>
    <s v="Pacific Northwest Generatin Coop."/>
    <n v="87811"/>
    <n v="1191.716320391361"/>
    <n v="52322.900904942901"/>
  </r>
  <r>
    <n v="1685"/>
    <x v="5"/>
    <s v="Purchases - Secondary"/>
    <x v="2"/>
    <x v="4"/>
    <s v="Pacific Summit Energy LLC"/>
    <n v="46767"/>
    <n v="1191.716320391361"/>
    <n v="27866.498577871389"/>
  </r>
  <r>
    <n v="1686"/>
    <x v="5"/>
    <s v="Purchases - Secondary"/>
    <x v="2"/>
    <x v="4"/>
    <s v="Pacificorp"/>
    <n v="80243"/>
    <n v="1191.716320391361"/>
    <n v="47813.446348581994"/>
  </r>
  <r>
    <n v="1687"/>
    <x v="5"/>
    <s v="Purchases - Secondary"/>
    <x v="2"/>
    <x v="4"/>
    <s v="Portland General Electric"/>
    <n v="292936"/>
    <n v="1191.716320391361"/>
    <n v="174548.30601508185"/>
  </r>
  <r>
    <n v="1688"/>
    <x v="5"/>
    <s v="Purchases - Secondary"/>
    <x v="2"/>
    <x v="4"/>
    <s v="Powerex Corp."/>
    <n v="300036"/>
    <n v="1191.716320391361"/>
    <n v="178778.89895247121"/>
  </r>
  <r>
    <n v="1689"/>
    <x v="5"/>
    <s v="Purchases - Secondary"/>
    <x v="2"/>
    <x v="4"/>
    <s v="Public Service of Colorado"/>
    <n v="6500"/>
    <n v="1191.716320391361"/>
    <n v="3873.0780412719232"/>
  </r>
  <r>
    <n v="1690"/>
    <x v="5"/>
    <s v="Purchases - Secondary"/>
    <x v="2"/>
    <x v="4"/>
    <s v="Rainbow Energy Marketing"/>
    <n v="98150"/>
    <n v="1191.716320391361"/>
    <n v="58483.478423206041"/>
  </r>
  <r>
    <n v="1691"/>
    <x v="5"/>
    <s v="Purchases - Secondary"/>
    <x v="2"/>
    <x v="4"/>
    <s v="Redding, City of"/>
    <n v="173"/>
    <n v="1191.716320391361"/>
    <n v="103.08346171385273"/>
  </r>
  <r>
    <n v="1693"/>
    <x v="5"/>
    <s v="Purchases - Secondary"/>
    <x v="2"/>
    <x v="4"/>
    <s v="Sacramento Municipal"/>
    <n v="5475"/>
    <n v="1191.716320391361"/>
    <n v="3262.3234270713506"/>
  </r>
  <r>
    <n v="1694"/>
    <x v="5"/>
    <s v="Purchases - Secondary"/>
    <x v="2"/>
    <x v="4"/>
    <s v="San Diego Gas &amp; Electric"/>
    <n v="684"/>
    <n v="1191.716320391361"/>
    <n v="407.56698157384551"/>
  </r>
  <r>
    <n v="1695"/>
    <x v="5"/>
    <s v="Purchases - Secondary"/>
    <x v="2"/>
    <x v="4"/>
    <s v="Seattle City Light Marketing"/>
    <n v="249821"/>
    <n v="1191.716320391361"/>
    <n v="148857.88143824509"/>
  </r>
  <r>
    <n v="1696"/>
    <x v="5"/>
    <s v="Purchases - Secondary"/>
    <x v="2"/>
    <x v="4"/>
    <s v="Sempra Energy Trading"/>
    <n v="995085"/>
    <n v="1191.716320391361"/>
    <n v="592929.51733831875"/>
  </r>
  <r>
    <n v="1697"/>
    <x v="5"/>
    <s v="Purchases - Secondary"/>
    <x v="2"/>
    <x v="4"/>
    <s v="Shell Energy (Coral Pwr)"/>
    <n v="355579"/>
    <n v="1191.716320391361"/>
    <n v="211874.64874421986"/>
  </r>
  <r>
    <n v="1699"/>
    <x v="5"/>
    <s v="Purchases - Secondary"/>
    <x v="2"/>
    <x v="4"/>
    <s v="Sierra Pacific Power"/>
    <n v="1600"/>
    <n v="1191.716320391361"/>
    <n v="953.37305631308891"/>
  </r>
  <r>
    <n v="1700"/>
    <x v="5"/>
    <s v="Purchases - Secondary"/>
    <x v="2"/>
    <x v="4"/>
    <s v="Snohomish County PUD #1"/>
    <n v="45702"/>
    <n v="1191.716320391361"/>
    <n v="27231.909637262994"/>
  </r>
  <r>
    <n v="1701"/>
    <x v="5"/>
    <s v="Purchases - Secondary"/>
    <x v="2"/>
    <x v="4"/>
    <s v="Southern Cal - Edison"/>
    <n v="13647"/>
    <n v="1191.716320391361"/>
    <n v="8131.6763121904514"/>
  </r>
  <r>
    <n v="1702"/>
    <x v="5"/>
    <s v="Purchases - Secondary"/>
    <x v="2"/>
    <x v="4"/>
    <s v="Tacoma Power"/>
    <n v="47836"/>
    <n v="1191.716320391361"/>
    <n v="28503.470951120573"/>
  </r>
  <r>
    <n v="1703"/>
    <x v="5"/>
    <s v="Purchases - Secondary"/>
    <x v="2"/>
    <x v="4"/>
    <s v="Talen Energy (PPL Energy Plus)"/>
    <n v="147357"/>
    <n v="1191.716320391361"/>
    <n v="87803.870911954888"/>
  </r>
  <r>
    <n v="1704"/>
    <x v="5"/>
    <s v="Purchases - Secondary"/>
    <x v="2"/>
    <x v="4"/>
    <s v="Tenaska"/>
    <n v="1038"/>
    <n v="1191.716320391361"/>
    <n v="618.50077028311637"/>
  </r>
  <r>
    <n v="1705"/>
    <x v="5"/>
    <s v="Purchases - Secondary"/>
    <x v="2"/>
    <x v="4"/>
    <s v="The Energy Authority"/>
    <n v="78028"/>
    <n v="1191.716320391361"/>
    <n v="46493.620523748563"/>
  </r>
  <r>
    <n v="1706"/>
    <x v="5"/>
    <s v="Purchases - Secondary"/>
    <x v="2"/>
    <x v="4"/>
    <s v="TransAlta Energy Marketing"/>
    <n v="1107783"/>
    <n v="1191.716320391361"/>
    <n v="660081.5402760515"/>
  </r>
  <r>
    <n v="1707"/>
    <x v="5"/>
    <s v="Purchases - Secondary"/>
    <x v="2"/>
    <x v="4"/>
    <s v="TransCanada Energy Sales Ltd"/>
    <n v="8791"/>
    <n v="1191.716320391361"/>
    <n v="5238.1890862802275"/>
  </r>
  <r>
    <n v="1708"/>
    <x v="5"/>
    <s v="Purchases - Secondary"/>
    <x v="2"/>
    <x v="4"/>
    <s v="Turlock Irrigation District"/>
    <n v="52383"/>
    <n v="1191.716320391361"/>
    <n v="31212.838005530331"/>
  </r>
  <r>
    <n v="1709"/>
    <x v="5"/>
    <s v="Purchases - Secondary"/>
    <x v="2"/>
    <x v="4"/>
    <s v="Western Area Power Association"/>
    <n v="20"/>
    <n v="1191.716320391361"/>
    <n v="11.91716320391361"/>
  </r>
  <r>
    <n v="1711"/>
    <x v="5"/>
    <s v="Interchange - In"/>
    <x v="2"/>
    <x v="4"/>
    <s v="Black Creek Hydro"/>
    <n v="11424"/>
    <n v="1191.716320391361"/>
    <n v="6807.0836220754545"/>
  </r>
  <r>
    <n v="1712"/>
    <x v="5"/>
    <s v="Interchange - In"/>
    <x v="2"/>
    <x v="4"/>
    <s v="BPA"/>
    <n v="65580"/>
    <n v="1191.716320391361"/>
    <n v="39076.378145632727"/>
  </r>
  <r>
    <n v="1713"/>
    <x v="5"/>
    <s v="Interchange - In"/>
    <x v="2"/>
    <x v="4"/>
    <s v="Pacific Gas &amp; Elec - Exchange"/>
    <n v="412908"/>
    <n v="1191.716320391361"/>
    <n v="246034.60121007805"/>
  </r>
  <r>
    <n v="1714"/>
    <x v="5"/>
    <s v="Interchange - In"/>
    <x v="2"/>
    <x v="4"/>
    <s v="TransAlta Energy Marketing"/>
    <n v="1533400"/>
    <n v="1191.716320391361"/>
    <n v="913688.90284405649"/>
  </r>
  <r>
    <n v="1716"/>
    <x v="5"/>
    <s v="Interchange - Out"/>
    <x v="2"/>
    <x v="4"/>
    <s v="Black Creek Hydro"/>
    <n v="-10438"/>
    <n v="1191.716320391361"/>
    <n v="-6219.5674761225137"/>
  </r>
  <r>
    <n v="1717"/>
    <x v="5"/>
    <s v="Interchange - Out"/>
    <x v="2"/>
    <x v="4"/>
    <s v="BPA"/>
    <n v="-57475"/>
    <n v="1191.716320391361"/>
    <n v="-34246.947757246737"/>
  </r>
  <r>
    <n v="1718"/>
    <x v="5"/>
    <s v="Interchange - Out"/>
    <x v="2"/>
    <x v="4"/>
    <s v="Deviation"/>
    <n v="20831.312000000002"/>
    <n v="1191.716320391361"/>
    <n v="12412.507242782203"/>
  </r>
  <r>
    <n v="1719"/>
    <x v="5"/>
    <s v="Interchange - Out"/>
    <x v="2"/>
    <x v="4"/>
    <s v="Pacific Gas &amp; Elec - Exchange"/>
    <n v="-413000"/>
    <n v="1191.716320391361"/>
    <n v="-246089.42016081605"/>
  </r>
  <r>
    <n v="1720"/>
    <x v="5"/>
    <s v="Interchange - Out"/>
    <x v="2"/>
    <x v="4"/>
    <s v="TransAlta Energy Marketing"/>
    <n v="-1536249"/>
    <n v="1191.716320391361"/>
    <n v="-915386.50274245394"/>
  </r>
  <r>
    <n v="1775"/>
    <x v="5"/>
    <s v="Sales for Resale"/>
    <x v="2"/>
    <x v="4"/>
    <s v="Avista Corp. WWP Division"/>
    <n v="-27014"/>
    <n v="1191.716320391361"/>
    <n v="-16096.512339526113"/>
  </r>
  <r>
    <n v="1776"/>
    <x v="5"/>
    <s v="Sales for Resale"/>
    <x v="2"/>
    <x v="4"/>
    <s v="Barclays Bank Plc"/>
    <n v="-40109"/>
    <n v="1191.716320391361"/>
    <n v="-23899.274947288552"/>
  </r>
  <r>
    <n v="1777"/>
    <x v="5"/>
    <s v="Sales for Resale"/>
    <x v="2"/>
    <x v="4"/>
    <s v="Black Hills Power"/>
    <n v="-2465"/>
    <n v="1191.716320391361"/>
    <n v="-1468.7903648823526"/>
  </r>
  <r>
    <n v="1778"/>
    <x v="5"/>
    <s v="Sales for Resale"/>
    <x v="2"/>
    <x v="4"/>
    <s v="BNP Paribas Energy Trading"/>
    <n v="-29925"/>
    <n v="1191.716320391361"/>
    <n v="-17831.055443855741"/>
  </r>
  <r>
    <n v="1779"/>
    <x v="5"/>
    <s v="Sales for Resale"/>
    <x v="2"/>
    <x v="4"/>
    <s v="Book Outs - EITF 03-11"/>
    <n v="3847988"/>
    <n v="1191.716320391361"/>
    <n v="2292855.0501350565"/>
  </r>
  <r>
    <n v="1780"/>
    <x v="5"/>
    <s v="Sales for Resale"/>
    <x v="2"/>
    <x v="4"/>
    <s v="BP Energy Co."/>
    <n v="-259544"/>
    <n v="1191.716320391361"/>
    <n v="-154651.41032982769"/>
  </r>
  <r>
    <n v="1781"/>
    <x v="5"/>
    <s v="Sales for Resale"/>
    <x v="2"/>
    <x v="4"/>
    <s v="BPA"/>
    <n v="-159865"/>
    <n v="1191.716320391361"/>
    <n v="-95256.864779682466"/>
  </r>
  <r>
    <n v="1782"/>
    <x v="5"/>
    <s v="Sales for Resale"/>
    <x v="2"/>
    <x v="4"/>
    <s v="British Columbia Transmission Corp"/>
    <n v="-49"/>
    <n v="1191.716320391361"/>
    <n v="-29.197049849588343"/>
  </r>
  <r>
    <n v="1783"/>
    <x v="5"/>
    <s v="Sales for Resale"/>
    <x v="2"/>
    <x v="4"/>
    <s v="Burbank, City of"/>
    <n v="-530"/>
    <n v="1191.716320391361"/>
    <n v="-315.80482490371071"/>
  </r>
  <r>
    <n v="1785"/>
    <x v="5"/>
    <s v="Sales for Resale"/>
    <x v="2"/>
    <x v="4"/>
    <s v="Cargill Power Markets"/>
    <n v="-261663"/>
    <n v="1191.716320391361"/>
    <n v="-155914.03377128235"/>
  </r>
  <r>
    <n v="1786"/>
    <x v="5"/>
    <s v="Sales for Resale"/>
    <x v="2"/>
    <x v="4"/>
    <s v="Chelan County PUD #1"/>
    <n v="-5161"/>
    <n v="1191.716320391361"/>
    <n v="-3075.2239647699071"/>
  </r>
  <r>
    <n v="1787"/>
    <x v="5"/>
    <s v="Sales for Resale"/>
    <x v="2"/>
    <x v="4"/>
    <s v="Citigroup Energy Inc"/>
    <n v="-767741"/>
    <n v="1191.716320391361"/>
    <n v="-457464.73976679193"/>
  </r>
  <r>
    <n v="1788"/>
    <x v="5"/>
    <s v="Sales for Resale"/>
    <x v="2"/>
    <x v="4"/>
    <s v="Clatskanie PUD"/>
    <n v="-10025"/>
    <n v="1191.716320391361"/>
    <n v="-5973.4780559616975"/>
  </r>
  <r>
    <n v="1789"/>
    <x v="5"/>
    <s v="Sales for Resale"/>
    <x v="2"/>
    <x v="4"/>
    <s v="Conoco, Inc."/>
    <n v="-111624"/>
    <n v="1191.716320391361"/>
    <n v="-66512.071273682639"/>
  </r>
  <r>
    <n v="1790"/>
    <x v="5"/>
    <s v="Sales for Resale"/>
    <x v="2"/>
    <x v="4"/>
    <s v="Constellation Power Source, Inc."/>
    <n v="-42662"/>
    <n v="1191.716320391361"/>
    <n v="-25420.500830268124"/>
  </r>
  <r>
    <n v="1791"/>
    <x v="5"/>
    <s v="Sales for Resale"/>
    <x v="2"/>
    <x v="4"/>
    <s v="CP Energy Marketing (Epcor)"/>
    <n v="-54095"/>
    <n v="1191.716320391361"/>
    <n v="-32232.947175785335"/>
  </r>
  <r>
    <n v="1792"/>
    <x v="5"/>
    <s v="Sales for Resale"/>
    <x v="2"/>
    <x v="4"/>
    <s v="DB Energy Trading LLC"/>
    <n v="-150800"/>
    <n v="1191.716320391361"/>
    <n v="-89855.410557508614"/>
  </r>
  <r>
    <n v="1793"/>
    <x v="5"/>
    <s v="Sales for Resale"/>
    <x v="2"/>
    <x v="4"/>
    <s v="Douglas County PUD #1"/>
    <n v="-1065"/>
    <n v="1191.716320391361"/>
    <n v="-634.58894060839964"/>
  </r>
  <r>
    <n v="1794"/>
    <x v="5"/>
    <s v="Sales for Resale"/>
    <x v="2"/>
    <x v="4"/>
    <s v="Eagle Energy Partners"/>
    <n v="-831"/>
    <n v="1191.716320391361"/>
    <n v="-495.15813112261054"/>
  </r>
  <r>
    <n v="1795"/>
    <x v="5"/>
    <s v="Sales for Resale"/>
    <x v="2"/>
    <x v="4"/>
    <s v="EDF Trading NA LLC"/>
    <n v="-58348"/>
    <n v="1191.716320391361"/>
    <n v="-34767.131931097567"/>
  </r>
  <r>
    <n v="1796"/>
    <x v="5"/>
    <s v="Sales for Resale"/>
    <x v="2"/>
    <x v="4"/>
    <s v="Endure Energy LLC"/>
    <n v="-1200"/>
    <n v="1191.716320391361"/>
    <n v="-715.02979223481657"/>
  </r>
  <r>
    <n v="1797"/>
    <x v="5"/>
    <s v="Sales for Resale"/>
    <x v="2"/>
    <x v="4"/>
    <s v="ENMAX Energy Marketing, Inc."/>
    <n v="-1808"/>
    <n v="1191.716320391361"/>
    <n v="-1077.3115536337905"/>
  </r>
  <r>
    <n v="1798"/>
    <x v="5"/>
    <s v="Sales for Resale"/>
    <x v="2"/>
    <x v="4"/>
    <s v="Eugene Water &amp; Electric"/>
    <n v="-14553"/>
    <n v="1191.716320391361"/>
    <n v="-8671.5238053277371"/>
  </r>
  <r>
    <n v="1799"/>
    <x v="5"/>
    <s v="Sales for Resale"/>
    <x v="2"/>
    <x v="4"/>
    <s v="Fortis Energy Marketing &amp; Trading"/>
    <n v="-12000"/>
    <n v="1191.716320391361"/>
    <n v="-7150.2979223481661"/>
  </r>
  <r>
    <n v="1800"/>
    <x v="5"/>
    <s v="Sales for Resale"/>
    <x v="2"/>
    <x v="4"/>
    <s v="Grant County PUD #2"/>
    <n v="-45909"/>
    <n v="1191.716320391361"/>
    <n v="-27355.252276423496"/>
  </r>
  <r>
    <n v="1801"/>
    <x v="5"/>
    <s v="Sales for Resale"/>
    <x v="2"/>
    <x v="4"/>
    <s v="Iberdrola Renewables (PPM Energy)"/>
    <n v="-442218"/>
    <n v="1191.716320391361"/>
    <n v="-263499.20388541342"/>
  </r>
  <r>
    <n v="1802"/>
    <x v="5"/>
    <s v="Sales for Resale"/>
    <x v="2"/>
    <x v="4"/>
    <s v="Idaho Power Company"/>
    <n v="-60759"/>
    <n v="1191.716320391361"/>
    <n v="-36203.745955329352"/>
  </r>
  <r>
    <n v="1803"/>
    <x v="5"/>
    <s v="Sales for Resale"/>
    <x v="2"/>
    <x v="4"/>
    <s v="J. Aron &amp; Company"/>
    <n v="-800"/>
    <n v="1191.716320391361"/>
    <n v="-476.68652815654445"/>
  </r>
  <r>
    <n v="1804"/>
    <x v="5"/>
    <s v="Sales for Resale"/>
    <x v="2"/>
    <x v="4"/>
    <s v="JP Morgan Ventures Energy"/>
    <n v="-92601"/>
    <n v="1191.716320391361"/>
    <n v="-55177.061492280205"/>
  </r>
  <r>
    <n v="1805"/>
    <x v="5"/>
    <s v="Sales for Resale"/>
    <x v="2"/>
    <x v="4"/>
    <s v="Merrill Lynch Commodities"/>
    <n v="-75385"/>
    <n v="1191.716320391361"/>
    <n v="-44918.76740635137"/>
  </r>
  <r>
    <n v="1806"/>
    <x v="5"/>
    <s v="Sales for Resale"/>
    <x v="2"/>
    <x v="4"/>
    <s v="Modesto Irrigation District"/>
    <n v="-10"/>
    <n v="1191.716320391361"/>
    <n v="-5.958581601956805"/>
  </r>
  <r>
    <n v="1807"/>
    <x v="5"/>
    <s v="Sales for Resale"/>
    <x v="2"/>
    <x v="4"/>
    <s v="Morgan Stanley CG"/>
    <n v="-454431"/>
    <n v="1191.716320391361"/>
    <n v="-270776.41959588329"/>
  </r>
  <r>
    <n v="1808"/>
    <x v="5"/>
    <s v="Sales for Resale"/>
    <x v="2"/>
    <x v="4"/>
    <s v="N. California Power Agency"/>
    <n v="-356"/>
    <n v="1191.716320391361"/>
    <n v="-212.12550502966226"/>
  </r>
  <r>
    <n v="1809"/>
    <x v="5"/>
    <s v="Sales for Resale"/>
    <x v="2"/>
    <x v="4"/>
    <s v="Natur Ener USA"/>
    <n v="-2"/>
    <n v="1191.716320391361"/>
    <n v="-1.191716320391361"/>
  </r>
  <r>
    <n v="1810"/>
    <x v="5"/>
    <s v="Sales for Resale"/>
    <x v="2"/>
    <x v="4"/>
    <s v="NextEra Energy Power Marketing"/>
    <n v="-294"/>
    <n v="1191.716320391361"/>
    <n v="-175.18229909753009"/>
  </r>
  <r>
    <n v="1811"/>
    <x v="5"/>
    <s v="Sales for Resale"/>
    <x v="2"/>
    <x v="4"/>
    <s v="NorthPoint Energy Solutions, Inc."/>
    <n v="-10173"/>
    <n v="1191.716320391361"/>
    <n v="-6061.6650636706572"/>
  </r>
  <r>
    <n v="1812"/>
    <x v="5"/>
    <s v="Sales for Resale"/>
    <x v="2"/>
    <x v="4"/>
    <s v="Northwestern Energy"/>
    <n v="-48784"/>
    <n v="1191.716320391361"/>
    <n v="-29068.34448698608"/>
  </r>
  <r>
    <n v="1813"/>
    <x v="5"/>
    <s v="Sales for Resale"/>
    <x v="2"/>
    <x v="4"/>
    <s v="Okanogan PUD"/>
    <n v="-175"/>
    <n v="1191.716320391361"/>
    <n v="-104.27517803424409"/>
  </r>
  <r>
    <n v="1814"/>
    <x v="5"/>
    <s v="Sales for Resale"/>
    <x v="2"/>
    <x v="4"/>
    <s v="Pacific Northwest Generatin Coop."/>
    <n v="-4755"/>
    <n v="1191.716320391361"/>
    <n v="-2833.305551730461"/>
  </r>
  <r>
    <n v="1815"/>
    <x v="5"/>
    <s v="Sales for Resale"/>
    <x v="2"/>
    <x v="4"/>
    <s v="Pacific Summit Energy LLC"/>
    <n v="-111596"/>
    <n v="1191.716320391361"/>
    <n v="-66495.387245197169"/>
  </r>
  <r>
    <n v="1816"/>
    <x v="5"/>
    <s v="Sales for Resale"/>
    <x v="2"/>
    <x v="4"/>
    <s v="Pacificorp"/>
    <n v="-167918"/>
    <n v="1191.716320391361"/>
    <n v="-100055.31054373828"/>
  </r>
  <r>
    <n v="1817"/>
    <x v="5"/>
    <s v="Sales for Resale"/>
    <x v="2"/>
    <x v="4"/>
    <s v="Portland General Electric"/>
    <n v="-68889"/>
    <n v="1191.716320391361"/>
    <n v="-41048.072797720233"/>
  </r>
  <r>
    <n v="1818"/>
    <x v="5"/>
    <s v="Sales for Resale"/>
    <x v="2"/>
    <x v="4"/>
    <s v="Powerex Corp."/>
    <n v="-330673"/>
    <n v="1191.716320391361"/>
    <n v="-197034.20540638626"/>
  </r>
  <r>
    <n v="1819"/>
    <x v="5"/>
    <s v="Sales for Resale"/>
    <x v="2"/>
    <x v="4"/>
    <s v="Public Service of Colorado"/>
    <n v="-4400"/>
    <n v="1191.716320391361"/>
    <n v="-2621.7759048609942"/>
  </r>
  <r>
    <n v="1820"/>
    <x v="5"/>
    <s v="Sales for Resale"/>
    <x v="2"/>
    <x v="4"/>
    <s v="Rainbow Energy Marketing"/>
    <n v="-46883"/>
    <n v="1191.716320391361"/>
    <n v="-27935.618124454089"/>
  </r>
  <r>
    <n v="1821"/>
    <x v="5"/>
    <s v="Sales for Resale"/>
    <x v="2"/>
    <x v="4"/>
    <s v="Redding, City of"/>
    <n v="-463"/>
    <n v="1191.716320391361"/>
    <n v="-275.88232817060003"/>
  </r>
  <r>
    <n v="1822"/>
    <x v="5"/>
    <s v="Sales for Resale"/>
    <x v="2"/>
    <x v="4"/>
    <s v="Sacramento Municipal"/>
    <n v="-4178"/>
    <n v="1191.716320391361"/>
    <n v="-2489.4953932975532"/>
  </r>
  <r>
    <n v="1823"/>
    <x v="5"/>
    <s v="Sales for Resale"/>
    <x v="2"/>
    <x v="4"/>
    <s v="San Diego Gas &amp; Electric"/>
    <n v="-10399"/>
    <n v="1191.716320391361"/>
    <n v="-6196.3290078748814"/>
  </r>
  <r>
    <n v="1824"/>
    <x v="5"/>
    <s v="Sales for Resale"/>
    <x v="2"/>
    <x v="4"/>
    <s v="Seattle City Light Marketing"/>
    <n v="-24056"/>
    <n v="1191.716320391361"/>
    <n v="-14333.963901667292"/>
  </r>
  <r>
    <n v="1825"/>
    <x v="5"/>
    <s v="Sales for Resale"/>
    <x v="2"/>
    <x v="4"/>
    <s v="Sempra Energy Trading"/>
    <n v="-112120"/>
    <n v="1191.716320391361"/>
    <n v="-66807.616921139706"/>
  </r>
  <r>
    <n v="1826"/>
    <x v="5"/>
    <s v="Sales for Resale"/>
    <x v="2"/>
    <x v="4"/>
    <s v="Shell Energy (Coral Pwr)"/>
    <n v="-449454"/>
    <n v="1191.716320391361"/>
    <n v="-267810.83353258937"/>
  </r>
  <r>
    <n v="1827"/>
    <x v="5"/>
    <s v="Sales for Resale"/>
    <x v="2"/>
    <x v="4"/>
    <s v="Sierra Pacific Power"/>
    <n v="-2937"/>
    <n v="1191.716320391361"/>
    <n v="-1750.0354164947137"/>
  </r>
  <r>
    <n v="1828"/>
    <x v="5"/>
    <s v="Sales for Resale"/>
    <x v="2"/>
    <x v="4"/>
    <s v="Snohomish County PUD #1"/>
    <n v="-6352"/>
    <n v="1191.716320391361"/>
    <n v="-3784.8910335629625"/>
  </r>
  <r>
    <n v="1829"/>
    <x v="5"/>
    <s v="Sales for Resale"/>
    <x v="2"/>
    <x v="4"/>
    <s v="Southern Cal - Edison"/>
    <n v="-1236986"/>
    <n v="1191.716320391361"/>
    <n v="-737068.20214781398"/>
  </r>
  <r>
    <n v="1830"/>
    <x v="5"/>
    <s v="Sales for Resale"/>
    <x v="2"/>
    <x v="4"/>
    <s v="Tacoma Power"/>
    <n v="-2132"/>
    <n v="1191.716320391361"/>
    <n v="-1270.3695975371909"/>
  </r>
  <r>
    <n v="1831"/>
    <x v="5"/>
    <s v="Sales for Resale"/>
    <x v="2"/>
    <x v="4"/>
    <s v="Talen Energy (PPL Energy Plus)"/>
    <n v="-176278"/>
    <n v="1191.716320391361"/>
    <n v="-105036.68476297417"/>
  </r>
  <r>
    <n v="1832"/>
    <x v="5"/>
    <s v="Sales for Resale"/>
    <x v="2"/>
    <x v="4"/>
    <s v="The Energy Authority"/>
    <n v="-8119"/>
    <n v="1191.716320391361"/>
    <n v="-4837.7724026287297"/>
  </r>
  <r>
    <n v="1833"/>
    <x v="5"/>
    <s v="Sales for Resale"/>
    <x v="2"/>
    <x v="4"/>
    <s v="TransAlta Energy Marketing"/>
    <n v="-318081"/>
    <n v="1191.716320391361"/>
    <n v="-189531.15945320224"/>
  </r>
  <r>
    <n v="1834"/>
    <x v="5"/>
    <s v="Sales for Resale"/>
    <x v="2"/>
    <x v="4"/>
    <s v="TransCanada Energy Sales Ltd"/>
    <n v="-9650"/>
    <n v="1191.716320391361"/>
    <n v="-5750.0312458883172"/>
  </r>
  <r>
    <n v="1835"/>
    <x v="5"/>
    <s v="Sales for Resale"/>
    <x v="2"/>
    <x v="4"/>
    <s v="Turlock Irrigation District"/>
    <n v="-5147"/>
    <n v="1191.716320391361"/>
    <n v="-3066.8819505271672"/>
  </r>
  <r>
    <n v="1882"/>
    <x v="6"/>
    <s v="Generation - Hydro"/>
    <x v="0"/>
    <x v="0"/>
    <s v="Electron"/>
    <n v="50340.805"/>
    <n v="0"/>
    <n v="0"/>
  </r>
  <r>
    <n v="1883"/>
    <x v="6"/>
    <s v="Generation - Hydro"/>
    <x v="0"/>
    <x v="0"/>
    <s v="Lower Baker"/>
    <n v="332792.353"/>
    <n v="0"/>
    <n v="0"/>
  </r>
  <r>
    <n v="1884"/>
    <x v="6"/>
    <s v="Generation - Hydro"/>
    <x v="0"/>
    <x v="0"/>
    <s v="Snoqualmie Falls #1"/>
    <n v="-290.36"/>
    <n v="0"/>
    <n v="0"/>
  </r>
  <r>
    <n v="1885"/>
    <x v="6"/>
    <s v="Generation - Hydro"/>
    <x v="0"/>
    <x v="0"/>
    <s v="Snoqualmie Falls #2"/>
    <n v="-174.56"/>
    <n v="0"/>
    <n v="0"/>
  </r>
  <r>
    <n v="1887"/>
    <x v="6"/>
    <s v="Generation - Hydro"/>
    <x v="0"/>
    <x v="0"/>
    <s v="Upper Baker"/>
    <n v="301309.36599999998"/>
    <n v="0"/>
    <n v="0"/>
  </r>
  <r>
    <n v="1889"/>
    <x v="6"/>
    <s v="Generation - Steam"/>
    <x v="0"/>
    <x v="1"/>
    <s v="Colstrip 1 &amp; 2"/>
    <n v="1897910"/>
    <n v="2327.0605860279479"/>
    <n v="2208275.7784141512"/>
  </r>
  <r>
    <n v="1890"/>
    <x v="6"/>
    <s v="Generation - Steam"/>
    <x v="0"/>
    <x v="1"/>
    <s v="Colstrip 3 &amp; 4"/>
    <n v="2312673"/>
    <n v="2379.5191963705229"/>
    <n v="2751524.8992139031"/>
  </r>
  <r>
    <n v="1891"/>
    <x v="6"/>
    <s v="Generation - Steam"/>
    <x v="0"/>
    <x v="2"/>
    <s v="Encogen"/>
    <n v="88887.6"/>
    <n v="1094.7936280114202"/>
    <n v="48656.789044613957"/>
  </r>
  <r>
    <n v="1892"/>
    <x v="6"/>
    <s v="Generation - Steam"/>
    <x v="0"/>
    <x v="2"/>
    <s v="Freddie #1"/>
    <n v="135217.96400000001"/>
    <n v="868.10920406721675"/>
    <n v="58691.979551814788"/>
  </r>
  <r>
    <n v="1893"/>
    <x v="6"/>
    <s v="Generation - Steam"/>
    <x v="0"/>
    <x v="2"/>
    <s v="Goldendale"/>
    <n v="609012.73499999999"/>
    <n v="794.73030162961243"/>
    <n v="242000.43729141259"/>
  </r>
  <r>
    <n v="1894"/>
    <x v="6"/>
    <s v="Generation - Steam"/>
    <x v="0"/>
    <x v="2"/>
    <s v="Mint Farm"/>
    <n v="702080.6"/>
    <n v="870.8206822191604"/>
    <n v="305693.15353241871"/>
  </r>
  <r>
    <n v="1895"/>
    <x v="6"/>
    <s v="Generation - Steam"/>
    <x v="0"/>
    <x v="2"/>
    <s v="Sumas"/>
    <n v="178397.424"/>
    <n v="1016.0404659069227"/>
    <n v="90629.500898777405"/>
  </r>
  <r>
    <n v="1898"/>
    <x v="6"/>
    <s v="Generation - Oil/Gas/Wind"/>
    <x v="0"/>
    <x v="3"/>
    <s v="Crystal Mountain"/>
    <n v="273.13"/>
    <n v="1834.7460975699516"/>
    <n v="250.56210081464044"/>
  </r>
  <r>
    <n v="1901"/>
    <x v="6"/>
    <s v="Generation - Oil/Gas/Wind"/>
    <x v="0"/>
    <x v="2"/>
    <s v="Fredonia"/>
    <n v="27939.9"/>
    <n v="1632.4948746619955"/>
    <n v="22805.871774284344"/>
  </r>
  <r>
    <n v="1902"/>
    <x v="6"/>
    <s v="Generation - Oil/Gas/Wind"/>
    <x v="0"/>
    <x v="2"/>
    <s v="Fredonia 3 &amp; 4"/>
    <n v="48850.400000000001"/>
    <n v="1231.573102374178"/>
    <n v="30081.419340109773"/>
  </r>
  <r>
    <n v="1903"/>
    <x v="6"/>
    <s v="Generation - Oil/Gas/Wind"/>
    <x v="0"/>
    <x v="2"/>
    <s v="Fredrickson 1 &amp; 2"/>
    <n v="9975.6"/>
    <n v="12617.057120113494"/>
    <n v="62931.357503702078"/>
  </r>
  <r>
    <n v="1905"/>
    <x v="6"/>
    <s v="Generation - Oil/Gas/Wind"/>
    <x v="0"/>
    <x v="0"/>
    <s v="Hopkins Ridge (W184)"/>
    <n v="433218.60800000001"/>
    <n v="0"/>
    <n v="0"/>
  </r>
  <r>
    <n v="1909"/>
    <x v="6"/>
    <s v="Generation - Oil/Gas/Wind"/>
    <x v="0"/>
    <x v="2"/>
    <s v="Whitehorn 2&amp;3"/>
    <n v="22501"/>
    <n v="1900.7042839872613"/>
    <n v="21383.873546998682"/>
  </r>
  <r>
    <n v="1910"/>
    <x v="6"/>
    <s v="Generation - Oil/Gas/Wind"/>
    <x v="0"/>
    <x v="0"/>
    <s v="Wild Horse (W183)"/>
    <n v="730658.80599999998"/>
    <n v="0"/>
    <n v="0"/>
  </r>
  <r>
    <n v="1912"/>
    <x v="6"/>
    <s v="Purchases - Firm"/>
    <x v="1"/>
    <x v="0"/>
    <s v="3 Bar G Wind Turbine #3 LLC"/>
    <n v="105.014"/>
    <n v="0"/>
    <n v="0"/>
  </r>
  <r>
    <n v="1913"/>
    <x v="6"/>
    <s v="Purchases - Firm"/>
    <x v="1"/>
    <x v="4"/>
    <s v="Barclays Bank Plc"/>
    <n v="109875"/>
    <n v="904.65944483592443"/>
    <n v="49699.728250673601"/>
  </r>
  <r>
    <n v="1914"/>
    <x v="6"/>
    <s v="Purchases - Firm"/>
    <x v="1"/>
    <x v="4"/>
    <s v="BC Hydro (Point Roberts)"/>
    <n v="22073.61"/>
    <n v="904.65944483592443"/>
    <n v="9984.549884062355"/>
  </r>
  <r>
    <n v="1915"/>
    <x v="6"/>
    <s v="Purchases - Firm"/>
    <x v="1"/>
    <x v="0"/>
    <s v="Black Creek Hydro Inc"/>
    <n v="9716.4599999999991"/>
    <n v="0"/>
    <n v="0"/>
  </r>
  <r>
    <n v="1916"/>
    <x v="6"/>
    <s v="Purchases - Firm"/>
    <x v="1"/>
    <x v="7"/>
    <s v="Book Outs - EITF 03-11"/>
    <n v="-509390"/>
    <n v="0"/>
    <n v="0"/>
  </r>
  <r>
    <n v="1917"/>
    <x v="6"/>
    <s v="Purchases - Firm"/>
    <x v="1"/>
    <x v="0"/>
    <s v="BPA"/>
    <n v="7000"/>
    <n v="0"/>
    <n v="0"/>
  </r>
  <r>
    <n v="1918"/>
    <x v="6"/>
    <s v="Purchases - Firm"/>
    <x v="1"/>
    <x v="4"/>
    <s v="BPA Firm - WNP#3 Exchange"/>
    <n v="413808"/>
    <n v="904.65944483592443"/>
    <n v="187177.6577743321"/>
  </r>
  <r>
    <n v="1919"/>
    <x v="6"/>
    <s v="Purchases - Firm"/>
    <x v="1"/>
    <x v="0"/>
    <s v="Chelan PUD - RI &amp; RR"/>
    <n v="129926"/>
    <n v="0"/>
    <n v="0"/>
  </r>
  <r>
    <n v="1921"/>
    <x v="6"/>
    <s v="Purchases - Firm"/>
    <x v="1"/>
    <x v="0"/>
    <s v="Chelan PUD - Rock Island Syst #2"/>
    <n v="1647786"/>
    <n v="0"/>
    <n v="0"/>
  </r>
  <r>
    <n v="1922"/>
    <x v="6"/>
    <s v="Purchases - Firm"/>
    <x v="1"/>
    <x v="0"/>
    <s v="Chelan PUD - Rocky Reach"/>
    <n v="2517798"/>
    <n v="0"/>
    <n v="0"/>
  </r>
  <r>
    <n v="1923"/>
    <x v="6"/>
    <s v="Purchases - Firm"/>
    <x v="1"/>
    <x v="0"/>
    <s v="Douglas PUD - Wells Project"/>
    <n v="1061183"/>
    <n v="0"/>
    <n v="0"/>
  </r>
  <r>
    <n v="1924"/>
    <x v="6"/>
    <s v="Purchases - Firm"/>
    <x v="1"/>
    <x v="0"/>
    <s v="Farm Power Lynden LLC"/>
    <n v="3412.36"/>
    <n v="0"/>
    <n v="0"/>
  </r>
  <r>
    <n v="1925"/>
    <x v="6"/>
    <s v="Purchases - Firm"/>
    <x v="1"/>
    <x v="0"/>
    <s v="Farm Power Rexville LLC"/>
    <n v="4903.5690000000004"/>
    <n v="0"/>
    <n v="0"/>
  </r>
  <r>
    <n v="1926"/>
    <x v="6"/>
    <s v="Purchases - Firm"/>
    <x v="1"/>
    <x v="0"/>
    <s v="Grant PUD - Priest Rapids Project"/>
    <n v="253731"/>
    <n v="0"/>
    <n v="0"/>
  </r>
  <r>
    <n v="1927"/>
    <x v="6"/>
    <s v="Purchases - Firm"/>
    <x v="1"/>
    <x v="0"/>
    <s v="Island Community Solar LLC"/>
    <n v="15.23"/>
    <n v="0"/>
    <n v="0"/>
  </r>
  <r>
    <n v="1928"/>
    <x v="6"/>
    <s v="Purchases - Firm"/>
    <x v="1"/>
    <x v="4"/>
    <s v="JP Morgan Ventures Energy"/>
    <n v="385873"/>
    <n v="904.65944483592443"/>
    <n v="174541.82697858635"/>
  </r>
  <r>
    <n v="1929"/>
    <x v="6"/>
    <s v="Purchases - Firm"/>
    <x v="1"/>
    <x v="0"/>
    <s v="Klondike Wind Power III"/>
    <n v="132950"/>
    <n v="0"/>
    <n v="0"/>
  </r>
  <r>
    <n v="1930"/>
    <x v="6"/>
    <s v="Purchases - Firm"/>
    <x v="1"/>
    <x v="0"/>
    <s v="Knudsen Wind Turbine #1"/>
    <n v="85.938000000000002"/>
    <n v="0"/>
    <n v="0"/>
  </r>
  <r>
    <n v="1931"/>
    <x v="6"/>
    <s v="Purchases - Firm"/>
    <x v="1"/>
    <x v="4"/>
    <s v="Powerex Corp."/>
    <n v="180000"/>
    <n v="904.65944483592443"/>
    <n v="81419.350035233205"/>
  </r>
  <r>
    <n v="1932"/>
    <x v="6"/>
    <s v="Purchases - Firm"/>
    <x v="1"/>
    <x v="0"/>
    <s v="Qualco Energy"/>
    <n v="3315"/>
    <n v="0"/>
    <n v="0"/>
  </r>
  <r>
    <n v="1933"/>
    <x v="6"/>
    <s v="Purchases - Firm"/>
    <x v="1"/>
    <x v="4"/>
    <s v="Sempra Energy Trading"/>
    <n v="161925"/>
    <n v="904.65944483592443"/>
    <n v="73243.490302528531"/>
  </r>
  <r>
    <n v="1934"/>
    <x v="6"/>
    <s v="Purchases - Firm"/>
    <x v="1"/>
    <x v="4"/>
    <s v="Shell Energy (Coral Pwr)"/>
    <n v="437989"/>
    <n v="904.65944483592443"/>
    <n v="198115.44279212086"/>
  </r>
  <r>
    <n v="1935"/>
    <x v="6"/>
    <s v="Purchases - Firm"/>
    <x v="1"/>
    <x v="0"/>
    <s v="Skookumchuck Hydro"/>
    <n v="5017.3999999999996"/>
    <n v="0"/>
    <n v="0"/>
  </r>
  <r>
    <n v="1936"/>
    <x v="6"/>
    <s v="Purchases - Firm"/>
    <x v="1"/>
    <x v="0"/>
    <s v="Smith Creek Hydro"/>
    <n v="169.59399999999999"/>
    <n v="0"/>
    <n v="0"/>
  </r>
  <r>
    <n v="1937"/>
    <x v="6"/>
    <s v="Purchases - Firm"/>
    <x v="1"/>
    <x v="0"/>
    <s v="Van Dyk - S Holsteins"/>
    <n v="749.88199999999995"/>
    <n v="0"/>
    <n v="0"/>
  </r>
  <r>
    <n v="1938"/>
    <x v="6"/>
    <s v="Purchases - Firm"/>
    <x v="1"/>
    <x v="0"/>
    <s v="VanderHaak Dairy Digester"/>
    <n v="3919"/>
    <n v="0"/>
    <n v="0"/>
  </r>
  <r>
    <n v="1939"/>
    <x v="6"/>
    <s v="Purchases - Firm"/>
    <x v="1"/>
    <x v="0"/>
    <s v="WASCO Hydro"/>
    <n v="38437"/>
    <n v="0"/>
    <n v="0"/>
  </r>
  <r>
    <n v="1941"/>
    <x v="6"/>
    <s v="Purchases - PURPA"/>
    <x v="1"/>
    <x v="0"/>
    <s v="Hutchinson Creek"/>
    <n v="1180.2"/>
    <n v="0"/>
    <n v="0"/>
  </r>
  <r>
    <n v="1942"/>
    <x v="6"/>
    <s v="Purchases - PURPA"/>
    <x v="1"/>
    <x v="0"/>
    <s v="Koma Kulshan Associates"/>
    <n v="41094.68"/>
    <n v="0"/>
    <n v="0"/>
  </r>
  <r>
    <n v="1944"/>
    <x v="6"/>
    <s v="Purchases - PURPA"/>
    <x v="1"/>
    <x v="2"/>
    <s v="March Point Cogen. - 1 &amp; 2"/>
    <n v="769775.10599999991"/>
    <n v="712.22460121237009"/>
    <n v="274126.38394702994"/>
  </r>
  <r>
    <n v="1945"/>
    <x v="6"/>
    <s v="Purchases - PURPA"/>
    <x v="1"/>
    <x v="0"/>
    <s v="Nooksack"/>
    <n v="24528.506000000001"/>
    <n v="0"/>
    <n v="0"/>
  </r>
  <r>
    <n v="1946"/>
    <x v="6"/>
    <s v="Purchases - PURPA"/>
    <x v="1"/>
    <x v="5"/>
    <s v="Port Townsend Paper Co."/>
    <n v="2962.03"/>
    <n v="1037.0038632651913"/>
    <n v="1535.8182765536974"/>
  </r>
  <r>
    <n v="1947"/>
    <x v="6"/>
    <s v="Purchases - PURPA"/>
    <x v="1"/>
    <x v="6"/>
    <s v="Spokane MSW"/>
    <n v="143386"/>
    <n v="4486.4813195427632"/>
    <n v="321649.30524197931"/>
  </r>
  <r>
    <n v="1948"/>
    <x v="6"/>
    <s v="Purchases - PURPA"/>
    <x v="1"/>
    <x v="0"/>
    <s v="Sygitowicz Creek"/>
    <n v="1153.68"/>
    <n v="0"/>
    <n v="0"/>
  </r>
  <r>
    <n v="1949"/>
    <x v="6"/>
    <s v="Purchases - PURPA"/>
    <x v="1"/>
    <x v="2"/>
    <s v="Tenaska"/>
    <n v="81307.08"/>
    <n v="775.68707973541314"/>
    <n v="31534.425723506807"/>
  </r>
  <r>
    <n v="1950"/>
    <x v="6"/>
    <s v="Purchases - PURPA"/>
    <x v="1"/>
    <x v="0"/>
    <s v="Twin Falls Hydro"/>
    <n v="90259.6"/>
    <n v="0"/>
    <n v="0"/>
  </r>
  <r>
    <n v="1951"/>
    <x v="6"/>
    <s v="Purchases - PURPA"/>
    <x v="1"/>
    <x v="0"/>
    <s v="Weeks Falls"/>
    <n v="15834"/>
    <n v="0"/>
    <n v="0"/>
  </r>
  <r>
    <n v="1953"/>
    <x v="6"/>
    <s v="Purchases - Secondary"/>
    <x v="2"/>
    <x v="4"/>
    <s v="Avista Corp. WWP Division"/>
    <n v="117376.28"/>
    <n v="904.65944483592443"/>
    <n v="53092.78015085301"/>
  </r>
  <r>
    <n v="1955"/>
    <x v="6"/>
    <s v="Purchases - Secondary"/>
    <x v="2"/>
    <x v="4"/>
    <s v="Barclays Bank Plc"/>
    <n v="27750"/>
    <n v="904.65944483592443"/>
    <n v="12552.149797098453"/>
  </r>
  <r>
    <n v="1956"/>
    <x v="6"/>
    <s v="Purchases - Secondary"/>
    <x v="2"/>
    <x v="4"/>
    <s v="Black Hills Power"/>
    <n v="3515"/>
    <n v="904.65944483592443"/>
    <n v="1589.9389742991373"/>
  </r>
  <r>
    <n v="1957"/>
    <x v="6"/>
    <s v="Purchases - Secondary"/>
    <x v="2"/>
    <x v="4"/>
    <s v="BNP Paribas Energy Trading"/>
    <n v="119000"/>
    <n v="904.65944483592443"/>
    <n v="53827.236967737503"/>
  </r>
  <r>
    <n v="1958"/>
    <x v="6"/>
    <s v="Purchases - Secondary"/>
    <x v="2"/>
    <x v="4"/>
    <s v="Book Outs - EITF 03-11"/>
    <n v="-3113284"/>
    <n v="904.65944483592443"/>
    <n v="-1408230.8875282831"/>
  </r>
  <r>
    <n v="1959"/>
    <x v="6"/>
    <s v="Purchases - Secondary"/>
    <x v="2"/>
    <x v="4"/>
    <s v="BP Energy Co."/>
    <n v="345552"/>
    <n v="904.65944483592443"/>
    <n v="156303.44024097169"/>
  </r>
  <r>
    <n v="1960"/>
    <x v="6"/>
    <s v="Purchases - Secondary"/>
    <x v="2"/>
    <x v="4"/>
    <s v="BPA"/>
    <n v="382105"/>
    <n v="904.65944483592443"/>
    <n v="172837.44858451546"/>
  </r>
  <r>
    <n v="1961"/>
    <x v="6"/>
    <s v="Purchases - Secondary"/>
    <x v="2"/>
    <x v="4"/>
    <s v="British Columbia Transmission Corp"/>
    <n v="9"/>
    <n v="904.65944483592443"/>
    <n v="4.0709675017616602"/>
  </r>
  <r>
    <n v="1963"/>
    <x v="6"/>
    <s v="Purchases - Secondary"/>
    <x v="2"/>
    <x v="4"/>
    <s v="Burbank, City of"/>
    <n v="2000"/>
    <n v="904.65944483592443"/>
    <n v="904.65944483592443"/>
  </r>
  <r>
    <n v="1964"/>
    <x v="6"/>
    <s v="Purchases - Secondary"/>
    <x v="2"/>
    <x v="4"/>
    <s v="Cargill Power Markets"/>
    <n v="318865"/>
    <n v="904.65944483592443"/>
    <n v="144232.11693880352"/>
  </r>
  <r>
    <n v="1965"/>
    <x v="6"/>
    <s v="Purchases - Secondary"/>
    <x v="2"/>
    <x v="4"/>
    <s v="Chelan County PUD #1"/>
    <n v="8620"/>
    <n v="904.65944483592443"/>
    <n v="3899.0822072428346"/>
  </r>
  <r>
    <n v="1967"/>
    <x v="6"/>
    <s v="Purchases - Secondary"/>
    <x v="2"/>
    <x v="4"/>
    <s v="Citigroup Energy Inc"/>
    <n v="1028188"/>
    <n v="904.65944483592443"/>
    <n v="465079.99263347971"/>
  </r>
  <r>
    <n v="1968"/>
    <x v="6"/>
    <s v="Purchases - Secondary"/>
    <x v="2"/>
    <x v="4"/>
    <s v="Clark Public Utilities"/>
    <n v="8570"/>
    <n v="904.65944483592443"/>
    <n v="3876.465721121936"/>
  </r>
  <r>
    <n v="1969"/>
    <x v="6"/>
    <s v="Purchases - Secondary"/>
    <x v="2"/>
    <x v="4"/>
    <s v="Clatskanie PUD"/>
    <n v="15878"/>
    <n v="904.65944483592443"/>
    <n v="7182.0913325524043"/>
  </r>
  <r>
    <n v="1971"/>
    <x v="6"/>
    <s v="Purchases - Secondary"/>
    <x v="2"/>
    <x v="4"/>
    <s v="Constellation Power Source, Inc."/>
    <n v="298689"/>
    <n v="904.65944483592443"/>
    <n v="135105.91245929874"/>
  </r>
  <r>
    <n v="1972"/>
    <x v="6"/>
    <s v="Purchases - Secondary"/>
    <x v="2"/>
    <x v="4"/>
    <s v="CP Energy Marketing (Epcor)"/>
    <n v="5848"/>
    <n v="904.65944483592443"/>
    <n v="2645.2242167002428"/>
  </r>
  <r>
    <n v="1973"/>
    <x v="6"/>
    <s v="Purchases - Secondary"/>
    <x v="2"/>
    <x v="4"/>
    <s v="DB Energy Trading LLC"/>
    <n v="197398"/>
    <n v="904.65944483592443"/>
    <n v="89288.982545860898"/>
  </r>
  <r>
    <n v="1975"/>
    <x v="6"/>
    <s v="Purchases - Secondary"/>
    <x v="2"/>
    <x v="4"/>
    <s v="Douglas County PUD #1"/>
    <n v="277494"/>
    <n v="904.65944483592443"/>
    <n v="125518.78399265"/>
  </r>
  <r>
    <n v="1977"/>
    <x v="6"/>
    <s v="Purchases - Secondary"/>
    <x v="2"/>
    <x v="4"/>
    <s v="EDF Trading NA LLC"/>
    <n v="585729"/>
    <n v="904.65944483592443"/>
    <n v="264942.63598215056"/>
  </r>
  <r>
    <n v="1978"/>
    <x v="6"/>
    <s v="Purchases - Secondary"/>
    <x v="2"/>
    <x v="4"/>
    <s v="Eugene Water &amp; Electric"/>
    <n v="63900"/>
    <n v="904.65944483592443"/>
    <n v="28903.869262507786"/>
  </r>
  <r>
    <n v="1979"/>
    <x v="6"/>
    <s v="Purchases - Secondary"/>
    <x v="2"/>
    <x v="4"/>
    <s v="Exelon Generation Co LLC"/>
    <n v="10000"/>
    <n v="904.65944483592443"/>
    <n v="4523.2972241796215"/>
  </r>
  <r>
    <n v="1980"/>
    <x v="6"/>
    <s v="Purchases - Secondary"/>
    <x v="2"/>
    <x v="4"/>
    <s v="Grant County PUD #2"/>
    <n v="57335"/>
    <n v="904.65944483592443"/>
    <n v="25934.324634833865"/>
  </r>
  <r>
    <n v="1981"/>
    <x v="6"/>
    <s v="Purchases - Secondary"/>
    <x v="2"/>
    <x v="4"/>
    <s v="Hinson Power Company"/>
    <n v="20800"/>
    <n v="904.65944483592443"/>
    <n v="9408.4582262936146"/>
  </r>
  <r>
    <n v="1982"/>
    <x v="6"/>
    <s v="Purchases - Secondary"/>
    <x v="2"/>
    <x v="4"/>
    <s v="Iberdrola Renewables (PPM Energy)"/>
    <n v="587403"/>
    <n v="904.65944483592443"/>
    <n v="265699.83593747829"/>
  </r>
  <r>
    <n v="1983"/>
    <x v="6"/>
    <s v="Purchases - Secondary"/>
    <x v="2"/>
    <x v="4"/>
    <s v="Idaho Power Company"/>
    <n v="73320"/>
    <n v="904.65944483592443"/>
    <n v="33164.815247684986"/>
  </r>
  <r>
    <n v="1984"/>
    <x v="6"/>
    <s v="Purchases - Secondary"/>
    <x v="2"/>
    <x v="4"/>
    <s v="J. Aron &amp; Company"/>
    <n v="400"/>
    <n v="904.65944483592443"/>
    <n v="180.93188896718488"/>
  </r>
  <r>
    <n v="1987"/>
    <x v="6"/>
    <s v="Purchases - Secondary"/>
    <x v="2"/>
    <x v="4"/>
    <s v="JP Morgan Ventures Energy"/>
    <n v="1148676"/>
    <n v="904.65944483592443"/>
    <n v="519580.29622817517"/>
  </r>
  <r>
    <n v="1990"/>
    <x v="6"/>
    <s v="Purchases - Secondary"/>
    <x v="2"/>
    <x v="4"/>
    <s v="Merrill Lynch Commodities"/>
    <n v="350800"/>
    <n v="904.65944483592443"/>
    <n v="158677.26662422114"/>
  </r>
  <r>
    <n v="1991"/>
    <x v="6"/>
    <s v="Purchases - Secondary"/>
    <x v="2"/>
    <x v="4"/>
    <s v="Morgan Stanley CG"/>
    <n v="1335550"/>
    <n v="904.65944483592443"/>
    <n v="604108.96077530948"/>
  </r>
  <r>
    <n v="1993"/>
    <x v="6"/>
    <s v="Purchases - Secondary"/>
    <x v="2"/>
    <x v="4"/>
    <s v="NextEra Energy Power Marketing"/>
    <n v="30168"/>
    <n v="904.65944483592443"/>
    <n v="13645.883065905085"/>
  </r>
  <r>
    <n v="1994"/>
    <x v="6"/>
    <s v="Purchases - Secondary"/>
    <x v="2"/>
    <x v="4"/>
    <s v="Noble Americas Energy Solutions"/>
    <n v="10800"/>
    <n v="904.65944483592443"/>
    <n v="4885.1610021139923"/>
  </r>
  <r>
    <n v="1995"/>
    <x v="6"/>
    <s v="Purchases - Secondary"/>
    <x v="2"/>
    <x v="4"/>
    <s v="Noble Americas Gas &amp; Power"/>
    <n v="3200"/>
    <n v="904.65944483592443"/>
    <n v="1447.455111737479"/>
  </r>
  <r>
    <n v="1997"/>
    <x v="6"/>
    <s v="Purchases - Secondary"/>
    <x v="2"/>
    <x v="4"/>
    <s v="NorthPoint Energy Solutions, Inc."/>
    <n v="430"/>
    <n v="904.65944483592443"/>
    <n v="194.50178063972376"/>
  </r>
  <r>
    <n v="1998"/>
    <x v="6"/>
    <s v="Purchases - Secondary"/>
    <x v="2"/>
    <x v="4"/>
    <s v="Northwestern Energy"/>
    <n v="6224"/>
    <n v="904.65944483592443"/>
    <n v="2815.3001923293969"/>
  </r>
  <r>
    <n v="1999"/>
    <x v="6"/>
    <s v="Purchases - Secondary"/>
    <x v="2"/>
    <x v="4"/>
    <s v="Okanogan PUD"/>
    <n v="4945"/>
    <n v="904.65944483592443"/>
    <n v="2236.770477356823"/>
  </r>
  <r>
    <n v="2000"/>
    <x v="6"/>
    <s v="Purchases - Secondary"/>
    <x v="2"/>
    <x v="4"/>
    <s v="Pacific Northwest Generatin Coop."/>
    <n v="337472"/>
    <n v="904.65944483592443"/>
    <n v="152648.61608383455"/>
  </r>
  <r>
    <n v="2001"/>
    <x v="6"/>
    <s v="Purchases - Secondary"/>
    <x v="2"/>
    <x v="4"/>
    <s v="Pacific Summit Energy LLC"/>
    <n v="1952"/>
    <n v="904.65944483592443"/>
    <n v="882.94761815986226"/>
  </r>
  <r>
    <n v="2002"/>
    <x v="6"/>
    <s v="Purchases - Secondary"/>
    <x v="2"/>
    <x v="4"/>
    <s v="Pacificorp"/>
    <n v="78506"/>
    <n v="904.65944483592443"/>
    <n v="35510.597188144544"/>
  </r>
  <r>
    <n v="2003"/>
    <x v="6"/>
    <s v="Purchases - Secondary"/>
    <x v="2"/>
    <x v="4"/>
    <s v="PG&amp;E Energy Trading"/>
    <n v="104400"/>
    <n v="904.65944483592443"/>
    <n v="47223.22302043526"/>
  </r>
  <r>
    <n v="2004"/>
    <x v="6"/>
    <s v="Purchases - Secondary"/>
    <x v="2"/>
    <x v="4"/>
    <s v="Portland General Electric"/>
    <n v="41895"/>
    <n v="904.65944483592443"/>
    <n v="18950.353720700528"/>
  </r>
  <r>
    <n v="2005"/>
    <x v="6"/>
    <s v="Purchases - Secondary"/>
    <x v="2"/>
    <x v="4"/>
    <s v="Powerex Corp."/>
    <n v="168076"/>
    <n v="904.65944483592443"/>
    <n v="76025.770425121416"/>
  </r>
  <r>
    <n v="2006"/>
    <x v="6"/>
    <s v="Purchases - Secondary"/>
    <x v="2"/>
    <x v="4"/>
    <s v="Public Service of Colorado"/>
    <n v="800"/>
    <n v="904.65944483592443"/>
    <n v="361.86377793436975"/>
  </r>
  <r>
    <n v="2007"/>
    <x v="6"/>
    <s v="Purchases - Secondary"/>
    <x v="2"/>
    <x v="4"/>
    <s v="Rainbow Energy Marketing"/>
    <n v="48216"/>
    <n v="904.65944483592443"/>
    <n v="21809.529896104465"/>
  </r>
  <r>
    <n v="2009"/>
    <x v="6"/>
    <s v="Purchases - Secondary"/>
    <x v="2"/>
    <x v="4"/>
    <s v="Sacramento Municipal"/>
    <n v="5763"/>
    <n v="904.65944483592443"/>
    <n v="2606.7761902947159"/>
  </r>
  <r>
    <n v="2010"/>
    <x v="6"/>
    <s v="Purchases - Secondary"/>
    <x v="2"/>
    <x v="4"/>
    <s v="San Diego Gas &amp; Electric"/>
    <n v="556"/>
    <n v="904.65944483592443"/>
    <n v="251.495325664387"/>
  </r>
  <r>
    <n v="2011"/>
    <x v="6"/>
    <s v="Purchases - Secondary"/>
    <x v="2"/>
    <x v="4"/>
    <s v="Seattle City Light Marketing"/>
    <n v="251794"/>
    <n v="904.65944483592443"/>
    <n v="113893.91012650839"/>
  </r>
  <r>
    <n v="2012"/>
    <x v="6"/>
    <s v="Purchases - Secondary"/>
    <x v="2"/>
    <x v="4"/>
    <s v="Sempra Energy Trading"/>
    <n v="77538"/>
    <n v="904.65944483592443"/>
    <n v="35072.742016843949"/>
  </r>
  <r>
    <n v="2013"/>
    <x v="6"/>
    <s v="Purchases - Secondary"/>
    <x v="2"/>
    <x v="4"/>
    <s v="Shell Energy (Coral Pwr)"/>
    <n v="484678"/>
    <n v="904.65944483592443"/>
    <n v="219234.26520209308"/>
  </r>
  <r>
    <n v="2015"/>
    <x v="6"/>
    <s v="Purchases - Secondary"/>
    <x v="2"/>
    <x v="4"/>
    <s v="Sierra Pacific Power"/>
    <n v="125"/>
    <n v="904.65944483592443"/>
    <n v="56.541215302245277"/>
  </r>
  <r>
    <n v="2016"/>
    <x v="6"/>
    <s v="Purchases - Secondary"/>
    <x v="2"/>
    <x v="4"/>
    <s v="Snohomish County PUD #1"/>
    <n v="43003"/>
    <n v="904.65944483592443"/>
    <n v="19451.535053139633"/>
  </r>
  <r>
    <n v="2017"/>
    <x v="6"/>
    <s v="Purchases - Secondary"/>
    <x v="2"/>
    <x v="4"/>
    <s v="Southern Cal - Edison"/>
    <n v="14057"/>
    <n v="904.65944483592443"/>
    <n v="6358.3989080292949"/>
  </r>
  <r>
    <n v="2018"/>
    <x v="6"/>
    <s v="Purchases - Secondary"/>
    <x v="2"/>
    <x v="4"/>
    <s v="Tacoma Power"/>
    <n v="108837"/>
    <n v="904.65944483592443"/>
    <n v="49230.209998803759"/>
  </r>
  <r>
    <n v="2019"/>
    <x v="6"/>
    <s v="Purchases - Secondary"/>
    <x v="2"/>
    <x v="4"/>
    <s v="Talen Energy (PPL Energy Plus)"/>
    <n v="122522"/>
    <n v="904.65944483592443"/>
    <n v="55420.342250093563"/>
  </r>
  <r>
    <n v="2020"/>
    <x v="6"/>
    <s v="Purchases - Secondary"/>
    <x v="2"/>
    <x v="4"/>
    <s v="Tenaska"/>
    <n v="202"/>
    <n v="904.65944483592443"/>
    <n v="91.370603928428366"/>
  </r>
  <r>
    <n v="2021"/>
    <x v="6"/>
    <s v="Purchases - Secondary"/>
    <x v="2"/>
    <x v="4"/>
    <s v="Tenaska Power Services Co."/>
    <n v="400"/>
    <n v="904.65944483592443"/>
    <n v="180.93188896718488"/>
  </r>
  <r>
    <n v="2022"/>
    <x v="6"/>
    <s v="Purchases - Secondary"/>
    <x v="2"/>
    <x v="4"/>
    <s v="The Energy Authority"/>
    <n v="55496"/>
    <n v="904.65944483592443"/>
    <n v="25102.490275307231"/>
  </r>
  <r>
    <n v="2023"/>
    <x v="6"/>
    <s v="Purchases - Secondary"/>
    <x v="2"/>
    <x v="4"/>
    <s v="TransAlta Energy Marketing"/>
    <n v="2238117"/>
    <n v="904.65944483592443"/>
    <n v="1012366.8413489223"/>
  </r>
  <r>
    <n v="2024"/>
    <x v="6"/>
    <s v="Purchases - Secondary"/>
    <x v="2"/>
    <x v="4"/>
    <s v="Turlock Irrigation District"/>
    <n v="37399"/>
    <n v="904.65944483592443"/>
    <n v="16916.679288709369"/>
  </r>
  <r>
    <n v="2025"/>
    <x v="6"/>
    <s v="Purchases - Secondary"/>
    <x v="2"/>
    <x v="4"/>
    <s v="Western Area Power Association"/>
    <n v="1669"/>
    <n v="904.65944483592443"/>
    <n v="754.93830671557885"/>
  </r>
  <r>
    <n v="2027"/>
    <x v="6"/>
    <s v="Interchange - In"/>
    <x v="2"/>
    <x v="4"/>
    <s v="Black Creek Hydro"/>
    <n v="3049"/>
    <n v="904.65944483592443"/>
    <n v="1379.1533236523669"/>
  </r>
  <r>
    <n v="2028"/>
    <x v="6"/>
    <s v="Interchange - In"/>
    <x v="2"/>
    <x v="4"/>
    <s v="BPA"/>
    <n v="45405"/>
    <n v="904.65944483592443"/>
    <n v="20538.031046387576"/>
  </r>
  <r>
    <n v="2029"/>
    <x v="6"/>
    <s v="Interchange - In"/>
    <x v="2"/>
    <x v="4"/>
    <s v="Pacific Gas &amp; Elec - Exchange"/>
    <n v="413092"/>
    <n v="904.65944483592443"/>
    <n v="186853.78969308085"/>
  </r>
  <r>
    <n v="2031"/>
    <x v="6"/>
    <s v="Interchange - Out"/>
    <x v="2"/>
    <x v="4"/>
    <s v="Black Creek Hydro"/>
    <n v="-6556"/>
    <n v="904.65944483592443"/>
    <n v="-2965.4736601721602"/>
  </r>
  <r>
    <n v="2032"/>
    <x v="6"/>
    <s v="Interchange - Out"/>
    <x v="2"/>
    <x v="4"/>
    <s v="BPA"/>
    <n v="-46691"/>
    <n v="904.65944483592443"/>
    <n v="-21119.727069417073"/>
  </r>
  <r>
    <n v="2033"/>
    <x v="6"/>
    <s v="Interchange - Out"/>
    <x v="2"/>
    <x v="4"/>
    <s v="Deviation"/>
    <n v="34040.392"/>
    <n v="904.65944483592443"/>
    <n v="15397.481064358622"/>
  </r>
  <r>
    <n v="2034"/>
    <x v="6"/>
    <s v="Interchange - Out"/>
    <x v="2"/>
    <x v="4"/>
    <s v="Pacific Gas &amp; Elec - Exchange"/>
    <n v="-413000"/>
    <n v="904.65944483592443"/>
    <n v="-186812.17535861841"/>
  </r>
  <r>
    <n v="2091"/>
    <x v="6"/>
    <s v="Sales for Resale"/>
    <x v="2"/>
    <x v="4"/>
    <s v="Avista Corp. WWP Division"/>
    <n v="-30733"/>
    <n v="904.65944483592443"/>
    <n v="-13901.449359071232"/>
  </r>
  <r>
    <n v="2092"/>
    <x v="6"/>
    <s v="Sales for Resale"/>
    <x v="2"/>
    <x v="4"/>
    <s v="Barclays Bank Plc"/>
    <n v="-29465"/>
    <n v="904.65944483592443"/>
    <n v="-13327.895271045256"/>
  </r>
  <r>
    <n v="2093"/>
    <x v="6"/>
    <s v="Sales for Resale"/>
    <x v="2"/>
    <x v="4"/>
    <s v="Black Hills Power"/>
    <n v="-2654"/>
    <n v="904.65944483592443"/>
    <n v="-1200.4830832972718"/>
  </r>
  <r>
    <n v="2094"/>
    <x v="6"/>
    <s v="Sales for Resale"/>
    <x v="2"/>
    <x v="4"/>
    <s v="BNP Paribas Energy Trading"/>
    <n v="-20616"/>
    <n v="904.65944483592443"/>
    <n v="-9325.2295573687079"/>
  </r>
  <r>
    <n v="2095"/>
    <x v="6"/>
    <s v="Sales for Resale"/>
    <x v="2"/>
    <x v="4"/>
    <s v="Book Outs - EITF 03-11"/>
    <n v="3622674"/>
    <n v="904.65944483592443"/>
    <n v="1638643.1248307689"/>
  </r>
  <r>
    <n v="2096"/>
    <x v="6"/>
    <s v="Sales for Resale"/>
    <x v="2"/>
    <x v="4"/>
    <s v="BP Energy Co."/>
    <n v="-148410"/>
    <n v="904.65944483592443"/>
    <n v="-67130.254104049774"/>
  </r>
  <r>
    <n v="2097"/>
    <x v="6"/>
    <s v="Sales for Resale"/>
    <x v="2"/>
    <x v="4"/>
    <s v="BPA"/>
    <n v="-84760"/>
    <n v="904.65944483592443"/>
    <n v="-38339.467272146481"/>
  </r>
  <r>
    <n v="2098"/>
    <x v="6"/>
    <s v="Sales for Resale"/>
    <x v="2"/>
    <x v="4"/>
    <s v="British Columbia Transmission Corp"/>
    <n v="-1"/>
    <n v="904.65944483592443"/>
    <n v="-0.45232972241796221"/>
  </r>
  <r>
    <n v="2099"/>
    <x v="6"/>
    <s v="Sales for Resale"/>
    <x v="2"/>
    <x v="4"/>
    <s v="Burbank, City of"/>
    <n v="-800"/>
    <n v="904.65944483592443"/>
    <n v="-361.86377793436975"/>
  </r>
  <r>
    <n v="2100"/>
    <x v="6"/>
    <s v="Sales for Resale"/>
    <x v="2"/>
    <x v="4"/>
    <s v="Cargill Power Markets"/>
    <n v="-141861"/>
    <n v="904.65944483592443"/>
    <n v="-64167.946751934534"/>
  </r>
  <r>
    <n v="2101"/>
    <x v="6"/>
    <s v="Sales for Resale"/>
    <x v="2"/>
    <x v="4"/>
    <s v="Chelan County PUD #1"/>
    <n v="-1600"/>
    <n v="904.65944483592443"/>
    <n v="-723.7275558687395"/>
  </r>
  <r>
    <n v="2102"/>
    <x v="6"/>
    <s v="Sales for Resale"/>
    <x v="2"/>
    <x v="4"/>
    <s v="Citigroup Energy Inc"/>
    <n v="-167241"/>
    <n v="904.65944483592443"/>
    <n v="-75648.075106902426"/>
  </r>
  <r>
    <n v="2103"/>
    <x v="6"/>
    <s v="Sales for Resale"/>
    <x v="2"/>
    <x v="4"/>
    <s v="Clark Public Utilities"/>
    <n v="-6320"/>
    <n v="904.65944483592443"/>
    <n v="-2858.7238456815212"/>
  </r>
  <r>
    <n v="2104"/>
    <x v="6"/>
    <s v="Sales for Resale"/>
    <x v="2"/>
    <x v="4"/>
    <s v="Clatskanie PUD"/>
    <n v="-8952"/>
    <n v="904.65944483592443"/>
    <n v="-4049.2556750855979"/>
  </r>
  <r>
    <n v="2105"/>
    <x v="6"/>
    <s v="Sales for Resale"/>
    <x v="2"/>
    <x v="4"/>
    <s v="Conoco, Inc."/>
    <n v="-40"/>
    <n v="904.65944483592443"/>
    <n v="-18.093188896718491"/>
  </r>
  <r>
    <n v="2106"/>
    <x v="6"/>
    <s v="Sales for Resale"/>
    <x v="2"/>
    <x v="4"/>
    <s v="Constellation Power Source, Inc."/>
    <n v="-50578"/>
    <n v="904.65944483592443"/>
    <n v="-22877.932700455691"/>
  </r>
  <r>
    <n v="2107"/>
    <x v="6"/>
    <s v="Sales for Resale"/>
    <x v="2"/>
    <x v="4"/>
    <s v="CP Energy Marketing (Epcor)"/>
    <n v="-9659"/>
    <n v="904.65944483592443"/>
    <n v="-4369.0527888350971"/>
  </r>
  <r>
    <n v="2108"/>
    <x v="6"/>
    <s v="Sales for Resale"/>
    <x v="2"/>
    <x v="4"/>
    <s v="DB Energy Trading LLC"/>
    <n v="-73077"/>
    <n v="904.65944483592443"/>
    <n v="-33054.899125137425"/>
  </r>
  <r>
    <n v="2109"/>
    <x v="6"/>
    <s v="Sales for Resale"/>
    <x v="2"/>
    <x v="4"/>
    <s v="Douglas County PUD #1"/>
    <n v="-1531"/>
    <n v="904.65944483592443"/>
    <n v="-692.51680502190015"/>
  </r>
  <r>
    <n v="2110"/>
    <x v="6"/>
    <s v="Sales for Resale"/>
    <x v="2"/>
    <x v="4"/>
    <s v="EDF Trading NA LLC"/>
    <n v="-95429"/>
    <n v="904.65944483592443"/>
    <n v="-43165.373080623714"/>
  </r>
  <r>
    <n v="2111"/>
    <x v="6"/>
    <s v="Sales for Resale"/>
    <x v="2"/>
    <x v="4"/>
    <s v="ENMAX Energy Marketing, Inc."/>
    <n v="567"/>
    <n v="904.65944483592443"/>
    <n v="256.47095261098457"/>
  </r>
  <r>
    <n v="2112"/>
    <x v="6"/>
    <s v="Sales for Resale"/>
    <x v="2"/>
    <x v="4"/>
    <s v="Eugene Water &amp; Electric"/>
    <n v="-33425"/>
    <n v="904.65944483592443"/>
    <n v="-15119.120971820388"/>
  </r>
  <r>
    <n v="2113"/>
    <x v="6"/>
    <s v="Sales for Resale"/>
    <x v="2"/>
    <x v="4"/>
    <s v="Exelon Generation Co LLC"/>
    <n v="-15200"/>
    <n v="904.65944483592443"/>
    <n v="-6875.4117807530256"/>
  </r>
  <r>
    <n v="2114"/>
    <x v="6"/>
    <s v="Sales for Resale"/>
    <x v="2"/>
    <x v="4"/>
    <s v="Grant County PUD #2"/>
    <n v="-27856"/>
    <n v="904.65944483592443"/>
    <n v="-12600.096747674756"/>
  </r>
  <r>
    <n v="2115"/>
    <x v="6"/>
    <s v="Sales for Resale"/>
    <x v="2"/>
    <x v="4"/>
    <s v="Iberdrola Renewables (PPM Energy)"/>
    <n v="-428020"/>
    <n v="904.65944483592443"/>
    <n v="-193606.16778933618"/>
  </r>
  <r>
    <n v="2116"/>
    <x v="6"/>
    <s v="Sales for Resale"/>
    <x v="2"/>
    <x v="4"/>
    <s v="Idaho Power Company"/>
    <n v="-24625"/>
    <n v="904.65944483592443"/>
    <n v="-11138.61941454232"/>
  </r>
  <r>
    <n v="2117"/>
    <x v="6"/>
    <s v="Sales for Resale"/>
    <x v="2"/>
    <x v="4"/>
    <s v="J. Aron &amp; Company"/>
    <n v="-21600"/>
    <n v="904.65944483592443"/>
    <n v="-9770.3220042279845"/>
  </r>
  <r>
    <n v="2118"/>
    <x v="6"/>
    <s v="Sales for Resale"/>
    <x v="2"/>
    <x v="4"/>
    <s v="JP Morgan Ventures Energy"/>
    <n v="-47261"/>
    <n v="904.65944483592443"/>
    <n v="-21377.555011195313"/>
  </r>
  <r>
    <n v="2119"/>
    <x v="6"/>
    <s v="Sales for Resale"/>
    <x v="2"/>
    <x v="4"/>
    <s v="Los Angeles Dept. Water &amp; Power"/>
    <n v="-1150"/>
    <n v="904.65944483592443"/>
    <n v="-520.17918078065657"/>
  </r>
  <r>
    <n v="2120"/>
    <x v="6"/>
    <s v="Sales for Resale"/>
    <x v="2"/>
    <x v="4"/>
    <s v="Merrill Lynch Commodities"/>
    <n v="-18800"/>
    <n v="904.65944483592443"/>
    <n v="-8503.79878145769"/>
  </r>
  <r>
    <n v="2121"/>
    <x v="6"/>
    <s v="Sales for Resale"/>
    <x v="2"/>
    <x v="4"/>
    <s v="Morgan Stanley CG"/>
    <n v="-586129"/>
    <n v="904.65944483592443"/>
    <n v="-265123.56787111779"/>
  </r>
  <r>
    <n v="2122"/>
    <x v="6"/>
    <s v="Sales for Resale"/>
    <x v="2"/>
    <x v="4"/>
    <s v="N. California Power Agency"/>
    <n v="-482"/>
    <n v="904.65944483592443"/>
    <n v="-218.02292620545779"/>
  </r>
  <r>
    <n v="2123"/>
    <x v="6"/>
    <s v="Sales for Resale"/>
    <x v="2"/>
    <x v="4"/>
    <s v="Natur Ener USA"/>
    <n v="-30"/>
    <n v="904.65944483592443"/>
    <n v="-13.569891672538866"/>
  </r>
  <r>
    <n v="2124"/>
    <x v="6"/>
    <s v="Sales for Resale"/>
    <x v="2"/>
    <x v="4"/>
    <s v="NextEra Energy Power Marketing"/>
    <n v="-9250"/>
    <n v="904.65944483592443"/>
    <n v="-4184.0499323661506"/>
  </r>
  <r>
    <n v="2125"/>
    <x v="6"/>
    <s v="Sales for Resale"/>
    <x v="2"/>
    <x v="4"/>
    <s v="Noble Americas Energy Solutions"/>
    <n v="-800"/>
    <n v="904.65944483592443"/>
    <n v="-361.86377793436975"/>
  </r>
  <r>
    <n v="2126"/>
    <x v="6"/>
    <s v="Sales for Resale"/>
    <x v="2"/>
    <x v="4"/>
    <s v="Noble Americas Gas &amp; Power"/>
    <n v="-3388"/>
    <n v="904.65944483592443"/>
    <n v="-1532.493099552056"/>
  </r>
  <r>
    <n v="2127"/>
    <x v="6"/>
    <s v="Sales for Resale"/>
    <x v="2"/>
    <x v="4"/>
    <s v="NorthPoint Energy Solutions, Inc."/>
    <n v="-7683"/>
    <n v="904.65944483592443"/>
    <n v="-3475.2492573372037"/>
  </r>
  <r>
    <n v="2128"/>
    <x v="6"/>
    <s v="Sales for Resale"/>
    <x v="2"/>
    <x v="4"/>
    <s v="Northwestern Energy"/>
    <n v="-56370"/>
    <n v="904.65944483592443"/>
    <n v="-25497.82645270053"/>
  </r>
  <r>
    <n v="2129"/>
    <x v="6"/>
    <s v="Sales for Resale"/>
    <x v="2"/>
    <x v="4"/>
    <s v="Okanogan PUD"/>
    <n v="-855"/>
    <n v="904.65944483592443"/>
    <n v="-386.74191266735772"/>
  </r>
  <r>
    <n v="2130"/>
    <x v="6"/>
    <s v="Sales for Resale"/>
    <x v="2"/>
    <x v="4"/>
    <s v="Pacific Northwest Generatin Coop."/>
    <n v="-1655"/>
    <n v="904.65944483592443"/>
    <n v="-748.60569060172747"/>
  </r>
  <r>
    <n v="2131"/>
    <x v="6"/>
    <s v="Sales for Resale"/>
    <x v="2"/>
    <x v="4"/>
    <s v="Pacific Summit Energy LLC"/>
    <n v="-57339"/>
    <n v="904.65944483592443"/>
    <n v="-25936.133953723536"/>
  </r>
  <r>
    <n v="2132"/>
    <x v="6"/>
    <s v="Sales for Resale"/>
    <x v="2"/>
    <x v="4"/>
    <s v="Pacificorp"/>
    <n v="-246935"/>
    <n v="904.65944483592443"/>
    <n v="-111696.0400052795"/>
  </r>
  <r>
    <n v="2133"/>
    <x v="6"/>
    <s v="Sales for Resale"/>
    <x v="2"/>
    <x v="4"/>
    <s v="PG&amp;E Energy Trading"/>
    <n v="-790398"/>
    <n v="904.65944483592443"/>
    <n v="-357520.50793971255"/>
  </r>
  <r>
    <n v="2134"/>
    <x v="6"/>
    <s v="Sales for Resale"/>
    <x v="2"/>
    <x v="4"/>
    <s v="Portland General Electric"/>
    <n v="-251716"/>
    <n v="904.65944483592443"/>
    <n v="-113858.62840815978"/>
  </r>
  <r>
    <n v="2135"/>
    <x v="6"/>
    <s v="Sales for Resale"/>
    <x v="2"/>
    <x v="4"/>
    <s v="Powerex Corp."/>
    <n v="-294366"/>
    <n v="904.65944483592443"/>
    <n v="-133150.49106928587"/>
  </r>
  <r>
    <n v="2136"/>
    <x v="6"/>
    <s v="Sales for Resale"/>
    <x v="2"/>
    <x v="4"/>
    <s v="Public Service of Colorado"/>
    <n v="-1600"/>
    <n v="904.65944483592443"/>
    <n v="-723.7275558687395"/>
  </r>
  <r>
    <n v="2137"/>
    <x v="6"/>
    <s v="Sales for Resale"/>
    <x v="2"/>
    <x v="4"/>
    <s v="Rainbow Energy Marketing"/>
    <n v="-69776"/>
    <n v="904.65944483592443"/>
    <n v="-31561.75871143573"/>
  </r>
  <r>
    <n v="2138"/>
    <x v="6"/>
    <s v="Sales for Resale"/>
    <x v="2"/>
    <x v="4"/>
    <s v="Redding, City of"/>
    <n v="-69"/>
    <n v="904.65944483592443"/>
    <n v="-31.210750846839392"/>
  </r>
  <r>
    <n v="2139"/>
    <x v="6"/>
    <s v="Sales for Resale"/>
    <x v="2"/>
    <x v="4"/>
    <s v="Sacramento Municipal"/>
    <n v="-28531"/>
    <n v="904.65944483592443"/>
    <n v="-12905.419310306881"/>
  </r>
  <r>
    <n v="2140"/>
    <x v="6"/>
    <s v="Sales for Resale"/>
    <x v="2"/>
    <x v="4"/>
    <s v="San Diego Gas &amp; Electric"/>
    <n v="-22412"/>
    <n v="904.65944483592443"/>
    <n v="-10137.613738831369"/>
  </r>
  <r>
    <n v="2141"/>
    <x v="6"/>
    <s v="Sales for Resale"/>
    <x v="2"/>
    <x v="4"/>
    <s v="Seattle City Light Marketing"/>
    <n v="-23444"/>
    <n v="904.65944483592443"/>
    <n v="-10604.418012366707"/>
  </r>
  <r>
    <n v="2142"/>
    <x v="6"/>
    <s v="Sales for Resale"/>
    <x v="2"/>
    <x v="4"/>
    <s v="Shell Energy (Coral Pwr)"/>
    <n v="-457267"/>
    <n v="904.65944483592443"/>
    <n v="-206835.45518089432"/>
  </r>
  <r>
    <n v="2143"/>
    <x v="6"/>
    <s v="Sales for Resale"/>
    <x v="2"/>
    <x v="4"/>
    <s v="Sierra Pacific Power"/>
    <n v="-14123"/>
    <n v="904.65944483592443"/>
    <n v="-6388.2526697088806"/>
  </r>
  <r>
    <n v="2144"/>
    <x v="6"/>
    <s v="Sales for Resale"/>
    <x v="2"/>
    <x v="4"/>
    <s v="Snohomish County PUD #1"/>
    <n v="-9938"/>
    <n v="904.65944483592443"/>
    <n v="-4495.2527813897086"/>
  </r>
  <r>
    <n v="2145"/>
    <x v="6"/>
    <s v="Sales for Resale"/>
    <x v="2"/>
    <x v="4"/>
    <s v="Southern Cal - Edison"/>
    <n v="-526126"/>
    <n v="904.65944483592443"/>
    <n v="-237982.42753687277"/>
  </r>
  <r>
    <n v="2146"/>
    <x v="6"/>
    <s v="Sales for Resale"/>
    <x v="2"/>
    <x v="4"/>
    <s v="Tacoma Power"/>
    <n v="-19779"/>
    <n v="904.65944483592443"/>
    <n v="-8946.6295797048751"/>
  </r>
  <r>
    <n v="2147"/>
    <x v="6"/>
    <s v="Sales for Resale"/>
    <x v="2"/>
    <x v="4"/>
    <s v="Talen Energy (PPL Energy Plus)"/>
    <n v="-185885"/>
    <n v="904.65944483592443"/>
    <n v="-84081.31045166291"/>
  </r>
  <r>
    <n v="2148"/>
    <x v="6"/>
    <s v="Sales for Resale"/>
    <x v="2"/>
    <x v="4"/>
    <s v="Tenaska Power Services Co."/>
    <n v="-3600"/>
    <n v="904.65944483592443"/>
    <n v="-1628.3870007046639"/>
  </r>
  <r>
    <n v="2149"/>
    <x v="6"/>
    <s v="Sales for Resale"/>
    <x v="2"/>
    <x v="4"/>
    <s v="The Energy Authority"/>
    <n v="-19100"/>
    <n v="904.65944483592443"/>
    <n v="-8639.4976981830787"/>
  </r>
  <r>
    <n v="2150"/>
    <x v="6"/>
    <s v="Sales for Resale"/>
    <x v="2"/>
    <x v="4"/>
    <s v="TransAlta Energy Marketing"/>
    <n v="-212919"/>
    <n v="904.65944483592443"/>
    <n v="-96309.592167510098"/>
  </r>
  <r>
    <n v="2151"/>
    <x v="6"/>
    <s v="Sales for Resale"/>
    <x v="2"/>
    <x v="4"/>
    <s v="TransCanada Energy Sales Ltd"/>
    <n v="-14806"/>
    <n v="904.65944483592443"/>
    <n v="-6697.193870120348"/>
  </r>
  <r>
    <n v="2152"/>
    <x v="6"/>
    <s v="Sales for Resale"/>
    <x v="2"/>
    <x v="4"/>
    <s v="Turlock Irrigation District"/>
    <n v="-24869"/>
    <n v="904.65944483592443"/>
    <n v="-11248.987866812302"/>
  </r>
  <r>
    <n v="2153"/>
    <x v="6"/>
    <s v="Sales for Resale"/>
    <x v="2"/>
    <x v="4"/>
    <s v="Western Area Power Association"/>
    <n v="-1265"/>
    <n v="904.65944483592443"/>
    <n v="-572.19709885872226"/>
  </r>
  <r>
    <n v="2209"/>
    <x v="7"/>
    <s v="Generation - Hydro"/>
    <x v="0"/>
    <x v="0"/>
    <s v="Electron"/>
    <n v="49582.500999999997"/>
    <n v="0"/>
    <n v="0"/>
  </r>
  <r>
    <n v="2210"/>
    <x v="7"/>
    <s v="Generation - Hydro"/>
    <x v="0"/>
    <x v="0"/>
    <s v="Lower Baker"/>
    <n v="349273.41600000003"/>
    <n v="0"/>
    <n v="0"/>
  </r>
  <r>
    <n v="2211"/>
    <x v="7"/>
    <s v="Generation - Hydro"/>
    <x v="0"/>
    <x v="0"/>
    <s v="Snoqualmie Falls #1"/>
    <n v="-1203.3699999999999"/>
    <n v="0"/>
    <n v="0"/>
  </r>
  <r>
    <n v="2212"/>
    <x v="7"/>
    <s v="Generation - Hydro"/>
    <x v="0"/>
    <x v="0"/>
    <s v="Snoqualmie Falls #2"/>
    <n v="-636.02"/>
    <n v="0"/>
    <n v="0"/>
  </r>
  <r>
    <n v="2214"/>
    <x v="7"/>
    <s v="Generation - Hydro"/>
    <x v="0"/>
    <x v="0"/>
    <s v="Upper Baker"/>
    <n v="349723.13699999999"/>
    <n v="0"/>
    <n v="0"/>
  </r>
  <r>
    <n v="2217"/>
    <x v="7"/>
    <s v="Generation - Steam"/>
    <x v="0"/>
    <x v="1"/>
    <s v="Colstrip 1 &amp; 2"/>
    <n v="1424335.0120000001"/>
    <n v="2349.8257362489862"/>
    <n v="1673469.5341190542"/>
  </r>
  <r>
    <n v="2218"/>
    <x v="7"/>
    <s v="Generation - Steam"/>
    <x v="0"/>
    <x v="1"/>
    <s v="Colstrip 3 &amp; 4"/>
    <n v="2385189"/>
    <n v="2393.7645012833036"/>
    <n v="2854790.3785257111"/>
  </r>
  <r>
    <n v="2219"/>
    <x v="7"/>
    <s v="Generation - Steam"/>
    <x v="2"/>
    <x v="4"/>
    <s v="Deferral Offsets"/>
    <n v="-52.36"/>
    <n v="903.13346574503635"/>
    <n v="-23.644034133205054"/>
  </r>
  <r>
    <n v="2220"/>
    <x v="7"/>
    <s v="Generation - Steam"/>
    <x v="0"/>
    <x v="2"/>
    <s v="Encogen"/>
    <n v="108457.06999999999"/>
    <n v="1049.4122071397105"/>
    <n v="56908.086604303033"/>
  </r>
  <r>
    <n v="2221"/>
    <x v="7"/>
    <s v="Generation - Steam"/>
    <x v="0"/>
    <x v="2"/>
    <s v="Ferndale Co-Generation"/>
    <n v="1607.07"/>
    <n v="19630.897386131426"/>
    <n v="15774.113131165115"/>
  </r>
  <r>
    <n v="2222"/>
    <x v="7"/>
    <s v="Generation - Steam"/>
    <x v="0"/>
    <x v="2"/>
    <s v="Freddie #1"/>
    <n v="175177.486"/>
    <n v="1749.2870770111949"/>
    <n v="153217.85622155474"/>
  </r>
  <r>
    <n v="2223"/>
    <x v="7"/>
    <s v="Generation - Steam"/>
    <x v="0"/>
    <x v="2"/>
    <s v="Goldendale"/>
    <n v="909496.56500000006"/>
    <n v="788.66119728262413"/>
    <n v="358642.32493866701"/>
  </r>
  <r>
    <n v="2224"/>
    <x v="7"/>
    <s v="Generation - Steam"/>
    <x v="0"/>
    <x v="2"/>
    <s v="Mint Farm"/>
    <n v="1098069.3709999998"/>
    <n v="870.20470928410623"/>
    <n v="477772.5688824181"/>
  </r>
  <r>
    <n v="2225"/>
    <x v="7"/>
    <s v="Generation - Steam"/>
    <x v="0"/>
    <x v="2"/>
    <s v="Sumas"/>
    <n v="223749.87400000001"/>
    <n v="1049.718162234019"/>
    <n v="117437.15326768665"/>
  </r>
  <r>
    <n v="2228"/>
    <x v="7"/>
    <s v="Generation - Oil/Gas/Wind"/>
    <x v="0"/>
    <x v="3"/>
    <s v="Crystal Mountain"/>
    <n v="298.26"/>
    <n v="72576.7303584982"/>
    <n v="10823.367798362837"/>
  </r>
  <r>
    <n v="2229"/>
    <x v="7"/>
    <s v="Generation - Oil/Gas/Wind"/>
    <x v="2"/>
    <x v="4"/>
    <s v="Deferral Offsets"/>
    <n v="-101.64"/>
    <n v="903.13346574503635"/>
    <n v="-45.897242729162748"/>
  </r>
  <r>
    <n v="2233"/>
    <x v="7"/>
    <s v="Generation - Oil/Gas/Wind"/>
    <x v="0"/>
    <x v="2"/>
    <s v="Fredonia"/>
    <n v="17192.718000000001"/>
    <n v="14670.939396443593"/>
    <n v="126116.66191907245"/>
  </r>
  <r>
    <n v="2234"/>
    <x v="7"/>
    <s v="Generation - Oil/Gas/Wind"/>
    <x v="0"/>
    <x v="2"/>
    <s v="Fredonia 3 &amp; 4"/>
    <n v="25360"/>
    <n v="1266.8699948920128"/>
    <n v="16063.91153523072"/>
  </r>
  <r>
    <n v="2235"/>
    <x v="7"/>
    <s v="Generation - Oil/Gas/Wind"/>
    <x v="0"/>
    <x v="2"/>
    <s v="Fredrickson 1 &amp; 2"/>
    <n v="31650.31"/>
    <n v="2994.5387814226269"/>
    <n v="47389.040369524198"/>
  </r>
  <r>
    <n v="2237"/>
    <x v="7"/>
    <s v="Generation - Oil/Gas/Wind"/>
    <x v="0"/>
    <x v="0"/>
    <s v="Hopkins Ridge (W184)"/>
    <n v="430639.962"/>
    <n v="0"/>
    <n v="0"/>
  </r>
  <r>
    <n v="2238"/>
    <x v="7"/>
    <s v="Generation - Oil/Gas/Wind"/>
    <x v="0"/>
    <x v="0"/>
    <s v="Lower Snake River"/>
    <n v="714783.17700000003"/>
    <n v="0"/>
    <n v="0"/>
  </r>
  <r>
    <n v="2245"/>
    <x v="7"/>
    <s v="Generation - Oil/Gas/Wind"/>
    <x v="0"/>
    <x v="2"/>
    <s v="Whitehorn 2&amp;3"/>
    <n v="29277.7"/>
    <n v="5720.0200830619897"/>
    <n v="83734.515992932007"/>
  </r>
  <r>
    <n v="2246"/>
    <x v="7"/>
    <s v="Generation - Oil/Gas/Wind"/>
    <x v="0"/>
    <x v="0"/>
    <s v="Wild Horse (W183)"/>
    <n v="677389.93"/>
    <n v="0"/>
    <n v="0"/>
  </r>
  <r>
    <n v="2248"/>
    <x v="7"/>
    <s v="Purchases - Firm"/>
    <x v="1"/>
    <x v="0"/>
    <s v="3 Bar G Wind Turbine #3 LLC"/>
    <n v="190.13800000000001"/>
    <n v="0"/>
    <n v="0"/>
  </r>
  <r>
    <n v="2249"/>
    <x v="7"/>
    <s v="Purchases - Firm"/>
    <x v="1"/>
    <x v="4"/>
    <s v="Barclays Bank Plc"/>
    <n v="217875"/>
    <n v="903.13346574503635"/>
    <n v="98385.101924599905"/>
  </r>
  <r>
    <n v="2250"/>
    <x v="7"/>
    <s v="Purchases - Firm"/>
    <x v="1"/>
    <x v="4"/>
    <s v="BC Hydro (Point Roberts)"/>
    <n v="21416.769"/>
    <n v="903.13346574503635"/>
    <n v="9671.1004060154282"/>
  </r>
  <r>
    <n v="2251"/>
    <x v="7"/>
    <s v="Purchases - Firm"/>
    <x v="1"/>
    <x v="0"/>
    <s v="Black Creek Hydro Inc"/>
    <n v="11481.12"/>
    <n v="0"/>
    <n v="0"/>
  </r>
  <r>
    <n v="2252"/>
    <x v="7"/>
    <s v="Purchases - Firm"/>
    <x v="1"/>
    <x v="7"/>
    <s v="Book Outs - EITF 03-11"/>
    <n v="-449210"/>
    <n v="0"/>
    <n v="0"/>
  </r>
  <r>
    <n v="2253"/>
    <x v="7"/>
    <s v="Purchases - Firm"/>
    <x v="1"/>
    <x v="0"/>
    <s v="BPA"/>
    <n v="6832"/>
    <n v="0"/>
    <n v="0"/>
  </r>
  <r>
    <n v="2254"/>
    <x v="7"/>
    <s v="Purchases - Firm"/>
    <x v="1"/>
    <x v="4"/>
    <s v="BPA Firm - WNP#3 Exchange"/>
    <n v="400153"/>
    <n v="903.13346574503635"/>
    <n v="180695.78285913676"/>
  </r>
  <r>
    <n v="2255"/>
    <x v="7"/>
    <s v="Purchases - Firm"/>
    <x v="1"/>
    <x v="0"/>
    <s v="CC Solar 1 and CC Solar 2"/>
    <n v="3.48"/>
    <n v="0"/>
    <n v="0"/>
  </r>
  <r>
    <n v="2256"/>
    <x v="7"/>
    <s v="Purchases - Firm"/>
    <x v="1"/>
    <x v="0"/>
    <s v="Chelan PUD - RI &amp; RR"/>
    <n v="2300840"/>
    <n v="0"/>
    <n v="0"/>
  </r>
  <r>
    <n v="2258"/>
    <x v="7"/>
    <s v="Purchases - Firm"/>
    <x v="1"/>
    <x v="0"/>
    <s v="Chelan PUD - Rock Island Syst #2"/>
    <n v="716417"/>
    <n v="0"/>
    <n v="0"/>
  </r>
  <r>
    <n v="2259"/>
    <x v="7"/>
    <s v="Purchases - Firm"/>
    <x v="1"/>
    <x v="0"/>
    <s v="Chelan PUD - Rocky Reach"/>
    <n v="-80276"/>
    <n v="0"/>
    <n v="0"/>
  </r>
  <r>
    <n v="2260"/>
    <x v="7"/>
    <s v="Purchases - Firm"/>
    <x v="1"/>
    <x v="0"/>
    <s v="Douglas PUD - Wells Project"/>
    <n v="979910"/>
    <n v="0"/>
    <n v="0"/>
  </r>
  <r>
    <n v="2261"/>
    <x v="7"/>
    <s v="Purchases - Firm"/>
    <x v="1"/>
    <x v="0"/>
    <s v="Edaleen Dairy LLC"/>
    <n v="1390.963"/>
    <n v="0"/>
    <n v="0"/>
  </r>
  <r>
    <n v="2262"/>
    <x v="7"/>
    <s v="Purchases - Firm"/>
    <x v="1"/>
    <x v="0"/>
    <s v="Farm Power Lynden LLC"/>
    <n v="4187.8609999999999"/>
    <n v="0"/>
    <n v="0"/>
  </r>
  <r>
    <n v="2263"/>
    <x v="7"/>
    <s v="Purchases - Firm"/>
    <x v="1"/>
    <x v="0"/>
    <s v="Farm Power Rexville LLC"/>
    <n v="5803.0730000000003"/>
    <n v="0"/>
    <n v="0"/>
  </r>
  <r>
    <n v="2264"/>
    <x v="7"/>
    <s v="Purchases - Firm"/>
    <x v="1"/>
    <x v="0"/>
    <s v="Grant PUD - Priest Rapids Project"/>
    <n v="75568"/>
    <n v="0"/>
    <n v="0"/>
  </r>
  <r>
    <n v="2265"/>
    <x v="7"/>
    <s v="Purchases - Firm"/>
    <x v="1"/>
    <x v="0"/>
    <s v="Island Community Solar LLC"/>
    <n v="57.93"/>
    <n v="0"/>
    <n v="0"/>
  </r>
  <r>
    <n v="2266"/>
    <x v="7"/>
    <s v="Purchases - Firm"/>
    <x v="1"/>
    <x v="4"/>
    <s v="JP Morgan Ventures Energy"/>
    <n v="549589"/>
    <n v="903.13346574503635"/>
    <n v="248176.10915267438"/>
  </r>
  <r>
    <n v="2267"/>
    <x v="7"/>
    <s v="Purchases - Firm"/>
    <x v="1"/>
    <x v="2"/>
    <s v="Klamath Falls (Iberdrola)"/>
    <n v="500"/>
    <n v="801.87985943021681"/>
    <n v="200.4699648575542"/>
  </r>
  <r>
    <n v="2268"/>
    <x v="7"/>
    <s v="Purchases - Firm"/>
    <x v="1"/>
    <x v="0"/>
    <s v="Klondike Wind Power III"/>
    <n v="124794"/>
    <n v="0"/>
    <n v="0"/>
  </r>
  <r>
    <n v="2269"/>
    <x v="7"/>
    <s v="Purchases - Firm"/>
    <x v="1"/>
    <x v="0"/>
    <s v="Knudsen Wind Turbine #1"/>
    <n v="134.72900000000001"/>
    <n v="0"/>
    <n v="0"/>
  </r>
  <r>
    <n v="2270"/>
    <x v="7"/>
    <s v="Purchases - Firm"/>
    <x v="1"/>
    <x v="4"/>
    <s v="Powerex Corp."/>
    <n v="120000"/>
    <n v="903.13346574503635"/>
    <n v="54188.007944702178"/>
  </r>
  <r>
    <n v="2271"/>
    <x v="7"/>
    <s v="Purchases - Firm"/>
    <x v="1"/>
    <x v="0"/>
    <s v="Qualco Energy"/>
    <n v="3402"/>
    <n v="0"/>
    <n v="0"/>
  </r>
  <r>
    <n v="2272"/>
    <x v="7"/>
    <s v="Purchases - Firm"/>
    <x v="1"/>
    <x v="0"/>
    <s v="Rainier Bio Gas"/>
    <n v="58.277000000000001"/>
    <n v="0"/>
    <n v="0"/>
  </r>
  <r>
    <n v="2273"/>
    <x v="7"/>
    <s v="Purchases - Firm"/>
    <x v="1"/>
    <x v="4"/>
    <s v="Shell Energy (Coral Pwr)"/>
    <n v="439124"/>
    <n v="903.13346574503635"/>
    <n v="198293.79000591167"/>
  </r>
  <r>
    <n v="2274"/>
    <x v="7"/>
    <s v="Purchases - Firm"/>
    <x v="1"/>
    <x v="0"/>
    <s v="Skookumchuck Hydro"/>
    <n v="6421.8"/>
    <n v="0"/>
    <n v="0"/>
  </r>
  <r>
    <n v="2275"/>
    <x v="7"/>
    <s v="Purchases - Firm"/>
    <x v="1"/>
    <x v="0"/>
    <s v="Smith Creek Hydro"/>
    <n v="215.179"/>
    <n v="0"/>
    <n v="0"/>
  </r>
  <r>
    <n v="2276"/>
    <x v="7"/>
    <s v="Purchases - Firm"/>
    <x v="1"/>
    <x v="0"/>
    <s v="Swauk Wind"/>
    <n v="29.4"/>
    <n v="0"/>
    <n v="0"/>
  </r>
  <r>
    <n v="2278"/>
    <x v="7"/>
    <s v="Purchases - Firm"/>
    <x v="1"/>
    <x v="0"/>
    <s v="Van Dyk - S Holsteins"/>
    <n v="2762.123"/>
    <n v="0"/>
    <n v="0"/>
  </r>
  <r>
    <n v="2279"/>
    <x v="7"/>
    <s v="Purchases - Firm"/>
    <x v="1"/>
    <x v="0"/>
    <s v="VanderHaak Dairy Digester"/>
    <n v="3538.12"/>
    <n v="0"/>
    <n v="0"/>
  </r>
  <r>
    <n v="2280"/>
    <x v="7"/>
    <s v="Purchases - Firm"/>
    <x v="1"/>
    <x v="0"/>
    <s v="WASCO Hydro"/>
    <n v="38227"/>
    <n v="0"/>
    <n v="0"/>
  </r>
  <r>
    <n v="2282"/>
    <x v="7"/>
    <s v="Purchases - PURPA"/>
    <x v="1"/>
    <x v="0"/>
    <s v="Bio Energy Washington (BEW)"/>
    <n v="2787.3119999999999"/>
    <n v="0"/>
    <n v="0"/>
  </r>
  <r>
    <n v="2283"/>
    <x v="7"/>
    <s v="Purchases - PURPA"/>
    <x v="1"/>
    <x v="0"/>
    <s v="Hutchinson Creek"/>
    <n v="1243.96"/>
    <n v="0"/>
    <n v="0"/>
  </r>
  <r>
    <n v="2284"/>
    <x v="7"/>
    <s v="Purchases - PURPA"/>
    <x v="1"/>
    <x v="0"/>
    <s v="Koma Kulshan Associates"/>
    <n v="42519.24"/>
    <n v="0"/>
    <n v="0"/>
  </r>
  <r>
    <n v="2285"/>
    <x v="7"/>
    <s v="Purchases - PURPA"/>
    <x v="1"/>
    <x v="0"/>
    <s v="Lake Washington -- Finn Hill"/>
    <n v="95.68"/>
    <n v="0"/>
    <n v="0"/>
  </r>
  <r>
    <n v="2288"/>
    <x v="7"/>
    <s v="Purchases - PURPA"/>
    <x v="1"/>
    <x v="0"/>
    <s v="Nooksack"/>
    <n v="25294.784"/>
    <n v="0"/>
    <n v="0"/>
  </r>
  <r>
    <n v="2289"/>
    <x v="7"/>
    <s v="Purchases - PURPA"/>
    <x v="1"/>
    <x v="5"/>
    <s v="Port Townsend Paper Co."/>
    <n v="1475.0070000000001"/>
    <n v="988.65799650043755"/>
    <n v="729.13873272206047"/>
  </r>
  <r>
    <n v="2290"/>
    <x v="7"/>
    <s v="Purchases - PURPA"/>
    <x v="1"/>
    <x v="0"/>
    <s v="Sygitowicz Creek"/>
    <n v="1478.24"/>
    <n v="0"/>
    <n v="0"/>
  </r>
  <r>
    <n v="2292"/>
    <x v="7"/>
    <s v="Purchases - PURPA"/>
    <x v="1"/>
    <x v="0"/>
    <s v="Twin Falls Hydro"/>
    <n v="95827.199999999997"/>
    <n v="0"/>
    <n v="0"/>
  </r>
  <r>
    <n v="2293"/>
    <x v="7"/>
    <s v="Purchases - PURPA"/>
    <x v="1"/>
    <x v="0"/>
    <s v="Weeks Falls"/>
    <n v="17113.599999999999"/>
    <n v="0"/>
    <n v="0"/>
  </r>
  <r>
    <n v="2295"/>
    <x v="7"/>
    <s v="Purchases - Secondary"/>
    <x v="2"/>
    <x v="4"/>
    <s v="Avista Corp. WWP Division"/>
    <n v="126962.18"/>
    <n v="903.13346574503635"/>
    <n v="57331.896820972572"/>
  </r>
  <r>
    <n v="2297"/>
    <x v="7"/>
    <s v="Purchases - Secondary"/>
    <x v="2"/>
    <x v="4"/>
    <s v="Barclays Bank Plc"/>
    <n v="22000"/>
    <n v="903.13346574503635"/>
    <n v="9934.4681231954"/>
  </r>
  <r>
    <n v="2298"/>
    <x v="7"/>
    <s v="Purchases - Secondary"/>
    <x v="2"/>
    <x v="4"/>
    <s v="Black Hills Power"/>
    <n v="1600"/>
    <n v="903.13346574503635"/>
    <n v="722.50677259602912"/>
  </r>
  <r>
    <n v="2299"/>
    <x v="7"/>
    <s v="Purchases - Secondary"/>
    <x v="2"/>
    <x v="4"/>
    <s v="Book Outs - EITF 03-11"/>
    <n v="-2428057"/>
    <n v="903.13346574503635"/>
    <n v="-1096429.7667182479"/>
  </r>
  <r>
    <n v="2300"/>
    <x v="7"/>
    <s v="Purchases - Secondary"/>
    <x v="2"/>
    <x v="4"/>
    <s v="BP Energy Co."/>
    <n v="1236010"/>
    <n v="903.13346574503635"/>
    <n v="558140.99749776116"/>
  </r>
  <r>
    <n v="2301"/>
    <x v="7"/>
    <s v="Purchases - Secondary"/>
    <x v="2"/>
    <x v="4"/>
    <s v="BPA"/>
    <n v="384112.7"/>
    <n v="903.13346574503635"/>
    <n v="173452.51699384171"/>
  </r>
  <r>
    <n v="2303"/>
    <x v="7"/>
    <s v="Purchases - Secondary"/>
    <x v="2"/>
    <x v="4"/>
    <s v="Brookfield Energy Marketing"/>
    <n v="1200"/>
    <n v="903.13346574503635"/>
    <n v="541.88007944702179"/>
  </r>
  <r>
    <n v="2305"/>
    <x v="7"/>
    <s v="Purchases - Secondary"/>
    <x v="2"/>
    <x v="4"/>
    <s v="Calpine Energy Services"/>
    <n v="467588"/>
    <n v="903.13346574503635"/>
    <n v="211147.18549039503"/>
  </r>
  <r>
    <n v="2306"/>
    <x v="7"/>
    <s v="Purchases - Secondary"/>
    <x v="2"/>
    <x v="4"/>
    <s v="Cargill Power Markets"/>
    <n v="252059"/>
    <n v="903.13346574503635"/>
    <n v="113821.45912111407"/>
  </r>
  <r>
    <n v="2307"/>
    <x v="7"/>
    <s v="Purchases - Secondary"/>
    <x v="2"/>
    <x v="4"/>
    <s v="Chelan County PUD #1"/>
    <n v="124383"/>
    <n v="903.13346574503635"/>
    <n v="56167.224934882426"/>
  </r>
  <r>
    <n v="2309"/>
    <x v="7"/>
    <s v="Purchases - Secondary"/>
    <x v="2"/>
    <x v="4"/>
    <s v="Citigroup Energy Inc"/>
    <n v="1014046"/>
    <n v="903.13346574503635"/>
    <n v="457909.43920244556"/>
  </r>
  <r>
    <n v="2310"/>
    <x v="7"/>
    <s v="Purchases - Secondary"/>
    <x v="2"/>
    <x v="4"/>
    <s v="Clark Public Utilities"/>
    <n v="26743"/>
    <n v="903.13346574503635"/>
    <n v="12076.249137209754"/>
  </r>
  <r>
    <n v="2311"/>
    <x v="7"/>
    <s v="Purchases - Secondary"/>
    <x v="2"/>
    <x v="4"/>
    <s v="Clatskanie PUD"/>
    <n v="11019"/>
    <n v="903.13346574503635"/>
    <n v="4975.813829522278"/>
  </r>
  <r>
    <n v="2313"/>
    <x v="7"/>
    <s v="Purchases - Secondary"/>
    <x v="2"/>
    <x v="4"/>
    <s v="Constellation Power Source, Inc."/>
    <n v="65386"/>
    <n v="903.13346574503635"/>
    <n v="29526.142395602474"/>
  </r>
  <r>
    <n v="2314"/>
    <x v="7"/>
    <s v="Purchases - Secondary"/>
    <x v="2"/>
    <x v="4"/>
    <s v="CP Energy Marketing (Epcor)"/>
    <n v="1133"/>
    <n v="903.13346574503635"/>
    <n v="511.6251083445631"/>
  </r>
  <r>
    <n v="2315"/>
    <x v="7"/>
    <s v="Purchases - Secondary"/>
    <x v="2"/>
    <x v="4"/>
    <s v="DB Energy Trading LLC"/>
    <n v="502043"/>
    <n v="903.13346574503635"/>
    <n v="226705.91727151762"/>
  </r>
  <r>
    <n v="2317"/>
    <x v="7"/>
    <s v="Purchases - Secondary"/>
    <x v="2"/>
    <x v="4"/>
    <s v="Douglas County PUD #1"/>
    <n v="336342"/>
    <n v="903.13346574503635"/>
    <n v="151880.8580678085"/>
  </r>
  <r>
    <n v="2319"/>
    <x v="7"/>
    <s v="Purchases - Secondary"/>
    <x v="2"/>
    <x v="4"/>
    <s v="EDF Trading NA LLC"/>
    <n v="222630"/>
    <n v="903.13346574503635"/>
    <n v="100532.30173940872"/>
  </r>
  <r>
    <n v="2320"/>
    <x v="7"/>
    <s v="Purchases - Secondary"/>
    <x v="2"/>
    <x v="4"/>
    <s v="ENMAX Energy Marketing, Inc."/>
    <n v="75"/>
    <n v="903.13346574503635"/>
    <n v="33.867504965438862"/>
  </r>
  <r>
    <n v="2321"/>
    <x v="7"/>
    <s v="Purchases - Secondary"/>
    <x v="2"/>
    <x v="4"/>
    <s v="Eugene Water &amp; Electric"/>
    <n v="42962"/>
    <n v="903.13346574503635"/>
    <n v="19400.209977669128"/>
  </r>
  <r>
    <n v="2322"/>
    <x v="7"/>
    <s v="Purchases - Secondary"/>
    <x v="2"/>
    <x v="4"/>
    <s v="Grant County PUD #2"/>
    <n v="36506"/>
    <n v="903.13346574503635"/>
    <n v="16484.895150244149"/>
  </r>
  <r>
    <n v="2323"/>
    <x v="7"/>
    <s v="Purchases - Secondary"/>
    <x v="2"/>
    <x v="4"/>
    <s v="Iberdrola Renewables (PPM Energy)"/>
    <n v="561582"/>
    <n v="903.13346574503635"/>
    <n v="253591.7489800145"/>
  </r>
  <r>
    <n v="2324"/>
    <x v="7"/>
    <s v="Purchases - Secondary"/>
    <x v="2"/>
    <x v="4"/>
    <s v="Idaho Falls Power"/>
    <n v="25"/>
    <n v="903.13346574503635"/>
    <n v="11.289168321812955"/>
  </r>
  <r>
    <n v="2325"/>
    <x v="7"/>
    <s v="Purchases - Secondary"/>
    <x v="2"/>
    <x v="4"/>
    <s v="Idaho Power Company"/>
    <n v="10082"/>
    <n v="903.13346574503635"/>
    <n v="4552.6958008207275"/>
  </r>
  <r>
    <n v="2326"/>
    <x v="7"/>
    <s v="Purchases - Secondary"/>
    <x v="2"/>
    <x v="4"/>
    <s v="J. Aron &amp; Company"/>
    <n v="2400"/>
    <n v="903.13346574503635"/>
    <n v="1083.7601588940436"/>
  </r>
  <r>
    <n v="2329"/>
    <x v="7"/>
    <s v="Purchases - Secondary"/>
    <x v="2"/>
    <x v="4"/>
    <s v="JP Morgan Ventures Energy"/>
    <n v="1278611"/>
    <n v="903.13346574503635"/>
    <n v="577378.19188486342"/>
  </r>
  <r>
    <n v="2331"/>
    <x v="7"/>
    <s v="Purchases - Secondary"/>
    <x v="2"/>
    <x v="4"/>
    <s v="Merrill Lynch Commodities"/>
    <n v="269356"/>
    <n v="903.13346574503635"/>
    <n v="121632.20889960999"/>
  </r>
  <r>
    <n v="2332"/>
    <x v="7"/>
    <s v="Purchases - Secondary"/>
    <x v="2"/>
    <x v="4"/>
    <s v="Morgan Stanley CG"/>
    <n v="1078306"/>
    <n v="903.13346574503635"/>
    <n v="486927.1174568336"/>
  </r>
  <r>
    <n v="2334"/>
    <x v="7"/>
    <s v="Purchases - Secondary"/>
    <x v="2"/>
    <x v="4"/>
    <s v="Natur Ener USA"/>
    <n v="448"/>
    <n v="903.13346574503635"/>
    <n v="202.30189632688814"/>
  </r>
  <r>
    <n v="2335"/>
    <x v="7"/>
    <s v="Purchases - Secondary"/>
    <x v="2"/>
    <x v="4"/>
    <s v="NextEra Energy Power Marketing"/>
    <n v="113935"/>
    <n v="903.13346574503635"/>
    <n v="51449.255709830359"/>
  </r>
  <r>
    <n v="2336"/>
    <x v="7"/>
    <s v="Purchases - Secondary"/>
    <x v="2"/>
    <x v="4"/>
    <s v="Noble Americas Energy Solutions"/>
    <n v="800"/>
    <n v="903.13346574503635"/>
    <n v="361.25338629801456"/>
  </r>
  <r>
    <n v="2337"/>
    <x v="7"/>
    <s v="Purchases - Secondary"/>
    <x v="2"/>
    <x v="4"/>
    <s v="Noble Americas Gas &amp; Power"/>
    <n v="800"/>
    <n v="903.13346574503635"/>
    <n v="361.25338629801456"/>
  </r>
  <r>
    <n v="2339"/>
    <x v="7"/>
    <s v="Purchases - Secondary"/>
    <x v="2"/>
    <x v="4"/>
    <s v="NorthPoint Energy Solutions, Inc."/>
    <n v="4"/>
    <n v="903.13346574503635"/>
    <n v="1.8062669314900728"/>
  </r>
  <r>
    <n v="2340"/>
    <x v="7"/>
    <s v="Purchases - Secondary"/>
    <x v="2"/>
    <x v="4"/>
    <s v="Northwestern Energy"/>
    <n v="3418"/>
    <n v="903.13346574503635"/>
    <n v="1543.4550929582672"/>
  </r>
  <r>
    <n v="2341"/>
    <x v="7"/>
    <s v="Purchases - Secondary"/>
    <x v="2"/>
    <x v="4"/>
    <s v="Okanogan PUD"/>
    <n v="1487"/>
    <n v="903.13346574503635"/>
    <n v="671.47973178143445"/>
  </r>
  <r>
    <n v="2342"/>
    <x v="7"/>
    <s v="Purchases - Secondary"/>
    <x v="2"/>
    <x v="4"/>
    <s v="Pacific Summit Energy LLC"/>
    <n v="1179"/>
    <n v="903.13346574503635"/>
    <n v="532.39717805669886"/>
  </r>
  <r>
    <n v="2343"/>
    <x v="7"/>
    <s v="Purchases - Secondary"/>
    <x v="2"/>
    <x v="4"/>
    <s v="Pacificorp"/>
    <n v="76562"/>
    <n v="903.13346574503635"/>
    <n v="34572.852202185735"/>
  </r>
  <r>
    <n v="2344"/>
    <x v="7"/>
    <s v="Purchases - Secondary"/>
    <x v="2"/>
    <x v="4"/>
    <s v="PG&amp;E Energy Trading"/>
    <n v="70000"/>
    <n v="903.13346574503635"/>
    <n v="31609.671301076272"/>
  </r>
  <r>
    <n v="2345"/>
    <x v="7"/>
    <s v="Purchases - Secondary"/>
    <x v="2"/>
    <x v="4"/>
    <s v="Portland General Electric"/>
    <n v="24419"/>
    <n v="903.13346574503635"/>
    <n v="11026.80805001402"/>
  </r>
  <r>
    <n v="2346"/>
    <x v="7"/>
    <s v="Purchases - Secondary"/>
    <x v="2"/>
    <x v="4"/>
    <s v="Powerex Corp."/>
    <n v="231003"/>
    <n v="903.13346574503635"/>
    <n v="104313.26999375032"/>
  </r>
  <r>
    <n v="2347"/>
    <x v="7"/>
    <s v="Purchases - Secondary"/>
    <x v="2"/>
    <x v="4"/>
    <s v="Rainbow Energy Marketing"/>
    <n v="23628"/>
    <n v="903.13346574503635"/>
    <n v="10669.618764311859"/>
  </r>
  <r>
    <n v="2349"/>
    <x v="7"/>
    <s v="Purchases - Secondary"/>
    <x v="2"/>
    <x v="4"/>
    <s v="Sacramento Municipal"/>
    <n v="3654"/>
    <n v="903.13346574503635"/>
    <n v="1650.0248419161815"/>
  </r>
  <r>
    <n v="2350"/>
    <x v="7"/>
    <s v="Purchases - Secondary"/>
    <x v="2"/>
    <x v="4"/>
    <s v="San Diego Gas &amp; Electric"/>
    <n v="451"/>
    <n v="903.13346574503635"/>
    <n v="203.65659652550571"/>
  </r>
  <r>
    <n v="2351"/>
    <x v="7"/>
    <s v="Purchases - Secondary"/>
    <x v="2"/>
    <x v="4"/>
    <s v="Seattle City Light Marketing"/>
    <n v="246052"/>
    <n v="903.13346574503635"/>
    <n v="111108.89775674885"/>
  </r>
  <r>
    <n v="2352"/>
    <x v="7"/>
    <s v="Purchases - Secondary"/>
    <x v="2"/>
    <x v="4"/>
    <s v="Shell Energy (Coral Pwr)"/>
    <n v="182238"/>
    <n v="903.13346574503635"/>
    <n v="82292.618265221972"/>
  </r>
  <r>
    <n v="2354"/>
    <x v="7"/>
    <s v="Purchases - Secondary"/>
    <x v="2"/>
    <x v="4"/>
    <s v="Snohomish County PUD #1"/>
    <n v="176041"/>
    <n v="903.13346574503635"/>
    <n v="79494.259221610977"/>
  </r>
  <r>
    <n v="2355"/>
    <x v="7"/>
    <s v="Purchases - Secondary"/>
    <x v="2"/>
    <x v="4"/>
    <s v="Southern Cal - Edison"/>
    <n v="62658"/>
    <n v="903.13346574503635"/>
    <n v="28294.268348326244"/>
  </r>
  <r>
    <n v="2357"/>
    <x v="7"/>
    <s v="Purchases - Secondary"/>
    <x v="2"/>
    <x v="4"/>
    <s v="Tacoma Power"/>
    <n v="200033"/>
    <n v="903.13346574503635"/>
    <n v="90328.24827668842"/>
  </r>
  <r>
    <n v="2358"/>
    <x v="7"/>
    <s v="Purchases - Secondary"/>
    <x v="2"/>
    <x v="4"/>
    <s v="Talen Energy (PPL Energy Plus)"/>
    <n v="109330"/>
    <n v="903.13346574503635"/>
    <n v="49369.790904952417"/>
  </r>
  <r>
    <n v="2360"/>
    <x v="7"/>
    <s v="Purchases - Secondary"/>
    <x v="2"/>
    <x v="4"/>
    <s v="Tenaska Power Services Co."/>
    <n v="32812"/>
    <n v="903.13346574503635"/>
    <n v="14816.807639013066"/>
  </r>
  <r>
    <n v="2361"/>
    <x v="7"/>
    <s v="Purchases - Secondary"/>
    <x v="2"/>
    <x v="4"/>
    <s v="The Energy Authority"/>
    <n v="457673"/>
    <n v="903.13346574503635"/>
    <n v="206669.90133396402"/>
  </r>
  <r>
    <n v="2362"/>
    <x v="7"/>
    <s v="Purchases - Secondary"/>
    <x v="2"/>
    <x v="4"/>
    <s v="TransAlta Energy Marketing"/>
    <n v="1404952"/>
    <n v="903.13346574503635"/>
    <n v="634429.58448271011"/>
  </r>
  <r>
    <n v="2363"/>
    <x v="7"/>
    <s v="Purchases - Secondary"/>
    <x v="2"/>
    <x v="4"/>
    <s v="TransCanada Energy Marketing"/>
    <n v="200"/>
    <n v="903.13346574503635"/>
    <n v="90.31334657450364"/>
  </r>
  <r>
    <n v="2364"/>
    <x v="7"/>
    <s v="Purchases - Secondary"/>
    <x v="2"/>
    <x v="4"/>
    <s v="TransCanada Energy Sales Ltd"/>
    <n v="-200"/>
    <n v="903.13346574503635"/>
    <n v="-90.31334657450364"/>
  </r>
  <r>
    <n v="2365"/>
    <x v="7"/>
    <s v="Purchases - Secondary"/>
    <x v="2"/>
    <x v="4"/>
    <s v="Tri-State Generation and Transmissi"/>
    <n v="124"/>
    <n v="903.13346574503635"/>
    <n v="55.994274876192257"/>
  </r>
  <r>
    <n v="2366"/>
    <x v="7"/>
    <s v="Purchases - Secondary"/>
    <x v="2"/>
    <x v="4"/>
    <s v="Turlock Irrigation District"/>
    <n v="3343"/>
    <n v="903.13346574503635"/>
    <n v="1509.5875879928283"/>
  </r>
  <r>
    <n v="2368"/>
    <x v="7"/>
    <s v="Interchange - In"/>
    <x v="2"/>
    <x v="4"/>
    <s v="BPA"/>
    <n v="35599"/>
    <n v="903.13346574503635"/>
    <n v="16075.324123528775"/>
  </r>
  <r>
    <n v="2369"/>
    <x v="7"/>
    <s v="Interchange - In"/>
    <x v="2"/>
    <x v="4"/>
    <s v="Pacific Gas &amp; Elec - Exchange"/>
    <n v="413000"/>
    <n v="903.13346574503635"/>
    <n v="186497.06067635"/>
  </r>
  <r>
    <n v="2372"/>
    <x v="7"/>
    <s v="Interchange - Out"/>
    <x v="2"/>
    <x v="4"/>
    <s v="BPA"/>
    <n v="-35375"/>
    <n v="903.13346574503635"/>
    <n v="-15974.173175365331"/>
  </r>
  <r>
    <n v="2373"/>
    <x v="7"/>
    <s v="Interchange - Out"/>
    <x v="2"/>
    <x v="4"/>
    <s v="Deviation"/>
    <n v="42716.544999999998"/>
    <n v="903.13346574503635"/>
    <n v="19289.370665251899"/>
  </r>
  <r>
    <n v="2374"/>
    <x v="7"/>
    <s v="Interchange - Out"/>
    <x v="2"/>
    <x v="4"/>
    <s v="Pacific Gas &amp; Elec - Exchange"/>
    <n v="-412995"/>
    <n v="903.13346574503635"/>
    <n v="-186494.80284268563"/>
  </r>
  <r>
    <n v="2431"/>
    <x v="7"/>
    <s v="Sales for Resale"/>
    <x v="2"/>
    <x v="4"/>
    <s v="Avista Corp. WWP Division"/>
    <n v="-37126"/>
    <n v="903.13346574503635"/>
    <n v="-16764.866524625111"/>
  </r>
  <r>
    <n v="2432"/>
    <x v="7"/>
    <s v="Sales for Resale"/>
    <x v="2"/>
    <x v="4"/>
    <s v="Barclays Bank Plc"/>
    <n v="-2400"/>
    <n v="903.13346574503635"/>
    <n v="-1083.7601588940436"/>
  </r>
  <r>
    <n v="2433"/>
    <x v="7"/>
    <s v="Sales for Resale"/>
    <x v="2"/>
    <x v="4"/>
    <s v="Black Hills Power"/>
    <n v="-18302"/>
    <n v="903.13346574503635"/>
    <n v="-8264.5743450328282"/>
  </r>
  <r>
    <n v="2434"/>
    <x v="7"/>
    <s v="Sales for Resale"/>
    <x v="2"/>
    <x v="4"/>
    <s v="Book Outs - EITF 03-11"/>
    <n v="2877267"/>
    <n v="903.13346574503635"/>
    <n v="1299278.0587919119"/>
  </r>
  <r>
    <n v="2435"/>
    <x v="7"/>
    <s v="Sales for Resale"/>
    <x v="2"/>
    <x v="4"/>
    <s v="BP Energy Co."/>
    <n v="-97731"/>
    <n v="903.13346574503635"/>
    <n v="-44132.068370364068"/>
  </r>
  <r>
    <n v="2436"/>
    <x v="7"/>
    <s v="Sales for Resale"/>
    <x v="2"/>
    <x v="4"/>
    <s v="BPA"/>
    <n v="-147151"/>
    <n v="903.13346574503635"/>
    <n v="-66448.496308923917"/>
  </r>
  <r>
    <n v="2437"/>
    <x v="7"/>
    <s v="Sales for Resale"/>
    <x v="2"/>
    <x v="4"/>
    <s v="British Columbia Transmission Corp"/>
    <n v="-57"/>
    <n v="903.13346574503635"/>
    <n v="-25.739303773733536"/>
  </r>
  <r>
    <n v="2438"/>
    <x v="7"/>
    <s v="Sales for Resale"/>
    <x v="2"/>
    <x v="4"/>
    <s v="Brookfield Energy Marketing"/>
    <n v="-2000"/>
    <n v="903.13346574503635"/>
    <n v="-903.13346574503635"/>
  </r>
  <r>
    <n v="2439"/>
    <x v="7"/>
    <s v="Sales for Resale"/>
    <x v="2"/>
    <x v="4"/>
    <s v="Calpine Energy Services"/>
    <n v="-142467"/>
    <n v="903.13346574503635"/>
    <n v="-64333.357732149052"/>
  </r>
  <r>
    <n v="2440"/>
    <x v="7"/>
    <s v="Sales for Resale"/>
    <x v="2"/>
    <x v="4"/>
    <s v="Cargill Power Markets"/>
    <n v="-311820"/>
    <n v="903.13346574503635"/>
    <n v="-140807.53864430863"/>
  </r>
  <r>
    <n v="2441"/>
    <x v="7"/>
    <s v="Sales for Resale"/>
    <x v="2"/>
    <x v="4"/>
    <s v="Chelan County PUD #1"/>
    <n v="-6435"/>
    <n v="903.13346574503635"/>
    <n v="-2905.8319260346543"/>
  </r>
  <r>
    <n v="2442"/>
    <x v="7"/>
    <s v="Sales for Resale"/>
    <x v="2"/>
    <x v="4"/>
    <s v="Citigroup Energy Inc"/>
    <n v="-93176"/>
    <n v="903.13346574503635"/>
    <n v="-42075.181902129756"/>
  </r>
  <r>
    <n v="2443"/>
    <x v="7"/>
    <s v="Sales for Resale"/>
    <x v="2"/>
    <x v="4"/>
    <s v="Clark Public Utilities"/>
    <n v="-13840"/>
    <n v="903.13346574503635"/>
    <n v="-6249.6835829556521"/>
  </r>
  <r>
    <n v="2444"/>
    <x v="7"/>
    <s v="Sales for Resale"/>
    <x v="2"/>
    <x v="4"/>
    <s v="Clatskanie PUD"/>
    <n v="-5387"/>
    <n v="903.13346574503635"/>
    <n v="-2432.5899899842552"/>
  </r>
  <r>
    <n v="2445"/>
    <x v="7"/>
    <s v="Sales for Resale"/>
    <x v="2"/>
    <x v="4"/>
    <s v="Constellation Power Source, Inc."/>
    <n v="-22185"/>
    <n v="903.13346574503635"/>
    <n v="-10018.007968776816"/>
  </r>
  <r>
    <n v="2446"/>
    <x v="7"/>
    <s v="Sales for Resale"/>
    <x v="2"/>
    <x v="4"/>
    <s v="CP Energy Marketing (Epcor)"/>
    <n v="-1299"/>
    <n v="903.13346574503635"/>
    <n v="-586.58518600140121"/>
  </r>
  <r>
    <n v="2447"/>
    <x v="7"/>
    <s v="Sales for Resale"/>
    <x v="2"/>
    <x v="4"/>
    <s v="DB Energy Trading LLC"/>
    <n v="-242964"/>
    <n v="903.13346574503635"/>
    <n v="-109714.4596856385"/>
  </r>
  <r>
    <n v="2448"/>
    <x v="7"/>
    <s v="Sales for Resale"/>
    <x v="2"/>
    <x v="4"/>
    <s v="Douglas County PUD #1"/>
    <n v="-1410"/>
    <n v="903.13346574503635"/>
    <n v="-636.70909335025067"/>
  </r>
  <r>
    <n v="2449"/>
    <x v="7"/>
    <s v="Sales for Resale"/>
    <x v="2"/>
    <x v="4"/>
    <s v="EDF Trading NA LLC"/>
    <n v="-34355"/>
    <n v="903.13346574503635"/>
    <n v="-15513.575107835362"/>
  </r>
  <r>
    <n v="2450"/>
    <x v="7"/>
    <s v="Sales for Resale"/>
    <x v="2"/>
    <x v="4"/>
    <s v="ENMAX Energy Marketing, Inc."/>
    <n v="-225"/>
    <n v="903.13346574503635"/>
    <n v="-101.60251489631659"/>
  </r>
  <r>
    <n v="2451"/>
    <x v="7"/>
    <s v="Sales for Resale"/>
    <x v="2"/>
    <x v="4"/>
    <s v="Eugene Water &amp; Electric"/>
    <n v="-17869"/>
    <n v="903.13346574503635"/>
    <n v="-8069.0459496990279"/>
  </r>
  <r>
    <n v="2452"/>
    <x v="7"/>
    <s v="Sales for Resale"/>
    <x v="2"/>
    <x v="4"/>
    <s v="Exelon Generation Co LLC"/>
    <n v="-2800"/>
    <n v="903.13346574503635"/>
    <n v="-1264.3868520430508"/>
  </r>
  <r>
    <n v="2453"/>
    <x v="7"/>
    <s v="Sales for Resale"/>
    <x v="2"/>
    <x v="4"/>
    <s v="Fortis BC"/>
    <n v="-56236"/>
    <n v="903.13346574503635"/>
    <n v="-25394.306789818933"/>
  </r>
  <r>
    <n v="2454"/>
    <x v="7"/>
    <s v="Sales for Resale"/>
    <x v="2"/>
    <x v="4"/>
    <s v="Grant County PUD #2"/>
    <n v="-11925"/>
    <n v="903.13346574503635"/>
    <n v="-5384.9332895047792"/>
  </r>
  <r>
    <n v="2455"/>
    <x v="7"/>
    <s v="Sales for Resale"/>
    <x v="2"/>
    <x v="4"/>
    <s v="Iberdrola Renewables (PPM Energy)"/>
    <n v="-541878"/>
    <n v="903.13346574503635"/>
    <n v="-244694.07807549441"/>
  </r>
  <r>
    <n v="2456"/>
    <x v="7"/>
    <s v="Sales for Resale"/>
    <x v="2"/>
    <x v="4"/>
    <s v="Idaho Power Company"/>
    <n v="-25835"/>
    <n v="903.13346574503635"/>
    <n v="-11666.226543761506"/>
  </r>
  <r>
    <n v="2457"/>
    <x v="7"/>
    <s v="Sales for Resale"/>
    <x v="2"/>
    <x v="4"/>
    <s v="J. Aron &amp; Company"/>
    <n v="-2800"/>
    <n v="903.13346574503635"/>
    <n v="-1264.3868520430508"/>
  </r>
  <r>
    <n v="2458"/>
    <x v="7"/>
    <s v="Sales for Resale"/>
    <x v="2"/>
    <x v="4"/>
    <s v="JP Morgan Ventures Energy"/>
    <n v="-52134"/>
    <n v="903.13346574503635"/>
    <n v="-23541.980051575862"/>
  </r>
  <r>
    <n v="2459"/>
    <x v="7"/>
    <s v="Sales for Resale"/>
    <x v="2"/>
    <x v="4"/>
    <s v="Morgan Stanley CG"/>
    <n v="-310918"/>
    <n v="903.13346574503635"/>
    <n v="-140400.2254512576"/>
  </r>
  <r>
    <n v="2460"/>
    <x v="7"/>
    <s v="Sales for Resale"/>
    <x v="2"/>
    <x v="4"/>
    <s v="Natur Ener USA"/>
    <n v="-6"/>
    <n v="903.13346574503635"/>
    <n v="-2.7094003972351093"/>
  </r>
  <r>
    <n v="2461"/>
    <x v="7"/>
    <s v="Sales for Resale"/>
    <x v="2"/>
    <x v="4"/>
    <s v="NextEra Energy Power Marketing"/>
    <n v="-2739"/>
    <n v="903.13346574503635"/>
    <n v="-1236.8412813378272"/>
  </r>
  <r>
    <n v="2462"/>
    <x v="7"/>
    <s v="Sales for Resale"/>
    <x v="2"/>
    <x v="4"/>
    <s v="Noble Americas Energy Solutions"/>
    <n v="-2800"/>
    <n v="903.13346574503635"/>
    <n v="-1264.3868520430508"/>
  </r>
  <r>
    <n v="2463"/>
    <x v="7"/>
    <s v="Sales for Resale"/>
    <x v="2"/>
    <x v="4"/>
    <s v="Noble Americas Gas &amp; Power"/>
    <n v="-7600"/>
    <n v="903.13346574503635"/>
    <n v="-3431.9071698311382"/>
  </r>
  <r>
    <n v="2464"/>
    <x v="7"/>
    <s v="Sales for Resale"/>
    <x v="2"/>
    <x v="4"/>
    <s v="NorthPoint Energy Solutions, Inc."/>
    <n v="-8404"/>
    <n v="903.13346574503635"/>
    <n v="-3794.966823060643"/>
  </r>
  <r>
    <n v="2465"/>
    <x v="7"/>
    <s v="Sales for Resale"/>
    <x v="2"/>
    <x v="4"/>
    <s v="Northwestern Energy"/>
    <n v="-84493"/>
    <n v="903.13346574503635"/>
    <n v="-38154.22796059768"/>
  </r>
  <r>
    <n v="2466"/>
    <x v="7"/>
    <s v="Sales for Resale"/>
    <x v="2"/>
    <x v="4"/>
    <s v="Okanogan PUD"/>
    <n v="-470"/>
    <n v="903.13346574503635"/>
    <n v="-212.23636445008356"/>
  </r>
  <r>
    <n v="2467"/>
    <x v="7"/>
    <s v="Sales for Resale"/>
    <x v="2"/>
    <x v="4"/>
    <s v="Pacific Summit Energy LLC"/>
    <n v="-430"/>
    <n v="903.13346574503635"/>
    <n v="-194.17369513518281"/>
  </r>
  <r>
    <n v="2468"/>
    <x v="7"/>
    <s v="Sales for Resale"/>
    <x v="2"/>
    <x v="4"/>
    <s v="Pacificorp"/>
    <n v="-116892"/>
    <n v="903.13346574503635"/>
    <n v="-52784.538538934394"/>
  </r>
  <r>
    <n v="2469"/>
    <x v="7"/>
    <s v="Sales for Resale"/>
    <x v="2"/>
    <x v="4"/>
    <s v="PG&amp;E Energy Trading"/>
    <n v="-216530"/>
    <n v="903.13346574503635"/>
    <n v="-97777.744668886357"/>
  </r>
  <r>
    <n v="2470"/>
    <x v="7"/>
    <s v="Sales for Resale"/>
    <x v="2"/>
    <x v="4"/>
    <s v="Portland General Electric"/>
    <n v="-72993"/>
    <n v="903.13346574503635"/>
    <n v="-32961.210532563717"/>
  </r>
  <r>
    <n v="2471"/>
    <x v="7"/>
    <s v="Sales for Resale"/>
    <x v="2"/>
    <x v="4"/>
    <s v="Powerex Corp."/>
    <n v="-406530"/>
    <n v="903.13346574503635"/>
    <n v="-183575.4239146648"/>
  </r>
  <r>
    <n v="2472"/>
    <x v="7"/>
    <s v="Sales for Resale"/>
    <x v="2"/>
    <x v="4"/>
    <s v="Rainbow Energy Marketing"/>
    <n v="-58846"/>
    <n v="903.13346574503635"/>
    <n v="-26572.895962616207"/>
  </r>
  <r>
    <n v="2473"/>
    <x v="7"/>
    <s v="Sales for Resale"/>
    <x v="2"/>
    <x v="4"/>
    <s v="Sacramento Municipal"/>
    <n v="-10011"/>
    <n v="903.13346574503635"/>
    <n v="-4520.6345627867795"/>
  </r>
  <r>
    <n v="2474"/>
    <x v="7"/>
    <s v="Sales for Resale"/>
    <x v="2"/>
    <x v="4"/>
    <s v="San Diego Gas &amp; Electric"/>
    <n v="-29918"/>
    <n v="903.13346574503635"/>
    <n v="-13509.973514079998"/>
  </r>
  <r>
    <n v="2475"/>
    <x v="7"/>
    <s v="Sales for Resale"/>
    <x v="2"/>
    <x v="4"/>
    <s v="Seattle City Light Marketing"/>
    <n v="-46589"/>
    <n v="903.13346574503635"/>
    <n v="-21038.042517797749"/>
  </r>
  <r>
    <n v="2476"/>
    <x v="7"/>
    <s v="Sales for Resale"/>
    <x v="2"/>
    <x v="4"/>
    <s v="Shell Energy (Coral Pwr)"/>
    <n v="-299293"/>
    <n v="903.13346574503635"/>
    <n v="-135150.76218161458"/>
  </r>
  <r>
    <n v="2477"/>
    <x v="7"/>
    <s v="Sales for Resale"/>
    <x v="2"/>
    <x v="4"/>
    <s v="Sierra Pacific Power"/>
    <n v="-1542"/>
    <n v="903.13346574503635"/>
    <n v="-696.31590208942305"/>
  </r>
  <r>
    <n v="2478"/>
    <x v="7"/>
    <s v="Sales for Resale"/>
    <x v="2"/>
    <x v="4"/>
    <s v="Snohomish County PUD #1"/>
    <n v="-9531"/>
    <n v="903.13346574503635"/>
    <n v="-4303.882531007971"/>
  </r>
  <r>
    <n v="2479"/>
    <x v="7"/>
    <s v="Sales for Resale"/>
    <x v="2"/>
    <x v="4"/>
    <s v="Southern Cal - Edison"/>
    <n v="-20000"/>
    <n v="903.13346574503635"/>
    <n v="-9031.334657450363"/>
  </r>
  <r>
    <n v="2480"/>
    <x v="7"/>
    <s v="Sales for Resale"/>
    <x v="2"/>
    <x v="4"/>
    <s v="Tacoma Power"/>
    <n v="-19628"/>
    <n v="903.13346574503635"/>
    <n v="-8863.351832821787"/>
  </r>
  <r>
    <n v="2481"/>
    <x v="7"/>
    <s v="Sales for Resale"/>
    <x v="2"/>
    <x v="4"/>
    <s v="Talen Energy (PPL Energy Plus)"/>
    <n v="-67867"/>
    <n v="903.13346574503635"/>
    <n v="-30646.479459859191"/>
  </r>
  <r>
    <n v="2482"/>
    <x v="7"/>
    <s v="Sales for Resale"/>
    <x v="2"/>
    <x v="4"/>
    <s v="Tenaska Power Services Co."/>
    <n v="-36412"/>
    <n v="903.13346574503635"/>
    <n v="-16442.44787735413"/>
  </r>
  <r>
    <n v="2483"/>
    <x v="7"/>
    <s v="Sales for Resale"/>
    <x v="2"/>
    <x v="4"/>
    <s v="The Energy Authority"/>
    <n v="-34934"/>
    <n v="903.13346574503635"/>
    <n v="-15775.03224616855"/>
  </r>
  <r>
    <n v="2484"/>
    <x v="7"/>
    <s v="Sales for Resale"/>
    <x v="2"/>
    <x v="4"/>
    <s v="TransAlta Energy Marketing"/>
    <n v="-443951"/>
    <n v="903.13346574503635"/>
    <n v="-200473.50262548734"/>
  </r>
  <r>
    <n v="2486"/>
    <x v="7"/>
    <s v="Sales for Resale"/>
    <x v="2"/>
    <x v="4"/>
    <s v="TransCanada Energy Sales Ltd"/>
    <n v="-49555"/>
    <n v="903.13346574503635"/>
    <n v="-22377.389447497641"/>
  </r>
  <r>
    <n v="2487"/>
    <x v="7"/>
    <s v="Sales for Resale"/>
    <x v="2"/>
    <x v="4"/>
    <s v="Tri-State Generation and Transmissi"/>
    <n v="-12499"/>
    <n v="903.13346574503635"/>
    <n v="-5644.132594173605"/>
  </r>
  <r>
    <n v="2488"/>
    <x v="7"/>
    <s v="Sales for Resale"/>
    <x v="2"/>
    <x v="4"/>
    <s v="Turlock Irrigation District"/>
    <n v="-3606"/>
    <n v="903.13346574503635"/>
    <n v="-1628.3496387383004"/>
  </r>
  <r>
    <n v="2489"/>
    <x v="7"/>
    <s v="Sales for Resale"/>
    <x v="2"/>
    <x v="4"/>
    <s v="Western Area Power Association"/>
    <n v="-407"/>
    <n v="903.13346574503635"/>
    <n v="-183.7876602791149"/>
  </r>
  <r>
    <n v="2527"/>
    <x v="8"/>
    <s v="Generation - Hydro"/>
    <x v="0"/>
    <x v="0"/>
    <s v="Electron"/>
    <n v="57768.31"/>
    <n v="0"/>
    <n v="0"/>
  </r>
  <r>
    <n v="2528"/>
    <x v="8"/>
    <s v="Generation - Hydro"/>
    <x v="0"/>
    <x v="0"/>
    <s v="Lower Baker"/>
    <n v="350427.55599999998"/>
    <n v="0"/>
    <n v="0"/>
  </r>
  <r>
    <n v="2529"/>
    <x v="8"/>
    <s v="Generation - Hydro"/>
    <x v="0"/>
    <x v="0"/>
    <s v="Snoqualmie Falls #1"/>
    <n v="-173.11"/>
    <n v="0"/>
    <n v="0"/>
  </r>
  <r>
    <n v="2530"/>
    <x v="8"/>
    <s v="Generation - Hydro"/>
    <x v="0"/>
    <x v="0"/>
    <s v="Snoqualmie Falls #2"/>
    <n v="76306.592999999993"/>
    <n v="0"/>
    <n v="0"/>
  </r>
  <r>
    <n v="2532"/>
    <x v="8"/>
    <s v="Generation - Hydro"/>
    <x v="0"/>
    <x v="0"/>
    <s v="Upper Baker"/>
    <n v="353239.95299999998"/>
    <n v="0"/>
    <n v="0"/>
  </r>
  <r>
    <n v="2535"/>
    <x v="8"/>
    <s v="Generation - Steam"/>
    <x v="0"/>
    <x v="1"/>
    <s v="Colstrip 1 &amp; 2"/>
    <n v="2322485"/>
    <n v="2417.1951474274647"/>
    <n v="2806949.7359865373"/>
  </r>
  <r>
    <n v="2536"/>
    <x v="8"/>
    <s v="Generation - Steam"/>
    <x v="0"/>
    <x v="1"/>
    <s v="Colstrip 3 &amp; 4"/>
    <n v="2023723"/>
    <n v="2310.6941211344692"/>
    <n v="2338102.4194523059"/>
  </r>
  <r>
    <n v="2537"/>
    <x v="8"/>
    <s v="Generation - Steam"/>
    <x v="0"/>
    <x v="2"/>
    <s v="Encogen"/>
    <n v="268267.32500000001"/>
    <n v="1090.0119485596624"/>
    <n v="146207.29482906914"/>
  </r>
  <r>
    <n v="2538"/>
    <x v="8"/>
    <s v="Generation - Steam"/>
    <x v="0"/>
    <x v="2"/>
    <s v="Ferndale Co-Generation"/>
    <n v="869393.88599999994"/>
    <n v="1001.4112354217872"/>
    <n v="435310.40272370417"/>
  </r>
  <r>
    <n v="2539"/>
    <x v="8"/>
    <s v="Generation - Steam"/>
    <x v="0"/>
    <x v="2"/>
    <s v="Freddie #1"/>
    <n v="416396.53899999999"/>
    <n v="1735.1748954894076"/>
    <n v="361260.41052073799"/>
  </r>
  <r>
    <n v="2540"/>
    <x v="8"/>
    <s v="Generation - Steam"/>
    <x v="0"/>
    <x v="2"/>
    <s v="Goldendale"/>
    <n v="1469093.6269999999"/>
    <n v="816.81954748930616"/>
    <n v="599992.19581278169"/>
  </r>
  <r>
    <n v="2541"/>
    <x v="8"/>
    <s v="Generation - Steam"/>
    <x v="0"/>
    <x v="2"/>
    <s v="Mint Farm"/>
    <n v="1614347.7590000001"/>
    <n v="864.2324486412848"/>
    <n v="697585.85835957038"/>
  </r>
  <r>
    <n v="2542"/>
    <x v="8"/>
    <s v="Generation - Steam"/>
    <x v="0"/>
    <x v="2"/>
    <s v="Sumas"/>
    <n v="536584.62"/>
    <n v="1027.0424170770877"/>
    <n v="275547.5825455953"/>
  </r>
  <r>
    <n v="2545"/>
    <x v="8"/>
    <s v="Generation - Oil/Gas/Wind"/>
    <x v="0"/>
    <x v="3"/>
    <s v="Crystal Mountain"/>
    <n v="48.722000000000001"/>
    <n v="2629.0976266346393"/>
    <n v="64.047447282446456"/>
  </r>
  <r>
    <n v="2549"/>
    <x v="8"/>
    <s v="Generation - Oil/Gas/Wind"/>
    <x v="0"/>
    <x v="2"/>
    <s v="Fredonia"/>
    <n v="112470.95"/>
    <n v="1470.4134074018527"/>
    <n v="82689.396411611713"/>
  </r>
  <r>
    <n v="2550"/>
    <x v="8"/>
    <s v="Generation - Oil/Gas/Wind"/>
    <x v="0"/>
    <x v="2"/>
    <s v="Fredonia 3 &amp; 4"/>
    <n v="12943.957"/>
    <n v="1252.1295261118873"/>
    <n v="8103.7553722113244"/>
  </r>
  <r>
    <n v="2551"/>
    <x v="8"/>
    <s v="Generation - Oil/Gas/Wind"/>
    <x v="0"/>
    <x v="2"/>
    <s v="Fredrickson 1 &amp; 2"/>
    <n v="27905.3"/>
    <n v="2727.9687020896617"/>
    <n v="38062.392511211321"/>
  </r>
  <r>
    <n v="2553"/>
    <x v="8"/>
    <s v="Generation - Oil/Gas/Wind"/>
    <x v="0"/>
    <x v="0"/>
    <s v="Hopkins Ridge (W184)"/>
    <n v="406599.78"/>
    <n v="0"/>
    <n v="0"/>
  </r>
  <r>
    <n v="2554"/>
    <x v="8"/>
    <s v="Generation - Oil/Gas/Wind"/>
    <x v="0"/>
    <x v="0"/>
    <s v="Lower Snake River"/>
    <n v="816895.07"/>
    <n v="0"/>
    <n v="0"/>
  </r>
  <r>
    <n v="2561"/>
    <x v="8"/>
    <s v="Generation - Oil/Gas/Wind"/>
    <x v="0"/>
    <x v="2"/>
    <s v="Whitehorn 2&amp;3"/>
    <n v="27795.7"/>
    <n v="2273.2985103724336"/>
    <n v="31593.961702379525"/>
  </r>
  <r>
    <n v="2562"/>
    <x v="8"/>
    <s v="Generation - Oil/Gas/Wind"/>
    <x v="0"/>
    <x v="0"/>
    <s v="Wild Horse (W183)"/>
    <n v="659105.34199999995"/>
    <n v="0"/>
    <n v="0"/>
  </r>
  <r>
    <n v="2564"/>
    <x v="8"/>
    <s v="Purchases - Firm"/>
    <x v="1"/>
    <x v="0"/>
    <s v="3 Bar G Wind Turbine #3 LLC"/>
    <n v="202.654"/>
    <n v="0"/>
    <n v="0"/>
  </r>
  <r>
    <n v="2565"/>
    <x v="8"/>
    <s v="Purchases - Firm"/>
    <x v="1"/>
    <x v="4"/>
    <s v="Barclays Bank Plc"/>
    <n v="216075"/>
    <n v="1132.1250513717666"/>
    <n v="122311.96023757724"/>
  </r>
  <r>
    <n v="2566"/>
    <x v="8"/>
    <s v="Purchases - Firm"/>
    <x v="1"/>
    <x v="4"/>
    <s v="BC Hydro (Point Roberts)"/>
    <n v="21366.07"/>
    <n v="1132.1250513717666"/>
    <n v="12094.531548181381"/>
  </r>
  <r>
    <n v="2567"/>
    <x v="8"/>
    <s v="Purchases - Firm"/>
    <x v="1"/>
    <x v="0"/>
    <s v="Bio Energy Washington (BEW)"/>
    <n v="0.89400000000000002"/>
    <n v="0"/>
    <n v="0"/>
  </r>
  <r>
    <n v="2568"/>
    <x v="8"/>
    <s v="Purchases - Firm"/>
    <x v="1"/>
    <x v="0"/>
    <s v="Black Creek Hydro Inc"/>
    <n v="12819.279"/>
    <n v="0"/>
    <n v="0"/>
  </r>
  <r>
    <n v="2569"/>
    <x v="8"/>
    <s v="Purchases - Firm"/>
    <x v="1"/>
    <x v="7"/>
    <s v="Book Outs - EITF 03-11"/>
    <n v="-204155"/>
    <n v="0"/>
    <n v="0"/>
  </r>
  <r>
    <n v="2570"/>
    <x v="8"/>
    <s v="Purchases - Firm"/>
    <x v="1"/>
    <x v="0"/>
    <s v="BPA"/>
    <n v="7000"/>
    <n v="0"/>
    <n v="0"/>
  </r>
  <r>
    <n v="2571"/>
    <x v="8"/>
    <s v="Purchases - Firm"/>
    <x v="1"/>
    <x v="4"/>
    <s v="BPA Firm - WNP#3 Exchange"/>
    <n v="374969"/>
    <n v="1132.1250513717666"/>
    <n v="212255.89919390998"/>
  </r>
  <r>
    <n v="2572"/>
    <x v="8"/>
    <s v="Purchases - Firm"/>
    <x v="1"/>
    <x v="0"/>
    <s v="CC Solar 1 and CC Solar 2"/>
    <n v="28.17"/>
    <n v="0"/>
    <n v="0"/>
  </r>
  <r>
    <n v="2573"/>
    <x v="8"/>
    <s v="Purchases - Firm"/>
    <x v="1"/>
    <x v="0"/>
    <s v="Chelan PUD - RI &amp; RR"/>
    <n v="2436603"/>
    <n v="0"/>
    <n v="0"/>
  </r>
  <r>
    <n v="2574"/>
    <x v="8"/>
    <s v="Purchases - Firm"/>
    <x v="1"/>
    <x v="0"/>
    <s v="Chelan PUD - Rock Island Syst #2"/>
    <n v="-43063"/>
    <n v="0"/>
    <n v="0"/>
  </r>
  <r>
    <n v="2575"/>
    <x v="8"/>
    <s v="Purchases - Firm"/>
    <x v="1"/>
    <x v="0"/>
    <s v="Chelan PUD - Rocky Reach"/>
    <n v="-78804"/>
    <n v="0"/>
    <n v="0"/>
  </r>
  <r>
    <n v="2576"/>
    <x v="8"/>
    <s v="Purchases - Firm"/>
    <x v="1"/>
    <x v="0"/>
    <s v="Douglas PUD - Wells Project"/>
    <n v="1064303"/>
    <n v="0"/>
    <n v="0"/>
  </r>
  <r>
    <n v="2577"/>
    <x v="8"/>
    <s v="Purchases - Firm"/>
    <x v="1"/>
    <x v="0"/>
    <s v="Edaleen Dairy LLC"/>
    <n v="3924.8539999999998"/>
    <n v="0"/>
    <n v="0"/>
  </r>
  <r>
    <n v="2578"/>
    <x v="8"/>
    <s v="Purchases - Firm"/>
    <x v="1"/>
    <x v="0"/>
    <s v="Farm Power Lynden LLC"/>
    <n v="4128.7299999999996"/>
    <n v="0"/>
    <n v="0"/>
  </r>
  <r>
    <n v="2579"/>
    <x v="8"/>
    <s v="Purchases - Firm"/>
    <x v="1"/>
    <x v="0"/>
    <s v="Farm Power Rexville LLC"/>
    <n v="5448.1419999999998"/>
    <n v="0"/>
    <n v="0"/>
  </r>
  <r>
    <n v="2580"/>
    <x v="8"/>
    <s v="Purchases - Firm"/>
    <x v="1"/>
    <x v="0"/>
    <s v="Grant PUD - Priest Rapids Project"/>
    <n v="72986"/>
    <n v="0"/>
    <n v="0"/>
  </r>
  <r>
    <n v="2581"/>
    <x v="8"/>
    <s v="Purchases - Firm"/>
    <x v="1"/>
    <x v="0"/>
    <s v="Island Community Solar LLC"/>
    <n v="59.14"/>
    <n v="0"/>
    <n v="0"/>
  </r>
  <r>
    <n v="2582"/>
    <x v="8"/>
    <s v="Purchases - Firm"/>
    <x v="1"/>
    <x v="4"/>
    <s v="JP Morgan Ventures Energy"/>
    <n v="161925"/>
    <n v="1132.1250513717666"/>
    <n v="91659.674471686667"/>
  </r>
  <r>
    <n v="2583"/>
    <x v="8"/>
    <s v="Purchases - Firm"/>
    <x v="1"/>
    <x v="2"/>
    <s v="Klamath Falls (Iberdrola)"/>
    <n v="8450"/>
    <n v="807.41888800286392"/>
    <n v="3411.3448018121003"/>
  </r>
  <r>
    <n v="2584"/>
    <x v="8"/>
    <s v="Purchases - Firm"/>
    <x v="1"/>
    <x v="0"/>
    <s v="Klondike Wind Power III"/>
    <n v="134050"/>
    <n v="0"/>
    <n v="0"/>
  </r>
  <r>
    <n v="2585"/>
    <x v="8"/>
    <s v="Purchases - Firm"/>
    <x v="1"/>
    <x v="0"/>
    <s v="Knudsen Wind Turbine #1"/>
    <n v="127.961"/>
    <n v="0"/>
    <n v="0"/>
  </r>
  <r>
    <n v="2586"/>
    <x v="8"/>
    <s v="Purchases - Firm"/>
    <x v="1"/>
    <x v="0"/>
    <s v="Qualco Energy"/>
    <n v="3381"/>
    <n v="0"/>
    <n v="0"/>
  </r>
  <r>
    <n v="2587"/>
    <x v="8"/>
    <s v="Purchases - Firm"/>
    <x v="1"/>
    <x v="0"/>
    <s v="Rainier Bio Gas"/>
    <n v="5794.9889999999996"/>
    <n v="0"/>
    <n v="0"/>
  </r>
  <r>
    <n v="2588"/>
    <x v="8"/>
    <s v="Purchases - Firm"/>
    <x v="1"/>
    <x v="4"/>
    <s v="Shell Energy (Coral Pwr)"/>
    <n v="107950"/>
    <n v="1132.1250513717666"/>
    <n v="61106.449647791102"/>
  </r>
  <r>
    <n v="2589"/>
    <x v="8"/>
    <s v="Purchases - Firm"/>
    <x v="1"/>
    <x v="0"/>
    <s v="Skookumchuck Hydro"/>
    <n v="6742.4620000000004"/>
    <n v="0"/>
    <n v="0"/>
  </r>
  <r>
    <n v="2590"/>
    <x v="8"/>
    <s v="Purchases - Firm"/>
    <x v="1"/>
    <x v="0"/>
    <s v="Smith Creek Hydro"/>
    <n v="147.297"/>
    <n v="0"/>
    <n v="0"/>
  </r>
  <r>
    <n v="2591"/>
    <x v="8"/>
    <s v="Purchases - Firm"/>
    <x v="1"/>
    <x v="0"/>
    <s v="Swauk Wind"/>
    <n v="10571.721"/>
    <n v="0"/>
    <n v="0"/>
  </r>
  <r>
    <n v="2592"/>
    <x v="8"/>
    <s v="Purchases - Firm"/>
    <x v="1"/>
    <x v="0"/>
    <s v="Van Dyk - S Holsteins"/>
    <n v="2314.8589999999999"/>
    <n v="0"/>
    <n v="0"/>
  </r>
  <r>
    <n v="2593"/>
    <x v="8"/>
    <s v="Purchases - Firm"/>
    <x v="1"/>
    <x v="0"/>
    <s v="VanderHaak Dairy Digester"/>
    <n v="2969.8710000000001"/>
    <n v="0"/>
    <n v="0"/>
  </r>
  <r>
    <n v="2596"/>
    <x v="8"/>
    <s v="Purchases - PURPA"/>
    <x v="1"/>
    <x v="0"/>
    <s v="Bio Energy Washington (BEW)"/>
    <n v="27.050999999999998"/>
    <n v="0"/>
    <n v="0"/>
  </r>
  <r>
    <n v="2597"/>
    <x v="8"/>
    <s v="Purchases - PURPA"/>
    <x v="1"/>
    <x v="0"/>
    <s v="BIO FUEL WA"/>
    <n v="1564.5119999999999"/>
    <n v="0"/>
    <n v="0"/>
  </r>
  <r>
    <n v="2598"/>
    <x v="8"/>
    <s v="Purchases - PURPA"/>
    <x v="1"/>
    <x v="0"/>
    <s v="Hutchinson Creek"/>
    <n v="814.8"/>
    <n v="0"/>
    <n v="0"/>
  </r>
  <r>
    <n v="2599"/>
    <x v="8"/>
    <s v="Purchases - PURPA"/>
    <x v="1"/>
    <x v="0"/>
    <s v="Koma Kulshan Associates"/>
    <n v="40135.911999999997"/>
    <n v="0"/>
    <n v="0"/>
  </r>
  <r>
    <n v="2600"/>
    <x v="8"/>
    <s v="Purchases - PURPA"/>
    <x v="1"/>
    <x v="0"/>
    <s v="Lake Washington -- Finn Hill"/>
    <n v="288.08"/>
    <n v="0"/>
    <n v="0"/>
  </r>
  <r>
    <n v="2601"/>
    <x v="8"/>
    <s v="Purchases - PURPA"/>
    <x v="1"/>
    <x v="0"/>
    <s v="Nooksack"/>
    <n v="23771.706999999999"/>
    <n v="0"/>
    <n v="0"/>
  </r>
  <r>
    <n v="2602"/>
    <x v="8"/>
    <s v="Purchases - PURPA"/>
    <x v="1"/>
    <x v="0"/>
    <s v="Sygitowicz Creek"/>
    <n v="1170.0820000000001"/>
    <n v="0"/>
    <n v="0"/>
  </r>
  <r>
    <n v="2603"/>
    <x v="8"/>
    <s v="Purchases - PURPA"/>
    <x v="1"/>
    <x v="0"/>
    <s v="Twin Falls Hydro"/>
    <n v="83478.721999999994"/>
    <n v="0"/>
    <n v="0"/>
  </r>
  <r>
    <n v="2604"/>
    <x v="8"/>
    <s v="Purchases - PURPA"/>
    <x v="1"/>
    <x v="0"/>
    <s v="Weeks Falls"/>
    <n v="14706.681"/>
    <n v="0"/>
    <n v="0"/>
  </r>
  <r>
    <n v="2606"/>
    <x v="8"/>
    <s v="Purchases - Secondary"/>
    <x v="2"/>
    <x v="4"/>
    <s v="Avista Corp. WWP Division"/>
    <n v="231202.04"/>
    <n v="1132.1250513717666"/>
    <n v="130874.81070612863"/>
  </r>
  <r>
    <n v="2608"/>
    <x v="8"/>
    <s v="Purchases - Secondary"/>
    <x v="2"/>
    <x v="4"/>
    <s v="Black Hills Power"/>
    <n v="4600"/>
    <n v="1132.1250513717666"/>
    <n v="2603.8876181550631"/>
  </r>
  <r>
    <n v="2609"/>
    <x v="8"/>
    <s v="Purchases - Secondary"/>
    <x v="2"/>
    <x v="4"/>
    <s v="Book Outs - EITF 03-11"/>
    <n v="-3157200"/>
    <n v="1132.1250513717666"/>
    <n v="-1787172.606095471"/>
  </r>
  <r>
    <n v="2610"/>
    <x v="8"/>
    <s v="Purchases - Secondary"/>
    <x v="2"/>
    <x v="4"/>
    <s v="BP Energy Co."/>
    <n v="1103049"/>
    <n v="1132.1250513717666"/>
    <n v="624394.70289528789"/>
  </r>
  <r>
    <n v="2611"/>
    <x v="8"/>
    <s v="Purchases - Secondary"/>
    <x v="2"/>
    <x v="4"/>
    <s v="BPA"/>
    <n v="417735"/>
    <n v="1132.1250513717666"/>
    <n v="236464.12916739247"/>
  </r>
  <r>
    <n v="2613"/>
    <x v="8"/>
    <s v="Purchases - Secondary"/>
    <x v="2"/>
    <x v="4"/>
    <s v="Brookfield Energy Marketing"/>
    <n v="800"/>
    <n v="1132.1250513717666"/>
    <n v="452.85002054870665"/>
  </r>
  <r>
    <n v="2614"/>
    <x v="8"/>
    <s v="Purchases - Secondary"/>
    <x v="2"/>
    <x v="4"/>
    <s v="Burbank, City of"/>
    <n v="200"/>
    <n v="1132.1250513717666"/>
    <n v="113.21250513717666"/>
  </r>
  <r>
    <n v="2615"/>
    <x v="8"/>
    <s v="Purchases - Secondary"/>
    <x v="2"/>
    <x v="4"/>
    <s v="California ISO"/>
    <n v="34629"/>
    <n v="1132.1250513717666"/>
    <n v="19602.179201976451"/>
  </r>
  <r>
    <n v="2616"/>
    <x v="8"/>
    <s v="Purchases - Secondary"/>
    <x v="2"/>
    <x v="4"/>
    <s v="Calpine Energy Services"/>
    <n v="82375"/>
    <n v="1132.1250513717666"/>
    <n v="46629.400553374639"/>
  </r>
  <r>
    <n v="2617"/>
    <x v="8"/>
    <s v="Purchases - Secondary"/>
    <x v="2"/>
    <x v="4"/>
    <s v="Cargill Power Markets"/>
    <n v="475057"/>
    <n v="1132.1250513717666"/>
    <n v="268911.96526475862"/>
  </r>
  <r>
    <n v="2618"/>
    <x v="8"/>
    <s v="Purchases - Secondary"/>
    <x v="2"/>
    <x v="4"/>
    <s v="Chelan County PUD #1"/>
    <n v="15616"/>
    <n v="1132.1250513717666"/>
    <n v="8839.6324011107536"/>
  </r>
  <r>
    <n v="2620"/>
    <x v="8"/>
    <s v="Purchases - Secondary"/>
    <x v="2"/>
    <x v="4"/>
    <s v="Citigroup Energy Inc"/>
    <n v="209900"/>
    <n v="1132.1250513717666"/>
    <n v="118816.5241414669"/>
  </r>
  <r>
    <n v="2621"/>
    <x v="8"/>
    <s v="Purchases - Secondary"/>
    <x v="2"/>
    <x v="4"/>
    <s v="Clark Public Utilities"/>
    <n v="16000"/>
    <n v="1132.1250513717666"/>
    <n v="9057.000410974133"/>
  </r>
  <r>
    <n v="2622"/>
    <x v="8"/>
    <s v="Purchases - Secondary"/>
    <x v="2"/>
    <x v="4"/>
    <s v="Clatskanie PUD"/>
    <n v="2268"/>
    <n v="1132.1250513717666"/>
    <n v="1283.8298082555832"/>
  </r>
  <r>
    <n v="2623"/>
    <x v="8"/>
    <s v="Purchases - Secondary"/>
    <x v="2"/>
    <x v="4"/>
    <s v="Constellation Power Source, Inc."/>
    <n v="12317"/>
    <n v="1132.1250513717666"/>
    <n v="6972.1921288730255"/>
  </r>
  <r>
    <n v="2624"/>
    <x v="8"/>
    <s v="Purchases - Secondary"/>
    <x v="2"/>
    <x v="4"/>
    <s v="CP Energy Marketing (Epcor)"/>
    <n v="5815"/>
    <n v="1132.1250513717666"/>
    <n v="3291.6535868634114"/>
  </r>
  <r>
    <n v="2625"/>
    <x v="8"/>
    <s v="Purchases - Secondary"/>
    <x v="2"/>
    <x v="4"/>
    <s v="DB Energy Trading LLC"/>
    <n v="433233"/>
    <n v="1132.1250513717666"/>
    <n v="245236.96619047227"/>
  </r>
  <r>
    <n v="2627"/>
    <x v="8"/>
    <s v="Purchases - Secondary"/>
    <x v="2"/>
    <x v="4"/>
    <s v="Douglas County PUD #1"/>
    <n v="305577"/>
    <n v="1132.1250513717666"/>
    <n v="172975.68841151518"/>
  </r>
  <r>
    <n v="2629"/>
    <x v="8"/>
    <s v="Purchases - Secondary"/>
    <x v="2"/>
    <x v="4"/>
    <s v="EDF Trading NA LLC"/>
    <n v="163552"/>
    <n v="1132.1250513717666"/>
    <n v="92580.658200977588"/>
  </r>
  <r>
    <n v="2630"/>
    <x v="8"/>
    <s v="Purchases - Secondary"/>
    <x v="2"/>
    <x v="4"/>
    <s v="Eugene Water &amp; Electric"/>
    <n v="14487"/>
    <n v="1132.1250513717666"/>
    <n v="8200.5478096113911"/>
  </r>
  <r>
    <n v="2632"/>
    <x v="8"/>
    <s v="Purchases - Secondary"/>
    <x v="2"/>
    <x v="4"/>
    <s v="Exelon Generation Co LLC"/>
    <n v="60279"/>
    <n v="1132.1250513717666"/>
    <n v="34121.68298581936"/>
  </r>
  <r>
    <n v="2635"/>
    <x v="8"/>
    <s v="Purchases - Secondary"/>
    <x v="2"/>
    <x v="4"/>
    <s v="Grant County PUD #2"/>
    <n v="27401"/>
    <n v="1132.1250513717666"/>
    <n v="15510.67926631889"/>
  </r>
  <r>
    <n v="2636"/>
    <x v="8"/>
    <s v="Purchases - Secondary"/>
    <x v="2"/>
    <x v="4"/>
    <s v="Iberdrola Renewables (PPM Energy)"/>
    <n v="862192"/>
    <n v="1132.1250513717666"/>
    <n v="488054.58114616311"/>
  </r>
  <r>
    <n v="2637"/>
    <x v="8"/>
    <s v="Purchases - Secondary"/>
    <x v="2"/>
    <x v="4"/>
    <s v="Idaho Power Company"/>
    <n v="8565"/>
    <n v="1132.1250513717666"/>
    <n v="4848.3255324995907"/>
  </r>
  <r>
    <n v="2638"/>
    <x v="8"/>
    <s v="Purchases - Secondary"/>
    <x v="2"/>
    <x v="4"/>
    <s v="J. Aron &amp; Company"/>
    <n v="16200"/>
    <n v="1132.1250513717666"/>
    <n v="9170.2129161113098"/>
  </r>
  <r>
    <n v="2641"/>
    <x v="8"/>
    <s v="Purchases - Secondary"/>
    <x v="2"/>
    <x v="4"/>
    <s v="JP Morgan Ventures Energy"/>
    <n v="1017850"/>
    <n v="1132.1250513717666"/>
    <n v="576166.74176937633"/>
  </r>
  <r>
    <n v="2644"/>
    <x v="8"/>
    <s v="Purchases - Secondary"/>
    <x v="2"/>
    <x v="4"/>
    <s v="Morgan Stanley CG"/>
    <n v="2038800"/>
    <n v="1132.1250513717666"/>
    <n v="1154088.2773683788"/>
  </r>
  <r>
    <n v="2646"/>
    <x v="8"/>
    <s v="Purchases - Secondary"/>
    <x v="2"/>
    <x v="4"/>
    <s v="Natur Ener USA"/>
    <n v="2"/>
    <n v="1132.1250513717666"/>
    <n v="1.1321250513717667"/>
  </r>
  <r>
    <n v="2647"/>
    <x v="8"/>
    <s v="Purchases - Secondary"/>
    <x v="2"/>
    <x v="4"/>
    <s v="NextEra Energy Power Marketing"/>
    <n v="38830"/>
    <n v="1132.1250513717666"/>
    <n v="21980.207872382849"/>
  </r>
  <r>
    <n v="2648"/>
    <x v="8"/>
    <s v="Purchases - Secondary"/>
    <x v="2"/>
    <x v="4"/>
    <s v="Noble Americas Energy Solutions"/>
    <n v="8800"/>
    <n v="1132.1250513717666"/>
    <n v="4981.3502260357727"/>
  </r>
  <r>
    <n v="2649"/>
    <x v="8"/>
    <s v="Purchases - Secondary"/>
    <x v="2"/>
    <x v="4"/>
    <s v="Noble Americas Gas &amp; Power"/>
    <n v="400"/>
    <n v="1132.1250513717666"/>
    <n v="226.42501027435333"/>
  </r>
  <r>
    <n v="2650"/>
    <x v="8"/>
    <s v="Purchases - Secondary"/>
    <x v="2"/>
    <x v="4"/>
    <s v="Northwestern Energy"/>
    <n v="26622"/>
    <n v="1132.1250513717666"/>
    <n v="15069.716558809585"/>
  </r>
  <r>
    <n v="2651"/>
    <x v="8"/>
    <s v="Purchases - Secondary"/>
    <x v="2"/>
    <x v="4"/>
    <s v="Okanogan PUD"/>
    <n v="26282"/>
    <n v="1132.1250513717666"/>
    <n v="14877.255300076386"/>
  </r>
  <r>
    <n v="2652"/>
    <x v="8"/>
    <s v="Purchases - Secondary"/>
    <x v="2"/>
    <x v="4"/>
    <s v="Pacificorp"/>
    <n v="82864"/>
    <n v="1132.1250513717666"/>
    <n v="46906.205128435038"/>
  </r>
  <r>
    <n v="2653"/>
    <x v="8"/>
    <s v="Purchases - Secondary"/>
    <x v="2"/>
    <x v="4"/>
    <s v="Portland General Electric"/>
    <n v="43399"/>
    <n v="1132.1250513717666"/>
    <n v="24566.547552241649"/>
  </r>
  <r>
    <n v="2654"/>
    <x v="8"/>
    <s v="Purchases - Secondary"/>
    <x v="2"/>
    <x v="4"/>
    <s v="Powerex Corp."/>
    <n v="176702"/>
    <n v="1132.1250513717666"/>
    <n v="100024.38041374696"/>
  </r>
  <r>
    <n v="2655"/>
    <x v="8"/>
    <s v="Purchases - Secondary"/>
    <x v="2"/>
    <x v="4"/>
    <s v="Rainbow Energy Marketing"/>
    <n v="20918"/>
    <n v="1132.1250513717666"/>
    <n v="11840.895912297306"/>
  </r>
  <r>
    <n v="2656"/>
    <x v="8"/>
    <s v="Purchases - Secondary"/>
    <x v="2"/>
    <x v="4"/>
    <s v="Sacramento Municipal"/>
    <n v="1700"/>
    <n v="1132.1250513717666"/>
    <n v="962.30629366600169"/>
  </r>
  <r>
    <n v="2657"/>
    <x v="8"/>
    <s v="Purchases - Secondary"/>
    <x v="2"/>
    <x v="4"/>
    <s v="San Diego Gas &amp; Electric"/>
    <n v="76"/>
    <n v="1132.1250513717666"/>
    <n v="43.020751952127128"/>
  </r>
  <r>
    <n v="2658"/>
    <x v="8"/>
    <s v="Purchases - Secondary"/>
    <x v="2"/>
    <x v="4"/>
    <s v="Seattle City Light Marketing"/>
    <n v="144546"/>
    <n v="1132.1250513717666"/>
    <n v="81822.0738377917"/>
  </r>
  <r>
    <n v="2660"/>
    <x v="8"/>
    <s v="Purchases - Secondary"/>
    <x v="2"/>
    <x v="4"/>
    <s v="Shell Energy (Coral Pwr)"/>
    <n v="611302"/>
    <n v="1132.1250513717666"/>
    <n v="346035.15407683182"/>
  </r>
  <r>
    <n v="2662"/>
    <x v="8"/>
    <s v="Purchases - Secondary"/>
    <x v="2"/>
    <x v="4"/>
    <s v="Snohomish County PUD #1"/>
    <n v="49476"/>
    <n v="1132.1250513717666"/>
    <n v="28006.509520834763"/>
  </r>
  <r>
    <n v="2665"/>
    <x v="8"/>
    <s v="Purchases - Secondary"/>
    <x v="2"/>
    <x v="4"/>
    <s v="Southern Cal - Edison"/>
    <n v="49519"/>
    <n v="1132.1250513717666"/>
    <n v="28030.850209439257"/>
  </r>
  <r>
    <n v="2666"/>
    <x v="8"/>
    <s v="Purchases - Secondary"/>
    <x v="2"/>
    <x v="4"/>
    <s v="Tacoma Power"/>
    <n v="104948"/>
    <n v="1132.1250513717666"/>
    <n v="59407.129945682078"/>
  </r>
  <r>
    <n v="2667"/>
    <x v="8"/>
    <s v="Purchases - Secondary"/>
    <x v="2"/>
    <x v="4"/>
    <s v="Talen Energy (PPL Energy Plus)"/>
    <n v="172219"/>
    <n v="1132.1250513717666"/>
    <n v="97486.722111097144"/>
  </r>
  <r>
    <n v="2668"/>
    <x v="8"/>
    <s v="Purchases - Secondary"/>
    <x v="2"/>
    <x v="4"/>
    <s v="Tenaska Power Services Co."/>
    <n v="5800"/>
    <n v="1132.1250513717666"/>
    <n v="3283.1626489781233"/>
  </r>
  <r>
    <n v="2669"/>
    <x v="8"/>
    <s v="Purchases - Secondary"/>
    <x v="2"/>
    <x v="4"/>
    <s v="The Energy Authority"/>
    <n v="97683"/>
    <n v="1132.1250513717666"/>
    <n v="55294.685696574139"/>
  </r>
  <r>
    <n v="2670"/>
    <x v="8"/>
    <s v="Purchases - Secondary"/>
    <x v="2"/>
    <x v="4"/>
    <s v="TransAlta Energy Marketing"/>
    <n v="1129071"/>
    <n v="1132.1250513717666"/>
    <n v="639124.78193868604"/>
  </r>
  <r>
    <n v="2671"/>
    <x v="8"/>
    <s v="Purchases - Secondary"/>
    <x v="2"/>
    <x v="4"/>
    <s v="TransCanada Energy Sales Ltd"/>
    <n v="681"/>
    <n v="1132.1250513717666"/>
    <n v="385.4885799920865"/>
  </r>
  <r>
    <n v="2673"/>
    <x v="8"/>
    <s v="Purchases - Secondary"/>
    <x v="2"/>
    <x v="4"/>
    <s v="Turlock Irrigation District"/>
    <n v="60816"/>
    <n v="1132.1250513717666"/>
    <n v="34425.65856211268"/>
  </r>
  <r>
    <n v="2674"/>
    <x v="8"/>
    <s v="Purchases - Secondary"/>
    <x v="2"/>
    <x v="4"/>
    <s v="Vitol Inc."/>
    <n v="262136"/>
    <n v="1132.1250513717666"/>
    <n v="148385.36623319471"/>
  </r>
  <r>
    <n v="2676"/>
    <x v="8"/>
    <s v="Interchange - In"/>
    <x v="2"/>
    <x v="4"/>
    <s v="Pacific Gas &amp; Elec - Exchange"/>
    <n v="413000"/>
    <n v="1132.1250513717666"/>
    <n v="233783.8231082698"/>
  </r>
  <r>
    <n v="2678"/>
    <x v="8"/>
    <s v="Interchange - Out"/>
    <x v="2"/>
    <x v="4"/>
    <s v="Deviation"/>
    <n v="47848.936999999998"/>
    <n v="1132.1250513717666"/>
    <n v="27085.490129604714"/>
  </r>
  <r>
    <n v="2679"/>
    <x v="8"/>
    <s v="Interchange - Out"/>
    <x v="2"/>
    <x v="4"/>
    <s v="Pacific Gas &amp; Elec - Exchange"/>
    <n v="-413000"/>
    <n v="1132.1250513717666"/>
    <n v="-233783.8231082698"/>
  </r>
  <r>
    <n v="2727"/>
    <x v="8"/>
    <s v="Sales for Resale"/>
    <x v="2"/>
    <x v="4"/>
    <s v="Avista Corp. WWP Division"/>
    <n v="-45139"/>
    <n v="1132.1250513717666"/>
    <n v="-25551.496346935084"/>
  </r>
  <r>
    <n v="2728"/>
    <x v="8"/>
    <s v="Sales for Resale"/>
    <x v="2"/>
    <x v="4"/>
    <s v="Barclays Bank Plc"/>
    <n v="-35"/>
    <n v="1132.1250513717666"/>
    <n v="-19.812188399005919"/>
  </r>
  <r>
    <n v="2729"/>
    <x v="8"/>
    <s v="Sales for Resale"/>
    <x v="2"/>
    <x v="4"/>
    <s v="Black Hills Power"/>
    <n v="-1762"/>
    <n v="1132.1250513717666"/>
    <n v="-997.40217025852644"/>
  </r>
  <r>
    <n v="2731"/>
    <x v="8"/>
    <s v="Sales for Resale"/>
    <x v="2"/>
    <x v="4"/>
    <s v="Book Outs - EITF 03-11"/>
    <n v="3361355"/>
    <n v="1132.1250513717666"/>
    <n v="1902737.1010268724"/>
  </r>
  <r>
    <n v="2732"/>
    <x v="8"/>
    <s v="Sales for Resale"/>
    <x v="2"/>
    <x v="4"/>
    <s v="BP Energy Co."/>
    <n v="-297433"/>
    <n v="1132.1250513717666"/>
    <n v="-168365.67520232935"/>
  </r>
  <r>
    <n v="2733"/>
    <x v="8"/>
    <s v="Sales for Resale"/>
    <x v="2"/>
    <x v="4"/>
    <s v="BPA"/>
    <n v="-165628"/>
    <n v="1132.1250513717666"/>
    <n v="-93755.804004301492"/>
  </r>
  <r>
    <n v="2734"/>
    <x v="8"/>
    <s v="Sales for Resale"/>
    <x v="2"/>
    <x v="4"/>
    <s v="British Columbia Transmission Corp"/>
    <n v="-65"/>
    <n v="1132.1250513717666"/>
    <n v="-36.794064169582413"/>
  </r>
  <r>
    <n v="2735"/>
    <x v="8"/>
    <s v="Sales for Resale"/>
    <x v="2"/>
    <x v="4"/>
    <s v="Brookfield Energy Marketing"/>
    <n v="-800"/>
    <n v="1132.1250513717666"/>
    <n v="-452.85002054870665"/>
  </r>
  <r>
    <n v="2736"/>
    <x v="8"/>
    <s v="Sales for Resale"/>
    <x v="2"/>
    <x v="4"/>
    <s v="Burbank, City of"/>
    <n v="-2200"/>
    <n v="1132.1250513717666"/>
    <n v="-1245.3375565089432"/>
  </r>
  <r>
    <n v="2737"/>
    <x v="8"/>
    <s v="Sales for Resale"/>
    <x v="2"/>
    <x v="4"/>
    <s v="California ISO"/>
    <n v="-8579"/>
    <n v="1132.1250513717666"/>
    <n v="-4856.2504078591928"/>
  </r>
  <r>
    <n v="2738"/>
    <x v="8"/>
    <s v="Sales for Resale"/>
    <x v="2"/>
    <x v="4"/>
    <s v="Calpine Energy Services"/>
    <n v="-390795"/>
    <n v="1132.1250513717666"/>
    <n v="-221214.40472541479"/>
  </r>
  <r>
    <n v="2739"/>
    <x v="8"/>
    <s v="Sales for Resale"/>
    <x v="2"/>
    <x v="4"/>
    <s v="Cargill Power Markets"/>
    <n v="-158112"/>
    <n v="1132.1250513717666"/>
    <n v="-89501.278061246383"/>
  </r>
  <r>
    <n v="2740"/>
    <x v="8"/>
    <s v="Sales for Resale"/>
    <x v="2"/>
    <x v="4"/>
    <s v="Chelan County PUD #1"/>
    <n v="-25371"/>
    <n v="1132.1250513717666"/>
    <n v="-14361.572339176544"/>
  </r>
  <r>
    <n v="2741"/>
    <x v="8"/>
    <s v="Sales for Resale"/>
    <x v="2"/>
    <x v="4"/>
    <s v="Citigroup Energy Inc"/>
    <n v="-60746"/>
    <n v="1132.1250513717666"/>
    <n v="-34386.034185314667"/>
  </r>
  <r>
    <n v="2742"/>
    <x v="8"/>
    <s v="Sales for Resale"/>
    <x v="2"/>
    <x v="4"/>
    <s v="Clark Public Utilities"/>
    <n v="-18922"/>
    <n v="1132.1250513717666"/>
    <n v="-10711.035111028285"/>
  </r>
  <r>
    <n v="2743"/>
    <x v="8"/>
    <s v="Sales for Resale"/>
    <x v="2"/>
    <x v="4"/>
    <s v="Clatskanie PUD"/>
    <n v="-5659"/>
    <n v="1132.1250513717666"/>
    <n v="-3203.3478328564138"/>
  </r>
  <r>
    <n v="2744"/>
    <x v="8"/>
    <s v="Sales for Resale"/>
    <x v="2"/>
    <x v="4"/>
    <s v="Constellation Power Source, Inc."/>
    <n v="-1"/>
    <n v="1132.1250513717666"/>
    <n v="-0.56606252568588333"/>
  </r>
  <r>
    <n v="2745"/>
    <x v="8"/>
    <s v="Sales for Resale"/>
    <x v="2"/>
    <x v="4"/>
    <s v="CP Energy Marketing (Epcor)"/>
    <n v="-1115"/>
    <n v="1132.1250513717666"/>
    <n v="-631.15971613975989"/>
  </r>
  <r>
    <n v="2746"/>
    <x v="8"/>
    <s v="Sales for Resale"/>
    <x v="2"/>
    <x v="4"/>
    <s v="DB Energy Trading LLC"/>
    <n v="8"/>
    <n v="1132.1250513717666"/>
    <n v="4.5285002054870667"/>
  </r>
  <r>
    <n v="2747"/>
    <x v="8"/>
    <s v="Sales for Resale"/>
    <x v="2"/>
    <x v="4"/>
    <s v="Douglas County PUD #1"/>
    <n v="-3025"/>
    <n v="1132.1250513717666"/>
    <n v="-1712.3391401997969"/>
  </r>
  <r>
    <n v="2748"/>
    <x v="8"/>
    <s v="Sales for Resale"/>
    <x v="2"/>
    <x v="4"/>
    <s v="EDF Trading NA LLC"/>
    <n v="-40695"/>
    <n v="1132.1250513717666"/>
    <n v="-23035.914482787022"/>
  </r>
  <r>
    <n v="2749"/>
    <x v="8"/>
    <s v="Sales for Resale"/>
    <x v="2"/>
    <x v="4"/>
    <s v="Eugene Water &amp; Electric"/>
    <n v="-35479"/>
    <n v="1132.1250513717666"/>
    <n v="-20083.332348809454"/>
  </r>
  <r>
    <n v="2750"/>
    <x v="8"/>
    <s v="Sales for Resale"/>
    <x v="2"/>
    <x v="4"/>
    <s v="Exelon Generation Co LLC"/>
    <n v="-34998"/>
    <n v="1132.1250513717666"/>
    <n v="-19811.056273954546"/>
  </r>
  <r>
    <n v="2751"/>
    <x v="8"/>
    <s v="Sales for Resale"/>
    <x v="2"/>
    <x v="4"/>
    <s v="Fortis BC"/>
    <n v="-144215"/>
    <n v="1132.1250513717666"/>
    <n v="-81634.707141789666"/>
  </r>
  <r>
    <n v="2753"/>
    <x v="8"/>
    <s v="Sales for Resale"/>
    <x v="2"/>
    <x v="4"/>
    <s v="Grant County PUD #2"/>
    <n v="-26969"/>
    <n v="1132.1250513717666"/>
    <n v="-15266.140255222586"/>
  </r>
  <r>
    <n v="2754"/>
    <x v="8"/>
    <s v="Sales for Resale"/>
    <x v="2"/>
    <x v="4"/>
    <s v="Iberdrola Renewables (PPM Energy)"/>
    <n v="-646518"/>
    <n v="1132.1250513717666"/>
    <n v="-365969.61198138591"/>
  </r>
  <r>
    <n v="2755"/>
    <x v="8"/>
    <s v="Sales for Resale"/>
    <x v="2"/>
    <x v="4"/>
    <s v="Idaho Power Company"/>
    <n v="-27009"/>
    <n v="1132.1250513717666"/>
    <n v="-15288.782756250022"/>
  </r>
  <r>
    <n v="2756"/>
    <x v="8"/>
    <s v="Sales for Resale"/>
    <x v="2"/>
    <x v="4"/>
    <s v="J. Aron &amp; Company"/>
    <n v="-52425"/>
    <n v="1132.1250513717666"/>
    <n v="-29675.827909082433"/>
  </r>
  <r>
    <n v="2757"/>
    <x v="8"/>
    <s v="Sales for Resale"/>
    <x v="2"/>
    <x v="4"/>
    <s v="JP Morgan Ventures Energy"/>
    <n v="-54818"/>
    <n v="1132.1250513717666"/>
    <n v="-31030.415533048752"/>
  </r>
  <r>
    <n v="2758"/>
    <x v="8"/>
    <s v="Sales for Resale"/>
    <x v="2"/>
    <x v="4"/>
    <s v="Morgan Stanley CG"/>
    <n v="-389258"/>
    <n v="1132.1250513717666"/>
    <n v="-220344.36662343555"/>
  </r>
  <r>
    <n v="2759"/>
    <x v="8"/>
    <s v="Sales for Resale"/>
    <x v="2"/>
    <x v="4"/>
    <s v="Natur Ener USA"/>
    <n v="-9"/>
    <n v="1132.1250513717666"/>
    <n v="-5.0945627311729496"/>
  </r>
  <r>
    <n v="2760"/>
    <x v="8"/>
    <s v="Sales for Resale"/>
    <x v="2"/>
    <x v="4"/>
    <s v="NextEra Energy Power Marketing"/>
    <n v="-1181"/>
    <n v="1132.1250513717666"/>
    <n v="-668.51984283502816"/>
  </r>
  <r>
    <n v="2761"/>
    <x v="8"/>
    <s v="Sales for Resale"/>
    <x v="2"/>
    <x v="4"/>
    <s v="Noble Americas Energy Solutions"/>
    <n v="-5999"/>
    <n v="1132.1250513717666"/>
    <n v="-3395.8090915896137"/>
  </r>
  <r>
    <n v="2762"/>
    <x v="8"/>
    <s v="Sales for Resale"/>
    <x v="2"/>
    <x v="4"/>
    <s v="Noble Americas Gas &amp; Power"/>
    <n v="-6600"/>
    <n v="1132.1250513717666"/>
    <n v="-3736.01266952683"/>
  </r>
  <r>
    <n v="2763"/>
    <x v="8"/>
    <s v="Sales for Resale"/>
    <x v="2"/>
    <x v="4"/>
    <s v="NorthPoint Energy Solutions, Inc."/>
    <n v="-23745"/>
    <n v="1132.1250513717666"/>
    <n v="-13441.1546724113"/>
  </r>
  <r>
    <n v="2764"/>
    <x v="8"/>
    <s v="Sales for Resale"/>
    <x v="2"/>
    <x v="4"/>
    <s v="Northwestern Energy"/>
    <n v="-83310"/>
    <n v="1132.1250513717666"/>
    <n v="-47158.66901489094"/>
  </r>
  <r>
    <n v="2765"/>
    <x v="8"/>
    <s v="Sales for Resale"/>
    <x v="2"/>
    <x v="4"/>
    <s v="Okanogan PUD"/>
    <n v="-2675"/>
    <n v="1132.1250513717666"/>
    <n v="-1514.2172562097378"/>
  </r>
  <r>
    <n v="2766"/>
    <x v="8"/>
    <s v="Sales for Resale"/>
    <x v="2"/>
    <x v="4"/>
    <s v="Pacificorp"/>
    <n v="-277031"/>
    <n v="1132.1250513717666"/>
    <n v="-156816.86755328593"/>
  </r>
  <r>
    <n v="2767"/>
    <x v="8"/>
    <s v="Sales for Resale"/>
    <x v="2"/>
    <x v="4"/>
    <s v="Portland General Electric"/>
    <n v="-192170"/>
    <n v="1132.1250513717666"/>
    <n v="-108780.23556105619"/>
  </r>
  <r>
    <n v="2768"/>
    <x v="8"/>
    <s v="Sales for Resale"/>
    <x v="2"/>
    <x v="4"/>
    <s v="Powerex Corp."/>
    <n v="-403044"/>
    <n v="1132.1250513717666"/>
    <n v="-228148.10460254113"/>
  </r>
  <r>
    <n v="2769"/>
    <x v="8"/>
    <s v="Sales for Resale"/>
    <x v="2"/>
    <x v="4"/>
    <s v="Rainbow Energy Marketing"/>
    <n v="-35434"/>
    <n v="1132.1250513717666"/>
    <n v="-20057.859535153591"/>
  </r>
  <r>
    <n v="2770"/>
    <x v="8"/>
    <s v="Sales for Resale"/>
    <x v="2"/>
    <x v="4"/>
    <s v="Sacramento Municipal"/>
    <n v="-7107"/>
    <n v="1132.1250513717666"/>
    <n v="-4023.0063700495725"/>
  </r>
  <r>
    <n v="2771"/>
    <x v="8"/>
    <s v="Sales for Resale"/>
    <x v="2"/>
    <x v="4"/>
    <s v="San Diego Gas &amp; Electric"/>
    <n v="-975"/>
    <n v="1132.1250513717666"/>
    <n v="-551.91096254373622"/>
  </r>
  <r>
    <n v="2772"/>
    <x v="8"/>
    <s v="Sales for Resale"/>
    <x v="2"/>
    <x v="4"/>
    <s v="Seattle City Light Marketing"/>
    <n v="-23533"/>
    <n v="1132.1250513717666"/>
    <n v="-13321.149416965893"/>
  </r>
  <r>
    <n v="2773"/>
    <x v="8"/>
    <s v="Sales for Resale"/>
    <x v="2"/>
    <x v="4"/>
    <s v="Shell Energy (Coral Pwr)"/>
    <n v="-279421"/>
    <n v="1132.1250513717666"/>
    <n v="-158169.7569896752"/>
  </r>
  <r>
    <n v="2774"/>
    <x v="8"/>
    <s v="Sales for Resale"/>
    <x v="2"/>
    <x v="4"/>
    <s v="Sierra Pacific Power"/>
    <n v="-2095"/>
    <n v="1132.1250513717666"/>
    <n v="-1185.9009913119255"/>
  </r>
  <r>
    <n v="2775"/>
    <x v="8"/>
    <s v="Sales for Resale"/>
    <x v="2"/>
    <x v="4"/>
    <s v="Snohomish County PUD #1"/>
    <n v="-30000"/>
    <n v="1132.1250513717666"/>
    <n v="-16981.875770576498"/>
  </r>
  <r>
    <n v="2776"/>
    <x v="8"/>
    <s v="Sales for Resale"/>
    <x v="2"/>
    <x v="4"/>
    <s v="Southern Cal - Edison"/>
    <n v="-175"/>
    <n v="1132.1250513717666"/>
    <n v="-99.06094199502958"/>
  </r>
  <r>
    <n v="2777"/>
    <x v="8"/>
    <s v="Sales for Resale"/>
    <x v="2"/>
    <x v="4"/>
    <s v="Tacoma Power"/>
    <n v="-36049"/>
    <n v="1132.1250513717666"/>
    <n v="-20405.987988450408"/>
  </r>
  <r>
    <n v="2778"/>
    <x v="8"/>
    <s v="Sales for Resale"/>
    <x v="2"/>
    <x v="4"/>
    <s v="Talen Energy (PPL Energy Plus)"/>
    <n v="-64235"/>
    <n v="1132.1250513717666"/>
    <n v="-36361.026337432711"/>
  </r>
  <r>
    <n v="2779"/>
    <x v="8"/>
    <s v="Sales for Resale"/>
    <x v="2"/>
    <x v="4"/>
    <s v="Tenaska Power Services Co."/>
    <n v="-870"/>
    <n v="1132.1250513717666"/>
    <n v="-492.47439734671849"/>
  </r>
  <r>
    <n v="2780"/>
    <x v="8"/>
    <s v="Sales for Resale"/>
    <x v="2"/>
    <x v="4"/>
    <s v="The Energy Authority"/>
    <n v="-43118"/>
    <n v="1132.1250513717666"/>
    <n v="-24407.483982523918"/>
  </r>
  <r>
    <n v="2781"/>
    <x v="8"/>
    <s v="Sales for Resale"/>
    <x v="2"/>
    <x v="4"/>
    <s v="TransAlta Energy Marketing"/>
    <n v="-391631"/>
    <n v="1132.1250513717666"/>
    <n v="-221687.63299688816"/>
  </r>
  <r>
    <n v="2782"/>
    <x v="8"/>
    <s v="Sales for Resale"/>
    <x v="2"/>
    <x v="4"/>
    <s v="TransCanada Energy Marketing"/>
    <n v="-3692"/>
    <n v="1132.1250513717666"/>
    <n v="-2089.9028448322811"/>
  </r>
  <r>
    <n v="2783"/>
    <x v="8"/>
    <s v="Sales for Resale"/>
    <x v="2"/>
    <x v="4"/>
    <s v="TransCanada Energy Sales Ltd"/>
    <n v="-27429"/>
    <n v="1132.1250513717666"/>
    <n v="-15526.529017038094"/>
  </r>
  <r>
    <n v="2784"/>
    <x v="8"/>
    <s v="Sales for Resale"/>
    <x v="2"/>
    <x v="4"/>
    <s v="Turlock Irrigation District"/>
    <n v="-3960"/>
    <n v="1132.1250513717666"/>
    <n v="-2241.6076017160981"/>
  </r>
  <r>
    <n v="2785"/>
    <x v="8"/>
    <s v="Sales for Resale"/>
    <x v="2"/>
    <x v="4"/>
    <s v="Vitol Inc."/>
    <n v="-466011"/>
    <n v="1132.1250513717666"/>
    <n v="-263791.3636574042"/>
  </r>
  <r>
    <n v="2801"/>
    <x v="9"/>
    <s v="Generation - Hydro"/>
    <x v="0"/>
    <x v="0"/>
    <s v="Electron"/>
    <n v="42364.24"/>
    <n v="0"/>
    <n v="0"/>
  </r>
  <r>
    <n v="2802"/>
    <x v="9"/>
    <s v="Generation - Hydro"/>
    <x v="0"/>
    <x v="0"/>
    <s v="Lower Baker"/>
    <n v="429609.103"/>
    <n v="0"/>
    <n v="0"/>
  </r>
  <r>
    <n v="2803"/>
    <x v="9"/>
    <s v="Generation - Hydro"/>
    <x v="0"/>
    <x v="0"/>
    <s v="Snoqualmie Falls #1"/>
    <n v="40375.218000000001"/>
    <n v="0"/>
    <n v="0"/>
  </r>
  <r>
    <n v="2804"/>
    <x v="9"/>
    <s v="Generation - Hydro"/>
    <x v="0"/>
    <x v="0"/>
    <s v="Snoqualmie Falls #2"/>
    <n v="147766.71299999999"/>
    <n v="0"/>
    <n v="0"/>
  </r>
  <r>
    <n v="2806"/>
    <x v="9"/>
    <s v="Generation - Hydro"/>
    <x v="0"/>
    <x v="0"/>
    <s v="Upper Baker"/>
    <n v="340085.38099999999"/>
    <n v="0"/>
    <n v="0"/>
  </r>
  <r>
    <n v="2809"/>
    <x v="9"/>
    <s v="Generation - Steam"/>
    <x v="0"/>
    <x v="1"/>
    <s v="Colstrip 1 &amp; 2"/>
    <n v="2114046"/>
    <n v="2408.3042658485197"/>
    <n v="2545633"/>
  </r>
  <r>
    <n v="2810"/>
    <x v="9"/>
    <s v="Generation - Steam"/>
    <x v="0"/>
    <x v="1"/>
    <s v="Colstrip 3 &amp; 4"/>
    <n v="2395521"/>
    <n v="2341.5632757967892"/>
    <n v="2804632"/>
  </r>
  <r>
    <n v="2811"/>
    <x v="9"/>
    <s v="Generation - Steam"/>
    <x v="0"/>
    <x v="2"/>
    <s v="Encogen"/>
    <n v="218068.82899999997"/>
    <n v="1067.0003580483333"/>
    <n v="116339.75931109037"/>
  </r>
  <r>
    <n v="2812"/>
    <x v="9"/>
    <s v="Generation - Steam"/>
    <x v="0"/>
    <x v="2"/>
    <s v="Ferndale Co-Generation"/>
    <n v="722557.11800000002"/>
    <n v="1015.5714207225303"/>
    <n v="366904.17944021849"/>
  </r>
  <r>
    <n v="2813"/>
    <x v="9"/>
    <s v="Generation - Steam"/>
    <x v="0"/>
    <x v="2"/>
    <s v="Freddie #1"/>
    <n v="346742.94699999999"/>
    <n v="1725.3245108965496"/>
    <n v="299122.05271980161"/>
  </r>
  <r>
    <n v="2814"/>
    <x v="9"/>
    <s v="Generation - Steam"/>
    <x v="0"/>
    <x v="2"/>
    <s v="Goldendale"/>
    <n v="1029457.112"/>
    <n v="828.58673039731809"/>
    <n v="426497.25125817279"/>
  </r>
  <r>
    <n v="2815"/>
    <x v="9"/>
    <s v="Generation - Steam"/>
    <x v="0"/>
    <x v="2"/>
    <s v="Mint Farm"/>
    <n v="1284786.4339999999"/>
    <n v="871.89901865046033"/>
    <n v="560102.01549001213"/>
  </r>
  <r>
    <n v="2816"/>
    <x v="9"/>
    <s v="Generation - Steam"/>
    <x v="0"/>
    <x v="2"/>
    <s v="Sumas"/>
    <n v="446064.98"/>
    <n v="1032.8886672668616"/>
    <n v="230367.73135330962"/>
  </r>
  <r>
    <n v="2819"/>
    <x v="9"/>
    <s v="Generation - Oil/Gas/Wind"/>
    <x v="0"/>
    <x v="3"/>
    <s v="Crystal Mountain"/>
    <n v="357.8"/>
    <n v="1822.9319187566496"/>
    <n v="326.12252026556462"/>
  </r>
  <r>
    <n v="2823"/>
    <x v="9"/>
    <s v="Generation - Oil/Gas/Wind"/>
    <x v="0"/>
    <x v="2"/>
    <s v="Fredonia"/>
    <n v="56804.9"/>
    <n v="1772.0470230151398"/>
    <n v="50330.476968836359"/>
  </r>
  <r>
    <n v="2824"/>
    <x v="9"/>
    <s v="Generation - Oil/Gas/Wind"/>
    <x v="0"/>
    <x v="2"/>
    <s v="Fredonia 3 &amp; 4"/>
    <n v="11337.6"/>
    <n v="1329.4098394714711"/>
    <n v="7536.1584979958752"/>
  </r>
  <r>
    <n v="2825"/>
    <x v="9"/>
    <s v="Generation - Oil/Gas/Wind"/>
    <x v="0"/>
    <x v="2"/>
    <s v="Fredrickson 1 &amp; 2"/>
    <n v="14347.32"/>
    <n v="3747.2792048698875"/>
    <n v="26881.706940806918"/>
  </r>
  <r>
    <n v="2827"/>
    <x v="9"/>
    <s v="Generation - Oil/Gas/Wind"/>
    <x v="0"/>
    <x v="0"/>
    <s v="Hopkins Ridge (W184)"/>
    <n v="442302.62199999997"/>
    <n v="0"/>
    <n v="0"/>
  </r>
  <r>
    <n v="2828"/>
    <x v="9"/>
    <s v="Generation - Oil/Gas/Wind"/>
    <x v="0"/>
    <x v="0"/>
    <s v="Lower Snake River"/>
    <n v="883474.77099999995"/>
    <n v="0"/>
    <n v="0"/>
  </r>
  <r>
    <n v="2835"/>
    <x v="9"/>
    <s v="Generation - Oil/Gas/Wind"/>
    <x v="0"/>
    <x v="2"/>
    <s v="Whitehorn 2&amp;3"/>
    <n v="24458.1"/>
    <n v="2653.7287919374417"/>
    <n v="32452.582083042569"/>
  </r>
  <r>
    <n v="2836"/>
    <x v="9"/>
    <s v="Generation - Oil/Gas/Wind"/>
    <x v="0"/>
    <x v="0"/>
    <s v="Wild Horse (W183)"/>
    <n v="649976.24100000004"/>
    <n v="0"/>
    <n v="0"/>
  </r>
  <r>
    <n v="2838"/>
    <x v="9"/>
    <s v="Purchases - Firm"/>
    <x v="1"/>
    <x v="0"/>
    <s v="3 Bar G Wind Turbine #3 LLC"/>
    <n v="143.74799999999999"/>
    <n v="0"/>
    <n v="0"/>
  </r>
  <r>
    <n v="2839"/>
    <x v="9"/>
    <s v="Purchases - Firm"/>
    <x v="1"/>
    <x v="4"/>
    <s v="Barclays Bank Plc"/>
    <n v="216079"/>
    <n v="1014"/>
    <n v="109552.053"/>
  </r>
  <r>
    <n v="2840"/>
    <x v="9"/>
    <s v="Purchases - Firm"/>
    <x v="1"/>
    <x v="4"/>
    <s v="BC Hydro (Point Roberts)"/>
    <n v="20696.929"/>
    <n v="1014"/>
    <n v="10493.343003"/>
  </r>
  <r>
    <n v="2841"/>
    <x v="9"/>
    <s v="Purchases - Firm"/>
    <x v="1"/>
    <x v="0"/>
    <s v="Bio Energy Washington (BEW)"/>
    <n v="13.750999999999999"/>
    <n v="0"/>
    <n v="0"/>
  </r>
  <r>
    <n v="2842"/>
    <x v="9"/>
    <s v="Purchases - Firm"/>
    <x v="1"/>
    <x v="0"/>
    <s v="Black Creek Hydro Inc"/>
    <n v="14182.659"/>
    <n v="0"/>
    <n v="0"/>
  </r>
  <r>
    <n v="2843"/>
    <x v="9"/>
    <s v="Purchases - Firm"/>
    <x v="1"/>
    <x v="7"/>
    <s v="Book Outs - EITF 03-11"/>
    <n v="-10172"/>
    <n v="0"/>
    <n v="0"/>
  </r>
  <r>
    <n v="2844"/>
    <x v="9"/>
    <s v="Purchases - Firm"/>
    <x v="1"/>
    <x v="0"/>
    <s v="BPA"/>
    <n v="7000"/>
    <n v="0"/>
    <n v="0"/>
  </r>
  <r>
    <n v="2845"/>
    <x v="9"/>
    <s v="Purchases - Firm"/>
    <x v="1"/>
    <x v="4"/>
    <s v="BPA Firm - WNP#3 Exchange"/>
    <n v="360022"/>
    <n v="1014"/>
    <n v="182531.15400000001"/>
  </r>
  <r>
    <n v="2846"/>
    <x v="9"/>
    <s v="Purchases - Firm"/>
    <x v="1"/>
    <x v="0"/>
    <s v="CC Solar 1 and CC Solar 2"/>
    <n v="28.02"/>
    <n v="0"/>
    <n v="0"/>
  </r>
  <r>
    <n v="2847"/>
    <x v="9"/>
    <s v="Purchases - Firm"/>
    <x v="1"/>
    <x v="0"/>
    <s v="Chelan PUD - RI &amp; RR"/>
    <n v="2323845"/>
    <n v="0"/>
    <n v="0"/>
  </r>
  <r>
    <n v="2848"/>
    <x v="9"/>
    <s v="Purchases - Firm"/>
    <x v="1"/>
    <x v="0"/>
    <s v="Chelan PUD - Rock Island Syst #2"/>
    <n v="-38431"/>
    <n v="0"/>
    <n v="0"/>
  </r>
  <r>
    <n v="2849"/>
    <x v="9"/>
    <s v="Purchases - Firm"/>
    <x v="1"/>
    <x v="0"/>
    <s v="Chelan PUD - Rocky Reach"/>
    <n v="-81380"/>
    <n v="0"/>
    <n v="0"/>
  </r>
  <r>
    <n v="2850"/>
    <x v="9"/>
    <s v="Purchases - Firm"/>
    <x v="1"/>
    <x v="0"/>
    <s v="Douglas PUD - Wells Project"/>
    <n v="1048857"/>
    <n v="0"/>
    <n v="0"/>
  </r>
  <r>
    <n v="2851"/>
    <x v="9"/>
    <s v="Purchases - Firm"/>
    <x v="1"/>
    <x v="0"/>
    <s v="Edaleen Dairy LLC"/>
    <n v="3733.9949999999999"/>
    <n v="0"/>
    <n v="0"/>
  </r>
  <r>
    <n v="2852"/>
    <x v="9"/>
    <s v="Purchases - Firm"/>
    <x v="1"/>
    <x v="0"/>
    <s v="Farm Power Lynden LLC"/>
    <n v="4946.95"/>
    <n v="0"/>
    <n v="0"/>
  </r>
  <r>
    <n v="2853"/>
    <x v="9"/>
    <s v="Purchases - Firm"/>
    <x v="1"/>
    <x v="0"/>
    <s v="Farm Power Rexville LLC"/>
    <n v="5241.9309999999996"/>
    <n v="0"/>
    <n v="0"/>
  </r>
  <r>
    <n v="2854"/>
    <x v="9"/>
    <s v="Purchases - Firm"/>
    <x v="1"/>
    <x v="0"/>
    <s v="Grant PUD - Priest Rapids Project"/>
    <n v="50317"/>
    <n v="0"/>
    <n v="0"/>
  </r>
  <r>
    <n v="2855"/>
    <x v="9"/>
    <s v="Purchases - Firm"/>
    <x v="1"/>
    <x v="0"/>
    <s v="Island Community Solar LLC"/>
    <n v="59.67"/>
    <n v="0"/>
    <n v="0"/>
  </r>
  <r>
    <n v="2856"/>
    <x v="9"/>
    <s v="Purchases - Firm"/>
    <x v="1"/>
    <x v="2"/>
    <s v="Klamath Falls (Iberdrola)"/>
    <n v="1200"/>
    <n v="814.11824078403606"/>
    <n v="488.47094447042167"/>
  </r>
  <r>
    <n v="2857"/>
    <x v="9"/>
    <s v="Purchases - Firm"/>
    <x v="1"/>
    <x v="0"/>
    <s v="Klondike Wind Power III"/>
    <n v="129205"/>
    <n v="0"/>
    <n v="0"/>
  </r>
  <r>
    <n v="2858"/>
    <x v="9"/>
    <s v="Purchases - Firm"/>
    <x v="1"/>
    <x v="0"/>
    <s v="Knudsen Wind Turbine #1"/>
    <n v="151.547"/>
    <n v="0"/>
    <n v="0"/>
  </r>
  <r>
    <n v="2859"/>
    <x v="9"/>
    <s v="Purchases - Firm"/>
    <x v="1"/>
    <x v="0"/>
    <s v="Qualco Energy"/>
    <n v="290"/>
    <n v="0"/>
    <n v="0"/>
  </r>
  <r>
    <n v="2860"/>
    <x v="9"/>
    <s v="Purchases - Firm"/>
    <x v="1"/>
    <x v="0"/>
    <s v="Rainier Bio Gas"/>
    <n v="5027.634"/>
    <n v="0"/>
    <n v="0"/>
  </r>
  <r>
    <n v="2861"/>
    <x v="9"/>
    <s v="Purchases - Firm"/>
    <x v="1"/>
    <x v="0"/>
    <s v="Skookumchuck Hydro"/>
    <n v="6471.0950000000003"/>
    <n v="0"/>
    <n v="0"/>
  </r>
  <r>
    <n v="2862"/>
    <x v="9"/>
    <s v="Purchases - Firm"/>
    <x v="1"/>
    <x v="0"/>
    <s v="Smith Creek Hydro"/>
    <n v="174.334"/>
    <n v="0"/>
    <n v="0"/>
  </r>
  <r>
    <n v="2863"/>
    <x v="9"/>
    <s v="Purchases - Firm"/>
    <x v="1"/>
    <x v="0"/>
    <s v="Swauk Wind"/>
    <n v="11215.539000000001"/>
    <n v="0"/>
    <n v="0"/>
  </r>
  <r>
    <n v="2864"/>
    <x v="9"/>
    <s v="Purchases - Firm"/>
    <x v="1"/>
    <x v="1"/>
    <s v="Transalta Centralia Generation LLC"/>
    <n v="133020"/>
    <n v="2369.4801521895856"/>
    <n v="157594.12492212933"/>
  </r>
  <r>
    <n v="2865"/>
    <x v="9"/>
    <s v="Purchases - Firm"/>
    <x v="1"/>
    <x v="0"/>
    <s v="Van Dyk - S Holsteins"/>
    <n v="2188.8200000000002"/>
    <n v="0"/>
    <n v="0"/>
  </r>
  <r>
    <n v="2866"/>
    <x v="9"/>
    <s v="Purchases - Firm"/>
    <x v="1"/>
    <x v="0"/>
    <s v="VanderHaak Dairy Digester"/>
    <n v="3510.7820000000002"/>
    <n v="0"/>
    <n v="0"/>
  </r>
  <r>
    <n v="2868"/>
    <x v="9"/>
    <s v="Purchases - PURPA"/>
    <x v="1"/>
    <x v="0"/>
    <s v="BIO FUEL WA"/>
    <n v="36676.847000000002"/>
    <n v="0"/>
    <n v="0"/>
  </r>
  <r>
    <n v="2870"/>
    <x v="9"/>
    <s v="Purchases - PURPA"/>
    <x v="1"/>
    <x v="0"/>
    <s v="Electron Hydro, LLC"/>
    <n v="8568.0669999999991"/>
    <n v="0"/>
    <n v="0"/>
  </r>
  <r>
    <n v="2871"/>
    <x v="9"/>
    <s v="Purchases - PURPA"/>
    <x v="1"/>
    <x v="0"/>
    <s v="Hutchinson Creek"/>
    <n v="233.12"/>
    <n v="0"/>
    <n v="0"/>
  </r>
  <r>
    <n v="2872"/>
    <x v="9"/>
    <s v="Purchases - PURPA"/>
    <x v="1"/>
    <x v="0"/>
    <s v="Koma Kulshan Associates"/>
    <n v="48522.928999999996"/>
    <n v="0"/>
    <n v="0"/>
  </r>
  <r>
    <n v="2873"/>
    <x v="9"/>
    <s v="Purchases - PURPA"/>
    <x v="1"/>
    <x v="0"/>
    <s v="Lake Washington -- Finn Hill"/>
    <n v="271.08"/>
    <n v="0"/>
    <n v="0"/>
  </r>
  <r>
    <n v="2874"/>
    <x v="9"/>
    <s v="Purchases - PURPA"/>
    <x v="1"/>
    <x v="0"/>
    <s v="Nooksack"/>
    <n v="25212.421999999999"/>
    <n v="0"/>
    <n v="0"/>
  </r>
  <r>
    <n v="2875"/>
    <x v="9"/>
    <s v="Purchases - PURPA"/>
    <x v="1"/>
    <x v="0"/>
    <s v="Sygitowicz Creek"/>
    <n v="1168.2139999999999"/>
    <n v="0"/>
    <n v="0"/>
  </r>
  <r>
    <n v="2876"/>
    <x v="9"/>
    <s v="Purchases - PURPA"/>
    <x v="1"/>
    <x v="0"/>
    <s v="Twin Falls Hydro"/>
    <n v="92557.659"/>
    <n v="0"/>
    <n v="0"/>
  </r>
  <r>
    <n v="2877"/>
    <x v="9"/>
    <s v="Purchases - PURPA"/>
    <x v="1"/>
    <x v="0"/>
    <s v="Weeks Falls"/>
    <n v="16407.221000000001"/>
    <n v="0"/>
    <n v="0"/>
  </r>
  <r>
    <n v="2879"/>
    <x v="9"/>
    <s v="Purchases - Secondary"/>
    <x v="2"/>
    <x v="4"/>
    <s v="Avista Corp. WWP Division"/>
    <n v="321265"/>
    <n v="1014"/>
    <n v="162881.35500000001"/>
  </r>
  <r>
    <n v="2881"/>
    <x v="9"/>
    <s v="Purchases - Secondary"/>
    <x v="2"/>
    <x v="4"/>
    <s v="Black Hills Power"/>
    <n v="875"/>
    <n v="1014"/>
    <n v="443.625"/>
  </r>
  <r>
    <n v="2882"/>
    <x v="9"/>
    <s v="Purchases - Secondary"/>
    <x v="2"/>
    <x v="4"/>
    <s v="Book Outs - EITF 03-11"/>
    <n v="-2005870"/>
    <n v="1014"/>
    <n v="-1016976.09"/>
  </r>
  <r>
    <n v="2883"/>
    <x v="9"/>
    <s v="Purchases - Secondary"/>
    <x v="2"/>
    <x v="4"/>
    <s v="BP Energy Co."/>
    <n v="1096755"/>
    <n v="1014"/>
    <n v="556054.78500000003"/>
  </r>
  <r>
    <n v="2884"/>
    <x v="9"/>
    <s v="Purchases - Secondary"/>
    <x v="2"/>
    <x v="4"/>
    <s v="BPA"/>
    <n v="169672"/>
    <n v="1014"/>
    <n v="86023.703999999998"/>
  </r>
  <r>
    <n v="2886"/>
    <x v="9"/>
    <s v="Purchases - Secondary"/>
    <x v="2"/>
    <x v="4"/>
    <s v="Burbank, City of"/>
    <n v="200"/>
    <n v="1014"/>
    <n v="101.4"/>
  </r>
  <r>
    <n v="2887"/>
    <x v="9"/>
    <s v="Purchases - Secondary"/>
    <x v="2"/>
    <x v="4"/>
    <s v="California ISO"/>
    <n v="65176"/>
    <n v="1014"/>
    <n v="33044.232000000004"/>
  </r>
  <r>
    <n v="2888"/>
    <x v="9"/>
    <s v="Purchases - Secondary"/>
    <x v="2"/>
    <x v="4"/>
    <s v="Calpine Energy Services"/>
    <n v="47482"/>
    <n v="1014"/>
    <n v="24073.374"/>
  </r>
  <r>
    <n v="2889"/>
    <x v="9"/>
    <s v="Purchases - Secondary"/>
    <x v="2"/>
    <x v="4"/>
    <s v="Cargill Power Markets"/>
    <n v="609585"/>
    <n v="1014"/>
    <n v="309059.59499999997"/>
  </r>
  <r>
    <n v="2890"/>
    <x v="9"/>
    <s v="Purchases - Secondary"/>
    <x v="2"/>
    <x v="4"/>
    <s v="Chelan County PUD #1"/>
    <n v="4821"/>
    <n v="1014"/>
    <n v="2444.2469999999998"/>
  </r>
  <r>
    <n v="2892"/>
    <x v="9"/>
    <s v="Purchases - Secondary"/>
    <x v="2"/>
    <x v="4"/>
    <s v="Citigroup Energy Inc"/>
    <n v="145653"/>
    <n v="1014"/>
    <n v="73846.070999999996"/>
  </r>
  <r>
    <n v="2893"/>
    <x v="9"/>
    <s v="Purchases - Secondary"/>
    <x v="2"/>
    <x v="4"/>
    <s v="City of Idaho Falls"/>
    <n v="10"/>
    <n v="1014"/>
    <n v="5.07"/>
  </r>
  <r>
    <n v="2894"/>
    <x v="9"/>
    <s v="Purchases - Secondary"/>
    <x v="2"/>
    <x v="4"/>
    <s v="Clark Public Utilities"/>
    <n v="5396"/>
    <n v="1014"/>
    <n v="2735.7719999999999"/>
  </r>
  <r>
    <n v="2895"/>
    <x v="9"/>
    <s v="Purchases - Secondary"/>
    <x v="2"/>
    <x v="4"/>
    <s v="Clatskanie PUD"/>
    <n v="2270"/>
    <n v="1014"/>
    <n v="1150.8900000000001"/>
  </r>
  <r>
    <n v="2896"/>
    <x v="9"/>
    <s v="Purchases - Secondary"/>
    <x v="2"/>
    <x v="4"/>
    <s v="Constellation Power Source, Inc."/>
    <n v="20"/>
    <n v="1014"/>
    <n v="10.14"/>
  </r>
  <r>
    <n v="2897"/>
    <x v="9"/>
    <s v="Purchases - Secondary"/>
    <x v="2"/>
    <x v="4"/>
    <s v="CP Energy Marketing (Epcor)"/>
    <n v="825"/>
    <n v="1014"/>
    <n v="418.27499999999998"/>
  </r>
  <r>
    <n v="2899"/>
    <x v="9"/>
    <s v="Purchases - Secondary"/>
    <x v="2"/>
    <x v="4"/>
    <s v="Douglas County PUD #1"/>
    <n v="277023"/>
    <n v="1014"/>
    <n v="140450.66099999999"/>
  </r>
  <r>
    <n v="2901"/>
    <x v="9"/>
    <s v="Purchases - Secondary"/>
    <x v="2"/>
    <x v="4"/>
    <s v="EDF Trading NA LLC"/>
    <n v="611857"/>
    <n v="1014"/>
    <n v="310211.49900000001"/>
  </r>
  <r>
    <n v="2902"/>
    <x v="9"/>
    <s v="Purchases - Secondary"/>
    <x v="2"/>
    <x v="4"/>
    <s v="ENMAX Energy Marketing, Inc."/>
    <n v="100"/>
    <n v="1014"/>
    <n v="50.7"/>
  </r>
  <r>
    <n v="2903"/>
    <x v="9"/>
    <s v="Purchases - Secondary"/>
    <x v="2"/>
    <x v="4"/>
    <s v="Eugene Water &amp; Electric"/>
    <n v="12875"/>
    <n v="1014"/>
    <n v="6527.625"/>
  </r>
  <r>
    <n v="2904"/>
    <x v="9"/>
    <s v="Purchases - Secondary"/>
    <x v="2"/>
    <x v="4"/>
    <s v="Exelon Generation Co LLC"/>
    <n v="187630"/>
    <n v="1014"/>
    <n v="95128.41"/>
  </r>
  <r>
    <n v="2905"/>
    <x v="9"/>
    <s v="Purchases - Secondary"/>
    <x v="2"/>
    <x v="4"/>
    <s v="Grant County PUD #2"/>
    <n v="12652"/>
    <n v="1014"/>
    <n v="6414.5640000000003"/>
  </r>
  <r>
    <n v="2906"/>
    <x v="9"/>
    <s v="Purchases - Secondary"/>
    <x v="2"/>
    <x v="4"/>
    <s v="Iberdrola Renewables (PPM Energy)"/>
    <n v="716696"/>
    <n v="1014"/>
    <n v="363364.87199999997"/>
  </r>
  <r>
    <n v="2907"/>
    <x v="9"/>
    <s v="Purchases - Secondary"/>
    <x v="2"/>
    <x v="4"/>
    <s v="Idaho Power Company"/>
    <n v="12466"/>
    <n v="1014"/>
    <n v="6320.2619999999997"/>
  </r>
  <r>
    <n v="2908"/>
    <x v="9"/>
    <s v="Purchases - Secondary"/>
    <x v="2"/>
    <x v="4"/>
    <s v="J. Aron &amp; Company"/>
    <n v="20400"/>
    <n v="1014"/>
    <n v="10342.799999999999"/>
  </r>
  <r>
    <n v="2910"/>
    <x v="9"/>
    <s v="Purchases - Secondary"/>
    <x v="2"/>
    <x v="4"/>
    <s v="JP Morgan Ventures Energy"/>
    <n v="156705"/>
    <n v="1014"/>
    <n v="79449.434999999998"/>
  </r>
  <r>
    <n v="2913"/>
    <x v="9"/>
    <s v="Purchases - Secondary"/>
    <x v="2"/>
    <x v="4"/>
    <s v="Morgan Stanley CG"/>
    <n v="1790503"/>
    <n v="1014"/>
    <n v="907785.02099999995"/>
  </r>
  <r>
    <n v="2914"/>
    <x v="9"/>
    <s v="Purchases - Secondary"/>
    <x v="2"/>
    <x v="4"/>
    <s v="Natur Ener USA"/>
    <n v="1"/>
    <n v="1014"/>
    <n v="0.50700000000000001"/>
  </r>
  <r>
    <n v="2915"/>
    <x v="9"/>
    <s v="Purchases - Secondary"/>
    <x v="2"/>
    <x v="4"/>
    <s v="NextEra Energy Power Marketing"/>
    <n v="56233"/>
    <n v="1014"/>
    <n v="28510.131000000001"/>
  </r>
  <r>
    <n v="2916"/>
    <x v="9"/>
    <s v="Purchases - Secondary"/>
    <x v="2"/>
    <x v="4"/>
    <s v="Noble Americas Energy Solutions"/>
    <n v="4000"/>
    <n v="1014"/>
    <n v="2028"/>
  </r>
  <r>
    <n v="2917"/>
    <x v="9"/>
    <s v="Purchases - Secondary"/>
    <x v="2"/>
    <x v="4"/>
    <s v="Noble Americas Gas &amp; Power"/>
    <n v="4000"/>
    <n v="1014"/>
    <n v="2028"/>
  </r>
  <r>
    <n v="2918"/>
    <x v="9"/>
    <s v="Purchases - Secondary"/>
    <x v="2"/>
    <x v="4"/>
    <s v="NorthPoint Energy Solutions, Inc."/>
    <n v="871"/>
    <n v="1014"/>
    <n v="441.59699999999998"/>
  </r>
  <r>
    <n v="2919"/>
    <x v="9"/>
    <s v="Purchases - Secondary"/>
    <x v="2"/>
    <x v="4"/>
    <s v="Northwestern Energy"/>
    <n v="1948"/>
    <n v="1014"/>
    <n v="987.63599999999997"/>
  </r>
  <r>
    <n v="2920"/>
    <x v="9"/>
    <s v="Purchases - Secondary"/>
    <x v="2"/>
    <x v="4"/>
    <s v="Okanogan PUD"/>
    <n v="7707"/>
    <n v="1014"/>
    <n v="3907.4490000000001"/>
  </r>
  <r>
    <n v="2921"/>
    <x v="9"/>
    <s v="Purchases - Secondary"/>
    <x v="2"/>
    <x v="4"/>
    <s v="Pacificorp"/>
    <n v="71357"/>
    <n v="1014"/>
    <n v="36177.999000000003"/>
  </r>
  <r>
    <n v="2922"/>
    <x v="9"/>
    <s v="Purchases - Secondary"/>
    <x v="2"/>
    <x v="4"/>
    <s v="Portland General Electric"/>
    <n v="183483"/>
    <n v="1014"/>
    <n v="93025.880999999994"/>
  </r>
  <r>
    <n v="2923"/>
    <x v="9"/>
    <s v="Purchases - Secondary"/>
    <x v="2"/>
    <x v="4"/>
    <s v="Powerex Corp."/>
    <n v="100896"/>
    <n v="1014"/>
    <n v="51154.271999999997"/>
  </r>
  <r>
    <n v="2924"/>
    <x v="9"/>
    <s v="Purchases - Secondary"/>
    <x v="2"/>
    <x v="4"/>
    <s v="Rainbow Energy Marketing"/>
    <n v="5071"/>
    <n v="1014"/>
    <n v="2570.9969999999998"/>
  </r>
  <r>
    <n v="2925"/>
    <x v="9"/>
    <s v="Purchases - Secondary"/>
    <x v="2"/>
    <x v="4"/>
    <s v="Sacramento Municipal"/>
    <n v="2075"/>
    <n v="1014"/>
    <n v="1052.0250000000001"/>
  </r>
  <r>
    <n v="2926"/>
    <x v="9"/>
    <s v="Purchases - Secondary"/>
    <x v="2"/>
    <x v="4"/>
    <s v="Seattle City Light Marketing"/>
    <n v="69998"/>
    <n v="1014"/>
    <n v="35488.985999999997"/>
  </r>
  <r>
    <n v="2928"/>
    <x v="9"/>
    <s v="Purchases - Secondary"/>
    <x v="2"/>
    <x v="4"/>
    <s v="Shell Energy (Coral Pwr)"/>
    <n v="365203"/>
    <n v="1014"/>
    <n v="185157.921"/>
  </r>
  <r>
    <n v="2930"/>
    <x v="9"/>
    <s v="Purchases - Secondary"/>
    <x v="2"/>
    <x v="4"/>
    <s v="Snohomish County PUD #1"/>
    <n v="20464"/>
    <n v="1014"/>
    <n v="10375.248"/>
  </r>
  <r>
    <n v="2931"/>
    <x v="9"/>
    <s v="Purchases - Secondary"/>
    <x v="2"/>
    <x v="4"/>
    <s v="Southern Cal - Edison"/>
    <n v="47417"/>
    <n v="1014"/>
    <n v="24040.419000000002"/>
  </r>
  <r>
    <n v="2932"/>
    <x v="9"/>
    <s v="Purchases - Secondary"/>
    <x v="2"/>
    <x v="4"/>
    <s v="Tacoma Power"/>
    <n v="151109"/>
    <n v="1014"/>
    <n v="76612.263000000006"/>
  </r>
  <r>
    <n v="2933"/>
    <x v="9"/>
    <s v="Purchases - Secondary"/>
    <x v="2"/>
    <x v="4"/>
    <s v="Talen Energy (PPL Energy Plus)"/>
    <n v="235629"/>
    <n v="1014"/>
    <n v="119463.90300000001"/>
  </r>
  <r>
    <n v="2934"/>
    <x v="9"/>
    <s v="Purchases - Secondary"/>
    <x v="2"/>
    <x v="4"/>
    <s v="Tenaska Power Services Co."/>
    <n v="4534"/>
    <n v="1014"/>
    <n v="2298.7379999999998"/>
  </r>
  <r>
    <n v="2935"/>
    <x v="9"/>
    <s v="Purchases - Secondary"/>
    <x v="2"/>
    <x v="4"/>
    <s v="The Energy Authority"/>
    <n v="51948"/>
    <n v="1014"/>
    <n v="26337.635999999999"/>
  </r>
  <r>
    <n v="2936"/>
    <x v="9"/>
    <s v="Purchases - Secondary"/>
    <x v="2"/>
    <x v="4"/>
    <s v="TransAlta Energy Marketing"/>
    <n v="1300789"/>
    <n v="1014"/>
    <n v="659500.02300000004"/>
  </r>
  <r>
    <n v="2937"/>
    <x v="9"/>
    <s v="Purchases - Secondary"/>
    <x v="2"/>
    <x v="4"/>
    <s v="TransCanada Energy Sales Ltd"/>
    <n v="2410"/>
    <n v="1014"/>
    <n v="1221.8699999999999"/>
  </r>
  <r>
    <n v="2938"/>
    <x v="9"/>
    <s v="Purchases - Secondary"/>
    <x v="2"/>
    <x v="4"/>
    <s v="Turlock Irrigation District"/>
    <n v="81172"/>
    <n v="1014"/>
    <n v="41154.203999999998"/>
  </r>
  <r>
    <n v="2939"/>
    <x v="9"/>
    <s v="Purchases - Secondary"/>
    <x v="2"/>
    <x v="4"/>
    <s v="Vitol Inc."/>
    <n v="452905"/>
    <n v="1014"/>
    <n v="229622.83499999999"/>
  </r>
  <r>
    <n v="2941"/>
    <x v="9"/>
    <s v="Interchange - In"/>
    <x v="2"/>
    <x v="4"/>
    <s v="Avista Nichols Pump"/>
    <n v="22326.400000000001"/>
    <n v="1014"/>
    <n v="11319.4848"/>
  </r>
  <r>
    <n v="2942"/>
    <x v="9"/>
    <s v="Interchange - In"/>
    <x v="2"/>
    <x v="4"/>
    <s v="Pacific Gas &amp; Elec - Exchange"/>
    <n v="413000"/>
    <n v="1014"/>
    <n v="209391"/>
  </r>
  <r>
    <n v="2944"/>
    <x v="9"/>
    <s v="Interchange - Out"/>
    <x v="2"/>
    <x v="4"/>
    <s v="Deviation"/>
    <n v="76073.797000000006"/>
    <n v="1014"/>
    <n v="38569.415079000006"/>
  </r>
  <r>
    <n v="2945"/>
    <x v="9"/>
    <s v="Interchange - Out"/>
    <x v="2"/>
    <x v="4"/>
    <s v="Exelon Generation Co LLC"/>
    <n v="-25"/>
    <n v="1014"/>
    <n v="-12.675000000000001"/>
  </r>
  <r>
    <n v="2946"/>
    <x v="9"/>
    <s v="Interchange - Out"/>
    <x v="2"/>
    <x v="4"/>
    <s v="Pacific Gas &amp; Elec - Exchange"/>
    <n v="-413000"/>
    <n v="1014"/>
    <n v="-209391"/>
  </r>
  <r>
    <n v="2995"/>
    <x v="9"/>
    <s v="Sales for Resale"/>
    <x v="2"/>
    <x v="4"/>
    <s v="Avista Corp. WWP Division"/>
    <n v="-60183"/>
    <n v="1014"/>
    <n v="-30512.780999999999"/>
  </r>
  <r>
    <n v="2996"/>
    <x v="9"/>
    <s v="Sales for Resale"/>
    <x v="2"/>
    <x v="4"/>
    <s v="Black Hills Power"/>
    <n v="-390"/>
    <n v="1014"/>
    <n v="-197.73"/>
  </r>
  <r>
    <n v="2997"/>
    <x v="9"/>
    <s v="Sales for Resale"/>
    <x v="2"/>
    <x v="4"/>
    <s v="Book Outs - EITF 03-11"/>
    <n v="2016042"/>
    <n v="1014"/>
    <n v="1022133.294"/>
  </r>
  <r>
    <n v="2998"/>
    <x v="9"/>
    <s v="Sales for Resale"/>
    <x v="2"/>
    <x v="4"/>
    <s v="BP Energy Co."/>
    <n v="-51111"/>
    <n v="1014"/>
    <n v="-25913.276999999998"/>
  </r>
  <r>
    <n v="2999"/>
    <x v="9"/>
    <s v="Sales for Resale"/>
    <x v="2"/>
    <x v="4"/>
    <s v="BPA"/>
    <n v="-159211"/>
    <n v="1014"/>
    <n v="-80719.976999999999"/>
  </r>
  <r>
    <n v="3000"/>
    <x v="9"/>
    <s v="Sales for Resale"/>
    <x v="2"/>
    <x v="4"/>
    <s v="British Columbia Transmission Corp"/>
    <n v="-49"/>
    <n v="1014"/>
    <n v="-24.843"/>
  </r>
  <r>
    <n v="3001"/>
    <x v="9"/>
    <s v="Sales for Resale"/>
    <x v="2"/>
    <x v="4"/>
    <s v="Brookfield Energy Marketing"/>
    <n v="-800"/>
    <n v="1014"/>
    <n v="-405.6"/>
  </r>
  <r>
    <n v="3002"/>
    <x v="9"/>
    <s v="Sales for Resale"/>
    <x v="2"/>
    <x v="4"/>
    <s v="Burbank, City of"/>
    <n v="-2400"/>
    <n v="1014"/>
    <n v="-1216.8"/>
  </r>
  <r>
    <n v="3004"/>
    <x v="9"/>
    <s v="Sales for Resale"/>
    <x v="2"/>
    <x v="4"/>
    <s v="Calpine Energy Services"/>
    <n v="-117424"/>
    <n v="1014"/>
    <n v="-59533.968000000001"/>
  </r>
  <r>
    <n v="3005"/>
    <x v="9"/>
    <s v="Sales for Resale"/>
    <x v="2"/>
    <x v="4"/>
    <s v="Cargill Power Markets"/>
    <n v="-190421"/>
    <n v="1014"/>
    <n v="-96543.447"/>
  </r>
  <r>
    <n v="3006"/>
    <x v="9"/>
    <s v="Sales for Resale"/>
    <x v="2"/>
    <x v="4"/>
    <s v="Chelan County PUD #1"/>
    <n v="-16609"/>
    <n v="1014"/>
    <n v="-8420.7630000000008"/>
  </r>
  <r>
    <n v="3007"/>
    <x v="9"/>
    <s v="Sales for Resale"/>
    <x v="2"/>
    <x v="4"/>
    <s v="Citigroup Energy Inc"/>
    <n v="-26800"/>
    <n v="1014"/>
    <n v="-13587.6"/>
  </r>
  <r>
    <n v="3008"/>
    <x v="9"/>
    <s v="Sales for Resale"/>
    <x v="2"/>
    <x v="4"/>
    <s v="Clark Public Utilities"/>
    <n v="-9222"/>
    <n v="1014"/>
    <n v="-4675.5540000000001"/>
  </r>
  <r>
    <n v="3009"/>
    <x v="9"/>
    <s v="Sales for Resale"/>
    <x v="2"/>
    <x v="4"/>
    <s v="Clatskanie PUD"/>
    <n v="-4124"/>
    <n v="1014"/>
    <n v="-2090.8679999999999"/>
  </r>
  <r>
    <n v="3010"/>
    <x v="9"/>
    <s v="Sales for Resale"/>
    <x v="2"/>
    <x v="4"/>
    <s v="Conoco, Inc."/>
    <n v="-1200"/>
    <n v="1014"/>
    <n v="-608.4"/>
  </r>
  <r>
    <n v="3011"/>
    <x v="9"/>
    <s v="Sales for Resale"/>
    <x v="2"/>
    <x v="4"/>
    <s v="Constellation Power Source, Inc."/>
    <n v="-119"/>
    <n v="1014"/>
    <n v="-60.332999999999998"/>
  </r>
  <r>
    <n v="3012"/>
    <x v="9"/>
    <s v="Sales for Resale"/>
    <x v="2"/>
    <x v="4"/>
    <s v="CP Energy Marketing (Epcor)"/>
    <n v="-947"/>
    <n v="1014"/>
    <n v="-480.12900000000002"/>
  </r>
  <r>
    <n v="3013"/>
    <x v="9"/>
    <s v="Sales for Resale"/>
    <x v="2"/>
    <x v="4"/>
    <s v="Douglas County PUD #1"/>
    <n v="-1819"/>
    <n v="1014"/>
    <n v="-922.23299999999995"/>
  </r>
  <r>
    <n v="3014"/>
    <x v="9"/>
    <s v="Sales for Resale"/>
    <x v="2"/>
    <x v="4"/>
    <s v="EDF Trading NA LLC"/>
    <n v="-136984"/>
    <n v="1014"/>
    <n v="-69450.888000000006"/>
  </r>
  <r>
    <n v="3016"/>
    <x v="9"/>
    <s v="Sales for Resale"/>
    <x v="2"/>
    <x v="4"/>
    <s v="Eugene Water &amp; Electric"/>
    <n v="-38757"/>
    <n v="1014"/>
    <n v="-19649.798999999999"/>
  </r>
  <r>
    <n v="3017"/>
    <x v="9"/>
    <s v="Sales for Resale"/>
    <x v="2"/>
    <x v="4"/>
    <s v="Exelon Generation Co LLC"/>
    <n v="-16580"/>
    <n v="1014"/>
    <n v="-8406.06"/>
  </r>
  <r>
    <n v="3018"/>
    <x v="9"/>
    <s v="Sales for Resale"/>
    <x v="2"/>
    <x v="4"/>
    <s v="Fortis BC"/>
    <n v="-27508"/>
    <n v="1014"/>
    <n v="-13946.556"/>
  </r>
  <r>
    <n v="3019"/>
    <x v="9"/>
    <s v="Sales for Resale"/>
    <x v="2"/>
    <x v="4"/>
    <s v="Grant County PUD #2"/>
    <n v="-27899"/>
    <n v="1014"/>
    <n v="-14144.793"/>
  </r>
  <r>
    <n v="3020"/>
    <x v="9"/>
    <s v="Sales for Resale"/>
    <x v="2"/>
    <x v="4"/>
    <s v="Iberdrola Renewables (PPM Energy)"/>
    <n v="-536036"/>
    <n v="1014"/>
    <n v="-271770.25199999998"/>
  </r>
  <r>
    <n v="3021"/>
    <x v="9"/>
    <s v="Sales for Resale"/>
    <x v="2"/>
    <x v="4"/>
    <s v="Idaho Power Company"/>
    <n v="-15235"/>
    <n v="1014"/>
    <n v="-7724.1450000000004"/>
  </r>
  <r>
    <n v="3022"/>
    <x v="9"/>
    <s v="Sales for Resale"/>
    <x v="2"/>
    <x v="4"/>
    <s v="J. Aron &amp; Company"/>
    <n v="-2600"/>
    <n v="1014"/>
    <n v="-1318.2"/>
  </r>
  <r>
    <n v="3023"/>
    <x v="9"/>
    <s v="Sales for Resale"/>
    <x v="2"/>
    <x v="4"/>
    <s v="JP Morgan Ventures Energy"/>
    <n v="-5071"/>
    <n v="1014"/>
    <n v="-2570.9969999999998"/>
  </r>
  <r>
    <n v="3024"/>
    <x v="9"/>
    <s v="Sales for Resale"/>
    <x v="2"/>
    <x v="4"/>
    <s v="Morgan Stanley CG"/>
    <n v="-332554"/>
    <n v="1014"/>
    <n v="-168604.878"/>
  </r>
  <r>
    <n v="3025"/>
    <x v="9"/>
    <s v="Sales for Resale"/>
    <x v="2"/>
    <x v="4"/>
    <s v="Natur Ener USA"/>
    <n v="-24"/>
    <n v="1014"/>
    <n v="-12.167999999999999"/>
  </r>
  <r>
    <n v="3026"/>
    <x v="9"/>
    <s v="Sales for Resale"/>
    <x v="2"/>
    <x v="4"/>
    <s v="Nevada Power Company"/>
    <n v="-159"/>
    <n v="1014"/>
    <n v="-80.613"/>
  </r>
  <r>
    <n v="3027"/>
    <x v="9"/>
    <s v="Sales for Resale"/>
    <x v="2"/>
    <x v="4"/>
    <s v="NextEra Energy Power Marketing"/>
    <n v="-159"/>
    <n v="1014"/>
    <n v="-80.613"/>
  </r>
  <r>
    <n v="3028"/>
    <x v="9"/>
    <s v="Sales for Resale"/>
    <x v="2"/>
    <x v="4"/>
    <s v="Noble Americas Gas &amp; Power"/>
    <n v="-400"/>
    <n v="1014"/>
    <n v="-202.8"/>
  </r>
  <r>
    <n v="3029"/>
    <x v="9"/>
    <s v="Sales for Resale"/>
    <x v="2"/>
    <x v="4"/>
    <s v="NorthPoint Energy Solutions, Inc."/>
    <n v="-3481"/>
    <n v="1014"/>
    <n v="-1764.867"/>
  </r>
  <r>
    <n v="3030"/>
    <x v="9"/>
    <s v="Sales for Resale"/>
    <x v="2"/>
    <x v="4"/>
    <s v="Northwestern Energy"/>
    <n v="-68236"/>
    <n v="1014"/>
    <n v="-34595.652000000002"/>
  </r>
  <r>
    <n v="3031"/>
    <x v="9"/>
    <s v="Sales for Resale"/>
    <x v="2"/>
    <x v="4"/>
    <s v="Okanogan PUD"/>
    <n v="-1855"/>
    <n v="1014"/>
    <n v="-940.48500000000001"/>
  </r>
  <r>
    <n v="3033"/>
    <x v="9"/>
    <s v="Sales for Resale"/>
    <x v="2"/>
    <x v="4"/>
    <s v="Pacificorp"/>
    <n v="-109675"/>
    <n v="1014"/>
    <n v="-55605.224999999999"/>
  </r>
  <r>
    <n v="3034"/>
    <x v="9"/>
    <s v="Sales for Resale"/>
    <x v="2"/>
    <x v="4"/>
    <s v="Portland General Electric"/>
    <n v="-123272"/>
    <n v="1014"/>
    <n v="-62498.904000000002"/>
  </r>
  <r>
    <n v="3035"/>
    <x v="9"/>
    <s v="Sales for Resale"/>
    <x v="2"/>
    <x v="4"/>
    <s v="Powerex Corp."/>
    <n v="-401453"/>
    <n v="1014"/>
    <n v="-203536.671"/>
  </r>
  <r>
    <n v="3036"/>
    <x v="9"/>
    <s v="Sales for Resale"/>
    <x v="2"/>
    <x v="4"/>
    <s v="Rainbow Energy Marketing"/>
    <n v="-21430"/>
    <n v="1014"/>
    <n v="-10865.01"/>
  </r>
  <r>
    <n v="3037"/>
    <x v="9"/>
    <s v="Sales for Resale"/>
    <x v="2"/>
    <x v="4"/>
    <s v="Sacramento Municipal"/>
    <n v="-4593"/>
    <n v="1014"/>
    <n v="-2328.6509999999998"/>
  </r>
  <r>
    <n v="3038"/>
    <x v="9"/>
    <s v="Sales for Resale"/>
    <x v="2"/>
    <x v="4"/>
    <s v="Seattle City Light Marketing"/>
    <n v="-20865"/>
    <n v="1014"/>
    <n v="-10578.555"/>
  </r>
  <r>
    <n v="3039"/>
    <x v="9"/>
    <s v="Sales for Resale"/>
    <x v="2"/>
    <x v="4"/>
    <s v="Shell Energy (Coral Pwr)"/>
    <n v="-210325"/>
    <n v="1014"/>
    <n v="-106634.77499999999"/>
  </r>
  <r>
    <n v="3041"/>
    <x v="9"/>
    <s v="Sales for Resale"/>
    <x v="2"/>
    <x v="4"/>
    <s v="Snohomish County PUD #1"/>
    <n v="-12377"/>
    <n v="1014"/>
    <n v="-6275.1390000000001"/>
  </r>
  <r>
    <n v="3042"/>
    <x v="9"/>
    <s v="Sales for Resale"/>
    <x v="2"/>
    <x v="4"/>
    <s v="Tacoma Power"/>
    <n v="-14402"/>
    <n v="1014"/>
    <n v="-7301.8140000000003"/>
  </r>
  <r>
    <n v="3043"/>
    <x v="9"/>
    <s v="Sales for Resale"/>
    <x v="2"/>
    <x v="4"/>
    <s v="Talen Energy (PPL Energy Plus)"/>
    <n v="-52930"/>
    <n v="1014"/>
    <n v="-26835.51"/>
  </r>
  <r>
    <n v="3044"/>
    <x v="9"/>
    <s v="Sales for Resale"/>
    <x v="2"/>
    <x v="4"/>
    <s v="Tenaska Power Services Co."/>
    <n v="-512"/>
    <n v="1014"/>
    <n v="-259.584"/>
  </r>
  <r>
    <n v="3045"/>
    <x v="9"/>
    <s v="Sales for Resale"/>
    <x v="2"/>
    <x v="4"/>
    <s v="The Energy Authority"/>
    <n v="-36276"/>
    <n v="1014"/>
    <n v="-18391.932000000001"/>
  </r>
  <r>
    <n v="3046"/>
    <x v="9"/>
    <s v="Sales for Resale"/>
    <x v="2"/>
    <x v="4"/>
    <s v="TransAlta Energy Marketing"/>
    <n v="-302261"/>
    <n v="1014"/>
    <n v="-153246.32699999999"/>
  </r>
  <r>
    <n v="3047"/>
    <x v="9"/>
    <s v="Sales for Resale"/>
    <x v="2"/>
    <x v="4"/>
    <s v="TransCanada Energy Sales Ltd"/>
    <n v="-20682"/>
    <n v="1014"/>
    <n v="-10485.773999999999"/>
  </r>
  <r>
    <n v="3048"/>
    <x v="9"/>
    <s v="Sales for Resale"/>
    <x v="2"/>
    <x v="4"/>
    <s v="Turlock Irrigation District"/>
    <n v="-311"/>
    <n v="1014"/>
    <n v="-157.67699999999999"/>
  </r>
  <r>
    <n v="3049"/>
    <x v="9"/>
    <s v="Sales for Resale"/>
    <x v="2"/>
    <x v="4"/>
    <s v="Vitol Inc."/>
    <n v="-221200"/>
    <n v="1014"/>
    <n v="-112148.4"/>
  </r>
  <r>
    <n v="3062"/>
    <x v="10"/>
    <s v="Generation - Hydro"/>
    <x v="0"/>
    <x v="0"/>
    <s v="Lower Baker"/>
    <n v="308611.20000000001"/>
    <n v="0"/>
    <n v="0"/>
  </r>
  <r>
    <n v="3063"/>
    <x v="10"/>
    <s v="Generation - Hydro"/>
    <x v="0"/>
    <x v="0"/>
    <s v="Snoqualmie Falls #1"/>
    <n v="17890.858"/>
    <n v="0"/>
    <n v="0"/>
  </r>
  <r>
    <n v="3064"/>
    <x v="10"/>
    <s v="Generation - Hydro"/>
    <x v="0"/>
    <x v="0"/>
    <s v="Snoqualmie Falls #2"/>
    <n v="100979.7"/>
    <n v="0"/>
    <n v="0"/>
  </r>
  <r>
    <n v="3065"/>
    <x v="10"/>
    <s v="Generation - Hydro"/>
    <x v="0"/>
    <x v="0"/>
    <s v="Upper Baker"/>
    <n v="278749.55"/>
    <n v="0"/>
    <n v="0"/>
  </r>
  <r>
    <n v="3066"/>
    <x v="10"/>
    <s v="Generation - Steam"/>
    <x v="0"/>
    <x v="1"/>
    <s v="Colstrip 1 &amp; 2"/>
    <n v="1756858"/>
    <n v="2594.5160621974005"/>
    <n v="2279098.1500000004"/>
  </r>
  <r>
    <n v="3067"/>
    <x v="10"/>
    <s v="Generation - Steam"/>
    <x v="0"/>
    <x v="1"/>
    <s v="Colstrip 3 &amp; 4"/>
    <n v="2738174"/>
    <n v="2358.8187967601766"/>
    <n v="3229428.15"/>
  </r>
  <r>
    <n v="3068"/>
    <x v="10"/>
    <s v="Generation - Oil/Gas/Wind"/>
    <x v="0"/>
    <x v="3"/>
    <s v="Crystal Mountain"/>
    <n v="293.68"/>
    <n v="1822.9137276553097"/>
    <n v="267.67665176890569"/>
  </r>
  <r>
    <n v="3069"/>
    <x v="10"/>
    <s v="Generation - Oil/Gas/Wind"/>
    <x v="0"/>
    <x v="2"/>
    <s v="Encogen"/>
    <n v="297657.59999999998"/>
    <n v="1058.9334859919586"/>
    <n v="157599.79999999999"/>
  </r>
  <r>
    <n v="3070"/>
    <x v="10"/>
    <s v="Generation - Oil/Gas/Wind"/>
    <x v="0"/>
    <x v="2"/>
    <s v="Ferndale Co-Generation"/>
    <n v="868466.83199999994"/>
    <n v="1028.8920279686629"/>
    <n v="446779.3"/>
  </r>
  <r>
    <n v="3071"/>
    <x v="10"/>
    <s v="Generation - Oil/Gas/Wind"/>
    <x v="0"/>
    <x v="2"/>
    <s v="Freddie #1"/>
    <n v="623181.11300000001"/>
    <n v="875.14295254323611"/>
    <n v="272686.27960000001"/>
  </r>
  <r>
    <n v="3072"/>
    <x v="10"/>
    <s v="Generation - Oil/Gas/Wind"/>
    <x v="0"/>
    <x v="2"/>
    <s v="Fredonia"/>
    <n v="113691.1"/>
    <n v="1576.637719260428"/>
    <n v="89624.838302104617"/>
  </r>
  <r>
    <n v="3073"/>
    <x v="10"/>
    <s v="Generation - Oil/Gas/Wind"/>
    <x v="0"/>
    <x v="2"/>
    <s v="Fredonia 3 &amp; 4"/>
    <n v="47603.8"/>
    <n v="1200.1394846629889"/>
    <n v="28565.599999999995"/>
  </r>
  <r>
    <n v="3074"/>
    <x v="10"/>
    <s v="Generation - Oil/Gas/Wind"/>
    <x v="0"/>
    <x v="2"/>
    <s v="Fredrickson 1 &amp; 2"/>
    <n v="39935.4"/>
    <n v="2385.4498602543363"/>
    <n v="47631.947174600515"/>
  </r>
  <r>
    <n v="3075"/>
    <x v="10"/>
    <s v="Generation - Oil/Gas/Wind"/>
    <x v="0"/>
    <x v="2"/>
    <s v="Goldendale"/>
    <n v="1498666"/>
    <n v="810.75730015894135"/>
    <n v="607527.19999999995"/>
  </r>
  <r>
    <n v="3076"/>
    <x v="10"/>
    <s v="Generation - Oil/Gas/Wind"/>
    <x v="0"/>
    <x v="0"/>
    <s v="Hopkins Ridge (W184)"/>
    <n v="364779.478"/>
    <n v="0"/>
    <n v="0"/>
  </r>
  <r>
    <n v="3077"/>
    <x v="10"/>
    <s v="Generation - Oil/Gas/Wind"/>
    <x v="0"/>
    <x v="0"/>
    <s v="Lower Snake River"/>
    <n v="741767.96"/>
    <n v="0"/>
    <n v="0"/>
  </r>
  <r>
    <n v="3078"/>
    <x v="10"/>
    <s v="Generation - Oil/Gas/Wind"/>
    <x v="0"/>
    <x v="2"/>
    <s v="Mint Farm"/>
    <n v="1701035.9"/>
    <n v="887.90330644991093"/>
    <n v="755177.7"/>
  </r>
  <r>
    <n v="3079"/>
    <x v="10"/>
    <s v="Generation - Oil/Gas/Wind"/>
    <x v="0"/>
    <x v="2"/>
    <s v="Sumas"/>
    <n v="601052.9"/>
    <n v="1035.8728824035288"/>
    <n v="311307.2"/>
  </r>
  <r>
    <n v="3080"/>
    <x v="10"/>
    <s v="Generation - Oil/Gas/Wind"/>
    <x v="0"/>
    <x v="2"/>
    <s v="Whitehorn 2&amp;3"/>
    <n v="38733.300000000003"/>
    <n v="1952.6062775910088"/>
    <n v="37815.442365907918"/>
  </r>
  <r>
    <n v="3081"/>
    <x v="10"/>
    <s v="Generation - Oil/Gas/Wind"/>
    <x v="0"/>
    <x v="0"/>
    <s v="Wild Horse (W183)"/>
    <n v="608885.75"/>
    <n v="0"/>
    <n v="0"/>
  </r>
  <r>
    <n v="3082"/>
    <x v="10"/>
    <s v="Purchases - Firm"/>
    <x v="1"/>
    <x v="0"/>
    <s v="3 Bar G Wind Turbine #3 LLC"/>
    <n v="138.036"/>
    <n v="0"/>
    <n v="0"/>
  </r>
  <r>
    <n v="3083"/>
    <x v="10"/>
    <s v="Purchases - Firm"/>
    <x v="1"/>
    <x v="4"/>
    <s v="Barclays Bank Plc"/>
    <n v="106200"/>
    <n v="1074"/>
    <n v="57029.4"/>
  </r>
  <r>
    <n v="3084"/>
    <x v="10"/>
    <s v="Purchases - Firm"/>
    <x v="1"/>
    <x v="4"/>
    <s v="BC Hydro (Point Roberts)"/>
    <n v="19583.703000000001"/>
    <n v="1074"/>
    <n v="10516.448511000001"/>
  </r>
  <r>
    <n v="3085"/>
    <x v="10"/>
    <s v="Purchases - Firm"/>
    <x v="1"/>
    <x v="0"/>
    <s v="Bio Energy Washington (BEW)"/>
    <n v="1.859"/>
    <n v="0"/>
    <n v="0"/>
  </r>
  <r>
    <n v="3086"/>
    <x v="10"/>
    <s v="Purchases - Firm"/>
    <x v="1"/>
    <x v="0"/>
    <s v="Black Creek Hydro Inc"/>
    <n v="6365.9970000000003"/>
    <n v="0"/>
    <n v="0"/>
  </r>
  <r>
    <n v="3087"/>
    <x v="10"/>
    <s v="Purchases - Firm"/>
    <x v="1"/>
    <x v="7"/>
    <s v="Book Outs - EITF 03-11"/>
    <n v="-2253"/>
    <n v="0"/>
    <n v="0"/>
  </r>
  <r>
    <n v="3088"/>
    <x v="10"/>
    <s v="Purchases - Firm"/>
    <x v="1"/>
    <x v="0"/>
    <s v="BPA"/>
    <n v="7000"/>
    <n v="0"/>
    <n v="0"/>
  </r>
  <r>
    <n v="3089"/>
    <x v="10"/>
    <s v="Purchases - Firm"/>
    <x v="1"/>
    <x v="4"/>
    <s v="BPA Firm - WNP#3 Exchange"/>
    <n v="343584"/>
    <n v="1074"/>
    <n v="184504.60800000001"/>
  </r>
  <r>
    <n v="3090"/>
    <x v="10"/>
    <s v="Purchases - Firm"/>
    <x v="1"/>
    <x v="0"/>
    <s v="CC Solar 1 and CC Solar 2"/>
    <n v="22.84"/>
    <n v="0"/>
    <n v="0"/>
  </r>
  <r>
    <n v="3091"/>
    <x v="10"/>
    <s v="Purchases - Firm"/>
    <x v="1"/>
    <x v="0"/>
    <s v="Chelan PUD - RI &amp; RR"/>
    <n v="2299343"/>
    <n v="0"/>
    <n v="0"/>
  </r>
  <r>
    <n v="3092"/>
    <x v="10"/>
    <s v="Purchases - Firm"/>
    <x v="1"/>
    <x v="0"/>
    <s v="Chelan PUD - Rock Island Syst #2"/>
    <n v="-39940"/>
    <n v="0"/>
    <n v="0"/>
  </r>
  <r>
    <n v="3093"/>
    <x v="10"/>
    <s v="Purchases - Firm"/>
    <x v="1"/>
    <x v="0"/>
    <s v="Chelan PUD - Rocky Reach"/>
    <n v="-82401"/>
    <n v="0"/>
    <n v="0"/>
  </r>
  <r>
    <n v="3094"/>
    <x v="10"/>
    <s v="Purchases - Firm"/>
    <x v="1"/>
    <x v="0"/>
    <s v="Douglas PUD - Wells Project"/>
    <n v="1094705"/>
    <n v="0"/>
    <n v="0"/>
  </r>
  <r>
    <n v="3095"/>
    <x v="10"/>
    <s v="Purchases - Firm"/>
    <x v="1"/>
    <x v="0"/>
    <s v="Edaleen Dairy LLC"/>
    <n v="4697.4279999999999"/>
    <n v="0"/>
    <n v="0"/>
  </r>
  <r>
    <n v="3096"/>
    <x v="10"/>
    <s v="Purchases - Firm"/>
    <x v="1"/>
    <x v="0"/>
    <s v="Farm Power Lynden LLC"/>
    <n v="4857.8090000000002"/>
    <n v="0"/>
    <n v="0"/>
  </r>
  <r>
    <n v="3097"/>
    <x v="10"/>
    <s v="Purchases - Firm"/>
    <x v="1"/>
    <x v="0"/>
    <s v="Farm Power Rexville LLC"/>
    <n v="4485.2"/>
    <n v="0"/>
    <n v="0"/>
  </r>
  <r>
    <n v="3098"/>
    <x v="10"/>
    <s v="Purchases - Firm"/>
    <x v="1"/>
    <x v="0"/>
    <s v="Grant PUD - Priest Rapids Project"/>
    <n v="53743"/>
    <n v="0"/>
    <n v="0"/>
  </r>
  <r>
    <n v="3099"/>
    <x v="10"/>
    <s v="Purchases - Firm"/>
    <x v="1"/>
    <x v="0"/>
    <s v="Island Community Solar LLC"/>
    <n v="61.71"/>
    <n v="0"/>
    <n v="0"/>
  </r>
  <r>
    <n v="3100"/>
    <x v="10"/>
    <s v="Purchases - Firm"/>
    <x v="1"/>
    <x v="2"/>
    <s v="Klamath Falls (Iberdrola)"/>
    <n v="400"/>
    <n v="806.28252911890797"/>
    <n v="161.25650582378159"/>
  </r>
  <r>
    <n v="3101"/>
    <x v="10"/>
    <s v="Purchases - Firm"/>
    <x v="1"/>
    <x v="0"/>
    <s v="Klondike Wind Power III"/>
    <n v="119141"/>
    <n v="0"/>
    <n v="0"/>
  </r>
  <r>
    <n v="3102"/>
    <x v="10"/>
    <s v="Purchases - Firm"/>
    <x v="1"/>
    <x v="0"/>
    <s v="Knudsen Wind Turbine #1"/>
    <n v="129.62800000000001"/>
    <n v="0"/>
    <n v="0"/>
  </r>
  <r>
    <n v="3103"/>
    <x v="10"/>
    <s v="Purchases - Firm"/>
    <x v="1"/>
    <x v="0"/>
    <s v="Rainier Bio Gas"/>
    <n v="4950.2660000000005"/>
    <n v="0"/>
    <n v="0"/>
  </r>
  <r>
    <n v="3104"/>
    <x v="10"/>
    <s v="Purchases - Firm"/>
    <x v="1"/>
    <x v="0"/>
    <s v="Skookumchuck Hydro"/>
    <n v="4961.1959999999999"/>
    <n v="0"/>
    <n v="0"/>
  </r>
  <r>
    <n v="3105"/>
    <x v="10"/>
    <s v="Purchases - Firm"/>
    <x v="1"/>
    <x v="0"/>
    <s v="Smith Creek Hydro"/>
    <n v="162.84899999999999"/>
    <n v="0"/>
    <n v="0"/>
  </r>
  <r>
    <n v="3106"/>
    <x v="10"/>
    <s v="Purchases - Firm"/>
    <x v="1"/>
    <x v="0"/>
    <s v="Swauk Wind"/>
    <n v="11368.796"/>
    <n v="0"/>
    <n v="0"/>
  </r>
  <r>
    <n v="3107"/>
    <x v="10"/>
    <s v="Purchases - Firm"/>
    <x v="1"/>
    <x v="1"/>
    <s v="Transalta Centralia Generation LLC"/>
    <n v="1651177"/>
    <n v="2406.7107411405805"/>
    <n v="1986952.7107121402"/>
  </r>
  <r>
    <n v="3108"/>
    <x v="10"/>
    <s v="Purchases - Firm"/>
    <x v="1"/>
    <x v="0"/>
    <s v="Van Dyk - S Holsteins"/>
    <n v="1619.28"/>
    <n v="0"/>
    <n v="0"/>
  </r>
  <r>
    <n v="3109"/>
    <x v="10"/>
    <s v="Purchases - Firm"/>
    <x v="1"/>
    <x v="0"/>
    <s v="VanderHaak Dairy Digester"/>
    <n v="3455.4459999999999"/>
    <n v="0"/>
    <n v="0"/>
  </r>
  <r>
    <n v="3110"/>
    <x v="10"/>
    <s v="Purchases - PURPA"/>
    <x v="1"/>
    <x v="0"/>
    <s v="BIO FUEL WA"/>
    <n v="32656.922999999999"/>
    <n v="0"/>
    <n v="0"/>
  </r>
  <r>
    <n v="3111"/>
    <x v="10"/>
    <s v="Purchases - PURPA"/>
    <x v="1"/>
    <x v="0"/>
    <s v="Electron Hydro, LLC"/>
    <n v="62833.254000000001"/>
    <n v="0"/>
    <n v="0"/>
  </r>
  <r>
    <n v="3112"/>
    <x v="10"/>
    <s v="Purchases - PURPA"/>
    <x v="1"/>
    <x v="0"/>
    <s v="Emerald City Renewables"/>
    <n v="1087.0940000000001"/>
    <n v="0"/>
    <n v="0"/>
  </r>
  <r>
    <n v="3113"/>
    <x v="10"/>
    <s v="Purchases - PURPA"/>
    <x v="1"/>
    <x v="0"/>
    <s v="Hutchinson Creek"/>
    <n v="744.32"/>
    <n v="0"/>
    <n v="0"/>
  </r>
  <r>
    <n v="3114"/>
    <x v="10"/>
    <s v="Purchases - PURPA"/>
    <x v="1"/>
    <x v="0"/>
    <s v="Koma Kulshan Associates"/>
    <n v="36094.142"/>
    <n v="0"/>
    <n v="0"/>
  </r>
  <r>
    <n v="3115"/>
    <x v="10"/>
    <s v="Purchases - PURPA"/>
    <x v="1"/>
    <x v="0"/>
    <s v="Lake Washington -- Finn Hill"/>
    <n v="278.68"/>
    <n v="0"/>
    <n v="0"/>
  </r>
  <r>
    <n v="3116"/>
    <x v="10"/>
    <s v="Purchases - PURPA"/>
    <x v="1"/>
    <x v="0"/>
    <s v="Nooksack"/>
    <n v="22257.173999999999"/>
    <n v="0"/>
    <n v="0"/>
  </r>
  <r>
    <n v="3117"/>
    <x v="10"/>
    <s v="Purchases - PURPA"/>
    <x v="1"/>
    <x v="0"/>
    <s v="Sygitowicz Creek"/>
    <n v="738.61900000000003"/>
    <n v="0"/>
    <n v="0"/>
  </r>
  <r>
    <n v="3118"/>
    <x v="10"/>
    <s v="Purchases - PURPA"/>
    <x v="1"/>
    <x v="0"/>
    <s v="Twin Falls Hydro"/>
    <n v="52604.395000000004"/>
    <n v="0"/>
    <n v="0"/>
  </r>
  <r>
    <n v="3119"/>
    <x v="10"/>
    <s v="Purchases - PURPA"/>
    <x v="1"/>
    <x v="0"/>
    <s v="Weeks Falls"/>
    <n v="8526.616"/>
    <n v="0"/>
    <n v="0"/>
  </r>
  <r>
    <n v="3121"/>
    <x v="10"/>
    <s v="Purchases - Secondary"/>
    <x v="2"/>
    <x v="4"/>
    <s v="Avista Corp. WWP Division"/>
    <n v="127355"/>
    <n v="1074"/>
    <n v="68389.634999999995"/>
  </r>
  <r>
    <n v="3122"/>
    <x v="10"/>
    <s v="Purchases - Secondary"/>
    <x v="2"/>
    <x v="4"/>
    <s v="Barclays Bank Plc"/>
    <n v="-30"/>
    <n v="1074"/>
    <n v="-16.11"/>
  </r>
  <r>
    <n v="3123"/>
    <x v="10"/>
    <s v="Purchases - Secondary"/>
    <x v="2"/>
    <x v="4"/>
    <s v="Black Hills Power"/>
    <n v="1200"/>
    <n v="1074"/>
    <n v="644.4"/>
  </r>
  <r>
    <n v="3124"/>
    <x v="10"/>
    <s v="Purchases - Secondary"/>
    <x v="2"/>
    <x v="4"/>
    <s v="Book Outs - EITF 03-11"/>
    <n v="-5721875"/>
    <n v="1074"/>
    <n v="-3072646.875"/>
  </r>
  <r>
    <n v="3125"/>
    <x v="10"/>
    <s v="Purchases - Secondary"/>
    <x v="2"/>
    <x v="4"/>
    <s v="BP Energy Co."/>
    <n v="340839"/>
    <n v="1074"/>
    <n v="183030.54300000001"/>
  </r>
  <r>
    <n v="3126"/>
    <x v="10"/>
    <s v="Purchases - Secondary"/>
    <x v="2"/>
    <x v="4"/>
    <s v="BPA"/>
    <n v="141462"/>
    <n v="1074"/>
    <n v="75965.093999999997"/>
  </r>
  <r>
    <n v="3127"/>
    <x v="10"/>
    <s v="Purchases - Secondary"/>
    <x v="2"/>
    <x v="4"/>
    <s v="British Columbia Transmission Corp"/>
    <n v="67"/>
    <n v="1074"/>
    <n v="35.978999999999999"/>
  </r>
  <r>
    <n v="3128"/>
    <x v="10"/>
    <s v="Purchases - Secondary"/>
    <x v="2"/>
    <x v="4"/>
    <s v="CAISO EESC Load Undistributed Costs"/>
    <n v="0"/>
    <n v="1074"/>
    <n v="0"/>
  </r>
  <r>
    <n v="3129"/>
    <x v="10"/>
    <s v="Purchases - Secondary"/>
    <x v="2"/>
    <x v="4"/>
    <s v="California ISO"/>
    <n v="12114"/>
    <n v="1074"/>
    <n v="6505.2179999999998"/>
  </r>
  <r>
    <n v="3130"/>
    <x v="10"/>
    <s v="Purchases - Secondary"/>
    <x v="2"/>
    <x v="4"/>
    <s v="Calpine Energy Services"/>
    <n v="350294"/>
    <n v="1074"/>
    <n v="188107.878"/>
  </r>
  <r>
    <n v="3131"/>
    <x v="10"/>
    <s v="Purchases - Secondary"/>
    <x v="2"/>
    <x v="4"/>
    <s v="Cargill (Financial)"/>
    <n v="0"/>
    <n v="1074"/>
    <n v="0"/>
  </r>
  <r>
    <n v="3132"/>
    <x v="10"/>
    <s v="Purchases - Secondary"/>
    <x v="2"/>
    <x v="4"/>
    <s v="Cargill Power Markets"/>
    <n v="779739"/>
    <n v="1074"/>
    <n v="418719.84299999999"/>
  </r>
  <r>
    <n v="3133"/>
    <x v="10"/>
    <s v="Purchases - Secondary"/>
    <x v="2"/>
    <x v="4"/>
    <s v="Chelan County PUD #1"/>
    <n v="857"/>
    <n v="1074"/>
    <n v="460.209"/>
  </r>
  <r>
    <n v="3134"/>
    <x v="10"/>
    <s v="Purchases - Secondary"/>
    <x v="2"/>
    <x v="4"/>
    <s v="Citigroup Energy (Financial)"/>
    <n v="0"/>
    <n v="1074"/>
    <n v="0"/>
  </r>
  <r>
    <n v="3135"/>
    <x v="10"/>
    <s v="Purchases - Secondary"/>
    <x v="2"/>
    <x v="4"/>
    <s v="Citigroup Energy Inc"/>
    <n v="507518"/>
    <n v="1074"/>
    <n v="272537.16600000003"/>
  </r>
  <r>
    <n v="3136"/>
    <x v="10"/>
    <s v="Purchases - Secondary"/>
    <x v="2"/>
    <x v="4"/>
    <s v="Clark Public Utilities"/>
    <n v="5045"/>
    <n v="1074"/>
    <n v="2709.165"/>
  </r>
  <r>
    <n v="3137"/>
    <x v="10"/>
    <s v="Purchases - Secondary"/>
    <x v="2"/>
    <x v="4"/>
    <s v="Clatskanie PUD"/>
    <n v="2021"/>
    <n v="1074"/>
    <n v="1085.277"/>
  </r>
  <r>
    <n v="3138"/>
    <x v="10"/>
    <s v="Purchases - Secondary"/>
    <x v="2"/>
    <x v="4"/>
    <s v="Conoco, Inc."/>
    <n v="2000"/>
    <n v="1074"/>
    <n v="1074"/>
  </r>
  <r>
    <n v="3139"/>
    <x v="10"/>
    <s v="Purchases - Secondary"/>
    <x v="2"/>
    <x v="4"/>
    <s v="Constellation Power Source, Inc."/>
    <n v="7"/>
    <n v="1074"/>
    <n v="3.7589999999999999"/>
  </r>
  <r>
    <n v="3140"/>
    <x v="10"/>
    <s v="Purchases - Secondary"/>
    <x v="2"/>
    <x v="4"/>
    <s v="Douglas County PUD #1"/>
    <n v="271759"/>
    <n v="1074"/>
    <n v="145934.58300000001"/>
  </r>
  <r>
    <n v="3141"/>
    <x v="10"/>
    <s v="Purchases - Secondary"/>
    <x v="2"/>
    <x v="4"/>
    <s v="EDF Trading (Financial)"/>
    <n v="0"/>
    <n v="1074"/>
    <n v="0"/>
  </r>
  <r>
    <n v="3142"/>
    <x v="10"/>
    <s v="Purchases - Secondary"/>
    <x v="2"/>
    <x v="4"/>
    <s v="EDF Trading NA LLC"/>
    <n v="2085606"/>
    <n v="1074"/>
    <n v="1119970.422"/>
  </r>
  <r>
    <n v="3143"/>
    <x v="10"/>
    <s v="Purchases - Secondary"/>
    <x v="2"/>
    <x v="4"/>
    <s v="ENMAX Energy Marketing, Inc."/>
    <n v="990"/>
    <n v="1074"/>
    <n v="531.63"/>
  </r>
  <r>
    <n v="3144"/>
    <x v="10"/>
    <s v="Purchases - Secondary"/>
    <x v="2"/>
    <x v="4"/>
    <s v="Eugene Water &amp; Electric"/>
    <n v="10905"/>
    <n v="1074"/>
    <n v="5855.9849999999997"/>
  </r>
  <r>
    <n v="3145"/>
    <x v="10"/>
    <s v="Purchases - Secondary"/>
    <x v="2"/>
    <x v="4"/>
    <s v="Exelon Generation (Financial)"/>
    <n v="0"/>
    <n v="1074"/>
    <n v="0"/>
  </r>
  <r>
    <n v="3146"/>
    <x v="10"/>
    <s v="Purchases - Secondary"/>
    <x v="2"/>
    <x v="4"/>
    <s v="Exelon Generation Co LLC"/>
    <n v="183085"/>
    <n v="1074"/>
    <n v="98316.645000000004"/>
  </r>
  <r>
    <n v="3147"/>
    <x v="10"/>
    <s v="Purchases - Secondary"/>
    <x v="2"/>
    <x v="4"/>
    <s v="Grant County PUD #2"/>
    <n v="14148"/>
    <n v="1074"/>
    <n v="7597.4759999999997"/>
  </r>
  <r>
    <n v="3148"/>
    <x v="10"/>
    <s v="Purchases - Secondary"/>
    <x v="2"/>
    <x v="4"/>
    <s v="Iberdrola Renewables (PPM Energy)"/>
    <n v="677785"/>
    <n v="1074"/>
    <n v="363970.54499999998"/>
  </r>
  <r>
    <n v="3149"/>
    <x v="10"/>
    <s v="Purchases - Secondary"/>
    <x v="2"/>
    <x v="4"/>
    <s v="Idaho Power Company"/>
    <n v="14768"/>
    <n v="1074"/>
    <n v="7930.4160000000002"/>
  </r>
  <r>
    <n v="3150"/>
    <x v="10"/>
    <s v="Purchases - Secondary"/>
    <x v="2"/>
    <x v="4"/>
    <s v="J. Aron &amp; Company"/>
    <n v="10400"/>
    <n v="1074"/>
    <n v="5584.8"/>
  </r>
  <r>
    <n v="3151"/>
    <x v="10"/>
    <s v="Purchases - Secondary"/>
    <x v="2"/>
    <x v="4"/>
    <s v="JP Morgan Ventures Energy"/>
    <n v="67092"/>
    <n v="1074"/>
    <n v="36028.404000000002"/>
  </r>
  <r>
    <n v="3153"/>
    <x v="10"/>
    <s v="Purchases - Secondary"/>
    <x v="2"/>
    <x v="4"/>
    <s v="Morgan Stanley CG"/>
    <n v="1304649"/>
    <n v="1074"/>
    <n v="700596.51300000004"/>
  </r>
  <r>
    <n v="3154"/>
    <x v="10"/>
    <s v="Purchases - Secondary"/>
    <x v="2"/>
    <x v="4"/>
    <s v="Morgan Stanley CG (Financial)"/>
    <n v="0"/>
    <n v="1074"/>
    <n v="0"/>
  </r>
  <r>
    <n v="3155"/>
    <x v="10"/>
    <s v="Purchases - Secondary"/>
    <x v="2"/>
    <x v="4"/>
    <s v="NextEra Energy Power Marketing"/>
    <n v="113998"/>
    <n v="1074"/>
    <n v="61216.925999999999"/>
  </r>
  <r>
    <n v="3156"/>
    <x v="10"/>
    <s v="Purchases - Secondary"/>
    <x v="2"/>
    <x v="4"/>
    <s v="Noble Americas Energy Solutions"/>
    <n v="800"/>
    <n v="1074"/>
    <n v="429.6"/>
  </r>
  <r>
    <n v="3157"/>
    <x v="10"/>
    <s v="Purchases - Secondary"/>
    <x v="2"/>
    <x v="4"/>
    <s v="NorthPoint Energy Solutions, Inc."/>
    <n v="300"/>
    <n v="1074"/>
    <n v="161.1"/>
  </r>
  <r>
    <n v="3158"/>
    <x v="10"/>
    <s v="Purchases - Secondary"/>
    <x v="2"/>
    <x v="4"/>
    <s v="Northwestern Energy"/>
    <n v="10619"/>
    <n v="1074"/>
    <n v="5702.4030000000002"/>
  </r>
  <r>
    <n v="3159"/>
    <x v="10"/>
    <s v="Purchases - Secondary"/>
    <x v="2"/>
    <x v="4"/>
    <s v="Okanogan PUD"/>
    <n v="15430"/>
    <n v="1074"/>
    <n v="8285.91"/>
  </r>
  <r>
    <n v="3160"/>
    <x v="10"/>
    <s v="Purchases - Secondary"/>
    <x v="2"/>
    <x v="4"/>
    <s v="Pacificorp"/>
    <n v="26590"/>
    <n v="1074"/>
    <n v="14278.83"/>
  </r>
  <r>
    <n v="3161"/>
    <x v="10"/>
    <s v="Purchases - Secondary"/>
    <x v="2"/>
    <x v="4"/>
    <s v="Portland General Electric"/>
    <n v="109691"/>
    <n v="1074"/>
    <n v="58904.067000000003"/>
  </r>
  <r>
    <n v="3162"/>
    <x v="10"/>
    <s v="Purchases - Secondary"/>
    <x v="2"/>
    <x v="4"/>
    <s v="Powerex Corp."/>
    <n v="144388"/>
    <n v="1074"/>
    <n v="77536.356"/>
  </r>
  <r>
    <n v="3163"/>
    <x v="10"/>
    <s v="Purchases - Secondary"/>
    <x v="2"/>
    <x v="4"/>
    <s v="Public Service of Colorado"/>
    <n v="800"/>
    <n v="1074"/>
    <n v="429.6"/>
  </r>
  <r>
    <n v="3164"/>
    <x v="10"/>
    <s v="Purchases - Secondary"/>
    <x v="2"/>
    <x v="4"/>
    <s v="Rainbow Energy Marketing"/>
    <n v="12393"/>
    <n v="1074"/>
    <n v="6655.0410000000002"/>
  </r>
  <r>
    <n v="3165"/>
    <x v="10"/>
    <s v="Purchases - Secondary"/>
    <x v="2"/>
    <x v="4"/>
    <s v="Sacramento Municipal"/>
    <n v="5966"/>
    <n v="1074"/>
    <n v="3203.7420000000002"/>
  </r>
  <r>
    <n v="3166"/>
    <x v="10"/>
    <s v="Purchases - Secondary"/>
    <x v="2"/>
    <x v="4"/>
    <s v="Seattle City Light Marketing"/>
    <n v="96380"/>
    <n v="1074"/>
    <n v="51756.06"/>
  </r>
  <r>
    <n v="3167"/>
    <x v="10"/>
    <s v="Purchases - Secondary"/>
    <x v="2"/>
    <x v="4"/>
    <s v="Shell Energy (Coral Pwr)"/>
    <n v="309247"/>
    <n v="1074"/>
    <n v="166065.639"/>
  </r>
  <r>
    <n v="3168"/>
    <x v="10"/>
    <s v="Purchases - Secondary"/>
    <x v="2"/>
    <x v="4"/>
    <s v="Shell Energy NA (Financial)"/>
    <n v="0"/>
    <n v="1074"/>
    <n v="0"/>
  </r>
  <r>
    <n v="3169"/>
    <x v="10"/>
    <s v="Purchases - Secondary"/>
    <x v="2"/>
    <x v="4"/>
    <s v="Snohomish County PUD #1"/>
    <n v="18557"/>
    <n v="1074"/>
    <n v="9965.1090000000004"/>
  </r>
  <r>
    <n v="3170"/>
    <x v="10"/>
    <s v="Purchases - Secondary"/>
    <x v="2"/>
    <x v="4"/>
    <s v="Southern Cal - Edison"/>
    <n v="42837"/>
    <n v="1074"/>
    <n v="23003.469000000001"/>
  </r>
  <r>
    <n v="3171"/>
    <x v="10"/>
    <s v="Purchases - Secondary"/>
    <x v="2"/>
    <x v="4"/>
    <s v="Tacoma Power"/>
    <n v="38385"/>
    <n v="1074"/>
    <n v="20612.744999999999"/>
  </r>
  <r>
    <n v="3172"/>
    <x v="10"/>
    <s v="Purchases - Secondary"/>
    <x v="2"/>
    <x v="4"/>
    <s v="Talen Energy (PPL Energy Plus)"/>
    <n v="242781"/>
    <n v="1074"/>
    <n v="130373.397"/>
  </r>
  <r>
    <n v="3173"/>
    <x v="10"/>
    <s v="Purchases - Secondary"/>
    <x v="2"/>
    <x v="4"/>
    <s v="Tenaska Power Services Co."/>
    <n v="297"/>
    <n v="1074"/>
    <n v="159.489"/>
  </r>
  <r>
    <n v="3174"/>
    <x v="10"/>
    <s v="Purchases - Secondary"/>
    <x v="2"/>
    <x v="4"/>
    <s v="The Energy Authority"/>
    <n v="57242"/>
    <n v="1074"/>
    <n v="30738.954000000002"/>
  </r>
  <r>
    <n v="3175"/>
    <x v="10"/>
    <s v="Purchases - Secondary"/>
    <x v="2"/>
    <x v="4"/>
    <s v="TransAlta Energy Marketing"/>
    <n v="1275174"/>
    <n v="1074"/>
    <n v="684768.43799999997"/>
  </r>
  <r>
    <n v="3176"/>
    <x v="10"/>
    <s v="Purchases - Secondary"/>
    <x v="2"/>
    <x v="4"/>
    <s v="TransCanada Energy Sales Ltd"/>
    <n v="15993"/>
    <n v="1074"/>
    <n v="8588.241"/>
  </r>
  <r>
    <n v="3177"/>
    <x v="10"/>
    <s v="Purchases - Secondary"/>
    <x v="2"/>
    <x v="4"/>
    <s v="Turlock Irrigation District"/>
    <n v="24277"/>
    <n v="1074"/>
    <n v="13036.749"/>
  </r>
  <r>
    <n v="3178"/>
    <x v="10"/>
    <s v="Purchases - Secondary"/>
    <x v="2"/>
    <x v="4"/>
    <s v="Vitol Inc."/>
    <n v="1563318"/>
    <n v="1074"/>
    <n v="839501.76599999995"/>
  </r>
  <r>
    <n v="3179"/>
    <x v="10"/>
    <s v="Purchases - Secondary"/>
    <x v="2"/>
    <x v="4"/>
    <s v="Western Area Power Association"/>
    <n v="3"/>
    <n v="1074"/>
    <n v="1.611"/>
  </r>
  <r>
    <n v="3180"/>
    <x v="10"/>
    <s v="Interchange - In"/>
    <x v="2"/>
    <x v="4"/>
    <s v="Avista Nichols Pump"/>
    <n v="22743.040000000001"/>
    <n v="1074"/>
    <n v="12213.012480000001"/>
  </r>
  <r>
    <n v="3181"/>
    <x v="10"/>
    <s v="Interchange - In"/>
    <x v="2"/>
    <x v="4"/>
    <s v="Constellation Power Source, Inc."/>
    <n v="0"/>
    <n v="1074"/>
    <n v="0"/>
  </r>
  <r>
    <n v="3182"/>
    <x v="10"/>
    <s v="Interchange - Out"/>
    <x v="2"/>
    <x v="4"/>
    <s v="Pacific Gas &amp; Elec - Exchange"/>
    <n v="413000"/>
    <n v="1074"/>
    <n v="221781"/>
  </r>
  <r>
    <n v="3183"/>
    <x v="10"/>
    <s v="Purchases - Secondary"/>
    <x v="2"/>
    <x v="4"/>
    <s v="Interchange-out deviation"/>
    <n v="52886.561999999998"/>
    <n v="1074"/>
    <n v="28400.083793999998"/>
  </r>
  <r>
    <n v="3184"/>
    <x v="10"/>
    <s v="Interchange - Out"/>
    <x v="2"/>
    <x v="4"/>
    <s v="Pacific Gas &amp; Elec - Exchange"/>
    <n v="-413000"/>
    <n v="1074"/>
    <n v="-221781"/>
  </r>
  <r>
    <n v="3185"/>
    <x v="10"/>
    <s v="Sales for Resale"/>
    <x v="2"/>
    <x v="4"/>
    <s v="Avista Corp. WWP Division"/>
    <n v="-59334"/>
    <n v="1074"/>
    <n v="-31862.358"/>
  </r>
  <r>
    <n v="3186"/>
    <x v="10"/>
    <s v="Sales for Resale"/>
    <x v="2"/>
    <x v="4"/>
    <s v="Black Hills Power"/>
    <n v="-30"/>
    <n v="1074"/>
    <n v="-16.11"/>
  </r>
  <r>
    <n v="3187"/>
    <x v="10"/>
    <s v="Sales for Resale"/>
    <x v="2"/>
    <x v="4"/>
    <s v="Book Outs - EITF 03-11"/>
    <n v="5724128"/>
    <n v="1074"/>
    <n v="3073856.736"/>
  </r>
  <r>
    <n v="3188"/>
    <x v="10"/>
    <s v="Sales for Resale"/>
    <x v="2"/>
    <x v="4"/>
    <s v="BP Energy Co."/>
    <n v="-303763"/>
    <n v="1074"/>
    <n v="-163120.731"/>
  </r>
  <r>
    <n v="3189"/>
    <x v="10"/>
    <s v="Sales for Resale"/>
    <x v="2"/>
    <x v="4"/>
    <s v="BPA"/>
    <n v="-284002"/>
    <n v="1074"/>
    <n v="-152509.07399999999"/>
  </r>
  <r>
    <n v="3190"/>
    <x v="10"/>
    <s v="Sales for Resale"/>
    <x v="2"/>
    <x v="4"/>
    <s v="British Columbia Transmission Corp"/>
    <n v="-28"/>
    <n v="1074"/>
    <n v="-15.036"/>
  </r>
  <r>
    <n v="3191"/>
    <x v="10"/>
    <s v="Sales for Resale"/>
    <x v="2"/>
    <x v="4"/>
    <s v="Calpine Energy Services"/>
    <n v="-117995"/>
    <n v="1074"/>
    <n v="-63363.315000000002"/>
  </r>
  <r>
    <n v="3192"/>
    <x v="10"/>
    <s v="Sales for Resale"/>
    <x v="2"/>
    <x v="4"/>
    <s v="Cargill Power Markets"/>
    <n v="-176345"/>
    <n v="1074"/>
    <n v="-94697.264999999999"/>
  </r>
  <r>
    <n v="3193"/>
    <x v="10"/>
    <s v="Sales for Resale"/>
    <x v="2"/>
    <x v="4"/>
    <s v="Chelan County PUD #1"/>
    <n v="-4207"/>
    <n v="1074"/>
    <n v="-2259.1590000000001"/>
  </r>
  <r>
    <n v="3194"/>
    <x v="10"/>
    <s v="Sales for Resale"/>
    <x v="2"/>
    <x v="4"/>
    <s v="Citigroup Energy Inc"/>
    <n v="-327954"/>
    <n v="1074"/>
    <n v="-176111.29800000001"/>
  </r>
  <r>
    <n v="3195"/>
    <x v="10"/>
    <s v="Sales for Resale"/>
    <x v="2"/>
    <x v="4"/>
    <s v="Clark Public Utilities"/>
    <n v="-6032"/>
    <n v="1074"/>
    <n v="-3239.1840000000002"/>
  </r>
  <r>
    <n v="3196"/>
    <x v="10"/>
    <s v="Sales for Resale"/>
    <x v="2"/>
    <x v="4"/>
    <s v="Clatskanie PUD"/>
    <n v="-3692"/>
    <n v="1074"/>
    <n v="-1982.604"/>
  </r>
  <r>
    <n v="3197"/>
    <x v="10"/>
    <s v="Sales for Resale"/>
    <x v="2"/>
    <x v="4"/>
    <s v="Conoco, Inc."/>
    <n v="-5200"/>
    <n v="1074"/>
    <n v="-2792.4"/>
  </r>
  <r>
    <n v="3198"/>
    <x v="10"/>
    <s v="Purchases - Secondary"/>
    <x v="2"/>
    <x v="4"/>
    <s v="Constellation Power Source, Inc."/>
    <n v="-89"/>
    <n v="1074"/>
    <n v="-47.792999999999999"/>
  </r>
  <r>
    <n v="3199"/>
    <x v="10"/>
    <s v="Sales for Resale"/>
    <x v="2"/>
    <x v="4"/>
    <s v="CP Energy Marketing (Epcor)"/>
    <n v="-902"/>
    <n v="1074"/>
    <n v="-484.37400000000002"/>
  </r>
  <r>
    <n v="3200"/>
    <x v="10"/>
    <s v="Sales for Resale"/>
    <x v="2"/>
    <x v="4"/>
    <s v="Douglas County PUD #1"/>
    <n v="-2350"/>
    <n v="1074"/>
    <n v="-1261.95"/>
  </r>
  <r>
    <n v="3201"/>
    <x v="10"/>
    <s v="Sales for Resale"/>
    <x v="2"/>
    <x v="4"/>
    <s v="EDF Trading NA LLC"/>
    <n v="-1158465"/>
    <n v="1074"/>
    <n v="-622095.70499999996"/>
  </r>
  <r>
    <n v="3202"/>
    <x v="10"/>
    <s v="Sales for Resale"/>
    <x v="2"/>
    <x v="4"/>
    <s v="ENMAX Energy Marketing, Inc."/>
    <n v="-346"/>
    <n v="1074"/>
    <n v="-185.80199999999999"/>
  </r>
  <r>
    <n v="3203"/>
    <x v="10"/>
    <s v="Sales for Resale"/>
    <x v="2"/>
    <x v="4"/>
    <s v="Eugene Water &amp; Electric"/>
    <n v="-22601"/>
    <n v="1074"/>
    <n v="-12136.736999999999"/>
  </r>
  <r>
    <n v="3204"/>
    <x v="10"/>
    <s v="Sales for Resale"/>
    <x v="2"/>
    <x v="4"/>
    <s v="Exelon Generation Co LLC"/>
    <n v="-154413"/>
    <n v="1074"/>
    <n v="-82919.781000000003"/>
  </r>
  <r>
    <n v="3205"/>
    <x v="10"/>
    <s v="Sales for Resale"/>
    <x v="2"/>
    <x v="4"/>
    <s v="Fortis BC"/>
    <n v="-13980"/>
    <n v="1074"/>
    <n v="-7507.26"/>
  </r>
  <r>
    <n v="3206"/>
    <x v="10"/>
    <s v="Sales for Resale"/>
    <x v="2"/>
    <x v="4"/>
    <s v="Grant County PUD #2"/>
    <n v="-34904"/>
    <n v="1074"/>
    <n v="-18743.448"/>
  </r>
  <r>
    <n v="3207"/>
    <x v="10"/>
    <s v="Sales for Resale"/>
    <x v="2"/>
    <x v="4"/>
    <s v="Iberdrola Renewables (PPM Energy)"/>
    <n v="-465716"/>
    <n v="1074"/>
    <n v="-250089.492"/>
  </r>
  <r>
    <n v="3208"/>
    <x v="10"/>
    <s v="Sales for Resale"/>
    <x v="2"/>
    <x v="4"/>
    <s v="Idaho Power Company"/>
    <n v="-28166"/>
    <n v="1074"/>
    <n v="-15125.142"/>
  </r>
  <r>
    <n v="3209"/>
    <x v="10"/>
    <s v="Sales for Resale"/>
    <x v="2"/>
    <x v="4"/>
    <s v="J. Aron &amp; Company"/>
    <n v="-10000"/>
    <n v="1074"/>
    <n v="-5370"/>
  </r>
  <r>
    <n v="3210"/>
    <x v="10"/>
    <s v="Sales for Resale"/>
    <x v="2"/>
    <x v="4"/>
    <s v="JP Morgan Ventures Energy"/>
    <n v="-64335"/>
    <n v="1074"/>
    <n v="-34547.894999999997"/>
  </r>
  <r>
    <n v="3211"/>
    <x v="10"/>
    <s v="Sales for Resale"/>
    <x v="2"/>
    <x v="4"/>
    <s v="Morgan Stanley CG"/>
    <n v="-799848"/>
    <n v="1074"/>
    <n v="-429518.37599999999"/>
  </r>
  <r>
    <n v="3212"/>
    <x v="10"/>
    <s v="Sales for Resale"/>
    <x v="2"/>
    <x v="4"/>
    <s v="Natur Ener USA"/>
    <n v="-61"/>
    <n v="1074"/>
    <n v="-32.756999999999998"/>
  </r>
  <r>
    <n v="3213"/>
    <x v="10"/>
    <s v="Sales for Resale"/>
    <x v="2"/>
    <x v="4"/>
    <s v="Nevada Power Company"/>
    <n v="-1267"/>
    <n v="1074"/>
    <n v="-680.37900000000002"/>
  </r>
  <r>
    <n v="3214"/>
    <x v="10"/>
    <s v="Sales for Resale"/>
    <x v="2"/>
    <x v="4"/>
    <s v="NextEra Energy Power Marketing"/>
    <n v="-1748"/>
    <n v="1074"/>
    <n v="-938.67600000000004"/>
  </r>
  <r>
    <n v="3215"/>
    <x v="10"/>
    <s v="Sales for Resale"/>
    <x v="2"/>
    <x v="4"/>
    <s v="NorthPoint Energy Solutions, Inc."/>
    <n v="-50"/>
    <n v="1074"/>
    <n v="-26.85"/>
  </r>
  <r>
    <n v="3216"/>
    <x v="10"/>
    <s v="Sales for Resale"/>
    <x v="2"/>
    <x v="4"/>
    <s v="Northwestern Energy"/>
    <n v="-27585"/>
    <n v="1074"/>
    <n v="-14813.145"/>
  </r>
  <r>
    <n v="3217"/>
    <x v="10"/>
    <s v="Sales for Resale"/>
    <x v="2"/>
    <x v="4"/>
    <s v="Okanogan PUD"/>
    <n v="-1425"/>
    <n v="1074"/>
    <n v="-765.22500000000002"/>
  </r>
  <r>
    <n v="3218"/>
    <x v="10"/>
    <s v="Sales for Resale"/>
    <x v="2"/>
    <x v="4"/>
    <s v="Pacificorp"/>
    <n v="-270353"/>
    <n v="1074"/>
    <n v="-145179.56099999999"/>
  </r>
  <r>
    <n v="3219"/>
    <x v="10"/>
    <s v="Sales for Resale"/>
    <x v="2"/>
    <x v="4"/>
    <s v="Portland General Electric"/>
    <n v="-154103"/>
    <n v="1074"/>
    <n v="-82753.311000000002"/>
  </r>
  <r>
    <n v="3220"/>
    <x v="10"/>
    <s v="Sales for Resale"/>
    <x v="2"/>
    <x v="4"/>
    <s v="Powerex Corp."/>
    <n v="-165730"/>
    <n v="1074"/>
    <n v="-88997.01"/>
  </r>
  <r>
    <n v="3221"/>
    <x v="10"/>
    <s v="Sales for Resale"/>
    <x v="2"/>
    <x v="4"/>
    <s v="Public Service of Colorado"/>
    <n v="-600"/>
    <n v="1074"/>
    <n v="-322.2"/>
  </r>
  <r>
    <n v="3222"/>
    <x v="10"/>
    <s v="Sales for Resale"/>
    <x v="2"/>
    <x v="4"/>
    <s v="Rainbow Energy Marketing"/>
    <n v="-5067"/>
    <n v="1074"/>
    <n v="-2720.9789999999998"/>
  </r>
  <r>
    <n v="3223"/>
    <x v="10"/>
    <s v="Sales for Resale"/>
    <x v="2"/>
    <x v="4"/>
    <s v="Sacramento Municipal"/>
    <n v="-15711"/>
    <n v="1074"/>
    <n v="-8436.8070000000007"/>
  </r>
  <r>
    <n v="3224"/>
    <x v="10"/>
    <s v="Sales for Resale"/>
    <x v="2"/>
    <x v="4"/>
    <s v="Seattle City Light Marketing"/>
    <n v="-34982"/>
    <n v="1074"/>
    <n v="-18785.333999999999"/>
  </r>
  <r>
    <n v="3225"/>
    <x v="10"/>
    <s v="Sales for Resale"/>
    <x v="2"/>
    <x v="4"/>
    <s v="Shell Energy (Coral Pwr)"/>
    <n v="-349844"/>
    <n v="1074"/>
    <n v="-187866.228"/>
  </r>
  <r>
    <n v="3226"/>
    <x v="10"/>
    <s v="Sales for Resale"/>
    <x v="2"/>
    <x v="4"/>
    <s v="Snohomish County PUD #1"/>
    <n v="-7576"/>
    <n v="1074"/>
    <n v="-4068.3119999999999"/>
  </r>
  <r>
    <n v="3227"/>
    <x v="10"/>
    <s v="Sales for Resale"/>
    <x v="2"/>
    <x v="4"/>
    <s v="Southern Cal - Edison"/>
    <n v="-200"/>
    <n v="1074"/>
    <n v="-107.4"/>
  </r>
  <r>
    <n v="3228"/>
    <x v="10"/>
    <s v="Sales for Resale"/>
    <x v="2"/>
    <x v="4"/>
    <s v="Tacoma Power"/>
    <n v="-15061"/>
    <n v="1074"/>
    <n v="-8087.7569999999996"/>
  </r>
  <r>
    <n v="3229"/>
    <x v="10"/>
    <s v="Sales for Resale"/>
    <x v="2"/>
    <x v="4"/>
    <s v="Talen Energy (PPL Energy Plus)"/>
    <n v="-70877"/>
    <n v="1074"/>
    <n v="-38060.949000000001"/>
  </r>
  <r>
    <n v="3230"/>
    <x v="10"/>
    <s v="Sales for Resale"/>
    <x v="2"/>
    <x v="4"/>
    <s v="Tenaska Power Services Co."/>
    <n v="-828"/>
    <n v="1074"/>
    <n v="-444.63600000000002"/>
  </r>
  <r>
    <n v="3231"/>
    <x v="10"/>
    <s v="Sales for Resale"/>
    <x v="2"/>
    <x v="4"/>
    <s v="The Energy Authority"/>
    <n v="-41339"/>
    <n v="1074"/>
    <n v="-22199.043000000001"/>
  </r>
  <r>
    <n v="3232"/>
    <x v="10"/>
    <s v="Sales for Resale"/>
    <x v="2"/>
    <x v="4"/>
    <s v="TransAlta Energy Marketing"/>
    <n v="-637562"/>
    <n v="1074"/>
    <n v="-342370.79399999999"/>
  </r>
  <r>
    <n v="3233"/>
    <x v="10"/>
    <s v="Sales for Resale"/>
    <x v="2"/>
    <x v="4"/>
    <s v="TransCanada Energy Sales Ltd"/>
    <n v="-7621"/>
    <n v="1074"/>
    <n v="-4092.4769999999999"/>
  </r>
  <r>
    <n v="3234"/>
    <x v="10"/>
    <s v="Sales for Resale"/>
    <x v="2"/>
    <x v="4"/>
    <s v="Turlock Irrigation District"/>
    <n v="-208"/>
    <n v="1074"/>
    <n v="-111.696"/>
  </r>
  <r>
    <n v="3235"/>
    <x v="10"/>
    <s v="Sales for Resale"/>
    <x v="2"/>
    <x v="4"/>
    <s v="Vitol Inc."/>
    <n v="-1812075"/>
    <n v="1074"/>
    <n v="-973084.27500000002"/>
  </r>
  <r>
    <n v="3236"/>
    <x v="10"/>
    <s v="Sales for Resale"/>
    <x v="2"/>
    <x v="4"/>
    <s v="Western Area Power Association"/>
    <n v="-2"/>
    <n v="1074"/>
    <n v="-1.0740000000000001"/>
  </r>
</pivotCacheRecords>
</file>

<file path=xl/pivotCache/pivotCacheRecords2.xml><?xml version="1.0" encoding="utf-8"?>
<pivotCacheRecords xmlns="http://schemas.openxmlformats.org/spreadsheetml/2006/main" xmlns:r="http://schemas.openxmlformats.org/officeDocument/2006/relationships" count="2331">
  <r>
    <x v="0"/>
    <s v="Generation - Hydro"/>
    <x v="0"/>
    <x v="0"/>
    <s v="Electron"/>
    <n v="96719.5"/>
    <n v="0"/>
    <n v="0"/>
  </r>
  <r>
    <x v="0"/>
    <s v="Generation - Hydro"/>
    <x v="0"/>
    <x v="0"/>
    <s v="Lower Baker"/>
    <n v="296318.98"/>
    <n v="0"/>
    <n v="0"/>
  </r>
  <r>
    <x v="0"/>
    <s v="Generation - Hydro"/>
    <x v="0"/>
    <x v="0"/>
    <s v="Snoqualmie Falls #1"/>
    <n v="51530.6"/>
    <n v="0"/>
    <n v="0"/>
  </r>
  <r>
    <x v="0"/>
    <s v="Generation - Hydro"/>
    <x v="0"/>
    <x v="0"/>
    <s v="Snoqualmie Falls #2"/>
    <n v="139699"/>
    <n v="0"/>
    <n v="0"/>
  </r>
  <r>
    <x v="0"/>
    <s v="Generation - Hydro"/>
    <x v="0"/>
    <x v="0"/>
    <s v="Upper Baker"/>
    <n v="295224.46999999997"/>
    <n v="0"/>
    <n v="0"/>
  </r>
  <r>
    <x v="0"/>
    <s v="Generation - Steam"/>
    <x v="0"/>
    <x v="1"/>
    <s v="Colstrip 1 &amp; 2"/>
    <n v="2241315"/>
    <n v="2524.3397737488931"/>
    <n v="2828920.3"/>
  </r>
  <r>
    <x v="0"/>
    <s v="Generation - Steam"/>
    <x v="0"/>
    <x v="1"/>
    <s v="Colstrip 3 &amp; 4"/>
    <n v="2934484"/>
    <n v="2310.6620278045475"/>
    <n v="3390300.375"/>
  </r>
  <r>
    <x v="0"/>
    <s v="Generation - Steam"/>
    <x v="0"/>
    <x v="2"/>
    <s v="Encogen"/>
    <n v="459081.82"/>
    <n v="1031.6341819212798"/>
    <n v="236802.24890531611"/>
  </r>
  <r>
    <x v="0"/>
    <s v="Generation - Oil/Gas/Wind"/>
    <x v="0"/>
    <x v="3"/>
    <s v="Crystal Mountain"/>
    <n v="59.29"/>
    <n v="2020.7866419294992"/>
    <n v="59.906220000000005"/>
  </r>
  <r>
    <x v="0"/>
    <s v="Generation - Oil/Gas/Wind"/>
    <x v="0"/>
    <x v="2"/>
    <s v="Freddie #1"/>
    <n v="338805"/>
    <n v="654.2795507080267"/>
    <n v="110836.59158881649"/>
  </r>
  <r>
    <x v="0"/>
    <s v="Generation - Oil/Gas/Wind"/>
    <x v="0"/>
    <x v="2"/>
    <s v="Fredonia"/>
    <n v="12655"/>
    <n v="1064.3026985697352"/>
    <n v="6734.3753251999997"/>
  </r>
  <r>
    <x v="0"/>
    <s v="Generation - Oil/Gas/Wind"/>
    <x v="0"/>
    <x v="2"/>
    <s v="Fredrickson 1 &amp; 2"/>
    <n v="1421.5"/>
    <n v="1692.1277762926486"/>
    <n v="1202.679817"/>
  </r>
  <r>
    <x v="0"/>
    <s v="Generation - Oil/Gas/Wind"/>
    <x v="0"/>
    <x v="0"/>
    <s v="Hopkins Ridge (W184)"/>
    <n v="33670.17"/>
    <n v="0"/>
    <n v="0"/>
  </r>
  <r>
    <x v="0"/>
    <s v="Generation - Oil/Gas/Wind"/>
    <x v="0"/>
    <x v="2"/>
    <s v="Whitehorn 2&amp;3"/>
    <n v="1054.7"/>
    <n v="1564.08208400493"/>
    <n v="824.81868699999995"/>
  </r>
  <r>
    <x v="0"/>
    <s v="Purchases - Firm"/>
    <x v="1"/>
    <x v="4"/>
    <s v="BC Hydro (Point Roberts)"/>
    <n v="21622.68"/>
    <n v="1009.3086315923503"/>
    <n v="10911.978781079641"/>
  </r>
  <r>
    <x v="0"/>
    <s v="Purchases - Firm"/>
    <x v="1"/>
    <x v="0"/>
    <s v="BPA"/>
    <n v="7000"/>
    <n v="0"/>
    <n v="0"/>
  </r>
  <r>
    <x v="0"/>
    <s v="Purchases - Firm"/>
    <x v="1"/>
    <x v="4"/>
    <s v="BPA Firm - WNP#3 Exchange"/>
    <n v="407654"/>
    <n v="1009.3086315923503"/>
    <n v="205724.35045157396"/>
  </r>
  <r>
    <x v="0"/>
    <s v="Purchases - Firm"/>
    <x v="1"/>
    <x v="0"/>
    <s v="Chelan PUD - Rock Island Syst #2"/>
    <n v="1374698"/>
    <n v="0"/>
    <n v="0"/>
  </r>
  <r>
    <x v="0"/>
    <s v="Purchases - Firm"/>
    <x v="1"/>
    <x v="0"/>
    <s v="Chelan PUD - Rocky Reach"/>
    <n v="2144283"/>
    <n v="0"/>
    <n v="0"/>
  </r>
  <r>
    <x v="0"/>
    <s v="Purchases - Firm"/>
    <x v="1"/>
    <x v="0"/>
    <s v="Douglas PUD - Wells Project"/>
    <n v="1057504"/>
    <n v="0"/>
    <n v="0"/>
  </r>
  <r>
    <x v="0"/>
    <s v="Purchases - Firm"/>
    <x v="1"/>
    <x v="0"/>
    <s v="Grant PUD - Priest Rapids"/>
    <n v="386705"/>
    <n v="0"/>
    <n v="0"/>
  </r>
  <r>
    <x v="0"/>
    <s v="Purchases - Firm"/>
    <x v="1"/>
    <x v="0"/>
    <s v="Grant PUD - Wanapum"/>
    <n v="434635"/>
    <n v="0"/>
    <n v="0"/>
  </r>
  <r>
    <x v="0"/>
    <s v="Purchases - Firm"/>
    <x v="1"/>
    <x v="1"/>
    <s v="NWestern Energy(MPC) Firm Contract"/>
    <n v="801043"/>
    <n v="2204.67384728877"/>
    <n v="883019.27632686915"/>
  </r>
  <r>
    <x v="0"/>
    <s v="Purchases - Firm"/>
    <x v="1"/>
    <x v="4"/>
    <s v="Snohomish PUD Conservation"/>
    <n v="89728"/>
    <n v="1009.3086315923503"/>
    <n v="45281.622447759204"/>
  </r>
  <r>
    <x v="0"/>
    <s v="Purchases - Firm"/>
    <x v="1"/>
    <x v="0"/>
    <s v="VanderHaak Dairy Digester"/>
    <n v="1790.16"/>
    <n v="0"/>
    <n v="0"/>
  </r>
  <r>
    <x v="0"/>
    <s v="Purchases - Firm"/>
    <x v="1"/>
    <x v="0"/>
    <s v="WASCO Hydro"/>
    <n v="41804"/>
    <n v="0"/>
    <n v="0"/>
  </r>
  <r>
    <x v="0"/>
    <s v="Purchases - PURPA"/>
    <x v="1"/>
    <x v="0"/>
    <s v="Hutchinson Creek"/>
    <n v="2364"/>
    <n v="0"/>
    <n v="0"/>
  </r>
  <r>
    <x v="0"/>
    <s v="Purchases - PURPA"/>
    <x v="1"/>
    <x v="0"/>
    <s v="Koma Kulshan Associates"/>
    <n v="31836"/>
    <n v="0"/>
    <n v="0"/>
  </r>
  <r>
    <x v="0"/>
    <s v="Purchases - PURPA"/>
    <x v="1"/>
    <x v="2"/>
    <s v="March Point Cogen. - 1 &amp; 2"/>
    <n v="1016806.3799999999"/>
    <n v="726.8007471056178"/>
    <n v="369507.81832287932"/>
  </r>
  <r>
    <x v="0"/>
    <s v="Purchases - PURPA"/>
    <x v="1"/>
    <x v="0"/>
    <s v="Nooksack"/>
    <n v="18809.374"/>
    <n v="0"/>
    <n v="0"/>
  </r>
  <r>
    <x v="0"/>
    <s v="Purchases - PURPA"/>
    <x v="1"/>
    <x v="5"/>
    <s v="Port Townsend Paper Co."/>
    <n v="2498.48"/>
    <n v="985.78559425261631"/>
    <n v="1231.4827957641385"/>
  </r>
  <r>
    <x v="0"/>
    <s v="Purchases - PURPA"/>
    <x v="1"/>
    <x v="0"/>
    <s v="Puyallup Energy Recovery Company"/>
    <n v="6483.9880000000003"/>
    <n v="0"/>
    <n v="0"/>
  </r>
  <r>
    <x v="0"/>
    <s v="Purchases - PURPA"/>
    <x v="1"/>
    <x v="6"/>
    <s v="Spokane MSW"/>
    <n v="147314"/>
    <n v="4414.956753741686"/>
    <n v="325192.46961035137"/>
  </r>
  <r>
    <x v="0"/>
    <s v="Purchases - PURPA"/>
    <x v="1"/>
    <x v="2"/>
    <s v="Sumas Cogeneration"/>
    <n v="1032316.53"/>
    <n v="927.49481162721986"/>
    <n v="478734.11276600766"/>
  </r>
  <r>
    <x v="0"/>
    <s v="Purchases - PURPA"/>
    <x v="1"/>
    <x v="0"/>
    <s v="Sygitowicz Creek"/>
    <n v="4.6399999999999997"/>
    <n v="0"/>
    <n v="0"/>
  </r>
  <r>
    <x v="0"/>
    <s v="Purchases - PURPA"/>
    <x v="1"/>
    <x v="2"/>
    <s v="Tenaska"/>
    <n v="523309.64"/>
    <n v="885.49544452606233"/>
    <n v="231694.15114828682"/>
  </r>
  <r>
    <x v="0"/>
    <s v="Purchases - PURPA"/>
    <x v="1"/>
    <x v="0"/>
    <s v="Twin Falls Hydro"/>
    <n v="48463"/>
    <n v="0"/>
    <n v="0"/>
  </r>
  <r>
    <x v="0"/>
    <s v="Purchases - PURPA"/>
    <x v="1"/>
    <x v="0"/>
    <s v="Weeks Falls"/>
    <n v="8206.7999999999993"/>
    <n v="0"/>
    <n v="0"/>
  </r>
  <r>
    <x v="0"/>
    <s v="Purchases - Secondary"/>
    <x v="2"/>
    <x v="4"/>
    <s v="Arizona Public Service"/>
    <n v="308755"/>
    <n v="1009.3086315923503"/>
    <n v="155814.54327364804"/>
  </r>
  <r>
    <x v="0"/>
    <s v="Purchases - Secondary"/>
    <x v="2"/>
    <x v="4"/>
    <s v="ATCO Power Canada"/>
    <n v="1589"/>
    <n v="1009.3086315923503"/>
    <n v="801.8957078001223"/>
  </r>
  <r>
    <x v="0"/>
    <s v="Purchases - Secondary"/>
    <x v="2"/>
    <x v="4"/>
    <s v="Avista Corp. WWP Division"/>
    <n v="61319.42"/>
    <n v="1009.3086315923503"/>
    <n v="30945.109945118296"/>
  </r>
  <r>
    <x v="0"/>
    <s v="Purchases - Secondary"/>
    <x v="2"/>
    <x v="4"/>
    <s v="Avista Energy"/>
    <n v="764907"/>
    <n v="1009.3086315923503"/>
    <n v="386013.61873270496"/>
  </r>
  <r>
    <x v="0"/>
    <s v="Purchases - Secondary"/>
    <x v="2"/>
    <x v="4"/>
    <s v="Benton County PUD"/>
    <n v="15549"/>
    <n v="1009.3086315923503"/>
    <n v="7846.8699563147266"/>
  </r>
  <r>
    <x v="0"/>
    <s v="Purchases - Secondary"/>
    <x v="2"/>
    <x v="4"/>
    <s v="Black Hills Power"/>
    <n v="19825"/>
    <n v="1009.3086315923503"/>
    <n v="10004.771810659173"/>
  </r>
  <r>
    <x v="0"/>
    <s v="Purchases - Secondary"/>
    <x v="2"/>
    <x v="4"/>
    <s v="Book Outs - EITF 03-11"/>
    <n v="-1263279"/>
    <n v="1009.3086315923503"/>
    <n v="-637519.19940467633"/>
  </r>
  <r>
    <x v="0"/>
    <s v="Purchases - Secondary"/>
    <x v="2"/>
    <x v="4"/>
    <s v="BP Energy Co."/>
    <n v="121032"/>
    <n v="1009.3086315923503"/>
    <n v="61079.321149442665"/>
  </r>
  <r>
    <x v="0"/>
    <s v="Purchases - Secondary"/>
    <x v="2"/>
    <x v="4"/>
    <s v="BPA"/>
    <n v="617085"/>
    <n v="1009.3086315923503"/>
    <n v="311414.60846308275"/>
  </r>
  <r>
    <x v="0"/>
    <s v="Purchases - Secondary"/>
    <x v="2"/>
    <x v="4"/>
    <s v="Burbank, City of"/>
    <n v="6019"/>
    <n v="1009.3086315923503"/>
    <n v="3037.5143267771778"/>
  </r>
  <r>
    <x v="0"/>
    <s v="Purchases - Secondary"/>
    <x v="2"/>
    <x v="4"/>
    <s v="Calpine Energy Management"/>
    <n v="116791"/>
    <n v="1009.3086315923503"/>
    <n v="58939.082196151096"/>
  </r>
  <r>
    <x v="0"/>
    <s v="Purchases - Secondary"/>
    <x v="2"/>
    <x v="4"/>
    <s v="Calpine Energy Services"/>
    <n v="111066"/>
    <n v="1009.3086315923503"/>
    <n v="56049.93623821799"/>
  </r>
  <r>
    <x v="0"/>
    <s v="Purchases - Secondary"/>
    <x v="2"/>
    <x v="4"/>
    <s v="Cargill Power Markets"/>
    <n v="62417"/>
    <n v="1009.3086315923503"/>
    <n v="31499.008429049863"/>
  </r>
  <r>
    <x v="0"/>
    <s v="Purchases - Secondary"/>
    <x v="2"/>
    <x v="4"/>
    <s v="Chelan County PUD #1"/>
    <n v="86002"/>
    <n v="1009.3086315923503"/>
    <n v="43401.280467102653"/>
  </r>
  <r>
    <x v="0"/>
    <s v="Purchases - Secondary"/>
    <x v="2"/>
    <x v="4"/>
    <s v="Citigroup Energy Inc"/>
    <n v="5000"/>
    <n v="1009.3086315923503"/>
    <n v="2523.2715789808758"/>
  </r>
  <r>
    <x v="0"/>
    <s v="Purchases - Secondary"/>
    <x v="2"/>
    <x v="4"/>
    <s v="Clatskanie PUD"/>
    <n v="11269"/>
    <n v="1009.3086315923503"/>
    <n v="5686.9494847070973"/>
  </r>
  <r>
    <x v="0"/>
    <s v="Purchases - Secondary"/>
    <x v="2"/>
    <x v="4"/>
    <s v="Conoco, Inc."/>
    <n v="21703"/>
    <n v="1009.3086315923503"/>
    <n v="10952.512615724389"/>
  </r>
  <r>
    <x v="0"/>
    <s v="Purchases - Secondary"/>
    <x v="2"/>
    <x v="4"/>
    <s v="Constellation Power Source, Inc."/>
    <n v="505863"/>
    <n v="1009.3086315923503"/>
    <n v="255285.94615160054"/>
  </r>
  <r>
    <x v="0"/>
    <s v="Purchases - Secondary"/>
    <x v="2"/>
    <x v="4"/>
    <s v="Douglas County PUD #1"/>
    <n v="283186"/>
    <n v="1009.3086315923503"/>
    <n v="142911.03707305566"/>
  </r>
  <r>
    <x v="0"/>
    <s v="Purchases - Secondary"/>
    <x v="2"/>
    <x v="4"/>
    <s v="ENMAX Energy Marketing, Inc."/>
    <n v="4290"/>
    <n v="1009.3086315923503"/>
    <n v="2164.9670147655916"/>
  </r>
  <r>
    <x v="0"/>
    <s v="Purchases - Secondary"/>
    <x v="2"/>
    <x v="4"/>
    <s v="Epcor Merchant &amp; Capital"/>
    <n v="135120"/>
    <n v="1009.3086315923503"/>
    <n v="68188.891150379175"/>
  </r>
  <r>
    <x v="0"/>
    <s v="Purchases - Secondary"/>
    <x v="2"/>
    <x v="4"/>
    <s v="Eugene Water &amp; Electric"/>
    <n v="41301"/>
    <n v="1009.3086315923503"/>
    <n v="20842.72789669783"/>
  </r>
  <r>
    <x v="0"/>
    <s v="Purchases - Secondary"/>
    <x v="2"/>
    <x v="4"/>
    <s v="Franklin County PUD #1"/>
    <n v="7145"/>
    <n v="1009.3086315923503"/>
    <n v="3605.7550863636711"/>
  </r>
  <r>
    <x v="0"/>
    <s v="Purchases - Secondary"/>
    <x v="2"/>
    <x v="4"/>
    <s v="Grant County PUD #2"/>
    <n v="40585"/>
    <n v="1009.3086315923503"/>
    <n v="20481.39540658777"/>
  </r>
  <r>
    <x v="0"/>
    <s v="Purchases - Secondary"/>
    <x v="2"/>
    <x v="4"/>
    <s v="Grays Harbor PUD #1"/>
    <n v="13983"/>
    <n v="1009.3086315923503"/>
    <n v="7056.5812977779169"/>
  </r>
  <r>
    <x v="0"/>
    <s v="Purchases - Secondary"/>
    <x v="2"/>
    <x v="4"/>
    <s v="Iberdrola Renewables (PPM Energy)"/>
    <n v="456966"/>
    <n v="1009.3086315923503"/>
    <n v="230609.86407211499"/>
  </r>
  <r>
    <x v="0"/>
    <s v="Purchases - Secondary"/>
    <x v="2"/>
    <x v="4"/>
    <s v="Idaho Falls Power"/>
    <n v="21760"/>
    <n v="1009.3086315923503"/>
    <n v="10981.27791172477"/>
  </r>
  <r>
    <x v="0"/>
    <s v="Purchases - Secondary"/>
    <x v="2"/>
    <x v="4"/>
    <s v="Idaho Power Company"/>
    <n v="25318"/>
    <n v="1009.3086315923503"/>
    <n v="12776.837967327561"/>
  </r>
  <r>
    <x v="0"/>
    <s v="Purchases - Secondary"/>
    <x v="2"/>
    <x v="4"/>
    <s v="J. Aron &amp; Company"/>
    <n v="12800"/>
    <n v="1009.3086315923503"/>
    <n v="6459.575242191042"/>
  </r>
  <r>
    <x v="0"/>
    <s v="Purchases - Secondary"/>
    <x v="2"/>
    <x v="4"/>
    <s v="Klamath Falls, City of"/>
    <n v="19175"/>
    <n v="1009.3086315923503"/>
    <n v="9676.7465053916567"/>
  </r>
  <r>
    <x v="0"/>
    <s v="Purchases - Secondary"/>
    <x v="2"/>
    <x v="4"/>
    <s v="Los Angeles Dept. Water &amp; Power"/>
    <n v="6008"/>
    <n v="1009.3086315923503"/>
    <n v="3031.9631293034199"/>
  </r>
  <r>
    <x v="0"/>
    <s v="Purchases - Secondary"/>
    <x v="2"/>
    <x v="4"/>
    <s v="Macquarie Energy LLC"/>
    <n v="243625"/>
    <n v="1009.3086315923503"/>
    <n v="122946.40768584317"/>
  </r>
  <r>
    <x v="0"/>
    <s v="Purchases - Secondary"/>
    <x v="2"/>
    <x v="4"/>
    <s v="Merrill Lynch Commodities"/>
    <n v="22000"/>
    <n v="1009.3086315923503"/>
    <n v="11102.394947515853"/>
  </r>
  <r>
    <x v="0"/>
    <s v="Purchases - Secondary"/>
    <x v="2"/>
    <x v="4"/>
    <s v="Modesto Irrigation District"/>
    <n v="731"/>
    <n v="1009.3086315923503"/>
    <n v="368.90230484700402"/>
  </r>
  <r>
    <x v="0"/>
    <s v="Purchases - Secondary"/>
    <x v="2"/>
    <x v="4"/>
    <s v="Morgan Stanley CG"/>
    <n v="78183"/>
    <n v="1009.3086315923503"/>
    <n v="39455.388371892361"/>
  </r>
  <r>
    <x v="0"/>
    <s v="Purchases - Secondary"/>
    <x v="2"/>
    <x v="4"/>
    <s v="N. California Power Agency"/>
    <n v="9220"/>
    <n v="1009.3086315923503"/>
    <n v="4652.9127916407342"/>
  </r>
  <r>
    <x v="0"/>
    <s v="Purchases - Secondary"/>
    <x v="2"/>
    <x v="4"/>
    <s v="Noble Americas Energy Solutions"/>
    <n v="9400"/>
    <n v="1009.3086315923503"/>
    <n v="4743.7505684840462"/>
  </r>
  <r>
    <x v="0"/>
    <s v="Purchases - Secondary"/>
    <x v="2"/>
    <x v="4"/>
    <s v="NorthPoint Energy Solutions, Inc."/>
    <n v="1069"/>
    <n v="1009.3086315923503"/>
    <n v="539.47546358611123"/>
  </r>
  <r>
    <x v="0"/>
    <s v="Purchases - Secondary"/>
    <x v="2"/>
    <x v="4"/>
    <s v="Northwestern Energy"/>
    <n v="13643"/>
    <n v="1009.3086315923503"/>
    <n v="6884.9988304072167"/>
  </r>
  <r>
    <x v="0"/>
    <s v="Purchases - Secondary"/>
    <x v="2"/>
    <x v="4"/>
    <s v="Okanogan PUD"/>
    <n v="1922"/>
    <n v="1009.3086315923503"/>
    <n v="969.94559496024851"/>
  </r>
  <r>
    <x v="0"/>
    <s v="Purchases - Secondary"/>
    <x v="2"/>
    <x v="4"/>
    <s v="Pacific Northwest Generatin Coop."/>
    <n v="117381"/>
    <n v="1009.3086315923503"/>
    <n v="59236.82824247083"/>
  </r>
  <r>
    <x v="0"/>
    <s v="Purchases - Secondary"/>
    <x v="2"/>
    <x v="4"/>
    <s v="Pacificorp"/>
    <n v="202512"/>
    <n v="1009.3086315923503"/>
    <n v="102198.554800515"/>
  </r>
  <r>
    <x v="0"/>
    <s v="Purchases - Secondary"/>
    <x v="2"/>
    <x v="4"/>
    <s v="Pinnacle West Capital Corp"/>
    <n v="462826"/>
    <n v="1009.3086315923503"/>
    <n v="233567.13836268056"/>
  </r>
  <r>
    <x v="0"/>
    <s v="Purchases - Secondary"/>
    <x v="2"/>
    <x v="4"/>
    <s v="Portland General Electric"/>
    <n v="156352"/>
    <n v="1009.3086315923503"/>
    <n v="78903.711583363576"/>
  </r>
  <r>
    <x v="0"/>
    <s v="Purchases - Secondary"/>
    <x v="2"/>
    <x v="4"/>
    <s v="Powerex Corp."/>
    <n v="636760"/>
    <n v="1009.3086315923503"/>
    <n v="321343.68212637247"/>
  </r>
  <r>
    <x v="0"/>
    <s v="Purchases - Secondary"/>
    <x v="2"/>
    <x v="4"/>
    <s v="PP&amp;L Montana, LLC."/>
    <n v="47005"/>
    <n v="1009.3086315923503"/>
    <n v="23721.276113999211"/>
  </r>
  <r>
    <x v="0"/>
    <s v="Purchases - Secondary"/>
    <x v="2"/>
    <x v="4"/>
    <s v="Public Service of Colorado"/>
    <n v="82800"/>
    <n v="1009.3086315923503"/>
    <n v="41785.377347923299"/>
  </r>
  <r>
    <x v="0"/>
    <s v="Purchases - Secondary"/>
    <x v="2"/>
    <x v="4"/>
    <s v="Rainbow Energy Marketing"/>
    <n v="84193"/>
    <n v="1009.3086315923503"/>
    <n v="42488.360809827369"/>
  </r>
  <r>
    <x v="0"/>
    <s v="Purchases - Secondary"/>
    <x v="2"/>
    <x v="4"/>
    <s v="Redding, City of"/>
    <n v="2052"/>
    <n v="1009.3086315923503"/>
    <n v="1035.5506560137514"/>
  </r>
  <r>
    <x v="0"/>
    <s v="Purchases - Secondary"/>
    <x v="2"/>
    <x v="4"/>
    <s v="Sacramento Municipal"/>
    <n v="2718"/>
    <n v="1009.3086315923503"/>
    <n v="1371.6504303340041"/>
  </r>
  <r>
    <x v="0"/>
    <s v="Purchases - Secondary"/>
    <x v="2"/>
    <x v="4"/>
    <s v="San Diego Gas &amp; Electric"/>
    <n v="1285"/>
    <n v="1009.3086315923503"/>
    <n v="648.48079579808507"/>
  </r>
  <r>
    <x v="0"/>
    <s v="Purchases - Secondary"/>
    <x v="2"/>
    <x v="4"/>
    <s v="Seattle City Light Marketing"/>
    <n v="82827"/>
    <n v="1009.3086315923503"/>
    <n v="41799.003014449794"/>
  </r>
  <r>
    <x v="0"/>
    <s v="Purchases - Secondary"/>
    <x v="2"/>
    <x v="4"/>
    <s v="Sempra Energy Trading"/>
    <n v="519878"/>
    <n v="1009.3086315923503"/>
    <n v="262358.67638748395"/>
  </r>
  <r>
    <x v="0"/>
    <s v="Purchases - Secondary"/>
    <x v="2"/>
    <x v="4"/>
    <s v="Shell Energy (Coral Pwr)"/>
    <n v="552827"/>
    <n v="1009.3086315923503"/>
    <n v="278986.53143865208"/>
  </r>
  <r>
    <x v="0"/>
    <s v="Purchases - Secondary"/>
    <x v="2"/>
    <x v="4"/>
    <s v="Sierra Pacific Power"/>
    <n v="2257"/>
    <n v="1009.3086315923503"/>
    <n v="1139.0047907519674"/>
  </r>
  <r>
    <x v="0"/>
    <s v="Purchases - Secondary"/>
    <x v="2"/>
    <x v="4"/>
    <s v="Silicon Valley Pwr - Santa Clara"/>
    <n v="2396"/>
    <n v="1009.3086315923503"/>
    <n v="1209.1517406476357"/>
  </r>
  <r>
    <x v="0"/>
    <s v="Purchases - Secondary"/>
    <x v="2"/>
    <x v="4"/>
    <s v="Snohomish County PUD #1"/>
    <n v="31194"/>
    <n v="1009.3086315923503"/>
    <n v="15742.186726945887"/>
  </r>
  <r>
    <x v="0"/>
    <s v="Purchases - Secondary"/>
    <x v="2"/>
    <x v="4"/>
    <s v="Southern Cal - Edison"/>
    <n v="69229"/>
    <n v="1009.3086315923503"/>
    <n v="34936.713628253405"/>
  </r>
  <r>
    <x v="0"/>
    <s v="Purchases - Secondary"/>
    <x v="2"/>
    <x v="4"/>
    <s v="SUEZ Energy Marketing (Tractebel)"/>
    <n v="155175"/>
    <n v="1009.3086315923503"/>
    <n v="78309.733453671477"/>
  </r>
  <r>
    <x v="0"/>
    <s v="Purchases - Secondary"/>
    <x v="2"/>
    <x v="4"/>
    <s v="Tacoma Power"/>
    <n v="73331"/>
    <n v="1009.3086315923503"/>
    <n v="37006.805631649317"/>
  </r>
  <r>
    <x v="0"/>
    <s v="Purchases - Secondary"/>
    <x v="2"/>
    <x v="4"/>
    <s v="Tenaska"/>
    <n v="526"/>
    <n v="1009.3086315923503"/>
    <n v="265.44817010878813"/>
  </r>
  <r>
    <x v="0"/>
    <s v="Purchases - Secondary"/>
    <x v="2"/>
    <x v="4"/>
    <s v="TransAlta Energy Marketing"/>
    <n v="952384"/>
    <n v="1009.3086315923503"/>
    <n v="480624.69589522446"/>
  </r>
  <r>
    <x v="0"/>
    <s v="Purchases - Secondary"/>
    <x v="2"/>
    <x v="4"/>
    <s v="TransCanada Power Corp."/>
    <n v="2211"/>
    <n v="1009.3086315923503"/>
    <n v="1115.7906922253433"/>
  </r>
  <r>
    <x v="0"/>
    <s v="Purchases - Secondary"/>
    <x v="2"/>
    <x v="4"/>
    <s v="Turlock Irrigation District"/>
    <n v="54814"/>
    <n v="1009.3086315923503"/>
    <n v="27662.121666051546"/>
  </r>
  <r>
    <x v="0"/>
    <s v="Purchases - Secondary"/>
    <x v="2"/>
    <x v="4"/>
    <s v="UBS AG"/>
    <n v="9670"/>
    <n v="1009.3086315923503"/>
    <n v="4880.0072337490137"/>
  </r>
  <r>
    <x v="0"/>
    <s v="Purchases - Secondary"/>
    <x v="2"/>
    <x v="4"/>
    <s v="Western Area Power Association"/>
    <n v="60"/>
    <n v="1009.3086315923503"/>
    <n v="30.279258947770508"/>
  </r>
  <r>
    <x v="0"/>
    <s v="Interchange - In"/>
    <x v="2"/>
    <x v="4"/>
    <s v="Black Creek Hydro"/>
    <n v="3735"/>
    <n v="1009.3086315923503"/>
    <n v="1884.8838694987141"/>
  </r>
  <r>
    <x v="0"/>
    <s v="Interchange - In"/>
    <x v="2"/>
    <x v="4"/>
    <s v="BPA"/>
    <n v="59275"/>
    <n v="1009.3086315923503"/>
    <n v="29913.384568818281"/>
  </r>
  <r>
    <x v="0"/>
    <s v="Interchange - In"/>
    <x v="2"/>
    <x v="4"/>
    <s v="Franklin County PUD #1"/>
    <n v="2520"/>
    <n v="1009.3086315923503"/>
    <n v="1271.7288758063612"/>
  </r>
  <r>
    <x v="0"/>
    <s v="Interchange - In"/>
    <x v="2"/>
    <x v="4"/>
    <s v="Pacific Gas &amp; Elec - Exchange"/>
    <n v="413000"/>
    <n v="1009.3086315923503"/>
    <n v="208422.23242382033"/>
  </r>
  <r>
    <x v="0"/>
    <s v="Interchange - In"/>
    <x v="2"/>
    <x v="4"/>
    <s v="Powerex - Exchange"/>
    <n v="745956"/>
    <n v="1009.3086315923503"/>
    <n v="376449.91479405161"/>
  </r>
  <r>
    <x v="0"/>
    <s v="Interchange - In"/>
    <x v="2"/>
    <x v="4"/>
    <s v="Powerex Corp."/>
    <n v="76800"/>
    <n v="1009.3086315923503"/>
    <n v="38757.451453146248"/>
  </r>
  <r>
    <x v="0"/>
    <s v="Interchange - In"/>
    <x v="2"/>
    <x v="4"/>
    <s v="Seattle City Light Marketing"/>
    <n v="659600"/>
    <n v="1009.3086315923503"/>
    <n v="332869.9866991571"/>
  </r>
  <r>
    <x v="0"/>
    <s v="Interchange - In"/>
    <x v="2"/>
    <x v="4"/>
    <s v="TransAlta Energy Marketing"/>
    <n v="1708150"/>
    <n v="1009.3086315923503"/>
    <n v="862025.26952723658"/>
  </r>
  <r>
    <x v="0"/>
    <s v="Interchange - Out"/>
    <x v="2"/>
    <x v="4"/>
    <s v="Black Creek Hydro"/>
    <n v="-3839"/>
    <n v="1009.3086315923503"/>
    <n v="-1937.3679183415163"/>
  </r>
  <r>
    <x v="0"/>
    <s v="Interchange - Out"/>
    <x v="2"/>
    <x v="4"/>
    <s v="BPA"/>
    <n v="-59925"/>
    <n v="1009.3086315923503"/>
    <n v="-30241.409874085795"/>
  </r>
  <r>
    <x v="0"/>
    <s v="Interchange - Out"/>
    <x v="2"/>
    <x v="4"/>
    <s v="Deviation"/>
    <n v="-25112.42"/>
    <n v="1009.3086315923503"/>
    <n v="-12673.091133086184"/>
  </r>
  <r>
    <x v="0"/>
    <s v="Interchange - Out"/>
    <x v="2"/>
    <x v="4"/>
    <s v="Franklin County PUD #1"/>
    <n v="-2520"/>
    <n v="1009.3086315923503"/>
    <n v="-1271.7288758063612"/>
  </r>
  <r>
    <x v="0"/>
    <s v="Interchange - Out"/>
    <x v="2"/>
    <x v="4"/>
    <s v="Pacific Gas &amp; Elec - Exchange"/>
    <n v="-413000"/>
    <n v="1009.3086315923503"/>
    <n v="-208422.23242382033"/>
  </r>
  <r>
    <x v="0"/>
    <s v="Interchange - Out"/>
    <x v="2"/>
    <x v="4"/>
    <s v="Powerex - Exchange"/>
    <n v="-745956"/>
    <n v="1009.3086315923503"/>
    <n v="-376449.91479405161"/>
  </r>
  <r>
    <x v="0"/>
    <s v="Interchange - Out"/>
    <x v="2"/>
    <x v="4"/>
    <s v="Powerex Corp."/>
    <n v="-76800"/>
    <n v="1009.3086315923503"/>
    <n v="-38757.451453146248"/>
  </r>
  <r>
    <x v="0"/>
    <s v="Interchange - Out"/>
    <x v="2"/>
    <x v="4"/>
    <s v="Seattle City Light Marketing"/>
    <n v="-659600"/>
    <n v="1009.3086315923503"/>
    <n v="-332869.9866991571"/>
  </r>
  <r>
    <x v="0"/>
    <s v="Interchange - Out"/>
    <x v="2"/>
    <x v="4"/>
    <s v="TransAlta Energy Marketing"/>
    <n v="-1708150"/>
    <n v="1009.3086315923503"/>
    <n v="-862025.26952723658"/>
  </r>
  <r>
    <x v="0"/>
    <s v="Sales for Resale"/>
    <x v="2"/>
    <x v="4"/>
    <s v="Arizona Public Service"/>
    <n v="-1600"/>
    <n v="1009.3086315923503"/>
    <n v="-807.44690527388025"/>
  </r>
  <r>
    <x v="0"/>
    <s v="Sales for Resale"/>
    <x v="2"/>
    <x v="4"/>
    <s v="Avista Corp. WWP Division"/>
    <n v="-52058"/>
    <n v="1009.3086315923503"/>
    <n v="-26271.294371717286"/>
  </r>
  <r>
    <x v="0"/>
    <s v="Sales for Resale"/>
    <x v="2"/>
    <x v="4"/>
    <s v="Avista Energy"/>
    <n v="-279013"/>
    <n v="1009.3086315923503"/>
    <n v="-140805.11461323823"/>
  </r>
  <r>
    <x v="0"/>
    <s v="Sales for Resale"/>
    <x v="2"/>
    <x v="4"/>
    <s v="Benton County PUD"/>
    <n v="-5815"/>
    <n v="1009.3086315923503"/>
    <n v="-2934.5648463547582"/>
  </r>
  <r>
    <x v="0"/>
    <s v="Sales for Resale"/>
    <x v="2"/>
    <x v="4"/>
    <s v="Black Hills Power"/>
    <n v="-1362"/>
    <n v="1009.3086315923503"/>
    <n v="-687.33917811439051"/>
  </r>
  <r>
    <x v="0"/>
    <s v="Sales for Resale"/>
    <x v="2"/>
    <x v="4"/>
    <s v="Book Outs - EITF 03-11"/>
    <n v="1263279"/>
    <n v="1009.3086315923503"/>
    <n v="637519.19940467633"/>
  </r>
  <r>
    <x v="0"/>
    <s v="Sales for Resale"/>
    <x v="2"/>
    <x v="4"/>
    <s v="BP Energy Co."/>
    <n v="-53482"/>
    <n v="1009.3086315923503"/>
    <n v="-26989.922117411039"/>
  </r>
  <r>
    <x v="0"/>
    <s v="Sales for Resale"/>
    <x v="2"/>
    <x v="4"/>
    <s v="BPA"/>
    <n v="-62440"/>
    <n v="1009.3086315923503"/>
    <n v="-31510.615478313175"/>
  </r>
  <r>
    <x v="0"/>
    <s v="Sales for Resale"/>
    <x v="2"/>
    <x v="4"/>
    <s v="Burbank, City of"/>
    <n v="-2500"/>
    <n v="1009.3086315923503"/>
    <n v="-1261.6357894904379"/>
  </r>
  <r>
    <x v="0"/>
    <s v="Sales for Resale"/>
    <x v="2"/>
    <x v="4"/>
    <s v="Calpine Energy Management"/>
    <n v="-53467"/>
    <n v="1009.3086315923503"/>
    <n v="-26982.352302674095"/>
  </r>
  <r>
    <x v="0"/>
    <s v="Sales for Resale"/>
    <x v="2"/>
    <x v="4"/>
    <s v="Calpine Energy Services"/>
    <n v="-469"/>
    <n v="1009.3086315923503"/>
    <n v="-236.68287410840614"/>
  </r>
  <r>
    <x v="0"/>
    <s v="Sales for Resale"/>
    <x v="2"/>
    <x v="4"/>
    <s v="Cargill Power Markets"/>
    <n v="-75465"/>
    <n v="1009.3086315923503"/>
    <n v="-38083.737941558356"/>
  </r>
  <r>
    <x v="0"/>
    <s v="Sales for Resale"/>
    <x v="2"/>
    <x v="4"/>
    <s v="Chelan County PUD #1"/>
    <n v="-3000"/>
    <n v="1009.3086315923503"/>
    <n v="-1513.9629473885254"/>
  </r>
  <r>
    <x v="0"/>
    <s v="Sales for Resale"/>
    <x v="2"/>
    <x v="4"/>
    <s v="Citigroup Energy Inc"/>
    <n v="-14400"/>
    <n v="1009.3086315923503"/>
    <n v="-7267.0221474649215"/>
  </r>
  <r>
    <x v="0"/>
    <s v="Sales for Resale"/>
    <x v="2"/>
    <x v="4"/>
    <s v="Clatskanie PUD"/>
    <n v="-3681"/>
    <n v="1009.3086315923503"/>
    <n v="-1857.6325364457207"/>
  </r>
  <r>
    <x v="0"/>
    <s v="Sales for Resale"/>
    <x v="2"/>
    <x v="4"/>
    <s v="Conoco, Inc."/>
    <n v="-18450"/>
    <n v="1009.3086315923503"/>
    <n v="-9310.8721264394317"/>
  </r>
  <r>
    <x v="0"/>
    <s v="Sales for Resale"/>
    <x v="2"/>
    <x v="4"/>
    <s v="Constellation Power Source, Inc."/>
    <n v="-72439"/>
    <n v="1009.3086315923503"/>
    <n v="-36556.653981959127"/>
  </r>
  <r>
    <x v="0"/>
    <s v="Sales for Resale"/>
    <x v="2"/>
    <x v="4"/>
    <s v="ENMAX Energy Marketing, Inc."/>
    <n v="-13763"/>
    <n v="1009.3086315923503"/>
    <n v="-6945.5573483027583"/>
  </r>
  <r>
    <x v="0"/>
    <s v="Sales for Resale"/>
    <x v="2"/>
    <x v="4"/>
    <s v="Epcor Merchant &amp; Capital"/>
    <n v="-47080"/>
    <n v="1009.3086315923503"/>
    <n v="-23759.125187683923"/>
  </r>
  <r>
    <x v="0"/>
    <s v="Sales for Resale"/>
    <x v="2"/>
    <x v="4"/>
    <s v="Eugene Water &amp; Electric"/>
    <n v="-13400"/>
    <n v="1009.3086315923503"/>
    <n v="-6762.3678316687465"/>
  </r>
  <r>
    <x v="0"/>
    <s v="Sales for Resale"/>
    <x v="2"/>
    <x v="4"/>
    <s v="Franklin County PUD #1"/>
    <n v="-2610"/>
    <n v="1009.3086315923503"/>
    <n v="-1317.147764228017"/>
  </r>
  <r>
    <x v="0"/>
    <s v="Sales for Resale"/>
    <x v="2"/>
    <x v="4"/>
    <s v="Grant County PUD #2"/>
    <n v="-5050"/>
    <n v="1009.3086315923503"/>
    <n v="-2548.5042947706847"/>
  </r>
  <r>
    <x v="0"/>
    <s v="Sales for Resale"/>
    <x v="2"/>
    <x v="4"/>
    <s v="Grays Harbor PUD #1"/>
    <n v="-3395"/>
    <n v="1009.3086315923503"/>
    <n v="-1713.3014021280144"/>
  </r>
  <r>
    <x v="0"/>
    <s v="Sales for Resale"/>
    <x v="2"/>
    <x v="4"/>
    <s v="Hinson Power Company"/>
    <n v="-400"/>
    <n v="1009.3086315923503"/>
    <n v="-201.86172631847006"/>
  </r>
  <r>
    <x v="0"/>
    <s v="Sales for Resale"/>
    <x v="2"/>
    <x v="4"/>
    <s v="Iberdrola Renewables (PPM Energy)"/>
    <n v="-201269"/>
    <n v="1009.3086315923503"/>
    <n v="-101571.26948598037"/>
  </r>
  <r>
    <x v="0"/>
    <s v="Sales for Resale"/>
    <x v="2"/>
    <x v="4"/>
    <s v="Idaho Power Company"/>
    <n v="-13645"/>
    <n v="1009.3086315923503"/>
    <n v="-6886.0081390388095"/>
  </r>
  <r>
    <x v="0"/>
    <s v="Sales for Resale"/>
    <x v="2"/>
    <x v="4"/>
    <s v="J. Aron &amp; Company"/>
    <n v="-17344"/>
    <n v="1009.3086315923503"/>
    <n v="-8752.7244531688611"/>
  </r>
  <r>
    <x v="0"/>
    <s v="Sales for Resale"/>
    <x v="2"/>
    <x v="4"/>
    <s v="Klamath Falls, City of"/>
    <n v="-3100"/>
    <n v="1009.3086315923503"/>
    <n v="-1564.4283789681429"/>
  </r>
  <r>
    <x v="0"/>
    <s v="Sales for Resale"/>
    <x v="2"/>
    <x v="4"/>
    <s v="Los Angeles Dept. Water &amp; Power"/>
    <n v="-9336"/>
    <n v="1009.3086315923503"/>
    <n v="-4711.4526922730902"/>
  </r>
  <r>
    <x v="0"/>
    <s v="Sales for Resale"/>
    <x v="2"/>
    <x v="4"/>
    <s v="Macquarie Energy LLC"/>
    <n v="-67600"/>
    <n v="1009.3086315923503"/>
    <n v="-34114.631747821433"/>
  </r>
  <r>
    <x v="0"/>
    <s v="Sales for Resale"/>
    <x v="2"/>
    <x v="4"/>
    <s v="Merrill Lynch Commodities"/>
    <n v="-13210"/>
    <n v="1009.3086315923503"/>
    <n v="-6666.4835116674731"/>
  </r>
  <r>
    <x v="0"/>
    <s v="Sales for Resale"/>
    <x v="2"/>
    <x v="4"/>
    <s v="Modesto Irrigation District"/>
    <n v="-4485"/>
    <n v="1009.3086315923503"/>
    <n v="-2263.3746063458452"/>
  </r>
  <r>
    <x v="0"/>
    <s v="Sales for Resale"/>
    <x v="2"/>
    <x v="4"/>
    <s v="Morgan Stanley CG"/>
    <n v="-116067"/>
    <n v="1009.3086315923503"/>
    <n v="-58573.712471514656"/>
  </r>
  <r>
    <x v="0"/>
    <s v="Sales for Resale"/>
    <x v="2"/>
    <x v="4"/>
    <s v="N. California Power Agency"/>
    <n v="-5064"/>
    <n v="1009.3086315923503"/>
    <n v="-2555.5694551918305"/>
  </r>
  <r>
    <x v="0"/>
    <s v="Sales for Resale"/>
    <x v="2"/>
    <x v="4"/>
    <s v="Noble Americas Energy Solutions"/>
    <n v="-12200"/>
    <n v="1009.3086315923503"/>
    <n v="-6156.7826527133366"/>
  </r>
  <r>
    <x v="0"/>
    <s v="Sales for Resale"/>
    <x v="2"/>
    <x v="4"/>
    <s v="NorthPoint Energy Solutions, Inc."/>
    <n v="-7173"/>
    <n v="1009.3086315923503"/>
    <n v="-3619.8854072059639"/>
  </r>
  <r>
    <x v="0"/>
    <s v="Sales for Resale"/>
    <x v="2"/>
    <x v="4"/>
    <s v="Northwestern Energy"/>
    <n v="-12875"/>
    <n v="1009.3086315923503"/>
    <n v="-6497.4243158757545"/>
  </r>
  <r>
    <x v="0"/>
    <s v="Sales for Resale"/>
    <x v="2"/>
    <x v="4"/>
    <s v="Okanogan PUD"/>
    <n v="-90"/>
    <n v="1009.3086315923503"/>
    <n v="-45.418888421655765"/>
  </r>
  <r>
    <x v="0"/>
    <s v="Sales for Resale"/>
    <x v="2"/>
    <x v="4"/>
    <s v="Pacific Northwest Generatin Coop."/>
    <n v="-13771"/>
    <n v="1009.3086315923503"/>
    <n v="-6949.5945828291278"/>
  </r>
  <r>
    <x v="0"/>
    <s v="Sales for Resale"/>
    <x v="2"/>
    <x v="4"/>
    <s v="Pacificorp"/>
    <n v="-293074"/>
    <n v="1009.3086315923503"/>
    <n v="-147901.05894764821"/>
  </r>
  <r>
    <x v="0"/>
    <s v="Sales for Resale"/>
    <x v="2"/>
    <x v="4"/>
    <s v="Pinnacle West Capital Corp"/>
    <n v="-11600"/>
    <n v="1009.3086315923503"/>
    <n v="-5853.9900632356312"/>
  </r>
  <r>
    <x v="0"/>
    <s v="Sales for Resale"/>
    <x v="2"/>
    <x v="4"/>
    <s v="Portland General Electric"/>
    <n v="-125698"/>
    <n v="1009.3086315923503"/>
    <n v="-63434.038186947619"/>
  </r>
  <r>
    <x v="0"/>
    <s v="Sales for Resale"/>
    <x v="2"/>
    <x v="4"/>
    <s v="Powerex Corp."/>
    <n v="-264088"/>
    <n v="1009.3086315923503"/>
    <n v="-133273.1489499803"/>
  </r>
  <r>
    <x v="0"/>
    <s v="Sales for Resale"/>
    <x v="2"/>
    <x v="4"/>
    <s v="PP&amp;L Montana, LLC."/>
    <n v="-51102"/>
    <n v="1009.3086315923503"/>
    <n v="-25788.844845816144"/>
  </r>
  <r>
    <x v="0"/>
    <s v="Sales for Resale"/>
    <x v="2"/>
    <x v="4"/>
    <s v="Public Service of Colorado"/>
    <n v="-50870"/>
    <n v="1009.3086315923503"/>
    <n v="-25671.76504455143"/>
  </r>
  <r>
    <x v="0"/>
    <s v="Sales for Resale"/>
    <x v="2"/>
    <x v="4"/>
    <s v="Rainbow Energy Marketing"/>
    <n v="-77986"/>
    <n v="1009.3086315923503"/>
    <n v="-39355.971471680517"/>
  </r>
  <r>
    <x v="0"/>
    <s v="Sales for Resale"/>
    <x v="2"/>
    <x v="4"/>
    <s v="Redding, City of"/>
    <n v="-2812"/>
    <n v="1009.3086315923503"/>
    <n v="-1419.0879360188444"/>
  </r>
  <r>
    <x v="0"/>
    <s v="Sales for Resale"/>
    <x v="2"/>
    <x v="4"/>
    <s v="Sacramento Municipal"/>
    <n v="-13526"/>
    <n v="1009.3086315923503"/>
    <n v="-6825.9542754590648"/>
  </r>
  <r>
    <x v="0"/>
    <s v="Sales for Resale"/>
    <x v="2"/>
    <x v="4"/>
    <s v="San Diego Gas &amp; Electric"/>
    <n v="-1262"/>
    <n v="1009.3086315923503"/>
    <n v="-636.87374653477298"/>
  </r>
  <r>
    <x v="0"/>
    <s v="Sales for Resale"/>
    <x v="2"/>
    <x v="4"/>
    <s v="Seattle City Light Marketing"/>
    <n v="-25005"/>
    <n v="1009.3086315923503"/>
    <n v="-12618.881166483359"/>
  </r>
  <r>
    <x v="0"/>
    <s v="Sales for Resale"/>
    <x v="2"/>
    <x v="4"/>
    <s v="Sempra Energy Trading"/>
    <n v="-99153"/>
    <n v="1009.3086315923503"/>
    <n v="-50037.989374138153"/>
  </r>
  <r>
    <x v="0"/>
    <s v="Sales for Resale"/>
    <x v="2"/>
    <x v="4"/>
    <s v="Shell Energy (Coral Pwr)"/>
    <n v="-66693"/>
    <n v="1009.3086315923503"/>
    <n v="-33656.910283394303"/>
  </r>
  <r>
    <x v="0"/>
    <s v="Sales for Resale"/>
    <x v="2"/>
    <x v="4"/>
    <s v="Sierra Pacific Power"/>
    <n v="-1819"/>
    <n v="1009.3086315923503"/>
    <n v="-917.96620043324265"/>
  </r>
  <r>
    <x v="0"/>
    <s v="Sales for Resale"/>
    <x v="2"/>
    <x v="4"/>
    <s v="Silicon Valley Pwr - Santa Clara"/>
    <n v="-3354"/>
    <n v="1009.3086315923503"/>
    <n v="-1692.6105751803714"/>
  </r>
  <r>
    <x v="0"/>
    <s v="Sales for Resale"/>
    <x v="2"/>
    <x v="4"/>
    <s v="Snohomish County PUD #1"/>
    <n v="-23113"/>
    <n v="1009.3086315923503"/>
    <n v="-11664.075200996995"/>
  </r>
  <r>
    <x v="0"/>
    <s v="Sales for Resale"/>
    <x v="2"/>
    <x v="4"/>
    <s v="Southern Cal - Edison"/>
    <n v="-10104"/>
    <n v="1009.3086315923503"/>
    <n v="-5099.0272068045533"/>
  </r>
  <r>
    <x v="0"/>
    <s v="Sales for Resale"/>
    <x v="2"/>
    <x v="4"/>
    <s v="SUEZ Energy Marketing (Tractebel)"/>
    <n v="-242108"/>
    <n v="1009.3086315923503"/>
    <n v="-122180.84708878037"/>
  </r>
  <r>
    <x v="0"/>
    <s v="Sales for Resale"/>
    <x v="2"/>
    <x v="4"/>
    <s v="Tacoma Power"/>
    <n v="-3807"/>
    <n v="1009.3086315923503"/>
    <n v="-1921.2189802360388"/>
  </r>
  <r>
    <x v="0"/>
    <s v="Sales for Resale"/>
    <x v="2"/>
    <x v="4"/>
    <s v="TransAlta Energy Marketing"/>
    <n v="-468655"/>
    <n v="1009.3086315923503"/>
    <n v="-236508.76836945643"/>
  </r>
  <r>
    <x v="0"/>
    <s v="Sales for Resale"/>
    <x v="2"/>
    <x v="4"/>
    <s v="TransCanada Power Corp."/>
    <n v="-17924"/>
    <n v="1009.3086315923503"/>
    <n v="-9045.4239563306419"/>
  </r>
  <r>
    <x v="0"/>
    <s v="Sales for Resale"/>
    <x v="2"/>
    <x v="4"/>
    <s v="Turlock Irrigation District"/>
    <n v="-3885"/>
    <n v="1009.3086315923503"/>
    <n v="-1960.5820168681403"/>
  </r>
  <r>
    <x v="0"/>
    <s v="Sales for Resale"/>
    <x v="2"/>
    <x v="4"/>
    <s v="UBS AG"/>
    <n v="-9880"/>
    <n v="1009.3086315923503"/>
    <n v="-4985.98464006621"/>
  </r>
  <r>
    <x v="0"/>
    <s v="Sales for Resale"/>
    <x v="2"/>
    <x v="4"/>
    <s v="Western Area Power Association"/>
    <n v="-200"/>
    <n v="1009.3086315923503"/>
    <n v="-100.93086315923503"/>
  </r>
  <r>
    <x v="1"/>
    <s v="Generation - Hydro"/>
    <x v="0"/>
    <x v="0"/>
    <s v="Electron"/>
    <n v="67270.350000000006"/>
    <n v="0"/>
    <n v="0"/>
  </r>
  <r>
    <x v="1"/>
    <s v="Generation - Hydro"/>
    <x v="0"/>
    <x v="0"/>
    <s v="Lower Baker"/>
    <n v="334144.53999999998"/>
    <n v="0"/>
    <n v="0"/>
  </r>
  <r>
    <x v="1"/>
    <s v="Generation - Hydro"/>
    <x v="0"/>
    <x v="0"/>
    <s v="Snoqualmie Falls #1"/>
    <n v="47557.4"/>
    <n v="0"/>
    <n v="0"/>
  </r>
  <r>
    <x v="1"/>
    <s v="Generation - Hydro"/>
    <x v="0"/>
    <x v="0"/>
    <s v="Snoqualmie Falls #2"/>
    <n v="161751.4"/>
    <n v="0"/>
    <n v="0"/>
  </r>
  <r>
    <x v="1"/>
    <s v="Generation - Hydro"/>
    <x v="0"/>
    <x v="0"/>
    <s v="Upper Baker"/>
    <n v="338552.67"/>
    <n v="0"/>
    <n v="0"/>
  </r>
  <r>
    <x v="1"/>
    <s v="Generation - Steam"/>
    <x v="0"/>
    <x v="1"/>
    <s v="Colstrip 1 &amp; 2"/>
    <n v="2180745"/>
    <n v="2483.2378843010079"/>
    <n v="2707654.3000000003"/>
  </r>
  <r>
    <x v="1"/>
    <s v="Generation - Steam"/>
    <x v="0"/>
    <x v="1"/>
    <s v="Colstrip 3 &amp; 4"/>
    <n v="2619283"/>
    <n v="2451.1025727269639"/>
    <n v="3210065.65"/>
  </r>
  <r>
    <x v="1"/>
    <s v="Generation - Steam"/>
    <x v="0"/>
    <x v="2"/>
    <s v="Encogen"/>
    <n v="259963.15"/>
    <n v="1062.5147451436867"/>
    <n v="138107.3400345"/>
  </r>
  <r>
    <x v="1"/>
    <s v="Generation - Oil/Gas/Wind"/>
    <x v="0"/>
    <x v="3"/>
    <s v="Crystal Mountain"/>
    <n v="1060.42"/>
    <n v="1719.1841723090849"/>
    <n v="911.52864"/>
  </r>
  <r>
    <x v="1"/>
    <s v="Generation - Oil/Gas/Wind"/>
    <x v="0"/>
    <x v="2"/>
    <s v="Freddie #1"/>
    <n v="393030"/>
    <n v="765.38453586062133"/>
    <n v="150409.54206465001"/>
  </r>
  <r>
    <x v="1"/>
    <s v="Generation - Oil/Gas/Wind"/>
    <x v="0"/>
    <x v="2"/>
    <s v="Fredonia"/>
    <n v="42874.400000000001"/>
    <n v="1279.4831823559045"/>
    <n v="27428.536876799997"/>
  </r>
  <r>
    <x v="1"/>
    <s v="Generation - Oil/Gas/Wind"/>
    <x v="0"/>
    <x v="2"/>
    <s v="Fredrickson 1 &amp; 2"/>
    <n v="12684.3"/>
    <n v="1724.8897433047155"/>
    <n v="10939.509485500001"/>
  </r>
  <r>
    <x v="1"/>
    <s v="Generation - Oil/Gas/Wind"/>
    <x v="0"/>
    <x v="0"/>
    <s v="Hopkins Ridge (W184)"/>
    <n v="361586.57799999998"/>
    <n v="0"/>
    <n v="0"/>
  </r>
  <r>
    <x v="1"/>
    <s v="Generation - Oil/Gas/Wind"/>
    <x v="0"/>
    <x v="2"/>
    <s v="Whitehorn 2&amp;3"/>
    <n v="13578"/>
    <n v="1596.4305845485346"/>
    <n v="10838.1672385"/>
  </r>
  <r>
    <x v="1"/>
    <s v="Generation - Oil/Gas/Wind"/>
    <x v="0"/>
    <x v="0"/>
    <s v="Wild Horse (W183)"/>
    <n v="11241.772000000001"/>
    <n v="0"/>
    <n v="0"/>
  </r>
  <r>
    <x v="1"/>
    <s v="Purchases - Firm"/>
    <x v="1"/>
    <x v="4"/>
    <s v="BC Hydro (Point Roberts)"/>
    <n v="22242.52"/>
    <n v="1013.8429781871461"/>
    <n v="11275.211359593579"/>
  </r>
  <r>
    <x v="1"/>
    <s v="Purchases - Firm"/>
    <x v="1"/>
    <x v="0"/>
    <s v="BPA"/>
    <n v="7077"/>
    <n v="0"/>
    <n v="0"/>
  </r>
  <r>
    <x v="1"/>
    <s v="Purchases - Firm"/>
    <x v="1"/>
    <x v="4"/>
    <s v="BPA Firm - WNP#3 Exchange"/>
    <n v="362075"/>
    <n v="1013.8429781871461"/>
    <n v="183543.59816355543"/>
  </r>
  <r>
    <x v="1"/>
    <s v="Purchases - Firm"/>
    <x v="1"/>
    <x v="0"/>
    <s v="Chelan PUD - Rock Island Syst #2"/>
    <n v="1294355"/>
    <n v="0"/>
    <n v="0"/>
  </r>
  <r>
    <x v="1"/>
    <s v="Purchases - Firm"/>
    <x v="1"/>
    <x v="0"/>
    <s v="Chelan PUD - Rocky Reach"/>
    <n v="2365522"/>
    <n v="0"/>
    <n v="0"/>
  </r>
  <r>
    <x v="1"/>
    <s v="Purchases - Firm"/>
    <x v="1"/>
    <x v="0"/>
    <s v="Douglas PUD - Wells Project"/>
    <n v="1133871"/>
    <n v="0"/>
    <n v="0"/>
  </r>
  <r>
    <x v="1"/>
    <s v="Purchases - Firm"/>
    <x v="1"/>
    <x v="0"/>
    <s v="Grant PUD - Priest Rapids"/>
    <n v="443113"/>
    <n v="0"/>
    <n v="0"/>
  </r>
  <r>
    <x v="1"/>
    <s v="Purchases - Firm"/>
    <x v="1"/>
    <x v="0"/>
    <s v="Grant PUD - Wanapum"/>
    <n v="455505"/>
    <n v="0"/>
    <n v="0"/>
  </r>
  <r>
    <x v="1"/>
    <s v="Purchases - Firm"/>
    <x v="1"/>
    <x v="1"/>
    <s v="NWestern Energy(MPC) Firm Contract"/>
    <n v="723917"/>
    <n v="2465.7022625701302"/>
    <n v="892481.8924064904"/>
  </r>
  <r>
    <x v="1"/>
    <s v="Purchases - Firm"/>
    <x v="1"/>
    <x v="4"/>
    <s v="Snohomish PUD Conservation"/>
    <n v="89664"/>
    <n v="1013.8429781871461"/>
    <n v="45452.608398086129"/>
  </r>
  <r>
    <x v="1"/>
    <s v="Purchases - Firm"/>
    <x v="1"/>
    <x v="0"/>
    <s v="VanderHaak Dairy Digester"/>
    <n v="1823.28"/>
    <n v="0"/>
    <n v="0"/>
  </r>
  <r>
    <x v="1"/>
    <s v="Purchases - Firm"/>
    <x v="1"/>
    <x v="0"/>
    <s v="WASCO Hydro"/>
    <n v="36732"/>
    <n v="0"/>
    <n v="0"/>
  </r>
  <r>
    <x v="1"/>
    <s v="Purchases - PURPA"/>
    <x v="1"/>
    <x v="0"/>
    <s v="Hutchinson Creek"/>
    <n v="2171.36"/>
    <n v="0"/>
    <n v="0"/>
  </r>
  <r>
    <x v="1"/>
    <s v="Purchases - PURPA"/>
    <x v="1"/>
    <x v="0"/>
    <s v="Koma Kulshan Associates"/>
    <n v="33468"/>
    <n v="0"/>
    <n v="0"/>
  </r>
  <r>
    <x v="1"/>
    <s v="Purchases - PURPA"/>
    <x v="1"/>
    <x v="2"/>
    <s v="March Point Cogen. - 1 &amp; 2"/>
    <n v="983695.89"/>
    <n v="726.80073847423307"/>
    <n v="357475.44964303396"/>
  </r>
  <r>
    <x v="1"/>
    <s v="Purchases - PURPA"/>
    <x v="1"/>
    <x v="0"/>
    <s v="Nooksack"/>
    <n v="17652.95"/>
    <n v="0"/>
    <n v="0"/>
  </r>
  <r>
    <x v="1"/>
    <s v="Purchases - PURPA"/>
    <x v="1"/>
    <x v="5"/>
    <s v="Port Townsend Paper Co."/>
    <n v="1847.0640000000001"/>
    <n v="1056.3533228240403"/>
    <n v="975.57609693433164"/>
  </r>
  <r>
    <x v="1"/>
    <s v="Purchases - PURPA"/>
    <x v="1"/>
    <x v="0"/>
    <s v="Puyallup Energy Recovery Company"/>
    <n v="4828.6099999999997"/>
    <n v="0"/>
    <n v="0"/>
  </r>
  <r>
    <x v="1"/>
    <s v="Purchases - PURPA"/>
    <x v="1"/>
    <x v="6"/>
    <s v="Spokane MSW"/>
    <n v="141325"/>
    <n v="4573.6816773508808"/>
    <n v="323187.78152580658"/>
  </r>
  <r>
    <x v="1"/>
    <s v="Purchases - PURPA"/>
    <x v="1"/>
    <x v="2"/>
    <s v="Sumas Cogeneration"/>
    <n v="579513.65"/>
    <n v="927.49481118458982"/>
    <n v="268747.95169282128"/>
  </r>
  <r>
    <x v="1"/>
    <s v="Purchases - PURPA"/>
    <x v="1"/>
    <x v="0"/>
    <s v="Sygitowicz Creek"/>
    <n v="585.6"/>
    <n v="0"/>
    <n v="0"/>
  </r>
  <r>
    <x v="1"/>
    <s v="Purchases - PURPA"/>
    <x v="1"/>
    <x v="2"/>
    <s v="Tenaska"/>
    <n v="844472.04"/>
    <n v="861.38534731103448"/>
    <n v="363707.92073492892"/>
  </r>
  <r>
    <x v="1"/>
    <s v="Purchases - PURPA"/>
    <x v="1"/>
    <x v="0"/>
    <s v="Twin Falls Hydro"/>
    <n v="67233"/>
    <n v="0"/>
    <n v="0"/>
  </r>
  <r>
    <x v="1"/>
    <s v="Purchases - PURPA"/>
    <x v="1"/>
    <x v="0"/>
    <s v="Weeks Falls"/>
    <n v="12691"/>
    <n v="0"/>
    <n v="0"/>
  </r>
  <r>
    <x v="1"/>
    <s v="Purchases - Secondary"/>
    <x v="2"/>
    <x v="4"/>
    <s v="Arizona Public Service"/>
    <n v="2000"/>
    <n v="1013.8429781871461"/>
    <n v="1013.8429781871461"/>
  </r>
  <r>
    <x v="1"/>
    <s v="Purchases - Secondary"/>
    <x v="2"/>
    <x v="4"/>
    <s v="ATCO Power Canada"/>
    <n v="820"/>
    <n v="1013.8429781871461"/>
    <n v="415.67562105672988"/>
  </r>
  <r>
    <x v="1"/>
    <s v="Purchases - Secondary"/>
    <x v="2"/>
    <x v="4"/>
    <s v="Avista Corp. WWP Division"/>
    <n v="102666.8"/>
    <n v="1013.8429781871461"/>
    <n v="52044.00713647205"/>
  </r>
  <r>
    <x v="1"/>
    <s v="Purchases - Secondary"/>
    <x v="2"/>
    <x v="4"/>
    <s v="Avista Energy"/>
    <n v="713907"/>
    <n v="1013.8429781871461"/>
    <n v="361894.79951432545"/>
  </r>
  <r>
    <x v="1"/>
    <s v="Purchases - Secondary"/>
    <x v="2"/>
    <x v="4"/>
    <s v="Barclays Bank Plc"/>
    <n v="7600"/>
    <n v="1013.8429781871461"/>
    <n v="3852.6033171111549"/>
  </r>
  <r>
    <x v="1"/>
    <s v="Purchases - Secondary"/>
    <x v="2"/>
    <x v="4"/>
    <s v="Bear Energy LP"/>
    <n v="48"/>
    <n v="1013.8429781871461"/>
    <n v="24.332231476491508"/>
  </r>
  <r>
    <x v="1"/>
    <s v="Purchases - Secondary"/>
    <x v="2"/>
    <x v="4"/>
    <s v="Benton County PUD"/>
    <n v="22518"/>
    <n v="1013.8429781871461"/>
    <n v="11414.858091409078"/>
  </r>
  <r>
    <x v="1"/>
    <s v="Purchases - Secondary"/>
    <x v="2"/>
    <x v="4"/>
    <s v="Black Hills Power"/>
    <n v="12360"/>
    <n v="1013.8429781871461"/>
    <n v="6265.5496051965629"/>
  </r>
  <r>
    <x v="1"/>
    <s v="Purchases - Secondary"/>
    <x v="2"/>
    <x v="4"/>
    <s v="Book Outs - EITF 03-11"/>
    <n v="-2421278"/>
    <n v="1013.8429781871461"/>
    <n v="-1227397.8492695084"/>
  </r>
  <r>
    <x v="1"/>
    <s v="Purchases - Secondary"/>
    <x v="2"/>
    <x v="4"/>
    <s v="BP Energy Co."/>
    <n v="181121"/>
    <n v="1013.8429781871461"/>
    <n v="91814.127026117043"/>
  </r>
  <r>
    <x v="1"/>
    <s v="Purchases - Secondary"/>
    <x v="2"/>
    <x v="4"/>
    <s v="BPA"/>
    <n v="739012"/>
    <n v="1013.8429781871461"/>
    <n v="374621.06349801959"/>
  </r>
  <r>
    <x v="1"/>
    <s v="Purchases - Secondary"/>
    <x v="2"/>
    <x v="4"/>
    <s v="Burbank, City of"/>
    <n v="4195"/>
    <n v="1013.8429781871461"/>
    <n v="2126.535646747539"/>
  </r>
  <r>
    <x v="1"/>
    <s v="Purchases - Secondary"/>
    <x v="2"/>
    <x v="4"/>
    <s v="Cargill Power Markets"/>
    <n v="48374"/>
    <n v="1013.8429781871461"/>
    <n v="24521.820113412505"/>
  </r>
  <r>
    <x v="1"/>
    <s v="Purchases - Secondary"/>
    <x v="2"/>
    <x v="4"/>
    <s v="Chelan County PUD #1"/>
    <n v="40907"/>
    <n v="1013.8429781871461"/>
    <n v="20736.637354350791"/>
  </r>
  <r>
    <x v="1"/>
    <s v="Purchases - Secondary"/>
    <x v="2"/>
    <x v="4"/>
    <s v="Cincinnati Gas &amp; Electric Co"/>
    <n v="7400"/>
    <n v="1013.8429781871461"/>
    <n v="3751.2190192924404"/>
  </r>
  <r>
    <x v="1"/>
    <s v="Purchases - Secondary"/>
    <x v="2"/>
    <x v="4"/>
    <s v="Cinergy Services"/>
    <n v="21330"/>
    <n v="1013.8429781871461"/>
    <n v="10812.635362365912"/>
  </r>
  <r>
    <x v="1"/>
    <s v="Purchases - Secondary"/>
    <x v="2"/>
    <x v="4"/>
    <s v="Citigroup Energy Inc"/>
    <n v="117050"/>
    <n v="1013.8429781871461"/>
    <n v="59335.160298402727"/>
  </r>
  <r>
    <x v="1"/>
    <s v="Purchases - Secondary"/>
    <x v="2"/>
    <x v="4"/>
    <s v="Clatskanie PUD"/>
    <n v="9785"/>
    <n v="1013.8429781871461"/>
    <n v="4960.2267707806113"/>
  </r>
  <r>
    <x v="1"/>
    <s v="Purchases - Secondary"/>
    <x v="2"/>
    <x v="4"/>
    <s v="Conoco, Inc."/>
    <n v="17475"/>
    <n v="1013.8429781871461"/>
    <n v="8858.4530219101889"/>
  </r>
  <r>
    <x v="1"/>
    <s v="Purchases - Secondary"/>
    <x v="2"/>
    <x v="4"/>
    <s v="Constellation Power Source, Inc."/>
    <n v="320060"/>
    <n v="1013.8429781871461"/>
    <n v="162245.291799289"/>
  </r>
  <r>
    <x v="1"/>
    <s v="Purchases - Secondary"/>
    <x v="2"/>
    <x v="4"/>
    <s v="DB Energy Trading LLC"/>
    <n v="27200"/>
    <n v="1013.8429781871461"/>
    <n v="13788.264503345186"/>
  </r>
  <r>
    <x v="1"/>
    <s v="Purchases - Secondary"/>
    <x v="2"/>
    <x v="4"/>
    <s v="Douglas County PUD #1"/>
    <n v="292497"/>
    <n v="1013.8429781871461"/>
    <n v="148273.01479540282"/>
  </r>
  <r>
    <x v="1"/>
    <s v="Purchases - Secondary"/>
    <x v="2"/>
    <x v="4"/>
    <s v="ENMAX Energy Marketing, Inc."/>
    <n v="175"/>
    <n v="1013.8429781871461"/>
    <n v="88.711260591375279"/>
  </r>
  <r>
    <x v="1"/>
    <s v="Purchases - Secondary"/>
    <x v="2"/>
    <x v="4"/>
    <s v="Epcor Merchant &amp; Capital"/>
    <n v="63703"/>
    <n v="1013.8429781871461"/>
    <n v="32292.419619727883"/>
  </r>
  <r>
    <x v="1"/>
    <s v="Purchases - Secondary"/>
    <x v="2"/>
    <x v="4"/>
    <s v="Eugene Water &amp; Electric"/>
    <n v="63650"/>
    <n v="1013.8429781871461"/>
    <n v="32265.552780805923"/>
  </r>
  <r>
    <x v="1"/>
    <s v="Purchases - Secondary"/>
    <x v="2"/>
    <x v="4"/>
    <s v="Fortis Energy Marketing &amp; Trading"/>
    <n v="16400"/>
    <n v="1013.8429781871461"/>
    <n v="8313.5124211345974"/>
  </r>
  <r>
    <x v="1"/>
    <s v="Purchases - Secondary"/>
    <x v="2"/>
    <x v="4"/>
    <s v="Franklin County PUD #1"/>
    <n v="15035"/>
    <n v="1013.8429781871461"/>
    <n v="7621.564588521871"/>
  </r>
  <r>
    <x v="1"/>
    <s v="Purchases - Secondary"/>
    <x v="2"/>
    <x v="4"/>
    <s v="Grant County PUD #2"/>
    <n v="89108"/>
    <n v="1013.8429781871461"/>
    <n v="45170.760050150107"/>
  </r>
  <r>
    <x v="1"/>
    <s v="Purchases - Secondary"/>
    <x v="2"/>
    <x v="4"/>
    <s v="Grays Harbor PUD #1"/>
    <n v="21400"/>
    <n v="1013.8429781871461"/>
    <n v="10848.119866602463"/>
  </r>
  <r>
    <x v="1"/>
    <s v="Purchases - Secondary"/>
    <x v="2"/>
    <x v="4"/>
    <s v="Iberdrola Renewables (PPM Energy)"/>
    <n v="400182"/>
    <n v="1013.8429781871461"/>
    <n v="202860.85534844425"/>
  </r>
  <r>
    <x v="1"/>
    <s v="Purchases - Secondary"/>
    <x v="2"/>
    <x v="4"/>
    <s v="Idaho Falls Power"/>
    <n v="84230"/>
    <n v="1013.8429781871461"/>
    <n v="42697.997026351652"/>
  </r>
  <r>
    <x v="1"/>
    <s v="Purchases - Secondary"/>
    <x v="2"/>
    <x v="4"/>
    <s v="Idaho Power Company"/>
    <n v="99558"/>
    <n v="1013.8429781871461"/>
    <n v="50468.089611177944"/>
  </r>
  <r>
    <x v="1"/>
    <s v="Purchases - Secondary"/>
    <x v="2"/>
    <x v="4"/>
    <s v="J. Aron &amp; Company"/>
    <n v="20000"/>
    <n v="1013.8429781871461"/>
    <n v="10138.42978187146"/>
  </r>
  <r>
    <x v="1"/>
    <s v="Purchases - Secondary"/>
    <x v="2"/>
    <x v="4"/>
    <s v="JP Morgan Ventures Energy"/>
    <n v="10000"/>
    <n v="1013.8429781871461"/>
    <n v="5069.2148909357302"/>
  </r>
  <r>
    <x v="1"/>
    <s v="Purchases - Secondary"/>
    <x v="2"/>
    <x v="4"/>
    <s v="King County"/>
    <n v="39.591999999999999"/>
    <n v="1013.8429781871461"/>
    <n v="20.070035596192742"/>
  </r>
  <r>
    <x v="1"/>
    <s v="Purchases - Secondary"/>
    <x v="2"/>
    <x v="4"/>
    <s v="Klamath Falls, City of"/>
    <n v="31207"/>
    <n v="1013.8429781871461"/>
    <n v="15819.498910143133"/>
  </r>
  <r>
    <x v="1"/>
    <s v="Purchases - Secondary"/>
    <x v="2"/>
    <x v="4"/>
    <s v="Lehman Bros Commodity Services"/>
    <n v="7800"/>
    <n v="1013.8429781871461"/>
    <n v="3953.9876149298698"/>
  </r>
  <r>
    <x v="1"/>
    <s v="Purchases - Secondary"/>
    <x v="2"/>
    <x v="4"/>
    <s v="Los Angeles Dept. Water &amp; Power"/>
    <n v="1275"/>
    <n v="1013.8429781871461"/>
    <n v="646.32489859430564"/>
  </r>
  <r>
    <x v="1"/>
    <s v="Purchases - Secondary"/>
    <x v="2"/>
    <x v="4"/>
    <s v="Macquarie Energy LLC"/>
    <n v="83200"/>
    <n v="1013.8429781871461"/>
    <n v="42175.86789258528"/>
  </r>
  <r>
    <x v="1"/>
    <s v="Purchases - Secondary"/>
    <x v="2"/>
    <x v="4"/>
    <s v="Merrill Lynch Commodities"/>
    <n v="24400"/>
    <n v="1013.8429781871461"/>
    <n v="12368.884333883181"/>
  </r>
  <r>
    <x v="1"/>
    <s v="Purchases - Secondary"/>
    <x v="2"/>
    <x v="4"/>
    <s v="Modesto Irrigation District"/>
    <n v="852"/>
    <n v="1013.8429781871461"/>
    <n v="431.89710870772421"/>
  </r>
  <r>
    <x v="1"/>
    <s v="Purchases - Secondary"/>
    <x v="2"/>
    <x v="4"/>
    <s v="Morgan Stanley CG"/>
    <n v="276663"/>
    <n v="1013.8429781871461"/>
    <n v="140246.4199370952"/>
  </r>
  <r>
    <x v="1"/>
    <s v="Purchases - Secondary"/>
    <x v="2"/>
    <x v="4"/>
    <s v="N. California Power Agency"/>
    <n v="1315"/>
    <n v="1013.8429781871461"/>
    <n v="666.60175815804848"/>
  </r>
  <r>
    <x v="1"/>
    <s v="Purchases - Secondary"/>
    <x v="2"/>
    <x v="4"/>
    <s v="New Mexico, Public Service Company"/>
    <n v="3200"/>
    <n v="1013.8429781871461"/>
    <n v="1622.1487650994336"/>
  </r>
  <r>
    <x v="1"/>
    <s v="Purchases - Secondary"/>
    <x v="2"/>
    <x v="4"/>
    <s v="Noble Americas Energy Solutions"/>
    <n v="29225"/>
    <n v="1013.8429781871461"/>
    <n v="14814.780518759671"/>
  </r>
  <r>
    <x v="1"/>
    <s v="Purchases - Secondary"/>
    <x v="2"/>
    <x v="4"/>
    <s v="NorthPoint Energy Solutions, Inc."/>
    <n v="1342"/>
    <n v="1013.8429781871461"/>
    <n v="680.28863836357493"/>
  </r>
  <r>
    <x v="1"/>
    <s v="Purchases - Secondary"/>
    <x v="2"/>
    <x v="4"/>
    <s v="Northwestern Energy"/>
    <n v="9629"/>
    <n v="1013.8429781871461"/>
    <n v="4881.1470184820146"/>
  </r>
  <r>
    <x v="1"/>
    <s v="Purchases - Secondary"/>
    <x v="2"/>
    <x v="4"/>
    <s v="Occidental Power Services"/>
    <n v="1064"/>
    <n v="1013.8429781871461"/>
    <n v="539.36446439556175"/>
  </r>
  <r>
    <x v="1"/>
    <s v="Purchases - Secondary"/>
    <x v="2"/>
    <x v="4"/>
    <s v="Okanogan PUD"/>
    <n v="3761"/>
    <n v="1013.8429781871461"/>
    <n v="1906.5317204809282"/>
  </r>
  <r>
    <x v="1"/>
    <s v="Purchases - Secondary"/>
    <x v="2"/>
    <x v="4"/>
    <s v="Pacific Northwest Generatin Coop."/>
    <n v="181909"/>
    <n v="1013.8429781871461"/>
    <n v="92213.581159522771"/>
  </r>
  <r>
    <x v="1"/>
    <s v="Purchases - Secondary"/>
    <x v="2"/>
    <x v="4"/>
    <s v="Pacificorp"/>
    <n v="352506"/>
    <n v="1013.8429781871461"/>
    <n v="178692.86643441906"/>
  </r>
  <r>
    <x v="1"/>
    <s v="Purchases - Secondary"/>
    <x v="2"/>
    <x v="4"/>
    <s v="PG&amp;E Energy Trading"/>
    <n v="24945"/>
    <n v="1013.8429781871461"/>
    <n v="12645.15654543918"/>
  </r>
  <r>
    <x v="1"/>
    <s v="Purchases - Secondary"/>
    <x v="2"/>
    <x v="4"/>
    <s v="Pinnacle West Capital Corp"/>
    <n v="889475"/>
    <n v="1013.8429781871461"/>
    <n v="450893.99151150585"/>
  </r>
  <r>
    <x v="1"/>
    <s v="Purchases - Secondary"/>
    <x v="2"/>
    <x v="4"/>
    <s v="Portland General Electric"/>
    <n v="500872"/>
    <n v="1013.8429781871461"/>
    <n v="253902.78008527608"/>
  </r>
  <r>
    <x v="1"/>
    <s v="Purchases - Secondary"/>
    <x v="2"/>
    <x v="4"/>
    <s v="Powerex Corp."/>
    <n v="504275"/>
    <n v="1013.8429781871461"/>
    <n v="255627.83391266156"/>
  </r>
  <r>
    <x v="1"/>
    <s v="Purchases - Secondary"/>
    <x v="2"/>
    <x v="4"/>
    <s v="PP&amp;L Montana, LLC."/>
    <n v="41793"/>
    <n v="1013.8429781871461"/>
    <n v="21185.769793687698"/>
  </r>
  <r>
    <x v="1"/>
    <s v="Purchases - Secondary"/>
    <x v="2"/>
    <x v="4"/>
    <s v="Public Service of Colorado"/>
    <n v="19800"/>
    <n v="1013.8429781871461"/>
    <n v="10037.045484052745"/>
  </r>
  <r>
    <x v="1"/>
    <s v="Purchases - Secondary"/>
    <x v="2"/>
    <x v="4"/>
    <s v="Rainbow Energy Marketing"/>
    <n v="121336"/>
    <n v="1013.8429781871461"/>
    <n v="61507.825800657782"/>
  </r>
  <r>
    <x v="1"/>
    <s v="Purchases - Secondary"/>
    <x v="2"/>
    <x v="4"/>
    <s v="Redding, City of"/>
    <n v="2903"/>
    <n v="1013.8429781871461"/>
    <n v="1471.5930828386424"/>
  </r>
  <r>
    <x v="1"/>
    <s v="Purchases - Secondary"/>
    <x v="2"/>
    <x v="4"/>
    <s v="Sacramento Municipal"/>
    <n v="5025"/>
    <n v="1013.8429781871461"/>
    <n v="2547.2804826952047"/>
  </r>
  <r>
    <x v="1"/>
    <s v="Purchases - Secondary"/>
    <x v="2"/>
    <x v="4"/>
    <s v="San Diego Gas &amp; Electric"/>
    <n v="6904"/>
    <n v="1013.8429781871461"/>
    <n v="3499.7859607020282"/>
  </r>
  <r>
    <x v="1"/>
    <s v="Purchases - Secondary"/>
    <x v="2"/>
    <x v="4"/>
    <s v="Seattle City Light Marketing"/>
    <n v="172078"/>
    <n v="1013.8429781871461"/>
    <n v="87230.036000243854"/>
  </r>
  <r>
    <x v="1"/>
    <s v="Purchases - Secondary"/>
    <x v="2"/>
    <x v="4"/>
    <s v="Sempra Energy Trading"/>
    <n v="1226010"/>
    <n v="1013.8429781871461"/>
    <n v="621490.81484361144"/>
  </r>
  <r>
    <x v="1"/>
    <s v="Purchases - Secondary"/>
    <x v="2"/>
    <x v="4"/>
    <s v="Shell Energy (Coral Pwr)"/>
    <n v="730645"/>
    <n v="1013.8429781871461"/>
    <n v="370379.65139877365"/>
  </r>
  <r>
    <x v="1"/>
    <s v="Purchases - Secondary"/>
    <x v="2"/>
    <x v="4"/>
    <s v="Sierra Pacific Power"/>
    <n v="26329"/>
    <n v="1013.8429781871461"/>
    <n v="13346.735886344684"/>
  </r>
  <r>
    <x v="1"/>
    <s v="Purchases - Secondary"/>
    <x v="2"/>
    <x v="4"/>
    <s v="Silicon Valley Pwr - Santa Clara"/>
    <n v="448"/>
    <n v="1013.8429781871461"/>
    <n v="227.1008271139207"/>
  </r>
  <r>
    <x v="1"/>
    <s v="Purchases - Secondary"/>
    <x v="2"/>
    <x v="4"/>
    <s v="Snohomish County PUD #1"/>
    <n v="80505"/>
    <n v="1013.8429781871461"/>
    <n v="40809.714479478098"/>
  </r>
  <r>
    <x v="1"/>
    <s v="Purchases - Secondary"/>
    <x v="2"/>
    <x v="4"/>
    <s v="Southern Cal - Edison"/>
    <n v="29334"/>
    <n v="1013.8429781871461"/>
    <n v="14870.034961070871"/>
  </r>
  <r>
    <x v="1"/>
    <s v="Purchases - Secondary"/>
    <x v="2"/>
    <x v="4"/>
    <s v="SUEZ Energy Marketing (Tractebel)"/>
    <n v="116640"/>
    <n v="1013.8429781871461"/>
    <n v="59127.322487874357"/>
  </r>
  <r>
    <x v="1"/>
    <s v="Purchases - Secondary"/>
    <x v="2"/>
    <x v="4"/>
    <s v="Sumas Cogeneration"/>
    <n v="21787.52"/>
    <n v="1013.8429781871461"/>
    <n v="11044.562082056005"/>
  </r>
  <r>
    <x v="1"/>
    <s v="Purchases - Secondary"/>
    <x v="2"/>
    <x v="4"/>
    <s v="Tacoma Power"/>
    <n v="107444"/>
    <n v="1013.8429781871461"/>
    <n v="54465.672474169856"/>
  </r>
  <r>
    <x v="1"/>
    <s v="Purchases - Secondary"/>
    <x v="2"/>
    <x v="4"/>
    <s v="Tenaska"/>
    <n v="1537"/>
    <n v="1013.8429781871461"/>
    <n v="779.13832873682179"/>
  </r>
  <r>
    <x v="1"/>
    <s v="Purchases - Secondary"/>
    <x v="2"/>
    <x v="4"/>
    <s v="TransAlta Energy Marketing"/>
    <n v="1162941"/>
    <n v="1013.8429781871461"/>
    <n v="589519.78344796901"/>
  </r>
  <r>
    <x v="1"/>
    <s v="Purchases - Secondary"/>
    <x v="2"/>
    <x v="4"/>
    <s v="TransCanada Power Corp."/>
    <n v="3828"/>
    <n v="1013.8429781871461"/>
    <n v="1940.4954602501975"/>
  </r>
  <r>
    <x v="1"/>
    <s v="Purchases - Secondary"/>
    <x v="2"/>
    <x v="4"/>
    <s v="Turlock Irrigation District"/>
    <n v="13371"/>
    <n v="1013.8429781871461"/>
    <n v="6778.0472306701649"/>
  </r>
  <r>
    <x v="1"/>
    <s v="Purchases - Secondary"/>
    <x v="2"/>
    <x v="4"/>
    <s v="UBS AG"/>
    <n v="100496"/>
    <n v="1013.8429781871461"/>
    <n v="50943.581967947714"/>
  </r>
  <r>
    <x v="1"/>
    <s v="Purchases - Secondary"/>
    <x v="2"/>
    <x v="4"/>
    <s v="Western Area Power Association"/>
    <n v="473"/>
    <n v="1013.8429781871461"/>
    <n v="239.77386434126004"/>
  </r>
  <r>
    <x v="1"/>
    <s v="Purchases - Secondary"/>
    <x v="2"/>
    <x v="4"/>
    <s v="Wild Horse Test Power"/>
    <n v="144854"/>
    <n v="1013.8429781871461"/>
    <n v="73429.605381160422"/>
  </r>
  <r>
    <x v="1"/>
    <s v="Purchases - Secondary"/>
    <x v="2"/>
    <x v="4"/>
    <s v="Williams Power Company"/>
    <n v="425"/>
    <n v="1013.8429781871461"/>
    <n v="215.44163286476854"/>
  </r>
  <r>
    <x v="1"/>
    <s v="Interchange - In"/>
    <x v="2"/>
    <x v="4"/>
    <s v="Avista Energy"/>
    <n v="305656"/>
    <n v="1013.8429781871461"/>
    <n v="154943.59467038515"/>
  </r>
  <r>
    <x v="1"/>
    <s v="Interchange - In"/>
    <x v="2"/>
    <x v="4"/>
    <s v="Black Creek Hydro"/>
    <n v="2816"/>
    <n v="1013.8429781871461"/>
    <n v="1427.4909132875016"/>
  </r>
  <r>
    <x v="1"/>
    <s v="Interchange - In"/>
    <x v="2"/>
    <x v="4"/>
    <s v="BPA"/>
    <n v="102038"/>
    <n v="1013.8429781871461"/>
    <n v="51725.254904130001"/>
  </r>
  <r>
    <x v="1"/>
    <s v="Interchange - In"/>
    <x v="2"/>
    <x v="4"/>
    <s v="Cargill Power Markets"/>
    <n v="30396"/>
    <n v="1013.8429781871461"/>
    <n v="15408.385582488247"/>
  </r>
  <r>
    <x v="1"/>
    <s v="Interchange - In"/>
    <x v="2"/>
    <x v="4"/>
    <s v="Deviation"/>
    <n v="-24937.741999999998"/>
    <n v="1013.8429781871461"/>
    <n v="-12641.477309271337"/>
  </r>
  <r>
    <x v="1"/>
    <s v="Interchange - In"/>
    <x v="2"/>
    <x v="4"/>
    <s v="Douglas County PUD #1"/>
    <n v="75"/>
    <n v="1013.8429781871461"/>
    <n v="38.019111682017972"/>
  </r>
  <r>
    <x v="1"/>
    <s v="Interchange - In"/>
    <x v="2"/>
    <x v="4"/>
    <s v="Pacific Gas &amp; Elec - Exchange"/>
    <n v="412904"/>
    <n v="1013.8429781871461"/>
    <n v="209309.91053269268"/>
  </r>
  <r>
    <x v="1"/>
    <s v="Interchange - In"/>
    <x v="2"/>
    <x v="4"/>
    <s v="Powerex - Exchange"/>
    <n v="610192"/>
    <n v="1013.8429781871461"/>
    <n v="309319.43727298552"/>
  </r>
  <r>
    <x v="1"/>
    <s v="Interchange - In"/>
    <x v="2"/>
    <x v="4"/>
    <s v="Seattle City Light Marketing"/>
    <n v="78400"/>
    <n v="1013.8429781871461"/>
    <n v="39742.644744936122"/>
  </r>
  <r>
    <x v="1"/>
    <s v="Interchange - In"/>
    <x v="2"/>
    <x v="4"/>
    <s v="Tacoma Power"/>
    <n v="24876"/>
    <n v="1013.8429781871461"/>
    <n v="12610.178962691722"/>
  </r>
  <r>
    <x v="1"/>
    <s v="Interchange - In"/>
    <x v="2"/>
    <x v="4"/>
    <s v="Tacoma, City of"/>
    <n v="210"/>
    <n v="1013.8429781871461"/>
    <n v="106.45351270965034"/>
  </r>
  <r>
    <x v="1"/>
    <s v="Interchange - In"/>
    <x v="2"/>
    <x v="4"/>
    <s v="TransAlta Energy Marketing"/>
    <n v="895958"/>
    <n v="1013.8429781871461"/>
    <n v="454180.36352529947"/>
  </r>
  <r>
    <x v="1"/>
    <s v="Interchange - Out"/>
    <x v="2"/>
    <x v="4"/>
    <s v="Avista Energy"/>
    <n v="-309216"/>
    <n v="1013.8429781871461"/>
    <n v="-156748.23517155828"/>
  </r>
  <r>
    <x v="1"/>
    <s v="Interchange - Out"/>
    <x v="2"/>
    <x v="4"/>
    <s v="Black Creek Hydro"/>
    <n v="-3057"/>
    <n v="1013.8429781871461"/>
    <n v="-1549.6589921590528"/>
  </r>
  <r>
    <x v="1"/>
    <s v="Interchange - Out"/>
    <x v="2"/>
    <x v="4"/>
    <s v="BPA"/>
    <n v="-103655"/>
    <n v="1013.8429781871461"/>
    <n v="-52544.946951994316"/>
  </r>
  <r>
    <x v="1"/>
    <s v="Interchange - Out"/>
    <x v="2"/>
    <x v="4"/>
    <s v="Cargill Power Markets"/>
    <n v="-31096"/>
    <n v="1013.8429781871461"/>
    <n v="-15763.230624853746"/>
  </r>
  <r>
    <x v="1"/>
    <s v="Interchange - Out"/>
    <x v="2"/>
    <x v="4"/>
    <s v="Douglas County PUD #1"/>
    <n v="-75"/>
    <n v="1013.8429781871461"/>
    <n v="-38.019111682017972"/>
  </r>
  <r>
    <x v="1"/>
    <s v="Interchange - Out"/>
    <x v="2"/>
    <x v="4"/>
    <s v="Pacific Gas &amp; Elec - Exchange"/>
    <n v="-413000"/>
    <n v="1013.8429781871461"/>
    <n v="-209358.57499564567"/>
  </r>
  <r>
    <x v="1"/>
    <s v="Interchange - Out"/>
    <x v="2"/>
    <x v="4"/>
    <s v="Powerex - Exchange"/>
    <n v="-610192"/>
    <n v="1013.8429781871461"/>
    <n v="-309319.43727298552"/>
  </r>
  <r>
    <x v="1"/>
    <s v="Interchange - Out"/>
    <x v="2"/>
    <x v="4"/>
    <s v="Seattle City Light Marketing"/>
    <n v="-78400"/>
    <n v="1013.8429781871461"/>
    <n v="-39742.644744936122"/>
  </r>
  <r>
    <x v="1"/>
    <s v="Interchange - Out"/>
    <x v="2"/>
    <x v="4"/>
    <s v="Storage/Interchange - Out"/>
    <n v="-21"/>
    <n v="1013.8429781871461"/>
    <n v="-10.645351270965033"/>
  </r>
  <r>
    <x v="1"/>
    <s v="Interchange - Out"/>
    <x v="2"/>
    <x v="4"/>
    <s v="Tacoma Power"/>
    <n v="-25065"/>
    <n v="1013.8429781871461"/>
    <n v="-12705.987124130408"/>
  </r>
  <r>
    <x v="1"/>
    <s v="Interchange - Out"/>
    <x v="2"/>
    <x v="4"/>
    <s v="TransAlta Energy Marketing"/>
    <n v="-895958"/>
    <n v="1013.8429781871461"/>
    <n v="-454180.36352529947"/>
  </r>
  <r>
    <x v="1"/>
    <s v="Sales for Resale"/>
    <x v="2"/>
    <x v="4"/>
    <s v="Arizona Public Service"/>
    <n v="-3400"/>
    <n v="1013.8429781871461"/>
    <n v="-1723.5330629181483"/>
  </r>
  <r>
    <x v="1"/>
    <s v="Sales for Resale"/>
    <x v="2"/>
    <x v="4"/>
    <s v="Avista Corp. WWP Division"/>
    <n v="-41478"/>
    <n v="1013.8429781871461"/>
    <n v="-21026.089524623221"/>
  </r>
  <r>
    <x v="1"/>
    <s v="Sales for Resale"/>
    <x v="2"/>
    <x v="4"/>
    <s v="Avista Energy"/>
    <n v="-307922"/>
    <n v="1013.8429781871461"/>
    <n v="-156092.27876467121"/>
  </r>
  <r>
    <x v="1"/>
    <s v="Sales for Resale"/>
    <x v="2"/>
    <x v="4"/>
    <s v="Barclays Bank Plc"/>
    <n v="-6000"/>
    <n v="1013.8429781871461"/>
    <n v="-3041.5289345614383"/>
  </r>
  <r>
    <x v="1"/>
    <s v="Sales for Resale"/>
    <x v="2"/>
    <x v="4"/>
    <s v="Bear Energy LP"/>
    <n v="-3298"/>
    <n v="1013.8429781871461"/>
    <n v="-1671.827071030604"/>
  </r>
  <r>
    <x v="1"/>
    <s v="Sales for Resale"/>
    <x v="2"/>
    <x v="4"/>
    <s v="Benton County PUD"/>
    <n v="-4433"/>
    <n v="1013.8429781871461"/>
    <n v="-2247.1829611518096"/>
  </r>
  <r>
    <x v="1"/>
    <s v="Sales for Resale"/>
    <x v="2"/>
    <x v="4"/>
    <s v="Black Hills Power"/>
    <n v="-650"/>
    <n v="1013.8429781871461"/>
    <n v="-329.4989679108225"/>
  </r>
  <r>
    <x v="1"/>
    <s v="Sales for Resale"/>
    <x v="2"/>
    <x v="4"/>
    <s v="Book Outs - EITF 03-11"/>
    <n v="2421278"/>
    <n v="1013.8429781871461"/>
    <n v="1227397.8492695084"/>
  </r>
  <r>
    <x v="1"/>
    <s v="Sales for Resale"/>
    <x v="2"/>
    <x v="4"/>
    <s v="BP Energy Co."/>
    <n v="-95783"/>
    <n v="1013.8429781871461"/>
    <n v="-48554.460989849707"/>
  </r>
  <r>
    <x v="1"/>
    <s v="Sales for Resale"/>
    <x v="2"/>
    <x v="4"/>
    <s v="BPA"/>
    <n v="-141345"/>
    <n v="1013.8429781871461"/>
    <n v="-71650.817875931083"/>
  </r>
  <r>
    <x v="1"/>
    <s v="Sales for Resale"/>
    <x v="2"/>
    <x v="4"/>
    <s v="British Columbia Transmission Corp"/>
    <n v="-23"/>
    <n v="1013.8429781871461"/>
    <n v="-11.659194249152181"/>
  </r>
  <r>
    <x v="1"/>
    <s v="Sales for Resale"/>
    <x v="2"/>
    <x v="4"/>
    <s v="Burbank, City of"/>
    <n v="-3121"/>
    <n v="1013.8429781871461"/>
    <n v="-1582.1019674610413"/>
  </r>
  <r>
    <x v="1"/>
    <s v="Sales for Resale"/>
    <x v="2"/>
    <x v="4"/>
    <s v="Cargill Power Markets"/>
    <n v="-84873"/>
    <n v="1013.8429781871461"/>
    <n v="-43023.947543838818"/>
  </r>
  <r>
    <x v="1"/>
    <s v="Sales for Resale"/>
    <x v="2"/>
    <x v="4"/>
    <s v="Chelan County PUD #1"/>
    <n v="-1200"/>
    <n v="1013.8429781871461"/>
    <n v="-608.30578691228754"/>
  </r>
  <r>
    <x v="1"/>
    <s v="Sales for Resale"/>
    <x v="2"/>
    <x v="4"/>
    <s v="Cincinnati Gas &amp; Electric Co"/>
    <n v="-13200"/>
    <n v="1013.8429781871461"/>
    <n v="-6691.3636560351642"/>
  </r>
  <r>
    <x v="1"/>
    <s v="Sales for Resale"/>
    <x v="2"/>
    <x v="4"/>
    <s v="Cinergy Services"/>
    <n v="-24697"/>
    <n v="1013.8429781871461"/>
    <n v="-12519.440016143973"/>
  </r>
  <r>
    <x v="1"/>
    <s v="Sales for Resale"/>
    <x v="2"/>
    <x v="4"/>
    <s v="Citigroup Energy Inc"/>
    <n v="-88920"/>
    <n v="1013.8429781871461"/>
    <n v="-45075.458810200515"/>
  </r>
  <r>
    <x v="1"/>
    <s v="Sales for Resale"/>
    <x v="2"/>
    <x v="4"/>
    <s v="Clatskanie PUD"/>
    <n v="-4691"/>
    <n v="1013.8429781871461"/>
    <n v="-2377.9687053379512"/>
  </r>
  <r>
    <x v="1"/>
    <s v="Sales for Resale"/>
    <x v="2"/>
    <x v="4"/>
    <s v="Conoco, Inc."/>
    <n v="-44413"/>
    <n v="1013.8429781871461"/>
    <n v="-22513.904095112859"/>
  </r>
  <r>
    <x v="1"/>
    <s v="Sales for Resale"/>
    <x v="2"/>
    <x v="4"/>
    <s v="Constellation Power Source, Inc."/>
    <n v="-80970"/>
    <n v="1013.8429781871461"/>
    <n v="-41045.432971906608"/>
  </r>
  <r>
    <x v="1"/>
    <s v="Sales for Resale"/>
    <x v="2"/>
    <x v="4"/>
    <s v="DB Energy Trading LLC"/>
    <n v="-30000"/>
    <n v="1013.8429781871461"/>
    <n v="-15207.644672807191"/>
  </r>
  <r>
    <x v="1"/>
    <s v="Sales for Resale"/>
    <x v="2"/>
    <x v="4"/>
    <s v="Douglas County PUD #1"/>
    <n v="-980"/>
    <n v="1013.8429781871461"/>
    <n v="-496.78305931170155"/>
  </r>
  <r>
    <x v="1"/>
    <s v="Sales for Resale"/>
    <x v="2"/>
    <x v="4"/>
    <s v="ENMAX Energy Marketing, Inc."/>
    <n v="-6322"/>
    <n v="1013.8429781871461"/>
    <n v="-3204.7576540495688"/>
  </r>
  <r>
    <x v="1"/>
    <s v="Sales for Resale"/>
    <x v="2"/>
    <x v="4"/>
    <s v="Epcor Merchant &amp; Capital"/>
    <n v="-21189"/>
    <n v="1013.8429781871461"/>
    <n v="-10741.15943240372"/>
  </r>
  <r>
    <x v="1"/>
    <s v="Sales for Resale"/>
    <x v="2"/>
    <x v="4"/>
    <s v="Eugene Water &amp; Electric"/>
    <n v="-16203"/>
    <n v="1013.8429781871461"/>
    <n v="-8213.6488877831634"/>
  </r>
  <r>
    <x v="1"/>
    <s v="Sales for Resale"/>
    <x v="2"/>
    <x v="4"/>
    <s v="Fortis Energy Marketing &amp; Trading"/>
    <n v="-45575"/>
    <n v="1013.8429781871461"/>
    <n v="-23102.94686543959"/>
  </r>
  <r>
    <x v="1"/>
    <s v="Sales for Resale"/>
    <x v="2"/>
    <x v="4"/>
    <s v="Franklin County PUD #1"/>
    <n v="-1725"/>
    <n v="1013.8429781871461"/>
    <n v="-874.43956868641351"/>
  </r>
  <r>
    <x v="1"/>
    <s v="Sales for Resale"/>
    <x v="2"/>
    <x v="4"/>
    <s v="Grant County PUD #2"/>
    <n v="-16830"/>
    <n v="1013.8429781871461"/>
    <n v="-8531.4886614448333"/>
  </r>
  <r>
    <x v="1"/>
    <s v="Sales for Resale"/>
    <x v="2"/>
    <x v="4"/>
    <s v="Grays Harbor PUD #1"/>
    <n v="-4477"/>
    <n v="1013.8429781871461"/>
    <n v="-2269.4875066719264"/>
  </r>
  <r>
    <x v="1"/>
    <s v="Sales for Resale"/>
    <x v="2"/>
    <x v="4"/>
    <s v="Hinson Power Company"/>
    <n v="-3200"/>
    <n v="1013.8429781871461"/>
    <n v="-1622.1487650994336"/>
  </r>
  <r>
    <x v="1"/>
    <s v="Sales for Resale"/>
    <x v="2"/>
    <x v="4"/>
    <s v="Iberdrola Renewables (PPM Energy)"/>
    <n v="-183683"/>
    <n v="1013.8429781871461"/>
    <n v="-93112.85988117478"/>
  </r>
  <r>
    <x v="1"/>
    <s v="Sales for Resale"/>
    <x v="2"/>
    <x v="4"/>
    <s v="Idaho Power Company"/>
    <n v="-77637"/>
    <n v="1013.8429781871461"/>
    <n v="-39355.863648757724"/>
  </r>
  <r>
    <x v="1"/>
    <s v="Sales for Resale"/>
    <x v="2"/>
    <x v="4"/>
    <s v="J. Aron &amp; Company"/>
    <n v="-13600"/>
    <n v="1013.8429781871461"/>
    <n v="-6894.1322516725932"/>
  </r>
  <r>
    <x v="1"/>
    <s v="Sales for Resale"/>
    <x v="2"/>
    <x v="4"/>
    <s v="JP Morgan Ventures Energy"/>
    <n v="-20000"/>
    <n v="1013.8429781871461"/>
    <n v="-10138.42978187146"/>
  </r>
  <r>
    <x v="1"/>
    <s v="Sales for Resale"/>
    <x v="2"/>
    <x v="4"/>
    <s v="Klamath Falls, City of"/>
    <n v="-9281"/>
    <n v="1013.8429781871461"/>
    <n v="-4704.7383402774512"/>
  </r>
  <r>
    <x v="1"/>
    <s v="Sales for Resale"/>
    <x v="2"/>
    <x v="4"/>
    <s v="Lehman Bros Commodity Services"/>
    <n v="-49275"/>
    <n v="1013.8429781871461"/>
    <n v="-24978.556375085813"/>
  </r>
  <r>
    <x v="1"/>
    <s v="Sales for Resale"/>
    <x v="2"/>
    <x v="4"/>
    <s v="Los Angeles Dept. Water &amp; Power"/>
    <n v="-3215"/>
    <n v="1013.8429781871461"/>
    <n v="-1629.7525874358373"/>
  </r>
  <r>
    <x v="1"/>
    <s v="Sales for Resale"/>
    <x v="2"/>
    <x v="4"/>
    <s v="Macquarie Energy LLC"/>
    <n v="-77000"/>
    <n v="1013.8429781871461"/>
    <n v="-39032.954660205127"/>
  </r>
  <r>
    <x v="1"/>
    <s v="Sales for Resale"/>
    <x v="2"/>
    <x v="4"/>
    <s v="Merrill Lynch Commodities"/>
    <n v="-40881"/>
    <n v="1013.8429781871461"/>
    <n v="-20723.457395634359"/>
  </r>
  <r>
    <x v="1"/>
    <s v="Sales for Resale"/>
    <x v="2"/>
    <x v="4"/>
    <s v="Modesto Irrigation District"/>
    <n v="-8394"/>
    <n v="1013.8429781871461"/>
    <n v="-4255.0989794514526"/>
  </r>
  <r>
    <x v="1"/>
    <s v="Sales for Resale"/>
    <x v="2"/>
    <x v="4"/>
    <s v="Morgan Stanley CG"/>
    <n v="-252602"/>
    <n v="1013.8429781871461"/>
    <n v="-128049.38198801473"/>
  </r>
  <r>
    <x v="1"/>
    <s v="Sales for Resale"/>
    <x v="2"/>
    <x v="4"/>
    <s v="N. California Power Agency"/>
    <n v="-3417"/>
    <n v="1013.8429781871461"/>
    <n v="-1732.1507282327391"/>
  </r>
  <r>
    <x v="1"/>
    <s v="Sales for Resale"/>
    <x v="2"/>
    <x v="4"/>
    <s v="Noble Americas Energy Solutions"/>
    <n v="-2072"/>
    <n v="1013.8429781871461"/>
    <n v="-1050.3413254018833"/>
  </r>
  <r>
    <x v="1"/>
    <s v="Sales for Resale"/>
    <x v="2"/>
    <x v="4"/>
    <s v="NorthPoint Energy Solutions, Inc."/>
    <n v="-17324"/>
    <n v="1013.8429781871461"/>
    <n v="-8781.9078770570595"/>
  </r>
  <r>
    <x v="1"/>
    <s v="Sales for Resale"/>
    <x v="2"/>
    <x v="4"/>
    <s v="Northwestern Energy"/>
    <n v="-25569"/>
    <n v="1013.8429781871461"/>
    <n v="-12961.475554633569"/>
  </r>
  <r>
    <x v="1"/>
    <s v="Sales for Resale"/>
    <x v="2"/>
    <x v="4"/>
    <s v="Occidental Power Services"/>
    <n v="-5300"/>
    <n v="1013.8429781871461"/>
    <n v="-2686.683892195937"/>
  </r>
  <r>
    <x v="1"/>
    <s v="Sales for Resale"/>
    <x v="2"/>
    <x v="4"/>
    <s v="Okanogan PUD"/>
    <n v="-260"/>
    <n v="1013.8429781871461"/>
    <n v="-131.79958716432898"/>
  </r>
  <r>
    <x v="1"/>
    <s v="Sales for Resale"/>
    <x v="2"/>
    <x v="4"/>
    <s v="Pacific Northwest Generatin Coop."/>
    <n v="-7665"/>
    <n v="1013.8429781871461"/>
    <n v="-3885.5532139022375"/>
  </r>
  <r>
    <x v="1"/>
    <s v="Sales for Resale"/>
    <x v="2"/>
    <x v="4"/>
    <s v="Pacificorp"/>
    <n v="-299493"/>
    <n v="1013.8429781871461"/>
    <n v="-151819.43753310147"/>
  </r>
  <r>
    <x v="1"/>
    <s v="Sales for Resale"/>
    <x v="2"/>
    <x v="4"/>
    <s v="PG&amp;E Energy Trading"/>
    <n v="-10225"/>
    <n v="1013.8429781871461"/>
    <n v="-5183.2722259817838"/>
  </r>
  <r>
    <x v="1"/>
    <s v="Sales for Resale"/>
    <x v="2"/>
    <x v="4"/>
    <s v="Pinnacle West Capital Corp"/>
    <n v="-11000"/>
    <n v="1013.8429781871461"/>
    <n v="-5576.1363800293029"/>
  </r>
  <r>
    <x v="1"/>
    <s v="Sales for Resale"/>
    <x v="2"/>
    <x v="4"/>
    <s v="Portland General Electric"/>
    <n v="-84922"/>
    <n v="1013.8429781871461"/>
    <n v="-43048.786696804411"/>
  </r>
  <r>
    <x v="1"/>
    <s v="Sales for Resale"/>
    <x v="2"/>
    <x v="4"/>
    <s v="Powerex Corp."/>
    <n v="-546974"/>
    <n v="1013.8429781871461"/>
    <n v="-277272.87457546801"/>
  </r>
  <r>
    <x v="1"/>
    <s v="Sales for Resale"/>
    <x v="2"/>
    <x v="4"/>
    <s v="PP&amp;L Montana, LLC."/>
    <n v="-54840"/>
    <n v="1013.8429781871461"/>
    <n v="-27799.574461891541"/>
  </r>
  <r>
    <x v="1"/>
    <s v="Sales for Resale"/>
    <x v="2"/>
    <x v="4"/>
    <s v="Public Service of Colorado"/>
    <n v="-12930"/>
    <n v="1013.8429781871461"/>
    <n v="-6554.4948539798997"/>
  </r>
  <r>
    <x v="1"/>
    <s v="Sales for Resale"/>
    <x v="2"/>
    <x v="4"/>
    <s v="Rainbow Energy Marketing"/>
    <n v="-182633"/>
    <n v="1013.8429781871461"/>
    <n v="-92580.592317626521"/>
  </r>
  <r>
    <x v="1"/>
    <s v="Sales for Resale"/>
    <x v="2"/>
    <x v="4"/>
    <s v="Redding, City of"/>
    <n v="-2030"/>
    <n v="1013.8429781871461"/>
    <n v="-1029.0506228599531"/>
  </r>
  <r>
    <x v="1"/>
    <s v="Sales for Resale"/>
    <x v="2"/>
    <x v="4"/>
    <s v="Sacramento Municipal"/>
    <n v="-9398"/>
    <n v="1013.8429781871461"/>
    <n v="-4764.048154501399"/>
  </r>
  <r>
    <x v="1"/>
    <s v="Sales for Resale"/>
    <x v="2"/>
    <x v="4"/>
    <s v="San Diego Gas &amp; Electric"/>
    <n v="-11112"/>
    <n v="1013.8429781871461"/>
    <n v="-5632.9115868077834"/>
  </r>
  <r>
    <x v="1"/>
    <s v="Sales for Resale"/>
    <x v="2"/>
    <x v="4"/>
    <s v="Seattle City Light Marketing"/>
    <n v="-43046"/>
    <n v="1013.8429781871461"/>
    <n v="-21820.942419521947"/>
  </r>
  <r>
    <x v="1"/>
    <s v="Sales for Resale"/>
    <x v="2"/>
    <x v="4"/>
    <s v="Sempra Energy Trading"/>
    <n v="-186355"/>
    <n v="1013.8429781871461"/>
    <n v="-94467.354100032811"/>
  </r>
  <r>
    <x v="1"/>
    <s v="Sales for Resale"/>
    <x v="2"/>
    <x v="4"/>
    <s v="Shell Energy (Coral Pwr)"/>
    <n v="-215517"/>
    <n v="1013.8429781871461"/>
    <n v="-109250.19856497958"/>
  </r>
  <r>
    <x v="1"/>
    <s v="Sales for Resale"/>
    <x v="2"/>
    <x v="4"/>
    <s v="Sierra Pacific Power"/>
    <n v="-23099"/>
    <n v="1013.8429781871461"/>
    <n v="-11709.379476572443"/>
  </r>
  <r>
    <x v="1"/>
    <s v="Sales for Resale"/>
    <x v="2"/>
    <x v="4"/>
    <s v="Silicon Valley Pwr - Santa Clara"/>
    <n v="-16202"/>
    <n v="1013.8429781871461"/>
    <n v="-8213.1419662940698"/>
  </r>
  <r>
    <x v="1"/>
    <s v="Sales for Resale"/>
    <x v="2"/>
    <x v="4"/>
    <s v="Snohomish County PUD #1"/>
    <n v="-29170"/>
    <n v="1013.8429781871461"/>
    <n v="-14786.899836859526"/>
  </r>
  <r>
    <x v="1"/>
    <s v="Sales for Resale"/>
    <x v="2"/>
    <x v="4"/>
    <s v="Southern Cal - Edison"/>
    <n v="-18966"/>
    <n v="1013.8429781871461"/>
    <n v="-9614.2729621487051"/>
  </r>
  <r>
    <x v="1"/>
    <s v="Sales for Resale"/>
    <x v="2"/>
    <x v="4"/>
    <s v="SUEZ Energy Marketing (Tractebel)"/>
    <n v="-115860"/>
    <n v="1013.8429781871461"/>
    <n v="-58731.92372638137"/>
  </r>
  <r>
    <x v="1"/>
    <s v="Sales for Resale"/>
    <x v="2"/>
    <x v="4"/>
    <s v="Tacoma Power"/>
    <n v="-9162"/>
    <n v="1013.8429781871461"/>
    <n v="-4644.4146830753161"/>
  </r>
  <r>
    <x v="1"/>
    <s v="Sales for Resale"/>
    <x v="2"/>
    <x v="4"/>
    <s v="TransAlta Energy Marketing"/>
    <n v="-618699"/>
    <n v="1013.8429781871461"/>
    <n v="-313631.8183807045"/>
  </r>
  <r>
    <x v="1"/>
    <s v="Sales for Resale"/>
    <x v="2"/>
    <x v="4"/>
    <s v="TransCanada Power Corp."/>
    <n v="-15432"/>
    <n v="1013.8429781871461"/>
    <n v="-7822.8124196920189"/>
  </r>
  <r>
    <x v="1"/>
    <s v="Sales for Resale"/>
    <x v="2"/>
    <x v="4"/>
    <s v="Turlock Irrigation District"/>
    <n v="-2765"/>
    <n v="1013.8429781871461"/>
    <n v="-1401.6379173437294"/>
  </r>
  <r>
    <x v="1"/>
    <s v="Sales for Resale"/>
    <x v="2"/>
    <x v="4"/>
    <s v="UBS AG"/>
    <n v="-74264"/>
    <n v="1013.8429781871461"/>
    <n v="-37646.017466045101"/>
  </r>
  <r>
    <x v="1"/>
    <s v="Sales for Resale"/>
    <x v="2"/>
    <x v="4"/>
    <s v="Western Area Power Association"/>
    <n v="-515"/>
    <n v="1013.8429781871461"/>
    <n v="-261.06456688319008"/>
  </r>
  <r>
    <x v="1"/>
    <s v="Sales for Resale"/>
    <x v="2"/>
    <x v="4"/>
    <s v="Williams Power Company"/>
    <n v="-425"/>
    <n v="1013.8429781871461"/>
    <n v="-215.44163286476854"/>
  </r>
  <r>
    <x v="2"/>
    <s v="Generation - Hydro"/>
    <x v="0"/>
    <x v="0"/>
    <s v="Electron"/>
    <n v="88728.5"/>
    <n v="0"/>
    <n v="0"/>
  </r>
  <r>
    <x v="2"/>
    <s v="Generation - Hydro"/>
    <x v="0"/>
    <x v="0"/>
    <s v="Lower Baker"/>
    <n v="436208.3"/>
    <n v="0"/>
    <n v="0"/>
  </r>
  <r>
    <x v="2"/>
    <s v="Generation - Hydro"/>
    <x v="0"/>
    <x v="0"/>
    <s v="Snoqualmie Falls #1"/>
    <n v="52146.400000000001"/>
    <n v="0"/>
    <n v="0"/>
  </r>
  <r>
    <x v="2"/>
    <s v="Generation - Hydro"/>
    <x v="0"/>
    <x v="0"/>
    <s v="Snoqualmie Falls #2"/>
    <n v="176100.2"/>
    <n v="0"/>
    <n v="0"/>
  </r>
  <r>
    <x v="2"/>
    <s v="Generation - Hydro"/>
    <x v="0"/>
    <x v="0"/>
    <s v="Upper Baker"/>
    <n v="401050.43"/>
    <n v="0"/>
    <n v="0"/>
  </r>
  <r>
    <x v="2"/>
    <s v="Generation - Steam"/>
    <x v="0"/>
    <x v="1"/>
    <s v="Colstrip 1 &amp; 2"/>
    <n v="2366043"/>
    <n v="2509.6325806420255"/>
    <n v="2968949.3"/>
  </r>
  <r>
    <x v="2"/>
    <s v="Generation - Steam"/>
    <x v="0"/>
    <x v="1"/>
    <s v="Colstrip 3 &amp; 4"/>
    <n v="2776869"/>
    <n v="2420.5408501445331"/>
    <n v="3360762.4249999998"/>
  </r>
  <r>
    <x v="2"/>
    <s v="Generation - Steam"/>
    <x v="0"/>
    <x v="2"/>
    <s v="Encogen"/>
    <n v="182970"/>
    <n v="1127.5436203061972"/>
    <n v="103153.32810371245"/>
  </r>
  <r>
    <x v="2"/>
    <s v="Generation - Steam"/>
    <x v="0"/>
    <x v="2"/>
    <s v="Goldendale"/>
    <n v="636737.19999999995"/>
    <n v="783.94989064411186"/>
    <n v="249585.02915451897"/>
  </r>
  <r>
    <x v="2"/>
    <s v="Generation - Oil/Gas/Wind"/>
    <x v="0"/>
    <x v="3"/>
    <s v="Crystal Mountain"/>
    <n v="313.42"/>
    <n v="1963.3964030374577"/>
    <n v="307.68385032000003"/>
  </r>
  <r>
    <x v="2"/>
    <s v="Generation - Oil/Gas/Wind"/>
    <x v="0"/>
    <x v="2"/>
    <s v="Freddie #1"/>
    <n v="440914"/>
    <n v="391.94270735263399"/>
    <n v="86406.513434839639"/>
  </r>
  <r>
    <x v="2"/>
    <s v="Generation - Oil/Gas/Wind"/>
    <x v="0"/>
    <x v="2"/>
    <s v="Fredonia"/>
    <n v="7927.5"/>
    <n v="1599.7328073884109"/>
    <n v="6340.9409152858134"/>
  </r>
  <r>
    <x v="2"/>
    <s v="Generation - Oil/Gas/Wind"/>
    <x v="0"/>
    <x v="2"/>
    <s v="Fredonia 3 &amp; 4"/>
    <n v="19646.900000000001"/>
    <n v="1159.4426591845654"/>
    <n v="11389.726990366618"/>
  </r>
  <r>
    <x v="2"/>
    <s v="Generation - Oil/Gas/Wind"/>
    <x v="0"/>
    <x v="2"/>
    <s v="Fredrickson 1 &amp; 2"/>
    <n v="8908"/>
    <n v="1324.5215387832911"/>
    <n v="5899.4189337407788"/>
  </r>
  <r>
    <x v="2"/>
    <s v="Generation - Oil/Gas/Wind"/>
    <x v="0"/>
    <x v="0"/>
    <s v="Hopkins Ridge (W184)"/>
    <n v="402465.2"/>
    <n v="0"/>
    <n v="0"/>
  </r>
  <r>
    <x v="2"/>
    <s v="Generation - Oil/Gas/Wind"/>
    <x v="0"/>
    <x v="2"/>
    <s v="Whitehorn 2&amp;3"/>
    <n v="13208"/>
    <n v="1471.3440376388919"/>
    <n v="9716.756024567243"/>
  </r>
  <r>
    <x v="2"/>
    <s v="Generation - Oil/Gas/Wind"/>
    <x v="0"/>
    <x v="0"/>
    <s v="Wild Horse (W183)"/>
    <n v="612858.34600000002"/>
    <n v="0"/>
    <n v="0"/>
  </r>
  <r>
    <x v="2"/>
    <s v="Purchases - Firm"/>
    <x v="1"/>
    <x v="4"/>
    <s v="BC Hydro (Point Roberts)"/>
    <n v="22373.439999999999"/>
    <n v="1201.8007841674578"/>
    <n v="13444.208868261783"/>
  </r>
  <r>
    <x v="2"/>
    <s v="Purchases - Firm"/>
    <x v="1"/>
    <x v="0"/>
    <s v="BPA"/>
    <n v="6923"/>
    <n v="0"/>
    <n v="0"/>
  </r>
  <r>
    <x v="2"/>
    <s v="Purchases - Firm"/>
    <x v="1"/>
    <x v="4"/>
    <s v="BPA Firm - WNP#3 Exchange"/>
    <n v="339510"/>
    <n v="1201.8007841674578"/>
    <n v="204011.69211634679"/>
  </r>
  <r>
    <x v="2"/>
    <s v="Purchases - Firm"/>
    <x v="1"/>
    <x v="0"/>
    <s v="Chelan PUD - Rock Island Syst #2"/>
    <n v="1279176"/>
    <n v="0"/>
    <n v="0"/>
  </r>
  <r>
    <x v="2"/>
    <s v="Purchases - Firm"/>
    <x v="1"/>
    <x v="0"/>
    <s v="Chelan PUD - Rocky Reach"/>
    <n v="2478149"/>
    <n v="0"/>
    <n v="0"/>
  </r>
  <r>
    <x v="2"/>
    <s v="Purchases - Firm"/>
    <x v="1"/>
    <x v="0"/>
    <s v="Douglas PUD - Wells Project"/>
    <n v="1143974"/>
    <n v="0"/>
    <n v="0"/>
  </r>
  <r>
    <x v="2"/>
    <s v="Purchases - Firm"/>
    <x v="1"/>
    <x v="0"/>
    <s v="Grant PUD - Priest Rapids"/>
    <n v="437351"/>
    <n v="0"/>
    <n v="0"/>
  </r>
  <r>
    <x v="2"/>
    <s v="Purchases - Firm"/>
    <x v="1"/>
    <x v="0"/>
    <s v="Grant PUD - Wanapum"/>
    <n v="471766"/>
    <n v="0"/>
    <n v="0"/>
  </r>
  <r>
    <x v="2"/>
    <s v="Purchases - Firm"/>
    <x v="1"/>
    <x v="0"/>
    <s v="Klondike Wind Power III"/>
    <n v="8570"/>
    <n v="0"/>
    <n v="0"/>
  </r>
  <r>
    <x v="2"/>
    <s v="Purchases - Firm"/>
    <x v="1"/>
    <x v="1"/>
    <s v="NWestern Energy(MPC) Firm Contract"/>
    <n v="744477"/>
    <n v="2461.5283034203198"/>
    <n v="916275.60337272473"/>
  </r>
  <r>
    <x v="2"/>
    <s v="Purchases - Firm"/>
    <x v="1"/>
    <x v="4"/>
    <s v="Snohomish PUD Conservation"/>
    <n v="89728"/>
    <n v="1201.8007841674578"/>
    <n v="53917.590380888825"/>
  </r>
  <r>
    <x v="2"/>
    <s v="Purchases - Firm"/>
    <x v="1"/>
    <x v="0"/>
    <s v="VanderHaak Dairy Digester"/>
    <n v="2091.6"/>
    <n v="0"/>
    <n v="0"/>
  </r>
  <r>
    <x v="2"/>
    <s v="Purchases - Firm"/>
    <x v="1"/>
    <x v="0"/>
    <s v="WASCO Hydro"/>
    <n v="43893"/>
    <n v="0"/>
    <n v="0"/>
  </r>
  <r>
    <x v="2"/>
    <s v="Purchases - PURPA"/>
    <x v="1"/>
    <x v="0"/>
    <s v="Hutchinson Creek"/>
    <n v="1860.32"/>
    <n v="0"/>
    <n v="0"/>
  </r>
  <r>
    <x v="2"/>
    <s v="Purchases - PURPA"/>
    <x v="1"/>
    <x v="0"/>
    <s v="Koma Kulshan Associates"/>
    <n v="43644"/>
    <n v="0"/>
    <n v="0"/>
  </r>
  <r>
    <x v="2"/>
    <s v="Purchases - PURPA"/>
    <x v="1"/>
    <x v="2"/>
    <s v="March Point Cogen. - 1 &amp; 2"/>
    <n v="1025307.58"/>
    <n v="716.46716245229504"/>
    <n v="367299.60624171473"/>
  </r>
  <r>
    <x v="2"/>
    <s v="Purchases - PURPA"/>
    <x v="1"/>
    <x v="0"/>
    <s v="Nooksack"/>
    <n v="22963.77"/>
    <n v="0"/>
    <n v="0"/>
  </r>
  <r>
    <x v="2"/>
    <s v="Purchases - PURPA"/>
    <x v="1"/>
    <x v="5"/>
    <s v="Port Townsend Paper Co."/>
    <n v="2611.3200000000002"/>
    <n v="1070.767948493221"/>
    <n v="1398.058879629659"/>
  </r>
  <r>
    <x v="2"/>
    <s v="Purchases - PURPA"/>
    <x v="1"/>
    <x v="0"/>
    <s v="Puyallup Energy Recovery Company"/>
    <n v="2756.55"/>
    <n v="0"/>
    <n v="0"/>
  </r>
  <r>
    <x v="2"/>
    <s v="Purchases - PURPA"/>
    <x v="1"/>
    <x v="6"/>
    <s v="Spokane MSW"/>
    <n v="141747"/>
    <n v="4476.201431413494"/>
    <n v="317244.06214928423"/>
  </r>
  <r>
    <x v="2"/>
    <s v="Purchases - PURPA"/>
    <x v="1"/>
    <x v="2"/>
    <s v="Sumas Cogeneration"/>
    <n v="228957.17"/>
    <n v="848.73172220786239"/>
    <n v="97161.606602969172"/>
  </r>
  <r>
    <x v="2"/>
    <s v="Purchases - PURPA"/>
    <x v="1"/>
    <x v="0"/>
    <s v="Sygitowicz Creek"/>
    <n v="458.4"/>
    <n v="0"/>
    <n v="0"/>
  </r>
  <r>
    <x v="2"/>
    <s v="Purchases - PURPA"/>
    <x v="1"/>
    <x v="2"/>
    <s v="Tenaska"/>
    <n v="729134"/>
    <n v="885.29203093487365"/>
    <n v="322748.25984183408"/>
  </r>
  <r>
    <x v="2"/>
    <s v="Purchases - PURPA"/>
    <x v="1"/>
    <x v="0"/>
    <s v="Twin Falls Hydro"/>
    <n v="73012"/>
    <n v="0"/>
    <n v="0"/>
  </r>
  <r>
    <x v="2"/>
    <s v="Purchases - PURPA"/>
    <x v="1"/>
    <x v="0"/>
    <s v="Weeks Falls"/>
    <n v="13389.6"/>
    <n v="0"/>
    <n v="0"/>
  </r>
  <r>
    <x v="2"/>
    <s v="Purchases - Secondary"/>
    <x v="2"/>
    <x v="4"/>
    <s v="ATCO Power Canada"/>
    <n v="343"/>
    <n v="1201.8007841674578"/>
    <n v="206.10883448471901"/>
  </r>
  <r>
    <x v="2"/>
    <s v="Purchases - Secondary"/>
    <x v="2"/>
    <x v="4"/>
    <s v="Avista Corp. WWP Division"/>
    <n v="78343.520000000004"/>
    <n v="1201.8007841674578"/>
    <n v="47076.651885219457"/>
  </r>
  <r>
    <x v="2"/>
    <s v="Purchases - Secondary"/>
    <x v="2"/>
    <x v="4"/>
    <s v="Avista Energy"/>
    <n v="213884"/>
    <n v="1201.8007841674578"/>
    <n v="128522.97946043627"/>
  </r>
  <r>
    <x v="2"/>
    <s v="Purchases - Secondary"/>
    <x v="2"/>
    <x v="4"/>
    <s v="Barclays Bank Plc"/>
    <n v="61000"/>
    <n v="1201.8007841674578"/>
    <n v="36654.923917107466"/>
  </r>
  <r>
    <x v="2"/>
    <s v="Purchases - Secondary"/>
    <x v="2"/>
    <x v="4"/>
    <s v="Bear Energy LP"/>
    <n v="160006"/>
    <n v="1201.8007841674578"/>
    <n v="96147.668135749132"/>
  </r>
  <r>
    <x v="2"/>
    <s v="Purchases - Secondary"/>
    <x v="2"/>
    <x v="4"/>
    <s v="Benton County PUD"/>
    <n v="23621"/>
    <n v="1201.8007841674578"/>
    <n v="14193.86816140976"/>
  </r>
  <r>
    <x v="2"/>
    <s v="Purchases - Secondary"/>
    <x v="2"/>
    <x v="4"/>
    <s v="Black Hills Power"/>
    <n v="4400"/>
    <n v="1201.8007841674578"/>
    <n v="2643.9617251684072"/>
  </r>
  <r>
    <x v="2"/>
    <s v="Purchases - Secondary"/>
    <x v="2"/>
    <x v="4"/>
    <s v="Book Outs - EITF 03-11"/>
    <n v="-2169507"/>
    <n v="1201.8007841674578"/>
    <n v="-1303657.6069283944"/>
  </r>
  <r>
    <x v="2"/>
    <s v="Purchases - Secondary"/>
    <x v="2"/>
    <x v="4"/>
    <s v="BP Energy Co."/>
    <n v="32332"/>
    <n v="1201.8007841674578"/>
    <n v="19428.311476851122"/>
  </r>
  <r>
    <x v="2"/>
    <s v="Purchases - Secondary"/>
    <x v="2"/>
    <x v="4"/>
    <s v="BPA"/>
    <n v="246829"/>
    <n v="1201.8007841674578"/>
    <n v="148319.6428776347"/>
  </r>
  <r>
    <x v="2"/>
    <s v="Purchases - Secondary"/>
    <x v="2"/>
    <x v="4"/>
    <s v="British Columbia Transmission Corp"/>
    <n v="85"/>
    <n v="1201.8007841674578"/>
    <n v="51.076533327116955"/>
  </r>
  <r>
    <x v="2"/>
    <s v="Purchases - Secondary"/>
    <x v="2"/>
    <x v="4"/>
    <s v="Burbank, City of"/>
    <n v="1105"/>
    <n v="1201.8007841674578"/>
    <n v="663.99493325252035"/>
  </r>
  <r>
    <x v="2"/>
    <s v="Purchases - Secondary"/>
    <x v="2"/>
    <x v="4"/>
    <s v="Cargill Power Markets"/>
    <n v="87029"/>
    <n v="1201.8007841674578"/>
    <n v="52295.760222654841"/>
  </r>
  <r>
    <x v="2"/>
    <s v="Purchases - Secondary"/>
    <x v="2"/>
    <x v="4"/>
    <s v="Chelan County PUD #1"/>
    <n v="57329"/>
    <n v="1201.8007841674578"/>
    <n v="34449.018577768096"/>
  </r>
  <r>
    <x v="2"/>
    <s v="Purchases - Secondary"/>
    <x v="2"/>
    <x v="4"/>
    <s v="Citigroup Energy Inc"/>
    <n v="186496"/>
    <n v="1201.8007841674578"/>
    <n v="112065.51952204711"/>
  </r>
  <r>
    <x v="2"/>
    <s v="Purchases - Secondary"/>
    <x v="2"/>
    <x v="4"/>
    <s v="Clatskanie PUD"/>
    <n v="17582"/>
    <n v="1201.8007841674578"/>
    <n v="10565.030693616121"/>
  </r>
  <r>
    <x v="2"/>
    <s v="Purchases - Secondary"/>
    <x v="2"/>
    <x v="4"/>
    <s v="Conoco, Inc."/>
    <n v="46240"/>
    <n v="1201.8007841674578"/>
    <n v="27785.634129951621"/>
  </r>
  <r>
    <x v="2"/>
    <s v="Purchases - Secondary"/>
    <x v="2"/>
    <x v="4"/>
    <s v="Constellation Power Source, Inc."/>
    <n v="927668"/>
    <n v="1201.8007841674578"/>
    <n v="557436.06492352858"/>
  </r>
  <r>
    <x v="2"/>
    <s v="Purchases - Secondary"/>
    <x v="2"/>
    <x v="4"/>
    <s v="CP Energy Marketing (Epcor)"/>
    <n v="79114"/>
    <n v="1201.8007841674578"/>
    <n v="47539.633619312131"/>
  </r>
  <r>
    <x v="2"/>
    <s v="Purchases - Secondary"/>
    <x v="2"/>
    <x v="4"/>
    <s v="Credit Suisse Energy, LLC"/>
    <n v="153200"/>
    <n v="1201.8007841674578"/>
    <n v="92057.94006722726"/>
  </r>
  <r>
    <x v="2"/>
    <s v="Purchases - Secondary"/>
    <x v="2"/>
    <x v="4"/>
    <s v="DB Energy Trading LLC"/>
    <n v="25400"/>
    <n v="1201.8007841674578"/>
    <n v="15262.869958926713"/>
  </r>
  <r>
    <x v="2"/>
    <s v="Purchases - Secondary"/>
    <x v="2"/>
    <x v="4"/>
    <s v="Douglas County PUD #1"/>
    <n v="299493"/>
    <n v="1201.8007841674578"/>
    <n v="179965.46112633223"/>
  </r>
  <r>
    <x v="2"/>
    <s v="Purchases - Secondary"/>
    <x v="2"/>
    <x v="4"/>
    <s v="ENMAX Energy Marketing, Inc."/>
    <n v="1711"/>
    <n v="1201.8007841674578"/>
    <n v="1028.1405708552602"/>
  </r>
  <r>
    <x v="2"/>
    <s v="Purchases - Secondary"/>
    <x v="2"/>
    <x v="4"/>
    <s v="Eugene Water &amp; Electric"/>
    <n v="94235"/>
    <n v="1201.8007841674578"/>
    <n v="56625.848448010191"/>
  </r>
  <r>
    <x v="2"/>
    <s v="Purchases - Secondary"/>
    <x v="2"/>
    <x v="4"/>
    <s v="Fortis Energy Marketing &amp; Trading"/>
    <n v="93400"/>
    <n v="1201.8007841674578"/>
    <n v="56124.096620620279"/>
  </r>
  <r>
    <x v="2"/>
    <s v="Purchases - Secondary"/>
    <x v="2"/>
    <x v="4"/>
    <s v="Franklin County PUD #1"/>
    <n v="18589"/>
    <n v="1201.8007841674578"/>
    <n v="11170.137388444437"/>
  </r>
  <r>
    <x v="2"/>
    <s v="Purchases - Secondary"/>
    <x v="2"/>
    <x v="4"/>
    <s v="Grant County PUD #2"/>
    <n v="56689"/>
    <n v="1201.8007841674578"/>
    <n v="34064.442326834505"/>
  </r>
  <r>
    <x v="2"/>
    <s v="Purchases - Secondary"/>
    <x v="2"/>
    <x v="4"/>
    <s v="Grays Harbor PUD #1"/>
    <n v="32287"/>
    <n v="1201.8007841674578"/>
    <n v="19401.270959207355"/>
  </r>
  <r>
    <x v="2"/>
    <s v="Purchases - Secondary"/>
    <x v="2"/>
    <x v="4"/>
    <s v="Highland Energy LLC"/>
    <n v="950"/>
    <n v="1201.8007841674578"/>
    <n v="570.85537247954244"/>
  </r>
  <r>
    <x v="2"/>
    <s v="Purchases - Secondary"/>
    <x v="2"/>
    <x v="4"/>
    <s v="Hinson Power Company"/>
    <n v="1600"/>
    <n v="1201.8007841674578"/>
    <n v="961.44062733396618"/>
  </r>
  <r>
    <x v="2"/>
    <s v="Purchases - Secondary"/>
    <x v="2"/>
    <x v="4"/>
    <s v="Iberdrola Renewables (PPM Energy)"/>
    <n v="297538"/>
    <n v="1201.8007841674578"/>
    <n v="178790.70085980854"/>
  </r>
  <r>
    <x v="2"/>
    <s v="Purchases - Secondary"/>
    <x v="2"/>
    <x v="4"/>
    <s v="Idaho Falls Power"/>
    <n v="42710"/>
    <n v="1201.8007841674578"/>
    <n v="25664.455745896059"/>
  </r>
  <r>
    <x v="2"/>
    <s v="Purchases - Secondary"/>
    <x v="2"/>
    <x v="4"/>
    <s v="Idaho Power Company"/>
    <n v="60463"/>
    <n v="1201.8007841674578"/>
    <n v="36332.2404065585"/>
  </r>
  <r>
    <x v="2"/>
    <s v="Purchases - Secondary"/>
    <x v="2"/>
    <x v="4"/>
    <s v="J. Aron &amp; Company"/>
    <n v="22050"/>
    <n v="1201.8007841674578"/>
    <n v="13249.853645446223"/>
  </r>
  <r>
    <x v="2"/>
    <s v="Purchases - Secondary"/>
    <x v="2"/>
    <x v="4"/>
    <s v="JP Morgan Ventures Energy"/>
    <n v="79600"/>
    <n v="1201.8007841674578"/>
    <n v="47831.67120986482"/>
  </r>
  <r>
    <x v="2"/>
    <s v="Purchases - Secondary"/>
    <x v="2"/>
    <x v="4"/>
    <s v="Klamath Falls, City of"/>
    <n v="139856"/>
    <n v="1201.8007841674578"/>
    <n v="84039.525235261986"/>
  </r>
  <r>
    <x v="2"/>
    <s v="Purchases - Secondary"/>
    <x v="2"/>
    <x v="4"/>
    <s v="Lehman Bros Commodity Services"/>
    <n v="67050"/>
    <n v="1201.8007841674578"/>
    <n v="40290.371289214025"/>
  </r>
  <r>
    <x v="2"/>
    <s v="Purchases - Secondary"/>
    <x v="2"/>
    <x v="4"/>
    <s v="Los Angeles Dept. Water &amp; Power"/>
    <n v="1425"/>
    <n v="1201.8007841674578"/>
    <n v="856.28305871931366"/>
  </r>
  <r>
    <x v="2"/>
    <s v="Purchases - Secondary"/>
    <x v="2"/>
    <x v="4"/>
    <s v="Merrill Lynch Commodities"/>
    <n v="16400"/>
    <n v="1201.8007841674578"/>
    <n v="9854.7664301731529"/>
  </r>
  <r>
    <x v="2"/>
    <s v="Purchases - Secondary"/>
    <x v="2"/>
    <x v="4"/>
    <s v="Modesto Irrigation District"/>
    <n v="2538"/>
    <n v="1201.8007841674578"/>
    <n v="1525.085195108504"/>
  </r>
  <r>
    <x v="2"/>
    <s v="Purchases - Secondary"/>
    <x v="2"/>
    <x v="4"/>
    <s v="Morgan Stanley CG"/>
    <n v="744517"/>
    <n v="1201.8007841674578"/>
    <n v="447380.55721300159"/>
  </r>
  <r>
    <x v="2"/>
    <s v="Purchases - Secondary"/>
    <x v="2"/>
    <x v="4"/>
    <s v="N. California Power Agency"/>
    <n v="521"/>
    <n v="1201.8007841674578"/>
    <n v="313.06910427562275"/>
  </r>
  <r>
    <x v="2"/>
    <s v="Purchases - Secondary"/>
    <x v="2"/>
    <x v="4"/>
    <s v="Noble Americas Energy Solutions"/>
    <n v="2096"/>
    <n v="1201.8007841674578"/>
    <n v="1259.4872218074956"/>
  </r>
  <r>
    <x v="2"/>
    <s v="Purchases - Secondary"/>
    <x v="2"/>
    <x v="4"/>
    <s v="NorthPoint Energy Solutions, Inc."/>
    <n v="6276"/>
    <n v="1201.8007841674578"/>
    <n v="3771.2508607174823"/>
  </r>
  <r>
    <x v="2"/>
    <s v="Purchases - Secondary"/>
    <x v="2"/>
    <x v="4"/>
    <s v="Northwestern Energy"/>
    <n v="12808"/>
    <n v="1201.8007841674578"/>
    <n v="7696.3322218084004"/>
  </r>
  <r>
    <x v="2"/>
    <s v="Purchases - Secondary"/>
    <x v="2"/>
    <x v="4"/>
    <s v="Occidental Power Services"/>
    <n v="10803"/>
    <n v="1201.8007841674578"/>
    <n v="6491.5269356805238"/>
  </r>
  <r>
    <x v="2"/>
    <s v="Purchases - Secondary"/>
    <x v="2"/>
    <x v="4"/>
    <s v="Okanogan PUD"/>
    <n v="4694"/>
    <n v="1201.8007841674578"/>
    <n v="2820.6264404410235"/>
  </r>
  <r>
    <x v="2"/>
    <s v="Purchases - Secondary"/>
    <x v="2"/>
    <x v="4"/>
    <s v="Pacific Northwest Generatin Coop."/>
    <n v="170767"/>
    <n v="1201.8007841674578"/>
    <n v="102613.95725496214"/>
  </r>
  <r>
    <x v="2"/>
    <s v="Purchases - Secondary"/>
    <x v="2"/>
    <x v="4"/>
    <s v="Pacific Summit Energy LLC"/>
    <n v="5580"/>
    <n v="1201.8007841674578"/>
    <n v="3353.0241878272072"/>
  </r>
  <r>
    <x v="2"/>
    <s v="Purchases - Secondary"/>
    <x v="2"/>
    <x v="4"/>
    <s v="Pacificorp"/>
    <n v="207443"/>
    <n v="1201.8007841674578"/>
    <n v="124652.58003502498"/>
  </r>
  <r>
    <x v="2"/>
    <s v="Purchases - Secondary"/>
    <x v="2"/>
    <x v="4"/>
    <s v="PG&amp;E Energy Trading"/>
    <n v="7857"/>
    <n v="1201.8007841674578"/>
    <n v="4721.274380601858"/>
  </r>
  <r>
    <x v="2"/>
    <s v="Purchases - Secondary"/>
    <x v="2"/>
    <x v="4"/>
    <s v="Pinnacle West Marketing &amp; Trading"/>
    <n v="21000"/>
    <n v="1201.8007841674578"/>
    <n v="12618.908233758306"/>
  </r>
  <r>
    <x v="2"/>
    <s v="Purchases - Secondary"/>
    <x v="2"/>
    <x v="4"/>
    <s v="Portland General Electric"/>
    <n v="315978"/>
    <n v="1201.8007841674578"/>
    <n v="189871.3040898325"/>
  </r>
  <r>
    <x v="2"/>
    <s v="Purchases - Secondary"/>
    <x v="2"/>
    <x v="4"/>
    <s v="Powerex Corp."/>
    <n v="287187"/>
    <n v="1201.8007841674578"/>
    <n v="172570.78090134985"/>
  </r>
  <r>
    <x v="2"/>
    <s v="Purchases - Secondary"/>
    <x v="2"/>
    <x v="4"/>
    <s v="PP&amp;L Montana, LLC."/>
    <n v="61832"/>
    <n v="1201.8007841674578"/>
    <n v="37154.873043321124"/>
  </r>
  <r>
    <x v="2"/>
    <s v="Purchases - Secondary"/>
    <x v="2"/>
    <x v="4"/>
    <s v="Public Service of Colorado"/>
    <n v="18791"/>
    <n v="1201.8007841674578"/>
    <n v="11291.51926764535"/>
  </r>
  <r>
    <x v="2"/>
    <s v="Purchases - Secondary"/>
    <x v="2"/>
    <x v="4"/>
    <s v="Rainbow Energy Marketing"/>
    <n v="181241"/>
    <n v="1201.8007841674578"/>
    <n v="108907.7879616471"/>
  </r>
  <r>
    <x v="2"/>
    <s v="Purchases - Secondary"/>
    <x v="2"/>
    <x v="4"/>
    <s v="Redding, City of"/>
    <n v="1171"/>
    <n v="1201.8007841674578"/>
    <n v="703.6543591300466"/>
  </r>
  <r>
    <x v="2"/>
    <s v="Purchases - Secondary"/>
    <x v="2"/>
    <x v="4"/>
    <s v="Sacramento Municipal"/>
    <n v="4925"/>
    <n v="1201.8007841674578"/>
    <n v="2959.4344310123647"/>
  </r>
  <r>
    <x v="2"/>
    <s v="Purchases - Secondary"/>
    <x v="2"/>
    <x v="4"/>
    <s v="San Diego Gas &amp; Electric"/>
    <n v="3300"/>
    <n v="1201.8007841674578"/>
    <n v="1982.9712938763053"/>
  </r>
  <r>
    <x v="2"/>
    <s v="Purchases - Secondary"/>
    <x v="2"/>
    <x v="4"/>
    <s v="Seattle City Light Marketing"/>
    <n v="132332"/>
    <n v="1201.8007841674578"/>
    <n v="79518.35068522401"/>
  </r>
  <r>
    <x v="2"/>
    <s v="Purchases - Secondary"/>
    <x v="2"/>
    <x v="4"/>
    <s v="Sempra Energy Trading"/>
    <n v="934094"/>
    <n v="1201.8007841674578"/>
    <n v="561297.45084305876"/>
  </r>
  <r>
    <x v="2"/>
    <s v="Purchases - Secondary"/>
    <x v="2"/>
    <x v="4"/>
    <s v="Shell Energy (Coral Pwr)"/>
    <n v="700864"/>
    <n v="1201.8007841674578"/>
    <n v="421149.45239737059"/>
  </r>
  <r>
    <x v="2"/>
    <s v="Purchases - Secondary"/>
    <x v="2"/>
    <x v="4"/>
    <s v="Sierra Pacific Industries"/>
    <n v="13296.48"/>
    <n v="1201.8007841674578"/>
    <n v="7989.8600453334593"/>
  </r>
  <r>
    <x v="2"/>
    <s v="Purchases - Secondary"/>
    <x v="2"/>
    <x v="4"/>
    <s v="Sierra Pacific Power"/>
    <n v="16272"/>
    <n v="1201.8007841674578"/>
    <n v="9777.8511799864355"/>
  </r>
  <r>
    <x v="2"/>
    <s v="Purchases - Secondary"/>
    <x v="2"/>
    <x v="4"/>
    <s v="Silicon Valley Pwr - Santa Clara"/>
    <n v="80"/>
    <n v="1201.8007841674578"/>
    <n v="48.072031366698312"/>
  </r>
  <r>
    <x v="2"/>
    <s v="Purchases - Secondary"/>
    <x v="2"/>
    <x v="4"/>
    <s v="Snohomish County PUD #1"/>
    <n v="72772"/>
    <n v="1201.8007841674578"/>
    <n v="43728.72333271712"/>
  </r>
  <r>
    <x v="2"/>
    <s v="Purchases - Secondary"/>
    <x v="2"/>
    <x v="4"/>
    <s v="Southern Cal - Edison"/>
    <n v="10850"/>
    <n v="1201.8007841674578"/>
    <n v="6519.7692541084589"/>
  </r>
  <r>
    <x v="2"/>
    <s v="Purchases - Secondary"/>
    <x v="2"/>
    <x v="4"/>
    <s v="SUEZ Energy Marketing (Tractebel)"/>
    <n v="106896"/>
    <n v="1201.8007841674578"/>
    <n v="64233.848312182286"/>
  </r>
  <r>
    <x v="2"/>
    <s v="Purchases - Secondary"/>
    <x v="2"/>
    <x v="4"/>
    <s v="Tacoma Power"/>
    <n v="81554"/>
    <n v="1201.8007841674578"/>
    <n v="49005.830575996428"/>
  </r>
  <r>
    <x v="2"/>
    <s v="Purchases - Secondary"/>
    <x v="2"/>
    <x v="4"/>
    <s v="Talen Energy (PPL Energy Plus)"/>
    <n v="11082"/>
    <n v="1201.8007841674578"/>
    <n v="6659.1781450718836"/>
  </r>
  <r>
    <x v="2"/>
    <s v="Purchases - Secondary"/>
    <x v="2"/>
    <x v="4"/>
    <s v="Tenaska"/>
    <n v="658"/>
    <n v="1201.8007841674578"/>
    <n v="395.39245799109364"/>
  </r>
  <r>
    <x v="2"/>
    <s v="Purchases - Secondary"/>
    <x v="2"/>
    <x v="4"/>
    <s v="The Energy Authority"/>
    <n v="13880"/>
    <n v="1201.8007841674578"/>
    <n v="8340.4974421221559"/>
  </r>
  <r>
    <x v="2"/>
    <s v="Purchases - Secondary"/>
    <x v="2"/>
    <x v="4"/>
    <s v="TransAlta Energy Marketing"/>
    <n v="1681755"/>
    <n v="1201.8007841674578"/>
    <n v="1010567.2388887715"/>
  </r>
  <r>
    <x v="2"/>
    <s v="Purchases - Secondary"/>
    <x v="2"/>
    <x v="4"/>
    <s v="TransCanada Energy Marketing"/>
    <n v="9169"/>
    <n v="1201.8007841674578"/>
    <n v="5509.6556950157101"/>
  </r>
  <r>
    <x v="2"/>
    <s v="Purchases - Secondary"/>
    <x v="2"/>
    <x v="4"/>
    <s v="TransCanada Power Corp."/>
    <n v="5615"/>
    <n v="1201.8007841674578"/>
    <n v="3374.0557015501377"/>
  </r>
  <r>
    <x v="2"/>
    <s v="Purchases - Secondary"/>
    <x v="2"/>
    <x v="4"/>
    <s v="Turlock Irrigation District"/>
    <n v="8922"/>
    <n v="1201.8007841674578"/>
    <n v="5361.2332981710297"/>
  </r>
  <r>
    <x v="2"/>
    <s v="Purchases - Secondary"/>
    <x v="2"/>
    <x v="4"/>
    <s v="UBS AG"/>
    <n v="20016"/>
    <n v="1201.8007841674578"/>
    <n v="12027.622247947918"/>
  </r>
  <r>
    <x v="2"/>
    <s v="Purchases - Secondary"/>
    <x v="2"/>
    <x v="4"/>
    <s v="Western Area Power Association"/>
    <n v="171"/>
    <n v="1201.8007841674578"/>
    <n v="102.75396704631764"/>
  </r>
  <r>
    <x v="2"/>
    <s v="Purchases - Secondary"/>
    <x v="2"/>
    <x v="4"/>
    <s v="Williams Power Company"/>
    <n v="90"/>
    <n v="1201.8007841674578"/>
    <n v="54.081035287535599"/>
  </r>
  <r>
    <x v="2"/>
    <s v="Interchange - In"/>
    <x v="2"/>
    <x v="4"/>
    <s v="Avista Energy"/>
    <n v="31945"/>
    <n v="1201.8007841674578"/>
    <n v="19195.76302511472"/>
  </r>
  <r>
    <x v="2"/>
    <s v="Interchange - In"/>
    <x v="2"/>
    <x v="4"/>
    <s v="Black Creek Hydro"/>
    <n v="2245"/>
    <n v="1201.8007841674578"/>
    <n v="1349.0213802279713"/>
  </r>
  <r>
    <x v="2"/>
    <s v="Interchange - In"/>
    <x v="2"/>
    <x v="4"/>
    <s v="BPA"/>
    <n v="82864"/>
    <n v="1201.8007841674578"/>
    <n v="49793.010089626114"/>
  </r>
  <r>
    <x v="2"/>
    <s v="Interchange - In"/>
    <x v="2"/>
    <x v="4"/>
    <s v="Cargill Power Markets"/>
    <n v="28800"/>
    <n v="1201.8007841674578"/>
    <n v="17305.931292011392"/>
  </r>
  <r>
    <x v="2"/>
    <s v="Interchange - In"/>
    <x v="2"/>
    <x v="4"/>
    <s v="Deviation"/>
    <n v="24866"/>
    <n v="1201.8007841674578"/>
    <n v="14941.989149554003"/>
  </r>
  <r>
    <x v="2"/>
    <s v="Interchange - In"/>
    <x v="2"/>
    <x v="4"/>
    <s v="Douglas County PUD #1"/>
    <n v="122"/>
    <n v="1201.8007841674578"/>
    <n v="73.309847834214921"/>
  </r>
  <r>
    <x v="2"/>
    <s v="Interchange - In"/>
    <x v="2"/>
    <x v="4"/>
    <s v="Pacific Gas &amp; Elec - Exchange"/>
    <n v="412900"/>
    <n v="1201.8007841674578"/>
    <n v="248111.77189137167"/>
  </r>
  <r>
    <x v="2"/>
    <s v="Interchange - In"/>
    <x v="2"/>
    <x v="4"/>
    <s v="Powerex - Exchange"/>
    <n v="483866"/>
    <n v="1201.8007841674578"/>
    <n v="290755.26911598555"/>
  </r>
  <r>
    <x v="2"/>
    <s v="Interchange - In"/>
    <x v="2"/>
    <x v="4"/>
    <s v="Shell Energy (Coral Pwr)"/>
    <n v="28832"/>
    <n v="1201.8007841674578"/>
    <n v="17325.160104558072"/>
  </r>
  <r>
    <x v="2"/>
    <s v="Interchange - In"/>
    <x v="2"/>
    <x v="4"/>
    <s v="Tacoma Power"/>
    <n v="30800"/>
    <n v="1201.8007841674578"/>
    <n v="18507.732076178851"/>
  </r>
  <r>
    <x v="2"/>
    <s v="Interchange - In"/>
    <x v="2"/>
    <x v="4"/>
    <s v="TransAlta Energy Marketing"/>
    <n v="602125"/>
    <n v="1201.8007841674578"/>
    <n v="361817.14858341526"/>
  </r>
  <r>
    <x v="2"/>
    <s v="Interchange - Out"/>
    <x v="2"/>
    <x v="4"/>
    <s v="Avista Energy"/>
    <n v="-32120"/>
    <n v="1201.8007841674578"/>
    <n v="-19300.920593729374"/>
  </r>
  <r>
    <x v="2"/>
    <s v="Interchange - Out"/>
    <x v="2"/>
    <x v="4"/>
    <s v="Black Creek Hydro"/>
    <n v="-2959"/>
    <n v="1201.8007841674578"/>
    <n v="-1778.0642601757538"/>
  </r>
  <r>
    <x v="2"/>
    <s v="Interchange - Out"/>
    <x v="2"/>
    <x v="4"/>
    <s v="BPA"/>
    <n v="-83521"/>
    <n v="1201.8007841674578"/>
    <n v="-50187.801647225118"/>
  </r>
  <r>
    <x v="2"/>
    <s v="Interchange - Out"/>
    <x v="2"/>
    <x v="4"/>
    <s v="Cargill Power Markets"/>
    <n v="-28800"/>
    <n v="1201.8007841674578"/>
    <n v="-17305.931292011392"/>
  </r>
  <r>
    <x v="2"/>
    <s v="Interchange - Out"/>
    <x v="2"/>
    <x v="4"/>
    <s v="Citigroup Energy Inc"/>
    <n v="-50000"/>
    <n v="1201.8007841674578"/>
    <n v="-30045.019604186444"/>
  </r>
  <r>
    <x v="2"/>
    <s v="Interchange - Out"/>
    <x v="2"/>
    <x v="4"/>
    <s v="Douglas County PUD #1"/>
    <n v="-122"/>
    <n v="1201.8007841674578"/>
    <n v="-73.309847834214921"/>
  </r>
  <r>
    <x v="2"/>
    <s v="Interchange - Out"/>
    <x v="2"/>
    <x v="4"/>
    <s v="Pacific Gas &amp; Elec - Exchange"/>
    <n v="-413001"/>
    <n v="1201.8007841674578"/>
    <n v="-248172.4628309721"/>
  </r>
  <r>
    <x v="2"/>
    <s v="Interchange - Out"/>
    <x v="2"/>
    <x v="4"/>
    <s v="Powerex - Exchange"/>
    <n v="-483866"/>
    <n v="1201.8007841674578"/>
    <n v="-290755.26911598555"/>
  </r>
  <r>
    <x v="2"/>
    <s v="Interchange - Out"/>
    <x v="2"/>
    <x v="4"/>
    <s v="Shell Energy (Coral Pwr)"/>
    <n v="-28832"/>
    <n v="1201.8007841674578"/>
    <n v="-17325.160104558072"/>
  </r>
  <r>
    <x v="2"/>
    <s v="Interchange - Out"/>
    <x v="2"/>
    <x v="4"/>
    <s v="Tacoma Power"/>
    <n v="-30800"/>
    <n v="1201.8007841674578"/>
    <n v="-18507.732076178851"/>
  </r>
  <r>
    <x v="2"/>
    <s v="Interchange - Out"/>
    <x v="2"/>
    <x v="4"/>
    <s v="TransAlta Energy Marketing"/>
    <n v="-552125"/>
    <n v="1201.8007841674578"/>
    <n v="-331772.12897922879"/>
  </r>
  <r>
    <x v="2"/>
    <s v="Sales for Resale"/>
    <x v="2"/>
    <x v="4"/>
    <s v="Avista Corp. WWP Division"/>
    <n v="-24864"/>
    <n v="1201.8007841674578"/>
    <n v="-14940.787348769834"/>
  </r>
  <r>
    <x v="2"/>
    <s v="Sales for Resale"/>
    <x v="2"/>
    <x v="4"/>
    <s v="Avista Energy"/>
    <n v="-123747"/>
    <n v="1201.8007841674578"/>
    <n v="-74359.620819185191"/>
  </r>
  <r>
    <x v="2"/>
    <s v="Sales for Resale"/>
    <x v="2"/>
    <x v="4"/>
    <s v="Barclays Bank Plc"/>
    <n v="-78600"/>
    <n v="1201.8007841674578"/>
    <n v="-47230.770817781093"/>
  </r>
  <r>
    <x v="2"/>
    <s v="Sales for Resale"/>
    <x v="2"/>
    <x v="4"/>
    <s v="Bear Energy LP"/>
    <n v="-63113"/>
    <n v="1201.8007841674578"/>
    <n v="-37924.626445580376"/>
  </r>
  <r>
    <x v="2"/>
    <s v="Sales for Resale"/>
    <x v="2"/>
    <x v="4"/>
    <s v="Benton County PUD"/>
    <n v="-5756"/>
    <n v="1201.8007841674578"/>
    <n v="-3458.7826568339433"/>
  </r>
  <r>
    <x v="2"/>
    <s v="Sales for Resale"/>
    <x v="2"/>
    <x v="4"/>
    <s v="Black Hills Power"/>
    <n v="-4759"/>
    <n v="1201.8007841674578"/>
    <n v="-2859.6849659264658"/>
  </r>
  <r>
    <x v="2"/>
    <s v="Sales for Resale"/>
    <x v="2"/>
    <x v="4"/>
    <s v="Book Outs - EITF 03-11"/>
    <n v="2169507"/>
    <n v="1201.8007841674578"/>
    <n v="1303657.6069283944"/>
  </r>
  <r>
    <x v="2"/>
    <s v="Sales for Resale"/>
    <x v="2"/>
    <x v="4"/>
    <s v="BP Energy Co."/>
    <n v="-29896"/>
    <n v="1201.8007841674578"/>
    <n v="-17964.51812173516"/>
  </r>
  <r>
    <x v="2"/>
    <s v="Sales for Resale"/>
    <x v="2"/>
    <x v="4"/>
    <s v="BPA"/>
    <n v="-166938"/>
    <n v="1201.8007841674578"/>
    <n v="-100313.10965367353"/>
  </r>
  <r>
    <x v="2"/>
    <s v="Sales for Resale"/>
    <x v="2"/>
    <x v="4"/>
    <s v="British Columbia Transmission Corp"/>
    <n v="-144"/>
    <n v="1201.8007841674578"/>
    <n v="-86.529656460056955"/>
  </r>
  <r>
    <x v="2"/>
    <s v="Sales for Resale"/>
    <x v="2"/>
    <x v="4"/>
    <s v="Burbank, City of"/>
    <n v="-990"/>
    <n v="1201.8007841674578"/>
    <n v="-594.89138816289164"/>
  </r>
  <r>
    <x v="2"/>
    <s v="Sales for Resale"/>
    <x v="2"/>
    <x v="4"/>
    <s v="Cargill Power Markets"/>
    <n v="-103403"/>
    <n v="1201.8007841674578"/>
    <n v="-62134.903242633816"/>
  </r>
  <r>
    <x v="2"/>
    <s v="Sales for Resale"/>
    <x v="2"/>
    <x v="4"/>
    <s v="Chelan County PUD #1"/>
    <n v="-1500"/>
    <n v="1201.8007841674578"/>
    <n v="-901.35058812559339"/>
  </r>
  <r>
    <x v="2"/>
    <s v="Sales for Resale"/>
    <x v="2"/>
    <x v="4"/>
    <s v="Citigroup Energy Inc"/>
    <n v="-177691"/>
    <n v="1201.8007841674578"/>
    <n v="-106774.59156974987"/>
  </r>
  <r>
    <x v="2"/>
    <s v="Sales for Resale"/>
    <x v="2"/>
    <x v="4"/>
    <s v="Clatskanie PUD"/>
    <n v="-8512"/>
    <n v="1201.8007841674578"/>
    <n v="-5114.8641374167"/>
  </r>
  <r>
    <x v="2"/>
    <s v="Sales for Resale"/>
    <x v="2"/>
    <x v="4"/>
    <s v="Conoco, Inc."/>
    <n v="-27645"/>
    <n v="1201.8007841674578"/>
    <n v="-16611.891339154685"/>
  </r>
  <r>
    <x v="2"/>
    <s v="Sales for Resale"/>
    <x v="2"/>
    <x v="4"/>
    <s v="Constellation Power Source, Inc."/>
    <n v="-35515"/>
    <n v="1201.8007841674578"/>
    <n v="-21340.977424853631"/>
  </r>
  <r>
    <x v="2"/>
    <s v="Sales for Resale"/>
    <x v="2"/>
    <x v="4"/>
    <s v="CP Energy Marketing (Epcor)"/>
    <n v="-46075"/>
    <n v="1201.8007841674578"/>
    <n v="-27686.485565257812"/>
  </r>
  <r>
    <x v="2"/>
    <s v="Sales for Resale"/>
    <x v="2"/>
    <x v="4"/>
    <s v="Credit Suisse Energy, LLC"/>
    <n v="-32236"/>
    <n v="1201.8007841674578"/>
    <n v="-19370.625039211081"/>
  </r>
  <r>
    <x v="2"/>
    <s v="Sales for Resale"/>
    <x v="2"/>
    <x v="4"/>
    <s v="DB Energy Trading LLC"/>
    <n v="-5600"/>
    <n v="1201.8007841674578"/>
    <n v="-3365.042195668882"/>
  </r>
  <r>
    <x v="2"/>
    <s v="Sales for Resale"/>
    <x v="2"/>
    <x v="4"/>
    <s v="Douglas County PUD #1"/>
    <n v="-220"/>
    <n v="1201.8007841674578"/>
    <n v="-132.19808625842035"/>
  </r>
  <r>
    <x v="2"/>
    <s v="Sales for Resale"/>
    <x v="2"/>
    <x v="4"/>
    <s v="ENMAX Energy Marketing, Inc."/>
    <n v="-4053"/>
    <n v="1201.8007841674578"/>
    <n v="-2435.4492891153532"/>
  </r>
  <r>
    <x v="2"/>
    <s v="Sales for Resale"/>
    <x v="2"/>
    <x v="4"/>
    <s v="Eugene Water &amp; Electric"/>
    <n v="-20381"/>
    <n v="1201.8007841674578"/>
    <n v="-12246.950891058479"/>
  </r>
  <r>
    <x v="2"/>
    <s v="Sales for Resale"/>
    <x v="2"/>
    <x v="4"/>
    <s v="Fortis Energy Marketing &amp; Trading"/>
    <n v="-82563"/>
    <n v="1201.8007841674578"/>
    <n v="-49612.139071608908"/>
  </r>
  <r>
    <x v="2"/>
    <s v="Sales for Resale"/>
    <x v="2"/>
    <x v="4"/>
    <s v="Franklin County PUD #1"/>
    <n v="-1984"/>
    <n v="1201.8007841674578"/>
    <n v="-1192.1863778941181"/>
  </r>
  <r>
    <x v="2"/>
    <s v="Sales for Resale"/>
    <x v="2"/>
    <x v="4"/>
    <s v="Grant County PUD #2"/>
    <n v="-10136"/>
    <n v="1201.8007841674578"/>
    <n v="-6090.7263741606766"/>
  </r>
  <r>
    <x v="2"/>
    <s v="Sales for Resale"/>
    <x v="2"/>
    <x v="4"/>
    <s v="Grays Harbor PUD #1"/>
    <n v="-4011"/>
    <n v="1201.8007841674578"/>
    <n v="-2410.2114726478362"/>
  </r>
  <r>
    <x v="2"/>
    <s v="Sales for Resale"/>
    <x v="2"/>
    <x v="4"/>
    <s v="Highland Energy LLC"/>
    <n v="-50"/>
    <n v="1201.8007841674578"/>
    <n v="-30.045019604186443"/>
  </r>
  <r>
    <x v="2"/>
    <s v="Sales for Resale"/>
    <x v="2"/>
    <x v="4"/>
    <s v="Hinson Power Company"/>
    <n v="-4843"/>
    <n v="1201.8007841674578"/>
    <n v="-2910.1605988614992"/>
  </r>
  <r>
    <x v="2"/>
    <s v="Sales for Resale"/>
    <x v="2"/>
    <x v="4"/>
    <s v="Iberdrola Renewables (PPM Energy)"/>
    <n v="-168650"/>
    <n v="1201.8007841674578"/>
    <n v="-101341.85112492087"/>
  </r>
  <r>
    <x v="2"/>
    <s v="Sales for Resale"/>
    <x v="2"/>
    <x v="4"/>
    <s v="Idaho Power Company"/>
    <n v="-47675"/>
    <n v="1201.8007841674578"/>
    <n v="-28647.926192591774"/>
  </r>
  <r>
    <x v="2"/>
    <s v="Sales for Resale"/>
    <x v="2"/>
    <x v="4"/>
    <s v="J. Aron &amp; Company"/>
    <n v="-35775"/>
    <n v="1201.8007841674578"/>
    <n v="-21497.211526795403"/>
  </r>
  <r>
    <x v="2"/>
    <s v="Sales for Resale"/>
    <x v="2"/>
    <x v="4"/>
    <s v="JP Morgan Ventures Energy"/>
    <n v="-30400"/>
    <n v="1201.8007841674578"/>
    <n v="-18267.371919345358"/>
  </r>
  <r>
    <x v="2"/>
    <s v="Sales for Resale"/>
    <x v="2"/>
    <x v="4"/>
    <s v="Klamath Falls, City of"/>
    <n v="-1172"/>
    <n v="1201.8007841674578"/>
    <n v="-704.25525952213025"/>
  </r>
  <r>
    <x v="2"/>
    <s v="Sales for Resale"/>
    <x v="2"/>
    <x v="4"/>
    <s v="Lehman Bros Commodity Services"/>
    <n v="-42162"/>
    <n v="1201.8007841674578"/>
    <n v="-25335.162331034175"/>
  </r>
  <r>
    <x v="2"/>
    <s v="Sales for Resale"/>
    <x v="2"/>
    <x v="4"/>
    <s v="Los Angeles Dept. Water &amp; Power"/>
    <n v="-4310"/>
    <n v="1201.8007841674578"/>
    <n v="-2589.8806898808716"/>
  </r>
  <r>
    <x v="2"/>
    <s v="Sales for Resale"/>
    <x v="2"/>
    <x v="4"/>
    <s v="Merrill Lynch Commodities"/>
    <n v="-20775"/>
    <n v="1201.8007841674578"/>
    <n v="-12483.705645539469"/>
  </r>
  <r>
    <x v="2"/>
    <s v="Sales for Resale"/>
    <x v="2"/>
    <x v="4"/>
    <s v="Modesto Irrigation District"/>
    <n v="-5467"/>
    <n v="1201.8007841674578"/>
    <n v="-3285.1224435217459"/>
  </r>
  <r>
    <x v="2"/>
    <s v="Sales for Resale"/>
    <x v="2"/>
    <x v="4"/>
    <s v="Morgan Stanley CG"/>
    <n v="-308680"/>
    <n v="1201.8007841674578"/>
    <n v="-185485.93302840542"/>
  </r>
  <r>
    <x v="2"/>
    <s v="Sales for Resale"/>
    <x v="2"/>
    <x v="4"/>
    <s v="N. California Power Agency"/>
    <n v="-789"/>
    <n v="1201.8007841674578"/>
    <n v="-474.11040935406209"/>
  </r>
  <r>
    <x v="2"/>
    <s v="Sales for Resale"/>
    <x v="2"/>
    <x v="4"/>
    <s v="Noble Americas Energy Solutions"/>
    <n v="-5000"/>
    <n v="1201.8007841674578"/>
    <n v="-3004.5019604186446"/>
  </r>
  <r>
    <x v="2"/>
    <s v="Sales for Resale"/>
    <x v="2"/>
    <x v="4"/>
    <s v="NorthPoint Energy Solutions, Inc."/>
    <n v="-12286"/>
    <n v="1201.8007841674578"/>
    <n v="-7382.6622171406934"/>
  </r>
  <r>
    <x v="2"/>
    <s v="Sales for Resale"/>
    <x v="2"/>
    <x v="4"/>
    <s v="Northwestern Energy"/>
    <n v="-19257"/>
    <n v="1201.8007841674578"/>
    <n v="-11571.538850356366"/>
  </r>
  <r>
    <x v="2"/>
    <s v="Sales for Resale"/>
    <x v="2"/>
    <x v="4"/>
    <s v="Occidental Power Services"/>
    <n v="-1275"/>
    <n v="1201.8007841674578"/>
    <n v="-766.14799990675431"/>
  </r>
  <r>
    <x v="2"/>
    <s v="Sales for Resale"/>
    <x v="2"/>
    <x v="4"/>
    <s v="Pacific Northwest Generatin Coop."/>
    <n v="-15299"/>
    <n v="1201.8007841674578"/>
    <n v="-9193.1750984889677"/>
  </r>
  <r>
    <x v="2"/>
    <s v="Sales for Resale"/>
    <x v="2"/>
    <x v="4"/>
    <s v="Pacific Summit Energy LLC"/>
    <n v="-5250"/>
    <n v="1201.8007841674578"/>
    <n v="-3154.7270584395765"/>
  </r>
  <r>
    <x v="2"/>
    <s v="Sales for Resale"/>
    <x v="2"/>
    <x v="4"/>
    <s v="Pacificorp"/>
    <n v="-137660"/>
    <n v="1201.8007841674578"/>
    <n v="-82719.947974246112"/>
  </r>
  <r>
    <x v="2"/>
    <s v="Sales for Resale"/>
    <x v="2"/>
    <x v="4"/>
    <s v="PG&amp;E Energy Trading"/>
    <n v="-2250"/>
    <n v="1201.8007841674578"/>
    <n v="-1352.0258821883899"/>
  </r>
  <r>
    <x v="2"/>
    <s v="Sales for Resale"/>
    <x v="2"/>
    <x v="4"/>
    <s v="Pinnacle West Marketing &amp; Trading"/>
    <n v="-1034"/>
    <n v="1201.8007841674578"/>
    <n v="-621.33100541457566"/>
  </r>
  <r>
    <x v="2"/>
    <s v="Sales for Resale"/>
    <x v="2"/>
    <x v="4"/>
    <s v="Portland General Electric"/>
    <n v="-98543"/>
    <n v="1201.8007841674578"/>
    <n v="-59214.527337106898"/>
  </r>
  <r>
    <x v="2"/>
    <s v="Sales for Resale"/>
    <x v="2"/>
    <x v="4"/>
    <s v="Powerex Corp."/>
    <n v="-337035"/>
    <n v="1201.8007841674578"/>
    <n v="-202524.46364593957"/>
  </r>
  <r>
    <x v="2"/>
    <s v="Sales for Resale"/>
    <x v="2"/>
    <x v="4"/>
    <s v="PP&amp;L Montana, LLC."/>
    <n v="-29839"/>
    <n v="1201.8007841674578"/>
    <n v="-17930.266799386387"/>
  </r>
  <r>
    <x v="2"/>
    <s v="Sales for Resale"/>
    <x v="2"/>
    <x v="4"/>
    <s v="Public Service of Colorado"/>
    <n v="-1668"/>
    <n v="1201.8007841674578"/>
    <n v="-1002.3018539956597"/>
  </r>
  <r>
    <x v="2"/>
    <s v="Sales for Resale"/>
    <x v="2"/>
    <x v="4"/>
    <s v="Rainbow Energy Marketing"/>
    <n v="-174730"/>
    <n v="1201.8007841674578"/>
    <n v="-104995.32550878995"/>
  </r>
  <r>
    <x v="2"/>
    <s v="Sales for Resale"/>
    <x v="2"/>
    <x v="4"/>
    <s v="Redding, City of"/>
    <n v="-702"/>
    <n v="1201.8007841674578"/>
    <n v="-421.83207524277771"/>
  </r>
  <r>
    <x v="2"/>
    <s v="Sales for Resale"/>
    <x v="2"/>
    <x v="4"/>
    <s v="Sacramento Municipal"/>
    <n v="-2980"/>
    <n v="1201.8007841674578"/>
    <n v="-1790.6831684095121"/>
  </r>
  <r>
    <x v="2"/>
    <s v="Sales for Resale"/>
    <x v="2"/>
    <x v="4"/>
    <s v="San Diego Gas &amp; Electric"/>
    <n v="-1200"/>
    <n v="1201.8007841674578"/>
    <n v="-721.08047050047469"/>
  </r>
  <r>
    <x v="2"/>
    <s v="Sales for Resale"/>
    <x v="2"/>
    <x v="4"/>
    <s v="Seattle City Light Marketing"/>
    <n v="-45037"/>
    <n v="1201.8007841674578"/>
    <n v="-27062.750958274897"/>
  </r>
  <r>
    <x v="2"/>
    <s v="Sales for Resale"/>
    <x v="2"/>
    <x v="4"/>
    <s v="Sempra Energy Trading"/>
    <n v="-137302"/>
    <n v="1201.8007841674578"/>
    <n v="-82504.825633880144"/>
  </r>
  <r>
    <x v="2"/>
    <s v="Sales for Resale"/>
    <x v="2"/>
    <x v="4"/>
    <s v="Shell Energy (Coral Pwr)"/>
    <n v="-155921"/>
    <n v="1201.8007841674578"/>
    <n v="-93692.990034087095"/>
  </r>
  <r>
    <x v="2"/>
    <s v="Sales for Resale"/>
    <x v="2"/>
    <x v="4"/>
    <s v="Sierra Pacific Power"/>
    <n v="-15870"/>
    <n v="1201.8007841674578"/>
    <n v="-9536.2892223687777"/>
  </r>
  <r>
    <x v="2"/>
    <s v="Sales for Resale"/>
    <x v="2"/>
    <x v="4"/>
    <s v="Silicon Valley Pwr - Santa Clara"/>
    <n v="-1548"/>
    <n v="1201.8007841674578"/>
    <n v="-930.19380694561232"/>
  </r>
  <r>
    <x v="2"/>
    <s v="Sales for Resale"/>
    <x v="2"/>
    <x v="4"/>
    <s v="Snohomish County PUD #1"/>
    <n v="-25283"/>
    <n v="1201.8007841674578"/>
    <n v="-15192.564613052919"/>
  </r>
  <r>
    <x v="2"/>
    <s v="Sales for Resale"/>
    <x v="2"/>
    <x v="4"/>
    <s v="Southern Cal - Edison"/>
    <n v="-5734"/>
    <n v="1201.8007841674578"/>
    <n v="-3445.5628482081015"/>
  </r>
  <r>
    <x v="2"/>
    <s v="Sales for Resale"/>
    <x v="2"/>
    <x v="4"/>
    <s v="SUEZ Energy Marketing (Tractebel)"/>
    <n v="-83511"/>
    <n v="1201.8007841674578"/>
    <n v="-50181.792643304281"/>
  </r>
  <r>
    <x v="2"/>
    <s v="Sales for Resale"/>
    <x v="2"/>
    <x v="4"/>
    <s v="Tacoma Power"/>
    <n v="-6646"/>
    <n v="1201.8007841674578"/>
    <n v="-3993.584005788462"/>
  </r>
  <r>
    <x v="2"/>
    <s v="Sales for Resale"/>
    <x v="2"/>
    <x v="4"/>
    <s v="Talen Energy (PPL Energy Plus)"/>
    <n v="-1217"/>
    <n v="1201.8007841674578"/>
    <n v="-731.29577716589802"/>
  </r>
  <r>
    <x v="2"/>
    <s v="Sales for Resale"/>
    <x v="2"/>
    <x v="4"/>
    <s v="The Energy Authority"/>
    <n v="-511"/>
    <n v="1201.8007841674578"/>
    <n v="-307.06010035478545"/>
  </r>
  <r>
    <x v="2"/>
    <s v="Sales for Resale"/>
    <x v="2"/>
    <x v="4"/>
    <s v="TransAlta Energy Marketing"/>
    <n v="-1339719"/>
    <n v="1201.8007841674578"/>
    <n v="-805037.67238202121"/>
  </r>
  <r>
    <x v="2"/>
    <s v="Sales for Resale"/>
    <x v="2"/>
    <x v="4"/>
    <s v="TransCanada Energy Marketing"/>
    <n v="-3855"/>
    <n v="1201.8007841674578"/>
    <n v="-2316.4710114827749"/>
  </r>
  <r>
    <x v="2"/>
    <s v="Sales for Resale"/>
    <x v="2"/>
    <x v="4"/>
    <s v="TransCanada Power Corp."/>
    <n v="-2083"/>
    <n v="1201.8007841674578"/>
    <n v="-1251.6755167104072"/>
  </r>
  <r>
    <x v="2"/>
    <s v="Sales for Resale"/>
    <x v="2"/>
    <x v="4"/>
    <s v="Turlock Irrigation District"/>
    <n v="-1311"/>
    <n v="1201.8007841674578"/>
    <n v="-787.78041402176859"/>
  </r>
  <r>
    <x v="2"/>
    <s v="Sales for Resale"/>
    <x v="2"/>
    <x v="4"/>
    <s v="UBS AG"/>
    <n v="-18330"/>
    <n v="1201.8007841674578"/>
    <n v="-11014.50418689475"/>
  </r>
  <r>
    <x v="2"/>
    <s v="Sales for Resale"/>
    <x v="2"/>
    <x v="4"/>
    <s v="Western Area Power Association"/>
    <n v="-410"/>
    <n v="1201.8007841674578"/>
    <n v="-246.36916075432885"/>
  </r>
  <r>
    <x v="2"/>
    <s v="Sales for Resale"/>
    <x v="2"/>
    <x v="4"/>
    <s v="Williams Power Company"/>
    <n v="-1186"/>
    <n v="1201.8007841674578"/>
    <n v="-712.66786501130241"/>
  </r>
  <r>
    <x v="3"/>
    <s v="Generation - Hydro"/>
    <x v="0"/>
    <x v="0"/>
    <s v="Electron"/>
    <n v="96154.205000000002"/>
    <n v="0"/>
    <n v="0"/>
  </r>
  <r>
    <x v="3"/>
    <s v="Generation - Hydro"/>
    <x v="0"/>
    <x v="0"/>
    <s v="Lower Baker"/>
    <n v="321027.40000000002"/>
    <n v="0"/>
    <n v="0"/>
  </r>
  <r>
    <x v="3"/>
    <s v="Generation - Hydro"/>
    <x v="0"/>
    <x v="0"/>
    <s v="Snoqualmie Falls #1"/>
    <n v="59492"/>
    <n v="0"/>
    <n v="0"/>
  </r>
  <r>
    <x v="3"/>
    <s v="Generation - Hydro"/>
    <x v="0"/>
    <x v="0"/>
    <s v="Snoqualmie Falls #2"/>
    <n v="181143.4"/>
    <n v="0"/>
    <n v="0"/>
  </r>
  <r>
    <x v="3"/>
    <s v="Generation - Hydro"/>
    <x v="0"/>
    <x v="0"/>
    <s v="Upper Baker"/>
    <n v="317108.09000000003"/>
    <n v="0"/>
    <n v="0"/>
  </r>
  <r>
    <x v="3"/>
    <s v="Generation - Steam"/>
    <x v="0"/>
    <x v="1"/>
    <s v="Colstrip 1 &amp; 2"/>
    <n v="2124142"/>
    <n v="2499.4590757115106"/>
    <n v="2654603"/>
  </r>
  <r>
    <x v="3"/>
    <s v="Generation - Steam"/>
    <x v="0"/>
    <x v="1"/>
    <s v="Colstrip 3 &amp; 4"/>
    <n v="2943303"/>
    <n v="2362.1027124968105"/>
    <n v="3476192"/>
  </r>
  <r>
    <x v="3"/>
    <s v="Generation - Steam"/>
    <x v="0"/>
    <x v="2"/>
    <s v="Encogen"/>
    <n v="98884"/>
    <n v="906.74784925910285"/>
    <n v="44831.427163068562"/>
  </r>
  <r>
    <x v="3"/>
    <s v="Generation - Steam"/>
    <x v="0"/>
    <x v="2"/>
    <s v="Goldendale"/>
    <n v="1368284"/>
    <n v="686.37780729974656"/>
    <n v="469579.88584166323"/>
  </r>
  <r>
    <x v="3"/>
    <s v="Generation - Steam"/>
    <x v="0"/>
    <x v="2"/>
    <s v="Sumas"/>
    <n v="218930.30000000002"/>
    <n v="797.76810168096608"/>
    <n v="87327.804915722212"/>
  </r>
  <r>
    <x v="3"/>
    <s v="Generation - Oil/Gas/Wind"/>
    <x v="0"/>
    <x v="3"/>
    <s v="Crystal Mountain"/>
    <n v="360.91"/>
    <n v="1689.2057570020049"/>
    <n v="304.82562487979681"/>
  </r>
  <r>
    <x v="3"/>
    <s v="Generation - Oil/Gas/Wind"/>
    <x v="0"/>
    <x v="2"/>
    <s v="Freddie #1"/>
    <n v="545866.18700000003"/>
    <n v="350.34815600198544"/>
    <n v="95621.606019642481"/>
  </r>
  <r>
    <x v="3"/>
    <s v="Generation - Oil/Gas/Wind"/>
    <x v="0"/>
    <x v="2"/>
    <s v="Fredonia"/>
    <n v="7453.4"/>
    <n v="1941.0520125311277"/>
    <n v="7233.7185350997534"/>
  </r>
  <r>
    <x v="3"/>
    <s v="Generation - Oil/Gas/Wind"/>
    <x v="0"/>
    <x v="2"/>
    <s v="Fredonia 3 &amp; 4"/>
    <n v="9931.2999999999993"/>
    <n v="1159.0524695461825"/>
    <n v="5755.4488954019998"/>
  </r>
  <r>
    <x v="3"/>
    <s v="Generation - Oil/Gas/Wind"/>
    <x v="0"/>
    <x v="2"/>
    <s v="Fredrickson 1 &amp; 2"/>
    <n v="15741.2"/>
    <n v="2256.0428671996333"/>
    <n v="17756.410990581433"/>
  </r>
  <r>
    <x v="3"/>
    <s v="Generation - Oil/Gas/Wind"/>
    <x v="0"/>
    <x v="0"/>
    <s v="Hopkins Ridge (W184)"/>
    <n v="425322.08"/>
    <n v="0"/>
    <n v="0"/>
  </r>
  <r>
    <x v="3"/>
    <s v="Generation - Oil/Gas/Wind"/>
    <x v="0"/>
    <x v="2"/>
    <s v="Whitehorn 2&amp;3"/>
    <n v="4135"/>
    <n v="1771.6363840734703"/>
    <n v="3662.8582240718997"/>
  </r>
  <r>
    <x v="3"/>
    <s v="Generation - Oil/Gas/Wind"/>
    <x v="0"/>
    <x v="0"/>
    <s v="Wild Horse (W183)"/>
    <n v="682096.78399999999"/>
    <n v="0"/>
    <n v="0"/>
  </r>
  <r>
    <x v="3"/>
    <s v="Purchases - Firm"/>
    <x v="1"/>
    <x v="4"/>
    <s v="BC Hydro (Point Roberts)"/>
    <n v="22695.39"/>
    <n v="1024.4699545804308"/>
    <n v="11625.372581242582"/>
  </r>
  <r>
    <x v="3"/>
    <s v="Purchases - Firm"/>
    <x v="1"/>
    <x v="0"/>
    <s v="BPA"/>
    <n v="7063"/>
    <n v="0"/>
    <n v="0"/>
  </r>
  <r>
    <x v="3"/>
    <s v="Purchases - Firm"/>
    <x v="1"/>
    <x v="4"/>
    <s v="BPA Firm - WNP#3 Exchange"/>
    <n v="374999"/>
    <n v="1024.4699545804308"/>
    <n v="192087.60424885349"/>
  </r>
  <r>
    <x v="3"/>
    <s v="Purchases - Firm"/>
    <x v="1"/>
    <x v="0"/>
    <s v="Chelan PUD - Rock Island Syst #2"/>
    <n v="1327464"/>
    <n v="0"/>
    <n v="0"/>
  </r>
  <r>
    <x v="3"/>
    <s v="Purchases - Firm"/>
    <x v="1"/>
    <x v="0"/>
    <s v="Chelan PUD - Rocky Reach"/>
    <n v="2144307"/>
    <n v="0"/>
    <n v="0"/>
  </r>
  <r>
    <x v="3"/>
    <s v="Purchases - Firm"/>
    <x v="1"/>
    <x v="0"/>
    <s v="Douglas PUD - Wells Project"/>
    <n v="1045492"/>
    <n v="0"/>
    <n v="0"/>
  </r>
  <r>
    <x v="3"/>
    <s v="Purchases - Firm"/>
    <x v="1"/>
    <x v="0"/>
    <s v="Grant PUD - Priest Rapids"/>
    <n v="464474"/>
    <n v="0"/>
    <n v="0"/>
  </r>
  <r>
    <x v="3"/>
    <s v="Purchases - Firm"/>
    <x v="1"/>
    <x v="0"/>
    <s v="Grant PUD - Wanapum"/>
    <n v="456458"/>
    <n v="0"/>
    <n v="0"/>
  </r>
  <r>
    <x v="3"/>
    <s v="Purchases - Firm"/>
    <x v="1"/>
    <x v="0"/>
    <s v="Klondike Wind Power III"/>
    <n v="148311"/>
    <n v="0"/>
    <n v="0"/>
  </r>
  <r>
    <x v="3"/>
    <s v="Purchases - Firm"/>
    <x v="1"/>
    <x v="1"/>
    <s v="NWestern Energy(MPC) Firm Contract"/>
    <n v="795395"/>
    <n v="2016.3308936624701"/>
    <n v="801889.75558233028"/>
  </r>
  <r>
    <x v="3"/>
    <s v="Purchases - Firm"/>
    <x v="1"/>
    <x v="4"/>
    <s v="Snohomish PUD Conservation"/>
    <n v="89984"/>
    <n v="1024.4699545804308"/>
    <n v="46092.952196482744"/>
  </r>
  <r>
    <x v="3"/>
    <s v="Purchases - Firm"/>
    <x v="1"/>
    <x v="0"/>
    <s v="VanderHaak Dairy Digester"/>
    <n v="2232"/>
    <n v="0"/>
    <n v="0"/>
  </r>
  <r>
    <x v="3"/>
    <s v="Purchases - Firm"/>
    <x v="1"/>
    <x v="0"/>
    <s v="WASCO Hydro"/>
    <n v="41552"/>
    <n v="0"/>
    <n v="0"/>
  </r>
  <r>
    <x v="3"/>
    <s v="Purchases - PURPA"/>
    <x v="1"/>
    <x v="0"/>
    <s v="Hutchinson Creek"/>
    <n v="2058.2399999999998"/>
    <n v="0"/>
    <n v="0"/>
  </r>
  <r>
    <x v="3"/>
    <s v="Purchases - PURPA"/>
    <x v="1"/>
    <x v="0"/>
    <s v="Koma Kulshan Associates"/>
    <n v="36091.56"/>
    <n v="0"/>
    <n v="0"/>
  </r>
  <r>
    <x v="3"/>
    <s v="Purchases - PURPA"/>
    <x v="1"/>
    <x v="2"/>
    <s v="March Point Cogen. - 1 &amp; 2"/>
    <n v="1022961.27"/>
    <n v="712.18637801833165"/>
    <n v="364269.54086716636"/>
  </r>
  <r>
    <x v="3"/>
    <s v="Purchases - PURPA"/>
    <x v="1"/>
    <x v="0"/>
    <s v="Nooksack"/>
    <n v="19741.439999999999"/>
    <n v="0"/>
    <n v="0"/>
  </r>
  <r>
    <x v="3"/>
    <s v="Purchases - PURPA"/>
    <x v="1"/>
    <x v="5"/>
    <s v="Port Townsend Paper Co."/>
    <n v="2366.1799999999998"/>
    <n v="2523.9512462867506"/>
    <n v="2986.0614799693917"/>
  </r>
  <r>
    <x v="3"/>
    <s v="Purchases - PURPA"/>
    <x v="1"/>
    <x v="0"/>
    <s v="Puyallup Energy Recovery Company"/>
    <n v="1746.732"/>
    <n v="0"/>
    <n v="0"/>
  </r>
  <r>
    <x v="3"/>
    <s v="Purchases - PURPA"/>
    <x v="1"/>
    <x v="6"/>
    <s v="Spokane MSW"/>
    <n v="128135"/>
    <n v="4609.4725050143998"/>
    <n v="295317.37971501006"/>
  </r>
  <r>
    <x v="3"/>
    <s v="Purchases - PURPA"/>
    <x v="1"/>
    <x v="0"/>
    <s v="Sygitowicz Creek"/>
    <n v="651.84"/>
    <n v="0"/>
    <n v="0"/>
  </r>
  <r>
    <x v="3"/>
    <s v="Purchases - PURPA"/>
    <x v="1"/>
    <x v="2"/>
    <s v="Tenaska"/>
    <n v="491579.42"/>
    <n v="873.94129317441275"/>
    <n v="214805.77700636387"/>
  </r>
  <r>
    <x v="3"/>
    <s v="Purchases - PURPA"/>
    <x v="1"/>
    <x v="0"/>
    <s v="Twin Falls Hydro"/>
    <n v="73323"/>
    <n v="0"/>
    <n v="0"/>
  </r>
  <r>
    <x v="3"/>
    <s v="Purchases - PURPA"/>
    <x v="1"/>
    <x v="0"/>
    <s v="Weeks Falls"/>
    <n v="11993.8"/>
    <n v="0"/>
    <n v="0"/>
  </r>
  <r>
    <x v="3"/>
    <s v="Purchases - Secondary"/>
    <x v="2"/>
    <x v="4"/>
    <s v="Avista Corp. WWP Division"/>
    <n v="228885.04"/>
    <n v="1024.4699545804308"/>
    <n v="117242.92326647004"/>
  </r>
  <r>
    <x v="3"/>
    <s v="Purchases - Secondary"/>
    <x v="2"/>
    <x v="4"/>
    <s v="Barclays Bank Plc"/>
    <n v="54188"/>
    <n v="1024.4699545804308"/>
    <n v="27756.988949402192"/>
  </r>
  <r>
    <x v="3"/>
    <s v="Purchases - Secondary"/>
    <x v="2"/>
    <x v="4"/>
    <s v="Bear Energy LP"/>
    <n v="82433"/>
    <n v="1024.4699545804308"/>
    <n v="42225.065882964329"/>
  </r>
  <r>
    <x v="3"/>
    <s v="Purchases - Secondary"/>
    <x v="2"/>
    <x v="4"/>
    <s v="Benton County PUD"/>
    <n v="5473"/>
    <n v="1024.4699545804308"/>
    <n v="2803.4620307093492"/>
  </r>
  <r>
    <x v="3"/>
    <s v="Purchases - Secondary"/>
    <x v="2"/>
    <x v="4"/>
    <s v="Black Hills Power"/>
    <n v="4193"/>
    <n v="1024.4699545804308"/>
    <n v="2147.8012597778734"/>
  </r>
  <r>
    <x v="3"/>
    <s v="Purchases - Secondary"/>
    <x v="2"/>
    <x v="4"/>
    <s v="Book Outs - EITF 03-11"/>
    <n v="-1458513"/>
    <n v="1024.4699545804308"/>
    <n v="-747101.37343248387"/>
  </r>
  <r>
    <x v="3"/>
    <s v="Purchases - Secondary"/>
    <x v="2"/>
    <x v="4"/>
    <s v="BP Energy Co."/>
    <n v="8471"/>
    <n v="1024.4699545804308"/>
    <n v="4339.142492625414"/>
  </r>
  <r>
    <x v="3"/>
    <s v="Purchases - Secondary"/>
    <x v="2"/>
    <x v="4"/>
    <s v="BPA"/>
    <n v="287771"/>
    <n v="1024.4699545804308"/>
    <n v="147406.37164978258"/>
  </r>
  <r>
    <x v="3"/>
    <s v="Purchases - Secondary"/>
    <x v="2"/>
    <x v="4"/>
    <s v="Burbank, City of"/>
    <n v="1205"/>
    <n v="1024.4699545804308"/>
    <n v="617.24314763470966"/>
  </r>
  <r>
    <x v="3"/>
    <s v="Purchases - Secondary"/>
    <x v="2"/>
    <x v="4"/>
    <s v="Cargill Power Markets"/>
    <n v="156466"/>
    <n v="1024.4699545804308"/>
    <n v="80147.357956690845"/>
  </r>
  <r>
    <x v="3"/>
    <s v="Purchases - Secondary"/>
    <x v="2"/>
    <x v="4"/>
    <s v="Chelan County PUD #1"/>
    <n v="60076"/>
    <n v="1024.4699545804308"/>
    <n v="30773.02849568698"/>
  </r>
  <r>
    <x v="3"/>
    <s v="Purchases - Secondary"/>
    <x v="2"/>
    <x v="4"/>
    <s v="Citigroup Energy Inc"/>
    <n v="176981"/>
    <n v="1024.4699545804308"/>
    <n v="90655.858515799613"/>
  </r>
  <r>
    <x v="3"/>
    <s v="Purchases - Secondary"/>
    <x v="2"/>
    <x v="4"/>
    <s v="Clatskanie PUD"/>
    <n v="29829"/>
    <n v="1024.4699545804308"/>
    <n v="15279.457137589834"/>
  </r>
  <r>
    <x v="3"/>
    <s v="Purchases - Secondary"/>
    <x v="2"/>
    <x v="4"/>
    <s v="Conoco, Inc."/>
    <n v="260284"/>
    <n v="1024.4699545804308"/>
    <n v="133326.56882900643"/>
  </r>
  <r>
    <x v="3"/>
    <s v="Purchases - Secondary"/>
    <x v="2"/>
    <x v="4"/>
    <s v="Constellation Power Source, Inc."/>
    <n v="447128"/>
    <n v="1024.4699545804308"/>
    <n v="229034.60092581942"/>
  </r>
  <r>
    <x v="3"/>
    <s v="Purchases - Secondary"/>
    <x v="2"/>
    <x v="4"/>
    <s v="CP Energy Marketing (Epcor)"/>
    <n v="30330"/>
    <n v="1024.4699545804308"/>
    <n v="15536.086861212232"/>
  </r>
  <r>
    <x v="3"/>
    <s v="Purchases - Secondary"/>
    <x v="2"/>
    <x v="4"/>
    <s v="Credit Suisse Energy, LLC"/>
    <n v="28450"/>
    <n v="1024.4699545804308"/>
    <n v="14573.085103906627"/>
  </r>
  <r>
    <x v="3"/>
    <s v="Purchases - Secondary"/>
    <x v="2"/>
    <x v="4"/>
    <s v="DB Energy Trading LLC"/>
    <n v="43073"/>
    <n v="1024.4699545804308"/>
    <n v="22063.497176821449"/>
  </r>
  <r>
    <x v="3"/>
    <s v="Purchases - Secondary"/>
    <x v="2"/>
    <x v="4"/>
    <s v="Douglas County PUD #1"/>
    <n v="239272"/>
    <n v="1024.4699545804308"/>
    <n v="122563.48748618441"/>
  </r>
  <r>
    <x v="3"/>
    <s v="Purchases - Secondary"/>
    <x v="2"/>
    <x v="4"/>
    <s v="ENMAX Energy Marketing, Inc."/>
    <n v="868"/>
    <n v="1024.4699545804308"/>
    <n v="444.61996028790696"/>
  </r>
  <r>
    <x v="3"/>
    <s v="Purchases - Secondary"/>
    <x v="2"/>
    <x v="4"/>
    <s v="Eugene Water &amp; Electric"/>
    <n v="123300"/>
    <n v="1024.4699545804308"/>
    <n v="63158.57269988356"/>
  </r>
  <r>
    <x v="3"/>
    <s v="Purchases - Secondary"/>
    <x v="2"/>
    <x v="4"/>
    <s v="Fortis Energy Marketing &amp; Trading"/>
    <n v="145965"/>
    <n v="1024.4699545804308"/>
    <n v="74768.378460166292"/>
  </r>
  <r>
    <x v="3"/>
    <s v="Purchases - Secondary"/>
    <x v="2"/>
    <x v="4"/>
    <s v="Franklin County PUD #1"/>
    <n v="4960"/>
    <n v="1024.4699545804308"/>
    <n v="2540.6854873594684"/>
  </r>
  <r>
    <x v="3"/>
    <s v="Purchases - Secondary"/>
    <x v="2"/>
    <x v="4"/>
    <s v="Grant County PUD #2"/>
    <n v="40063"/>
    <n v="1024.4699545804308"/>
    <n v="20521.6698951779"/>
  </r>
  <r>
    <x v="3"/>
    <s v="Purchases - Secondary"/>
    <x v="2"/>
    <x v="4"/>
    <s v="Grays Harbor PUD #1"/>
    <n v="10385"/>
    <n v="1024.4699545804308"/>
    <n v="5319.5602391588864"/>
  </r>
  <r>
    <x v="3"/>
    <s v="Purchases - Secondary"/>
    <x v="2"/>
    <x v="4"/>
    <s v="Highland Energy LLC"/>
    <n v="14297"/>
    <n v="1024.4699545804308"/>
    <n v="7323.4234703182092"/>
  </r>
  <r>
    <x v="3"/>
    <s v="Purchases - Secondary"/>
    <x v="2"/>
    <x v="4"/>
    <s v="Hinson Power Company"/>
    <n v="2000"/>
    <n v="1024.4699545804308"/>
    <n v="1024.4699545804308"/>
  </r>
  <r>
    <x v="3"/>
    <s v="Purchases - Secondary"/>
    <x v="2"/>
    <x v="4"/>
    <s v="Iberdrola Renewables (PPM Energy)"/>
    <n v="448401"/>
    <n v="1024.4699545804308"/>
    <n v="229686.67605190986"/>
  </r>
  <r>
    <x v="3"/>
    <s v="Purchases - Secondary"/>
    <x v="2"/>
    <x v="4"/>
    <s v="Idaho Power Company"/>
    <n v="55219"/>
    <n v="1024.4699545804308"/>
    <n v="28285.103210988404"/>
  </r>
  <r>
    <x v="3"/>
    <s v="Purchases - Secondary"/>
    <x v="2"/>
    <x v="4"/>
    <s v="Integrys Energy Services, Inc"/>
    <n v="2400"/>
    <n v="1024.4699545804308"/>
    <n v="1229.3639454965171"/>
  </r>
  <r>
    <x v="3"/>
    <s v="Purchases - Secondary"/>
    <x v="2"/>
    <x v="4"/>
    <s v="J. Aron &amp; Company"/>
    <n v="36400"/>
    <n v="1024.4699545804308"/>
    <n v="18645.353173363841"/>
  </r>
  <r>
    <x v="3"/>
    <s v="Purchases - Secondary"/>
    <x v="2"/>
    <x v="4"/>
    <s v="JP Morgan Ventures Energy"/>
    <n v="96579"/>
    <n v="1024.4699545804308"/>
    <n v="49471.141871711719"/>
  </r>
  <r>
    <x v="3"/>
    <s v="Purchases - Secondary"/>
    <x v="2"/>
    <x v="4"/>
    <s v="Lehman Bros Commodity Services"/>
    <n v="14444"/>
    <n v="1024.4699545804308"/>
    <n v="7398.7220119798712"/>
  </r>
  <r>
    <x v="3"/>
    <s v="Purchases - Secondary"/>
    <x v="2"/>
    <x v="4"/>
    <s v="Los Angeles Dept. Water &amp; Power"/>
    <n v="480"/>
    <n v="1024.4699545804308"/>
    <n v="245.87278909930339"/>
  </r>
  <r>
    <x v="3"/>
    <s v="Purchases - Secondary"/>
    <x v="2"/>
    <x v="4"/>
    <s v="Louis Dreyfus Energy"/>
    <n v="285"/>
    <n v="1024.4699545804308"/>
    <n v="145.98696852771138"/>
  </r>
  <r>
    <x v="3"/>
    <s v="Purchases - Secondary"/>
    <x v="2"/>
    <x v="4"/>
    <s v="Modesto Irrigation District"/>
    <n v="430"/>
    <n v="1024.4699545804308"/>
    <n v="220.26104023479263"/>
  </r>
  <r>
    <x v="3"/>
    <s v="Purchases - Secondary"/>
    <x v="2"/>
    <x v="4"/>
    <s v="Morgan Stanley CG"/>
    <n v="1248783"/>
    <n v="1024.4699545804308"/>
    <n v="639670.33164540713"/>
  </r>
  <r>
    <x v="3"/>
    <s v="Purchases - Secondary"/>
    <x v="2"/>
    <x v="4"/>
    <s v="N. California Power Agency"/>
    <n v="439"/>
    <n v="1024.4699545804308"/>
    <n v="224.87115503040457"/>
  </r>
  <r>
    <x v="3"/>
    <s v="Purchases - Secondary"/>
    <x v="2"/>
    <x v="4"/>
    <s v="NorthPoint Energy Solutions, Inc."/>
    <n v="8475"/>
    <n v="1024.4699545804308"/>
    <n v="4341.1914325345751"/>
  </r>
  <r>
    <x v="3"/>
    <s v="Purchases - Secondary"/>
    <x v="2"/>
    <x v="4"/>
    <s v="Northwestern Energy"/>
    <n v="27923"/>
    <n v="1024.4699545804308"/>
    <n v="14303.137270874684"/>
  </r>
  <r>
    <x v="3"/>
    <s v="Purchases - Secondary"/>
    <x v="2"/>
    <x v="4"/>
    <s v="Occidental Power Services"/>
    <n v="200"/>
    <n v="1024.4699545804308"/>
    <n v="102.44699545804308"/>
  </r>
  <r>
    <x v="3"/>
    <s v="Purchases - Secondary"/>
    <x v="2"/>
    <x v="4"/>
    <s v="Okanogan PUD"/>
    <n v="3660"/>
    <n v="1024.4699545804308"/>
    <n v="1874.7800168821884"/>
  </r>
  <r>
    <x v="3"/>
    <s v="Purchases - Secondary"/>
    <x v="2"/>
    <x v="4"/>
    <s v="Pacific Northwest Generatin Coop."/>
    <n v="156918"/>
    <n v="1024.4699545804308"/>
    <n v="80378.888166426012"/>
  </r>
  <r>
    <x v="3"/>
    <s v="Purchases - Secondary"/>
    <x v="2"/>
    <x v="4"/>
    <s v="Pacific Summit Energy LLC"/>
    <n v="82391"/>
    <n v="1024.4699545804308"/>
    <n v="42203.552013918139"/>
  </r>
  <r>
    <x v="3"/>
    <s v="Purchases - Secondary"/>
    <x v="2"/>
    <x v="4"/>
    <s v="Pacificorp"/>
    <n v="290962"/>
    <n v="1024.4699545804308"/>
    <n v="149040.91346231566"/>
  </r>
  <r>
    <x v="3"/>
    <s v="Purchases - Secondary"/>
    <x v="2"/>
    <x v="4"/>
    <s v="PG&amp;E Energy Trading"/>
    <n v="506"/>
    <n v="1024.4699545804308"/>
    <n v="259.19089850884899"/>
  </r>
  <r>
    <x v="3"/>
    <s v="Purchases - Secondary"/>
    <x v="2"/>
    <x v="4"/>
    <s v="Portland General Electric"/>
    <n v="106316"/>
    <n v="1024.4699545804308"/>
    <n v="54458.77384558654"/>
  </r>
  <r>
    <x v="3"/>
    <s v="Purchases - Secondary"/>
    <x v="2"/>
    <x v="4"/>
    <s v="Powerex Corp."/>
    <n v="352187"/>
    <n v="1024.4699545804308"/>
    <n v="180402.49994690911"/>
  </r>
  <r>
    <x v="3"/>
    <s v="Purchases - Secondary"/>
    <x v="2"/>
    <x v="4"/>
    <s v="Public Service of Colorado"/>
    <n v="9806"/>
    <n v="1024.4699545804308"/>
    <n v="5022.9761873078523"/>
  </r>
  <r>
    <x v="3"/>
    <s v="Purchases - Secondary"/>
    <x v="2"/>
    <x v="4"/>
    <s v="Rainbow Energy Marketing"/>
    <n v="82452"/>
    <n v="1024.4699545804308"/>
    <n v="42234.798347532836"/>
  </r>
  <r>
    <x v="3"/>
    <s v="Purchases - Secondary"/>
    <x v="2"/>
    <x v="4"/>
    <s v="Redding, City of"/>
    <n v="1284"/>
    <n v="1024.4699545804308"/>
    <n v="657.70971084063649"/>
  </r>
  <r>
    <x v="3"/>
    <s v="Purchases - Secondary"/>
    <x v="2"/>
    <x v="4"/>
    <s v="Sacramento Municipal"/>
    <n v="2095"/>
    <n v="1024.4699545804308"/>
    <n v="1073.1322774230014"/>
  </r>
  <r>
    <x v="3"/>
    <s v="Purchases - Secondary"/>
    <x v="2"/>
    <x v="4"/>
    <s v="San Diego Gas &amp; Electric"/>
    <n v="1032"/>
    <n v="1024.4699545804308"/>
    <n v="528.6264965635022"/>
  </r>
  <r>
    <x v="3"/>
    <s v="Purchases - Secondary"/>
    <x v="2"/>
    <x v="4"/>
    <s v="Seattle City Light Marketing"/>
    <n v="113723"/>
    <n v="1024.4699545804308"/>
    <n v="58252.898322375164"/>
  </r>
  <r>
    <x v="3"/>
    <s v="Purchases - Secondary"/>
    <x v="2"/>
    <x v="4"/>
    <s v="Sempra Energy Trading"/>
    <n v="894356"/>
    <n v="1024.4699545804308"/>
    <n v="458120.42534936784"/>
  </r>
  <r>
    <x v="3"/>
    <s v="Purchases - Secondary"/>
    <x v="2"/>
    <x v="4"/>
    <s v="Shell Energy (Coral Pwr)"/>
    <n v="940286"/>
    <n v="1024.4699545804308"/>
    <n v="481647.37785630743"/>
  </r>
  <r>
    <x v="3"/>
    <s v="Purchases - Secondary"/>
    <x v="2"/>
    <x v="4"/>
    <s v="Sierra Pacific Power"/>
    <n v="7828"/>
    <n v="1024.4699545804308"/>
    <n v="4009.7754022278059"/>
  </r>
  <r>
    <x v="3"/>
    <s v="Purchases - Secondary"/>
    <x v="2"/>
    <x v="4"/>
    <s v="Silicon Valley Pwr - Santa Clara"/>
    <n v="1820"/>
    <n v="1024.4699545804308"/>
    <n v="932.26765866819198"/>
  </r>
  <r>
    <x v="3"/>
    <s v="Purchases - Secondary"/>
    <x v="2"/>
    <x v="4"/>
    <s v="Snohomish County PUD #1"/>
    <n v="76572"/>
    <n v="1024.4699545804308"/>
    <n v="39222.856681066369"/>
  </r>
  <r>
    <x v="3"/>
    <s v="Purchases - Secondary"/>
    <x v="2"/>
    <x v="4"/>
    <s v="Southern Cal - Edison"/>
    <n v="6100"/>
    <n v="1024.4699545804308"/>
    <n v="3124.633361470314"/>
  </r>
  <r>
    <x v="3"/>
    <s v="Purchases - Secondary"/>
    <x v="2"/>
    <x v="4"/>
    <s v="SUEZ Energy Marketing (Tractebel)"/>
    <n v="24295"/>
    <n v="1024.4699545804308"/>
    <n v="12444.748773265783"/>
  </r>
  <r>
    <x v="3"/>
    <s v="Purchases - Secondary"/>
    <x v="2"/>
    <x v="4"/>
    <s v="Tacoma Power"/>
    <n v="100697"/>
    <n v="1024.4699545804308"/>
    <n v="51580.525508192819"/>
  </r>
  <r>
    <x v="3"/>
    <s v="Purchases - Secondary"/>
    <x v="2"/>
    <x v="4"/>
    <s v="Talen Energy (PPL Energy Plus)"/>
    <n v="103775"/>
    <n v="1024.4699545804308"/>
    <n v="53157.1847682921"/>
  </r>
  <r>
    <x v="3"/>
    <s v="Purchases - Secondary"/>
    <x v="2"/>
    <x v="4"/>
    <s v="Tenaska"/>
    <n v="114114"/>
    <n v="1024.4699545804308"/>
    <n v="58453.18219849564"/>
  </r>
  <r>
    <x v="3"/>
    <s v="Purchases - Secondary"/>
    <x v="2"/>
    <x v="4"/>
    <s v="The Energy Authority"/>
    <n v="54630"/>
    <n v="1024.4699545804308"/>
    <n v="27983.396809364469"/>
  </r>
  <r>
    <x v="3"/>
    <s v="Purchases - Secondary"/>
    <x v="2"/>
    <x v="4"/>
    <s v="TransAlta Energy Marketing"/>
    <n v="583432"/>
    <n v="1024.4699545804308"/>
    <n v="298854.27727038495"/>
  </r>
  <r>
    <x v="3"/>
    <s v="Purchases - Secondary"/>
    <x v="2"/>
    <x v="4"/>
    <s v="TransCanada Energy Marketing"/>
    <n v="11288"/>
    <n v="1024.4699545804308"/>
    <n v="5782.1084236519509"/>
  </r>
  <r>
    <x v="3"/>
    <s v="Purchases - Secondary"/>
    <x v="2"/>
    <x v="4"/>
    <s v="TransCanada Power Corp."/>
    <n v="5120"/>
    <n v="1024.4699545804308"/>
    <n v="2622.6430837259027"/>
  </r>
  <r>
    <x v="3"/>
    <s v="Purchases - Secondary"/>
    <x v="2"/>
    <x v="4"/>
    <s v="Turlock Irrigation District"/>
    <n v="6176"/>
    <n v="1024.4699545804308"/>
    <n v="3163.5632197443701"/>
  </r>
  <r>
    <x v="3"/>
    <s v="Purchases - Secondary"/>
    <x v="2"/>
    <x v="4"/>
    <s v="UBS AG"/>
    <n v="32800"/>
    <n v="1024.4699545804308"/>
    <n v="16801.307255119067"/>
  </r>
  <r>
    <x v="3"/>
    <s v="Purchases - Secondary"/>
    <x v="2"/>
    <x v="4"/>
    <s v="Western Area Power Association"/>
    <n v="796"/>
    <n v="1024.4699545804308"/>
    <n v="407.73904192301148"/>
  </r>
  <r>
    <x v="3"/>
    <s v="Interchange - In"/>
    <x v="2"/>
    <x v="4"/>
    <s v="Black Creek Hydro"/>
    <n v="4649"/>
    <n v="1024.4699545804308"/>
    <n v="2381.3804094222114"/>
  </r>
  <r>
    <x v="3"/>
    <s v="Interchange - In"/>
    <x v="2"/>
    <x v="4"/>
    <s v="BPA"/>
    <n v="97704"/>
    <n v="1024.4699545804308"/>
    <n v="50047.406221163204"/>
  </r>
  <r>
    <x v="3"/>
    <s v="Interchange - In"/>
    <x v="2"/>
    <x v="4"/>
    <s v="Constellation Power Source, Inc."/>
    <n v="70000"/>
    <n v="1024.4699545804308"/>
    <n v="35856.448410315083"/>
  </r>
  <r>
    <x v="3"/>
    <s v="Interchange - In"/>
    <x v="2"/>
    <x v="4"/>
    <s v="Deviation"/>
    <n v="-28008"/>
    <n v="1024.4699545804308"/>
    <n v="-14346.677243944352"/>
  </r>
  <r>
    <x v="3"/>
    <s v="Interchange - In"/>
    <x v="2"/>
    <x v="4"/>
    <s v="Pacific Gas &amp; Elec - Exchange"/>
    <n v="413116"/>
    <n v="1024.4699545804308"/>
    <n v="211612.46487822462"/>
  </r>
  <r>
    <x v="3"/>
    <s v="Interchange - In"/>
    <x v="2"/>
    <x v="4"/>
    <s v="Powerex - Exchange"/>
    <n v="25607"/>
    <n v="1024.4699545804308"/>
    <n v="13116.801063470546"/>
  </r>
  <r>
    <x v="3"/>
    <s v="Interchange - In"/>
    <x v="2"/>
    <x v="4"/>
    <s v="Seattle City Light Marketing"/>
    <n v="18800"/>
    <n v="1024.4699545804308"/>
    <n v="9630.0175730560495"/>
  </r>
  <r>
    <x v="3"/>
    <s v="Interchange - In"/>
    <x v="2"/>
    <x v="4"/>
    <s v="TransAlta Energy Marketing"/>
    <n v="1099250"/>
    <n v="1024.4699545804308"/>
    <n v="563074.29878626927"/>
  </r>
  <r>
    <x v="3"/>
    <s v="Interchange - Out"/>
    <x v="2"/>
    <x v="4"/>
    <s v="Black Creek Hydro"/>
    <n v="-4708"/>
    <n v="1024.4699545804308"/>
    <n v="-2411.6022730823342"/>
  </r>
  <r>
    <x v="3"/>
    <s v="Interchange - Out"/>
    <x v="2"/>
    <x v="4"/>
    <s v="BPA"/>
    <n v="-99125"/>
    <n v="1024.4699545804308"/>
    <n v="-50775.292123892599"/>
  </r>
  <r>
    <x v="3"/>
    <s v="Interchange - Out"/>
    <x v="2"/>
    <x v="4"/>
    <s v="Constellation Power Source, Inc."/>
    <n v="-70000"/>
    <n v="1024.4699545804308"/>
    <n v="-35856.448410315083"/>
  </r>
  <r>
    <x v="3"/>
    <s v="Interchange - Out"/>
    <x v="2"/>
    <x v="4"/>
    <s v="Pacific Gas &amp; Elec - Exchange"/>
    <n v="-413016"/>
    <n v="1024.4699545804308"/>
    <n v="-211561.2413804956"/>
  </r>
  <r>
    <x v="3"/>
    <s v="Interchange - Out"/>
    <x v="2"/>
    <x v="4"/>
    <s v="Powerex - Exchange"/>
    <n v="-25607"/>
    <n v="1024.4699545804308"/>
    <n v="-13116.801063470546"/>
  </r>
  <r>
    <x v="3"/>
    <s v="Interchange - Out"/>
    <x v="2"/>
    <x v="4"/>
    <s v="Seattle City Light Marketing"/>
    <n v="-18800"/>
    <n v="1024.4699545804308"/>
    <n v="-9630.0175730560495"/>
  </r>
  <r>
    <x v="3"/>
    <s v="Interchange - Out"/>
    <x v="2"/>
    <x v="4"/>
    <s v="TransAlta Energy Marketing"/>
    <n v="-1099250"/>
    <n v="1024.4699545804308"/>
    <n v="-563074.29878626927"/>
  </r>
  <r>
    <x v="3"/>
    <s v="Sales for Resale"/>
    <x v="2"/>
    <x v="4"/>
    <s v="Arizona Public Service"/>
    <n v="-15"/>
    <n v="1024.4699545804308"/>
    <n v="-7.6835246593532309"/>
  </r>
  <r>
    <x v="3"/>
    <s v="Sales for Resale"/>
    <x v="2"/>
    <x v="4"/>
    <s v="Avista Corp. WWP Division"/>
    <n v="-41915"/>
    <n v="1024.4699545804308"/>
    <n v="-21470.329073119381"/>
  </r>
  <r>
    <x v="3"/>
    <s v="Sales for Resale"/>
    <x v="2"/>
    <x v="4"/>
    <s v="Barclays Bank Plc"/>
    <n v="-32027"/>
    <n v="1024.4699545804308"/>
    <n v="-16405.349617673728"/>
  </r>
  <r>
    <x v="3"/>
    <s v="Sales for Resale"/>
    <x v="2"/>
    <x v="4"/>
    <s v="Bear Energy LP"/>
    <n v="-43931"/>
    <n v="1024.4699545804308"/>
    <n v="-22502.994787336454"/>
  </r>
  <r>
    <x v="3"/>
    <s v="Sales for Resale"/>
    <x v="2"/>
    <x v="4"/>
    <s v="Benton County PUD"/>
    <n v="-1335"/>
    <n v="1024.4699545804308"/>
    <n v="-683.83369468243757"/>
  </r>
  <r>
    <x v="3"/>
    <s v="Sales for Resale"/>
    <x v="2"/>
    <x v="4"/>
    <s v="Black Hills Power"/>
    <n v="-2123"/>
    <n v="1024.4699545804308"/>
    <n v="-1087.4748567871272"/>
  </r>
  <r>
    <x v="3"/>
    <s v="Sales for Resale"/>
    <x v="2"/>
    <x v="4"/>
    <s v="Book Outs - EITF 03-11"/>
    <n v="1458513"/>
    <n v="1024.4699545804308"/>
    <n v="747101.37343248387"/>
  </r>
  <r>
    <x v="3"/>
    <s v="Sales for Resale"/>
    <x v="2"/>
    <x v="4"/>
    <s v="BP Energy Co."/>
    <n v="-28512"/>
    <n v="1024.4699545804308"/>
    <n v="-14604.84367249862"/>
  </r>
  <r>
    <x v="3"/>
    <s v="Sales for Resale"/>
    <x v="2"/>
    <x v="4"/>
    <s v="BPA"/>
    <n v="-138425"/>
    <n v="1024.4699545804308"/>
    <n v="-70906.126731398064"/>
  </r>
  <r>
    <x v="3"/>
    <s v="Sales for Resale"/>
    <x v="2"/>
    <x v="4"/>
    <s v="British Columbia Transmission Corp"/>
    <n v="-23"/>
    <n v="1024.4699545804308"/>
    <n v="-11.781404477674954"/>
  </r>
  <r>
    <x v="3"/>
    <s v="Sales for Resale"/>
    <x v="2"/>
    <x v="4"/>
    <s v="Burbank, City of"/>
    <n v="-1085"/>
    <n v="1024.4699545804308"/>
    <n v="-555.77495035988375"/>
  </r>
  <r>
    <x v="3"/>
    <s v="Sales for Resale"/>
    <x v="2"/>
    <x v="4"/>
    <s v="Cargill Power Markets"/>
    <n v="-177806"/>
    <n v="1024.4699545804308"/>
    <n v="-91078.452372064043"/>
  </r>
  <r>
    <x v="3"/>
    <s v="Sales for Resale"/>
    <x v="2"/>
    <x v="4"/>
    <s v="Chelan County PUD #1"/>
    <n v="-7327"/>
    <n v="1024.4699545804308"/>
    <n v="-3753.1456786054082"/>
  </r>
  <r>
    <x v="3"/>
    <s v="Sales for Resale"/>
    <x v="2"/>
    <x v="4"/>
    <s v="Citigroup Energy Inc"/>
    <n v="-232727"/>
    <n v="1024.4699545804308"/>
    <n v="-119210.90955981995"/>
  </r>
  <r>
    <x v="3"/>
    <s v="Sales for Resale"/>
    <x v="2"/>
    <x v="4"/>
    <s v="Clatskanie PUD"/>
    <n v="-17042"/>
    <n v="1024.4699545804308"/>
    <n v="-8729.5084829798507"/>
  </r>
  <r>
    <x v="3"/>
    <s v="Sales for Resale"/>
    <x v="2"/>
    <x v="4"/>
    <s v="Conoco, Inc."/>
    <n v="-8142"/>
    <n v="1024.4699545804308"/>
    <n v="-4170.617185096934"/>
  </r>
  <r>
    <x v="3"/>
    <s v="Sales for Resale"/>
    <x v="2"/>
    <x v="4"/>
    <s v="Constellation Power Source, Inc."/>
    <n v="-86673"/>
    <n v="1024.4699545804308"/>
    <n v="-44396.942186674838"/>
  </r>
  <r>
    <x v="3"/>
    <s v="Sales for Resale"/>
    <x v="2"/>
    <x v="4"/>
    <s v="CP Energy Marketing (Epcor)"/>
    <n v="-7691"/>
    <n v="1024.4699545804308"/>
    <n v="-3939.5992103390467"/>
  </r>
  <r>
    <x v="3"/>
    <s v="Sales for Resale"/>
    <x v="2"/>
    <x v="4"/>
    <s v="Credit Suisse Energy, LLC"/>
    <n v="-1600"/>
    <n v="1024.4699545804308"/>
    <n v="-819.57596366434461"/>
  </r>
  <r>
    <x v="3"/>
    <s v="Sales for Resale"/>
    <x v="2"/>
    <x v="4"/>
    <s v="DB Energy Trading LLC"/>
    <n v="-53578"/>
    <n v="1024.4699545804308"/>
    <n v="-27444.525613255162"/>
  </r>
  <r>
    <x v="3"/>
    <s v="Sales for Resale"/>
    <x v="2"/>
    <x v="4"/>
    <s v="Douglas County PUD #1"/>
    <n v="-461"/>
    <n v="1024.4699545804308"/>
    <n v="-236.14032453078931"/>
  </r>
  <r>
    <x v="3"/>
    <s v="Sales for Resale"/>
    <x v="2"/>
    <x v="4"/>
    <s v="ENMAX Energy Marketing, Inc."/>
    <n v="-2690"/>
    <n v="1024.4699545804308"/>
    <n v="-1377.9120889106794"/>
  </r>
  <r>
    <x v="3"/>
    <s v="Sales for Resale"/>
    <x v="2"/>
    <x v="4"/>
    <s v="Eugene Water &amp; Electric"/>
    <n v="-38663"/>
    <n v="1024.4699545804308"/>
    <n v="-19804.5409269716"/>
  </r>
  <r>
    <x v="3"/>
    <s v="Sales for Resale"/>
    <x v="2"/>
    <x v="4"/>
    <s v="Fortis Energy Marketing &amp; Trading"/>
    <n v="-131275"/>
    <n v="1024.4699545804308"/>
    <n v="-67243.646643773012"/>
  </r>
  <r>
    <x v="3"/>
    <s v="Sales for Resale"/>
    <x v="2"/>
    <x v="4"/>
    <s v="Franklin County PUD #1"/>
    <n v="-690"/>
    <n v="1024.4699545804308"/>
    <n v="-353.44213433024862"/>
  </r>
  <r>
    <x v="3"/>
    <s v="Sales for Resale"/>
    <x v="2"/>
    <x v="4"/>
    <s v="Grant County PUD #2"/>
    <n v="-13801"/>
    <n v="1024.4699545804308"/>
    <n v="-7069.3549215822632"/>
  </r>
  <r>
    <x v="3"/>
    <s v="Sales for Resale"/>
    <x v="2"/>
    <x v="4"/>
    <s v="Grays Harbor PUD #1"/>
    <n v="-937"/>
    <n v="1024.4699545804308"/>
    <n v="-479.9641737209318"/>
  </r>
  <r>
    <x v="3"/>
    <s v="Sales for Resale"/>
    <x v="2"/>
    <x v="4"/>
    <s v="Highland Energy LLC"/>
    <n v="-14406"/>
    <n v="1024.4699545804308"/>
    <n v="-7379.2570828428425"/>
  </r>
  <r>
    <x v="3"/>
    <s v="Sales for Resale"/>
    <x v="2"/>
    <x v="4"/>
    <s v="Hinson Power Company"/>
    <n v="-10318"/>
    <n v="1024.4699545804308"/>
    <n v="-5285.2404956804421"/>
  </r>
  <r>
    <x v="3"/>
    <s v="Sales for Resale"/>
    <x v="2"/>
    <x v="4"/>
    <s v="Iberdrola Renewables (PPM Energy)"/>
    <n v="-97329"/>
    <n v="1024.4699545804308"/>
    <n v="-49855.318104679376"/>
  </r>
  <r>
    <x v="3"/>
    <s v="Sales for Resale"/>
    <x v="2"/>
    <x v="4"/>
    <s v="Idaho Power Company"/>
    <n v="-22104"/>
    <n v="1024.4699545804308"/>
    <n v="-11322.441938022921"/>
  </r>
  <r>
    <x v="3"/>
    <s v="Sales for Resale"/>
    <x v="2"/>
    <x v="4"/>
    <s v="Integrys Energy Services, Inc"/>
    <n v="-3600"/>
    <n v="1024.4699545804308"/>
    <n v="-1844.0459182447753"/>
  </r>
  <r>
    <x v="3"/>
    <s v="Sales for Resale"/>
    <x v="2"/>
    <x v="4"/>
    <s v="J. Aron &amp; Company"/>
    <n v="-20700"/>
    <n v="1024.4699545804308"/>
    <n v="-10603.264029907459"/>
  </r>
  <r>
    <x v="3"/>
    <s v="Sales for Resale"/>
    <x v="2"/>
    <x v="4"/>
    <s v="JP Morgan Ventures Energy"/>
    <n v="-98388"/>
    <n v="1024.4699545804308"/>
    <n v="-50397.774945629717"/>
  </r>
  <r>
    <x v="3"/>
    <s v="Sales for Resale"/>
    <x v="2"/>
    <x v="4"/>
    <s v="Lehman Bros Commodity Services"/>
    <n v="-5520"/>
    <n v="1024.4699545804308"/>
    <n v="-2827.537074641989"/>
  </r>
  <r>
    <x v="3"/>
    <s v="Sales for Resale"/>
    <x v="2"/>
    <x v="4"/>
    <s v="Louis Dreyfus Energy"/>
    <n v="-1113"/>
    <n v="1024.4699545804308"/>
    <n v="-570.11752972400973"/>
  </r>
  <r>
    <x v="3"/>
    <s v="Sales for Resale"/>
    <x v="2"/>
    <x v="4"/>
    <s v="Merrill Lynch Commodities"/>
    <n v="-5200"/>
    <n v="1024.4699545804308"/>
    <n v="-2663.62188190912"/>
  </r>
  <r>
    <x v="3"/>
    <s v="Sales for Resale"/>
    <x v="2"/>
    <x v="4"/>
    <s v="Modesto Irrigation District"/>
    <n v="-180"/>
    <n v="1024.4699545804308"/>
    <n v="-92.202295912238768"/>
  </r>
  <r>
    <x v="3"/>
    <s v="Sales for Resale"/>
    <x v="2"/>
    <x v="4"/>
    <s v="Morgan Stanley CG"/>
    <n v="-491984"/>
    <n v="1024.4699545804308"/>
    <n v="-252011.41306714935"/>
  </r>
  <r>
    <x v="3"/>
    <s v="Sales for Resale"/>
    <x v="2"/>
    <x v="4"/>
    <s v="N. California Power Agency"/>
    <n v="-260"/>
    <n v="1024.4699545804308"/>
    <n v="-133.18109409545602"/>
  </r>
  <r>
    <x v="3"/>
    <s v="Sales for Resale"/>
    <x v="2"/>
    <x v="4"/>
    <s v="NorthPoint Energy Solutions, Inc."/>
    <n v="-5792"/>
    <n v="1024.4699545804308"/>
    <n v="-2966.8649884649276"/>
  </r>
  <r>
    <x v="3"/>
    <s v="Sales for Resale"/>
    <x v="2"/>
    <x v="4"/>
    <s v="Northwestern Energy"/>
    <n v="-13384"/>
    <n v="1024.4699545804308"/>
    <n v="-6855.7529360522431"/>
  </r>
  <r>
    <x v="3"/>
    <s v="Sales for Resale"/>
    <x v="2"/>
    <x v="4"/>
    <s v="Okanogan PUD"/>
    <n v="-455"/>
    <n v="1024.4699545804308"/>
    <n v="-233.066914667048"/>
  </r>
  <r>
    <x v="3"/>
    <s v="Sales for Resale"/>
    <x v="2"/>
    <x v="4"/>
    <s v="Pacific Northwest Generatin Coop."/>
    <n v="-11857"/>
    <n v="1024.4699545804308"/>
    <n v="-6073.5701257300843"/>
  </r>
  <r>
    <x v="3"/>
    <s v="Sales for Resale"/>
    <x v="2"/>
    <x v="4"/>
    <s v="Pacific Summit Energy LLC"/>
    <n v="-80207"/>
    <n v="1024.4699545804308"/>
    <n v="-41084.830823516306"/>
  </r>
  <r>
    <x v="3"/>
    <s v="Sales for Resale"/>
    <x v="2"/>
    <x v="4"/>
    <s v="Pacificorp"/>
    <n v="-122205"/>
    <n v="1024.4699545804308"/>
    <n v="-62597.675399750769"/>
  </r>
  <r>
    <x v="3"/>
    <s v="Sales for Resale"/>
    <x v="2"/>
    <x v="4"/>
    <s v="PG&amp;E Energy Trading"/>
    <n v="-800"/>
    <n v="1024.4699545804308"/>
    <n v="-409.78798183217231"/>
  </r>
  <r>
    <x v="3"/>
    <s v="Sales for Resale"/>
    <x v="2"/>
    <x v="4"/>
    <s v="Portland General Electric"/>
    <n v="-37229"/>
    <n v="1024.4699545804308"/>
    <n v="-19069.995969537431"/>
  </r>
  <r>
    <x v="3"/>
    <s v="Sales for Resale"/>
    <x v="2"/>
    <x v="4"/>
    <s v="Powerex Corp."/>
    <n v="-317422"/>
    <n v="1024.4699545804308"/>
    <n v="-162594.65096141477"/>
  </r>
  <r>
    <x v="3"/>
    <s v="Sales for Resale"/>
    <x v="2"/>
    <x v="4"/>
    <s v="Public Service of Colorado"/>
    <n v="-15435"/>
    <n v="1024.4699545804308"/>
    <n v="-7906.3468744744741"/>
  </r>
  <r>
    <x v="3"/>
    <s v="Sales for Resale"/>
    <x v="2"/>
    <x v="4"/>
    <s v="Rainbow Energy Marketing"/>
    <n v="-74196"/>
    <n v="1024.4699545804308"/>
    <n v="-38005.786375024829"/>
  </r>
  <r>
    <x v="3"/>
    <s v="Sales for Resale"/>
    <x v="2"/>
    <x v="4"/>
    <s v="Redding, City of"/>
    <n v="-1257"/>
    <n v="1024.4699545804308"/>
    <n v="-643.87936645380069"/>
  </r>
  <r>
    <x v="3"/>
    <s v="Sales for Resale"/>
    <x v="2"/>
    <x v="4"/>
    <s v="Sacramento Municipal"/>
    <n v="-2305"/>
    <n v="1024.4699545804308"/>
    <n v="-1180.7016226539465"/>
  </r>
  <r>
    <x v="3"/>
    <s v="Sales for Resale"/>
    <x v="2"/>
    <x v="4"/>
    <s v="San Diego Gas &amp; Electric"/>
    <n v="-30998"/>
    <n v="1024.4699545804308"/>
    <n v="-15878.259826042096"/>
  </r>
  <r>
    <x v="3"/>
    <s v="Sales for Resale"/>
    <x v="2"/>
    <x v="4"/>
    <s v="Seattle City Light Marketing"/>
    <n v="-51896"/>
    <n v="1024.4699545804308"/>
    <n v="-26582.946381453017"/>
  </r>
  <r>
    <x v="3"/>
    <s v="Sales for Resale"/>
    <x v="2"/>
    <x v="4"/>
    <s v="Sempra Energy Trading"/>
    <n v="-38348"/>
    <n v="1024.4699545804308"/>
    <n v="-19643.186909125179"/>
  </r>
  <r>
    <x v="3"/>
    <s v="Sales for Resale"/>
    <x v="2"/>
    <x v="4"/>
    <s v="Shell Energy (Coral Pwr)"/>
    <n v="-158471"/>
    <n v="1024.4699545804308"/>
    <n v="-81174.389086157724"/>
  </r>
  <r>
    <x v="3"/>
    <s v="Sales for Resale"/>
    <x v="2"/>
    <x v="4"/>
    <s v="Sierra Pacific Power"/>
    <n v="-17217"/>
    <n v="1024.4699545804308"/>
    <n v="-8819.149604005639"/>
  </r>
  <r>
    <x v="3"/>
    <s v="Sales for Resale"/>
    <x v="2"/>
    <x v="4"/>
    <s v="Silicon Valley Pwr - Santa Clara"/>
    <n v="-166"/>
    <n v="1024.4699545804308"/>
    <n v="-85.031006230175763"/>
  </r>
  <r>
    <x v="3"/>
    <s v="Sales for Resale"/>
    <x v="2"/>
    <x v="4"/>
    <s v="Snohomish County PUD #1"/>
    <n v="-22679"/>
    <n v="1024.4699545804308"/>
    <n v="-11616.977049964795"/>
  </r>
  <r>
    <x v="3"/>
    <s v="Sales for Resale"/>
    <x v="2"/>
    <x v="4"/>
    <s v="Southern Cal - Edison"/>
    <n v="-4250"/>
    <n v="1024.4699545804308"/>
    <n v="-2176.9986534834156"/>
  </r>
  <r>
    <x v="3"/>
    <s v="Sales for Resale"/>
    <x v="2"/>
    <x v="4"/>
    <s v="SUEZ Energy Marketing (Tractebel)"/>
    <n v="-15700"/>
    <n v="1024.4699545804308"/>
    <n v="-8042.0891434563819"/>
  </r>
  <r>
    <x v="3"/>
    <s v="Sales for Resale"/>
    <x v="2"/>
    <x v="4"/>
    <s v="Synergy Power Marketing"/>
    <n v="-2578"/>
    <n v="1024.4699545804308"/>
    <n v="-1320.5417714541752"/>
  </r>
  <r>
    <x v="3"/>
    <s v="Sales for Resale"/>
    <x v="2"/>
    <x v="4"/>
    <s v="Tacoma Power"/>
    <n v="-3208"/>
    <n v="1024.4699545804308"/>
    <n v="-1643.2498071470109"/>
  </r>
  <r>
    <x v="3"/>
    <s v="Sales for Resale"/>
    <x v="2"/>
    <x v="4"/>
    <s v="Talen Energy (PPL Energy Plus)"/>
    <n v="-22392"/>
    <n v="1024.4699545804308"/>
    <n v="-11469.965611482503"/>
  </r>
  <r>
    <x v="3"/>
    <s v="Sales for Resale"/>
    <x v="2"/>
    <x v="4"/>
    <s v="The Energy Authority"/>
    <n v="-11297"/>
    <n v="1024.4699545804308"/>
    <n v="-5786.7185384475633"/>
  </r>
  <r>
    <x v="3"/>
    <s v="Sales for Resale"/>
    <x v="2"/>
    <x v="4"/>
    <s v="TransAlta Energy Marketing"/>
    <n v="-200683"/>
    <n v="1024.4699545804308"/>
    <n v="-102796.8519475323"/>
  </r>
  <r>
    <x v="3"/>
    <s v="Sales for Resale"/>
    <x v="2"/>
    <x v="4"/>
    <s v="TransCanada Energy Marketing"/>
    <n v="-14678"/>
    <n v="1024.4699545804308"/>
    <n v="-7518.5849966657815"/>
  </r>
  <r>
    <x v="3"/>
    <s v="Sales for Resale"/>
    <x v="2"/>
    <x v="4"/>
    <s v="Turlock Irrigation District"/>
    <n v="-2835"/>
    <n v="1024.4699545804308"/>
    <n v="-1452.1861606177606"/>
  </r>
  <r>
    <x v="3"/>
    <s v="Sales for Resale"/>
    <x v="2"/>
    <x v="4"/>
    <s v="UBS AG"/>
    <n v="-1600"/>
    <n v="1024.4699545804308"/>
    <n v="-819.57596366434461"/>
  </r>
  <r>
    <x v="3"/>
    <s v="Sales for Resale"/>
    <x v="2"/>
    <x v="4"/>
    <s v="Western Area Power Association"/>
    <n v="-275"/>
    <n v="1024.4699545804308"/>
    <n v="-140.86461875480921"/>
  </r>
  <r>
    <x v="4"/>
    <s v="Generation - Hydro"/>
    <x v="0"/>
    <x v="0"/>
    <s v="Electron"/>
    <n v="90893.71"/>
    <n v="0"/>
    <n v="0"/>
  </r>
  <r>
    <x v="4"/>
    <s v="Generation - Hydro"/>
    <x v="0"/>
    <x v="0"/>
    <s v="Lower Baker"/>
    <n v="344847.47200000001"/>
    <n v="0"/>
    <n v="0"/>
  </r>
  <r>
    <x v="4"/>
    <s v="Generation - Hydro"/>
    <x v="0"/>
    <x v="0"/>
    <s v="Snoqualmie Falls #1"/>
    <n v="62769"/>
    <n v="0"/>
    <n v="0"/>
  </r>
  <r>
    <x v="4"/>
    <s v="Generation - Hydro"/>
    <x v="0"/>
    <x v="0"/>
    <s v="Snoqualmie Falls #2"/>
    <n v="151915.20000000001"/>
    <n v="0"/>
    <n v="0"/>
  </r>
  <r>
    <x v="4"/>
    <s v="Generation - Hydro"/>
    <x v="0"/>
    <x v="0"/>
    <s v="Upper Baker"/>
    <n v="337353.652"/>
    <n v="0"/>
    <n v="0"/>
  </r>
  <r>
    <x v="4"/>
    <s v="Generation - Steam"/>
    <x v="0"/>
    <x v="1"/>
    <s v="Colstrip 1 &amp; 2"/>
    <n v="2310597"/>
    <n v="2407.7777301710339"/>
    <n v="2781702"/>
  </r>
  <r>
    <x v="4"/>
    <s v="Generation - Steam"/>
    <x v="0"/>
    <x v="1"/>
    <s v="Colstrip 3 &amp; 4"/>
    <n v="2140507"/>
    <n v="2314.4853065185025"/>
    <n v="2477086"/>
  </r>
  <r>
    <x v="4"/>
    <s v="Generation - Steam"/>
    <x v="0"/>
    <x v="2"/>
    <s v="Encogen"/>
    <n v="384510"/>
    <n v="1108.3238139486621"/>
    <n v="213080.79485070001"/>
  </r>
  <r>
    <x v="4"/>
    <s v="Generation - Steam"/>
    <x v="0"/>
    <x v="2"/>
    <s v="Goldendale"/>
    <n v="1368799"/>
    <n v="888.23154613277768"/>
    <n v="607905.2260575"/>
  </r>
  <r>
    <x v="4"/>
    <s v="Generation - Steam"/>
    <x v="0"/>
    <x v="2"/>
    <s v="Mint Farm"/>
    <n v="1426827.5"/>
    <n v="913.81242166386619"/>
    <n v="651926.34653580002"/>
  </r>
  <r>
    <x v="4"/>
    <s v="Generation - Steam"/>
    <x v="0"/>
    <x v="2"/>
    <s v="Sumas"/>
    <n v="539532.19999999995"/>
    <n v="1079.7822928444309"/>
    <n v="291288.65798970003"/>
  </r>
  <r>
    <x v="4"/>
    <s v="Generation - Oil/Gas/Wind"/>
    <x v="0"/>
    <x v="3"/>
    <s v="Crystal Mountain"/>
    <n v="419.45"/>
    <n v="1824.319399241112"/>
    <n v="382.60538600584221"/>
  </r>
  <r>
    <x v="4"/>
    <s v="Generation - Oil/Gas/Wind"/>
    <x v="0"/>
    <x v="2"/>
    <s v="Freddie #1"/>
    <n v="454203"/>
    <n v="938.36446332380979"/>
    <n v="213103.97716753217"/>
  </r>
  <r>
    <x v="4"/>
    <s v="Generation - Oil/Gas/Wind"/>
    <x v="0"/>
    <x v="2"/>
    <s v="Fredonia"/>
    <n v="64044.5"/>
    <n v="1569.4444137415658"/>
    <n v="50257.141377935855"/>
  </r>
  <r>
    <x v="4"/>
    <s v="Generation - Oil/Gas/Wind"/>
    <x v="0"/>
    <x v="2"/>
    <s v="Fredonia 3 &amp; 4"/>
    <n v="89229"/>
    <n v="1396.7769859261002"/>
    <n v="62316.506838600006"/>
  </r>
  <r>
    <x v="4"/>
    <s v="Generation - Oil/Gas/Wind"/>
    <x v="0"/>
    <x v="2"/>
    <s v="Fredrickson 1 &amp; 2"/>
    <n v="18586.099999999999"/>
    <n v="1769.9984040008392"/>
    <n v="16448.683668299996"/>
  </r>
  <r>
    <x v="4"/>
    <s v="Generation - Oil/Gas/Wind"/>
    <x v="0"/>
    <x v="0"/>
    <s v="Hopkins Ridge (W184)"/>
    <n v="381219.26400000002"/>
    <n v="0"/>
    <n v="0"/>
  </r>
  <r>
    <x v="4"/>
    <s v="Generation - Oil/Gas/Wind"/>
    <x v="0"/>
    <x v="2"/>
    <s v="Whitehorn 2&amp;3"/>
    <n v="16995.3"/>
    <n v="1739.0063960469408"/>
    <n v="14777.467701368285"/>
  </r>
  <r>
    <x v="4"/>
    <s v="Generation - Oil/Gas/Wind"/>
    <x v="0"/>
    <x v="0"/>
    <s v="Wild Horse (W183)"/>
    <n v="565274.87399999995"/>
    <n v="0"/>
    <n v="0"/>
  </r>
  <r>
    <x v="4"/>
    <s v="Purchases - Firm"/>
    <x v="1"/>
    <x v="4"/>
    <s v="BC Hydro (Point Roberts)"/>
    <n v="22270.57"/>
    <n v="1118.7938637421748"/>
    <n v="12458.088529020284"/>
  </r>
  <r>
    <x v="4"/>
    <s v="Purchases - Firm"/>
    <x v="1"/>
    <x v="0"/>
    <s v="BPA"/>
    <n v="7014"/>
    <n v="0"/>
    <n v="0"/>
  </r>
  <r>
    <x v="4"/>
    <s v="Purchases - Firm"/>
    <x v="1"/>
    <x v="4"/>
    <s v="BPA Firm - WNP#3 Exchange"/>
    <n v="393717"/>
    <n v="1118.7938637421748"/>
    <n v="220244.08182548892"/>
  </r>
  <r>
    <x v="4"/>
    <s v="Purchases - Firm"/>
    <x v="1"/>
    <x v="0"/>
    <s v="Chelan PUD - Rock Island Syst #2"/>
    <n v="1263318"/>
    <n v="0"/>
    <n v="0"/>
  </r>
  <r>
    <x v="4"/>
    <s v="Purchases - Firm"/>
    <x v="1"/>
    <x v="0"/>
    <s v="Chelan PUD - Rocky Reach"/>
    <n v="2007333"/>
    <n v="0"/>
    <n v="0"/>
  </r>
  <r>
    <x v="4"/>
    <s v="Purchases - Firm"/>
    <x v="1"/>
    <x v="0"/>
    <s v="Douglas PUD - Wells Project"/>
    <n v="959848"/>
    <n v="0"/>
    <n v="0"/>
  </r>
  <r>
    <x v="4"/>
    <s v="Purchases - Firm"/>
    <x v="1"/>
    <x v="0"/>
    <s v="Farm Power Rexville LLC"/>
    <n v="1523.01"/>
    <n v="0"/>
    <n v="0"/>
  </r>
  <r>
    <x v="4"/>
    <s v="Purchases - Firm"/>
    <x v="1"/>
    <x v="0"/>
    <s v="Grant PUD - Priest Rapids"/>
    <n v="234580"/>
    <n v="0"/>
    <n v="0"/>
  </r>
  <r>
    <x v="4"/>
    <s v="Purchases - Firm"/>
    <x v="1"/>
    <x v="0"/>
    <s v="Grant PUD - Priest Rapids Project"/>
    <n v="82584"/>
    <n v="0"/>
    <n v="0"/>
  </r>
  <r>
    <x v="4"/>
    <s v="Purchases - Firm"/>
    <x v="1"/>
    <x v="0"/>
    <s v="Grant PUD - Wanapum"/>
    <n v="313799"/>
    <n v="0"/>
    <n v="0"/>
  </r>
  <r>
    <x v="4"/>
    <s v="Purchases - Firm"/>
    <x v="1"/>
    <x v="0"/>
    <s v="Klondike Wind Power III"/>
    <n v="132569"/>
    <n v="0"/>
    <n v="0"/>
  </r>
  <r>
    <x v="4"/>
    <s v="Purchases - Firm"/>
    <x v="1"/>
    <x v="1"/>
    <s v="NWestern Energy(MPC) Firm Contract"/>
    <n v="591921"/>
    <n v="2421.1511045073498"/>
    <n v="716565.09146554756"/>
  </r>
  <r>
    <x v="4"/>
    <s v="Purchases - Firm"/>
    <x v="1"/>
    <x v="0"/>
    <s v="Qualco Energy"/>
    <n v="3036"/>
    <n v="0"/>
    <n v="0"/>
  </r>
  <r>
    <x v="4"/>
    <s v="Purchases - Firm"/>
    <x v="1"/>
    <x v="4"/>
    <s v="Snohomish PUD Conservation"/>
    <n v="89728"/>
    <n v="1118.7938637421748"/>
    <n v="50193.567902928931"/>
  </r>
  <r>
    <x v="4"/>
    <s v="Purchases - Firm"/>
    <x v="1"/>
    <x v="0"/>
    <s v="VanderHaak Dairy Digester"/>
    <n v="2345.92"/>
    <n v="0"/>
    <n v="0"/>
  </r>
  <r>
    <x v="4"/>
    <s v="Purchases - Firm"/>
    <x v="1"/>
    <x v="0"/>
    <s v="WASCO Hydro"/>
    <n v="39992"/>
    <n v="0"/>
    <n v="0"/>
  </r>
  <r>
    <x v="4"/>
    <s v="Purchases - PURPA"/>
    <x v="1"/>
    <x v="0"/>
    <s v="Koma Kulshan Associates"/>
    <n v="36065.160000000003"/>
    <n v="0"/>
    <n v="0"/>
  </r>
  <r>
    <x v="4"/>
    <s v="Purchases - PURPA"/>
    <x v="1"/>
    <x v="2"/>
    <s v="March Point Cogen. - 1 &amp; 2"/>
    <n v="995857.89"/>
    <n v="711.04062100273177"/>
    <n v="354047.70626803505"/>
  </r>
  <r>
    <x v="4"/>
    <s v="Purchases - PURPA"/>
    <x v="1"/>
    <x v="0"/>
    <s v="Nooksack"/>
    <n v="23209.795999999998"/>
    <n v="0"/>
    <n v="0"/>
  </r>
  <r>
    <x v="4"/>
    <s v="Purchases - PURPA"/>
    <x v="1"/>
    <x v="5"/>
    <s v="Port Townsend Paper Co."/>
    <n v="1816.9169999999999"/>
    <n v="998.843085984749"/>
    <n v="907.40749162907605"/>
  </r>
  <r>
    <x v="4"/>
    <s v="Purchases - PURPA"/>
    <x v="1"/>
    <x v="0"/>
    <s v="Puyallup Energy Recovery Company"/>
    <n v="343.577"/>
    <n v="0"/>
    <n v="0"/>
  </r>
  <r>
    <x v="4"/>
    <s v="Purchases - PURPA"/>
    <x v="1"/>
    <x v="6"/>
    <s v="Spokane MSW"/>
    <n v="133987"/>
    <n v="1701.106388137611"/>
    <n v="113963.07081369704"/>
  </r>
  <r>
    <x v="4"/>
    <s v="Purchases - PURPA"/>
    <x v="1"/>
    <x v="0"/>
    <s v="Sygitowicz Creek"/>
    <n v="1018.08"/>
    <n v="0"/>
    <n v="0"/>
  </r>
  <r>
    <x v="4"/>
    <s v="Purchases - PURPA"/>
    <x v="1"/>
    <x v="2"/>
    <s v="Tenaska"/>
    <n v="866454.6"/>
    <n v="885.49548824682847"/>
    <n v="383620.8195353552"/>
  </r>
  <r>
    <x v="4"/>
    <s v="Purchases - PURPA"/>
    <x v="1"/>
    <x v="0"/>
    <s v="Twin Falls Hydro"/>
    <n v="69081.600000000006"/>
    <n v="0"/>
    <n v="0"/>
  </r>
  <r>
    <x v="4"/>
    <s v="Purchases - PURPA"/>
    <x v="1"/>
    <x v="0"/>
    <s v="Weeks Falls"/>
    <n v="12348"/>
    <n v="0"/>
    <n v="0"/>
  </r>
  <r>
    <x v="4"/>
    <s v="Purchases - Secondary"/>
    <x v="2"/>
    <x v="4"/>
    <s v="Avista Corp. WWP Division"/>
    <n v="165617.92000000001"/>
    <n v="1118.7938637421748"/>
    <n v="92646.156310871214"/>
  </r>
  <r>
    <x v="4"/>
    <s v="Purchases - Secondary"/>
    <x v="2"/>
    <x v="4"/>
    <s v="Barclays Bank Plc"/>
    <n v="16746"/>
    <n v="1118.7938637421748"/>
    <n v="9367.6610211132302"/>
  </r>
  <r>
    <x v="4"/>
    <s v="Purchases - Secondary"/>
    <x v="2"/>
    <x v="4"/>
    <s v="Black Hills Power"/>
    <n v="3800"/>
    <n v="1118.7938637421748"/>
    <n v="2125.7083411101321"/>
  </r>
  <r>
    <x v="4"/>
    <s v="Purchases - Secondary"/>
    <x v="2"/>
    <x v="4"/>
    <s v="Book Outs - EITF 03-11"/>
    <n v="-3599695"/>
    <n v="1118.7938637421748"/>
    <n v="-2013658.338671694"/>
  </r>
  <r>
    <x v="4"/>
    <s v="Purchases - Secondary"/>
    <x v="2"/>
    <x v="4"/>
    <s v="BP Energy Co."/>
    <n v="37192"/>
    <n v="1118.7938637421748"/>
    <n v="20805.090690149482"/>
  </r>
  <r>
    <x v="4"/>
    <s v="Purchases - Secondary"/>
    <x v="2"/>
    <x v="4"/>
    <s v="BPA"/>
    <n v="334870"/>
    <n v="1118.7938637421748"/>
    <n v="187325.25057567106"/>
  </r>
  <r>
    <x v="4"/>
    <s v="Purchases - Secondary"/>
    <x v="2"/>
    <x v="4"/>
    <s v="Burbank, City of"/>
    <n v="175"/>
    <n v="1118.7938637421748"/>
    <n v="97.894463077440307"/>
  </r>
  <r>
    <x v="4"/>
    <s v="Purchases - Secondary"/>
    <x v="2"/>
    <x v="4"/>
    <s v="Cargill Power Markets"/>
    <n v="380859"/>
    <n v="1118.7938637421748"/>
    <n v="213051.35607549048"/>
  </r>
  <r>
    <x v="4"/>
    <s v="Purchases - Secondary"/>
    <x v="2"/>
    <x v="4"/>
    <s v="Chelan County PUD #1"/>
    <n v="29209"/>
    <n v="1118.7938637421748"/>
    <n v="16339.424983022593"/>
  </r>
  <r>
    <x v="4"/>
    <s v="Purchases - Secondary"/>
    <x v="2"/>
    <x v="4"/>
    <s v="Citigroup Energy Inc"/>
    <n v="338327"/>
    <n v="1118.7938637421748"/>
    <n v="189259.08576914939"/>
  </r>
  <r>
    <x v="4"/>
    <s v="Purchases - Secondary"/>
    <x v="2"/>
    <x v="4"/>
    <s v="Clatskanie PUD"/>
    <n v="50919"/>
    <n v="1118.7938637421748"/>
    <n v="28483.932373943899"/>
  </r>
  <r>
    <x v="4"/>
    <s v="Purchases - Secondary"/>
    <x v="2"/>
    <x v="4"/>
    <s v="Conoco, Inc."/>
    <n v="73722"/>
    <n v="1118.7938637421748"/>
    <n v="41239.860611400305"/>
  </r>
  <r>
    <x v="4"/>
    <s v="Purchases - Secondary"/>
    <x v="2"/>
    <x v="4"/>
    <s v="Constellation Power Source, Inc."/>
    <n v="562741"/>
    <n v="1118.7938637421748"/>
    <n v="314795.5888380676"/>
  </r>
  <r>
    <x v="4"/>
    <s v="Purchases - Secondary"/>
    <x v="2"/>
    <x v="4"/>
    <s v="CP Energy Marketing (Epcor)"/>
    <n v="28908"/>
    <n v="1118.7938637421748"/>
    <n v="16171.046506529394"/>
  </r>
  <r>
    <x v="4"/>
    <s v="Purchases - Secondary"/>
    <x v="2"/>
    <x v="4"/>
    <s v="Credit Suisse Energy, LLC"/>
    <n v="445000"/>
    <n v="1118.7938637421748"/>
    <n v="248931.63468263391"/>
  </r>
  <r>
    <x v="4"/>
    <s v="Purchases - Secondary"/>
    <x v="2"/>
    <x v="4"/>
    <s v="DB Energy Trading LLC"/>
    <n v="147600"/>
    <n v="1118.7938637421748"/>
    <n v="82566.987144172512"/>
  </r>
  <r>
    <x v="4"/>
    <s v="Purchases - Secondary"/>
    <x v="2"/>
    <x v="4"/>
    <s v="Douglas County PUD #1"/>
    <n v="187749"/>
    <n v="1118.7938637421748"/>
    <n v="105026.21456186479"/>
  </r>
  <r>
    <x v="4"/>
    <s v="Purchases - Secondary"/>
    <x v="2"/>
    <x v="4"/>
    <s v="Eagle Energy Partners"/>
    <n v="106240"/>
    <n v="1118.7938637421748"/>
    <n v="59430.330041984329"/>
  </r>
  <r>
    <x v="4"/>
    <s v="Purchases - Secondary"/>
    <x v="2"/>
    <x v="4"/>
    <s v="EDF Trading NA LLC"/>
    <n v="31850"/>
    <n v="1118.7938637421748"/>
    <n v="17816.792280094134"/>
  </r>
  <r>
    <x v="4"/>
    <s v="Purchases - Secondary"/>
    <x v="2"/>
    <x v="4"/>
    <s v="Endure Energy LLC"/>
    <n v="30600"/>
    <n v="1118.7938637421748"/>
    <n v="17117.546115255274"/>
  </r>
  <r>
    <x v="4"/>
    <s v="Purchases - Secondary"/>
    <x v="2"/>
    <x v="4"/>
    <s v="ENMAX Energy Marketing, Inc."/>
    <n v="2456"/>
    <n v="1118.7938637421748"/>
    <n v="1373.8788646753908"/>
  </r>
  <r>
    <x v="4"/>
    <s v="Purchases - Secondary"/>
    <x v="2"/>
    <x v="4"/>
    <s v="Eugene Water &amp; Electric"/>
    <n v="89317"/>
    <n v="1118.7938637421748"/>
    <n v="49963.655763929921"/>
  </r>
  <r>
    <x v="4"/>
    <s v="Purchases - Secondary"/>
    <x v="2"/>
    <x v="4"/>
    <s v="Fortis Energy Marketing &amp; Trading"/>
    <n v="133941"/>
    <n v="1118.7938637421748"/>
    <n v="74926.184451745314"/>
  </r>
  <r>
    <x v="4"/>
    <s v="Purchases - Secondary"/>
    <x v="2"/>
    <x v="4"/>
    <s v="Grant County PUD #2"/>
    <n v="53441"/>
    <n v="1118.7938637421748"/>
    <n v="29894.731436122784"/>
  </r>
  <r>
    <x v="4"/>
    <s v="Purchases - Secondary"/>
    <x v="2"/>
    <x v="4"/>
    <s v="Hinson Power Company"/>
    <n v="800"/>
    <n v="1118.7938637421748"/>
    <n v="447.51754549686996"/>
  </r>
  <r>
    <x v="4"/>
    <s v="Purchases - Secondary"/>
    <x v="2"/>
    <x v="4"/>
    <s v="Iberdrola Renewables (PPM Energy)"/>
    <n v="882331"/>
    <n v="1118.7938637421748"/>
    <n v="493573.25429474842"/>
  </r>
  <r>
    <x v="4"/>
    <s v="Purchases - Secondary"/>
    <x v="2"/>
    <x v="4"/>
    <s v="Idaho Falls Power"/>
    <n v="37654"/>
    <n v="1118.7938637421748"/>
    <n v="21063.532072673923"/>
  </r>
  <r>
    <x v="4"/>
    <s v="Purchases - Secondary"/>
    <x v="2"/>
    <x v="4"/>
    <s v="Idaho Power Company"/>
    <n v="92731"/>
    <n v="1118.7938637421748"/>
    <n v="51873.436889337805"/>
  </r>
  <r>
    <x v="4"/>
    <s v="Purchases - Secondary"/>
    <x v="2"/>
    <x v="4"/>
    <s v="Integrys Energy Services, Inc"/>
    <n v="1800"/>
    <n v="1118.7938637421748"/>
    <n v="1006.9144773679574"/>
  </r>
  <r>
    <x v="4"/>
    <s v="Purchases - Secondary"/>
    <x v="2"/>
    <x v="4"/>
    <s v="J. Aron &amp; Company"/>
    <n v="14000"/>
    <n v="1118.7938637421748"/>
    <n v="7831.5570461952238"/>
  </r>
  <r>
    <x v="4"/>
    <s v="Purchases - Secondary"/>
    <x v="2"/>
    <x v="4"/>
    <s v="JP Morgan Ventures Energy"/>
    <n v="143436"/>
    <n v="1118.7938637421748"/>
    <n v="80237.658319861293"/>
  </r>
  <r>
    <x v="4"/>
    <s v="Purchases - Secondary"/>
    <x v="2"/>
    <x v="4"/>
    <s v="Los Angeles Dept. Water &amp; Power"/>
    <n v="50"/>
    <n v="1118.7938637421748"/>
    <n v="27.969846593554372"/>
  </r>
  <r>
    <x v="4"/>
    <s v="Purchases - Secondary"/>
    <x v="2"/>
    <x v="4"/>
    <s v="Merrill Lynch Commodities"/>
    <n v="400"/>
    <n v="1118.7938637421748"/>
    <n v="223.75877274843498"/>
  </r>
  <r>
    <x v="4"/>
    <s v="Purchases - Secondary"/>
    <x v="2"/>
    <x v="4"/>
    <s v="Modesto Irrigation District"/>
    <n v="90"/>
    <n v="1118.7938637421748"/>
    <n v="50.345723868397862"/>
  </r>
  <r>
    <x v="4"/>
    <s v="Purchases - Secondary"/>
    <x v="2"/>
    <x v="4"/>
    <s v="Morgan Stanley CG"/>
    <n v="992212"/>
    <n v="1118.7938637421748"/>
    <n v="555040.34856567543"/>
  </r>
  <r>
    <x v="4"/>
    <s v="Purchases - Secondary"/>
    <x v="2"/>
    <x v="4"/>
    <s v="N. California Power Agency"/>
    <n v="323"/>
    <n v="1118.7938637421748"/>
    <n v="180.68520899436123"/>
  </r>
  <r>
    <x v="4"/>
    <s v="Purchases - Secondary"/>
    <x v="2"/>
    <x v="4"/>
    <s v="Noble Americas Energy Solutions"/>
    <n v="3400"/>
    <n v="1118.7938637421748"/>
    <n v="1901.9495683616972"/>
  </r>
  <r>
    <x v="4"/>
    <s v="Purchases - Secondary"/>
    <x v="2"/>
    <x v="4"/>
    <s v="NorthPoint Energy Solutions, Inc."/>
    <n v="6592"/>
    <n v="1118.7938637421748"/>
    <n v="3687.5445748942084"/>
  </r>
  <r>
    <x v="4"/>
    <s v="Purchases - Secondary"/>
    <x v="2"/>
    <x v="4"/>
    <s v="Northwestern Energy"/>
    <n v="7969"/>
    <n v="1118.7938637421748"/>
    <n v="4457.8341500806955"/>
  </r>
  <r>
    <x v="4"/>
    <s v="Purchases - Secondary"/>
    <x v="2"/>
    <x v="4"/>
    <s v="Occidental Power Services"/>
    <n v="31600"/>
    <n v="1118.7938637421748"/>
    <n v="17676.943047126362"/>
  </r>
  <r>
    <x v="4"/>
    <s v="Purchases - Secondary"/>
    <x v="2"/>
    <x v="4"/>
    <s v="Okanogan PUD"/>
    <n v="3810"/>
    <n v="1118.7938637421748"/>
    <n v="2131.3023104288427"/>
  </r>
  <r>
    <x v="4"/>
    <s v="Purchases - Secondary"/>
    <x v="2"/>
    <x v="4"/>
    <s v="Pacific Northwest Generatin Coop."/>
    <n v="216587"/>
    <n v="1118.7938637421748"/>
    <n v="121158.1032831632"/>
  </r>
  <r>
    <x v="4"/>
    <s v="Purchases - Secondary"/>
    <x v="2"/>
    <x v="4"/>
    <s v="Pacific Summit Energy LLC"/>
    <n v="68094"/>
    <n v="1118.7938637421748"/>
    <n v="38091.574678829827"/>
  </r>
  <r>
    <x v="4"/>
    <s v="Purchases - Secondary"/>
    <x v="2"/>
    <x v="4"/>
    <s v="Pacificorp"/>
    <n v="185612"/>
    <n v="1118.7938637421748"/>
    <n v="103830.78331845628"/>
  </r>
  <r>
    <x v="4"/>
    <s v="Purchases - Secondary"/>
    <x v="2"/>
    <x v="4"/>
    <s v="Portland General Electric"/>
    <n v="208659"/>
    <n v="1118.7938637421748"/>
    <n v="116723.20440728923"/>
  </r>
  <r>
    <x v="4"/>
    <s v="Purchases - Secondary"/>
    <x v="2"/>
    <x v="4"/>
    <s v="Powerex Corp."/>
    <n v="316076"/>
    <n v="1118.7938637421748"/>
    <n v="176811.94463808581"/>
  </r>
  <r>
    <x v="4"/>
    <s v="Purchases - Secondary"/>
    <x v="2"/>
    <x v="4"/>
    <s v="Public Service of Colorado"/>
    <n v="3600"/>
    <n v="1118.7938637421748"/>
    <n v="2013.8289547359147"/>
  </r>
  <r>
    <x v="4"/>
    <s v="Purchases - Secondary"/>
    <x v="2"/>
    <x v="4"/>
    <s v="Rainbow Energy Marketing"/>
    <n v="222154"/>
    <n v="1118.7938637421748"/>
    <n v="124272.26600288956"/>
  </r>
  <r>
    <x v="4"/>
    <s v="Purchases - Secondary"/>
    <x v="2"/>
    <x v="4"/>
    <s v="Redding, City of"/>
    <n v="496"/>
    <n v="1118.7938637421748"/>
    <n v="277.46087820805934"/>
  </r>
  <r>
    <x v="4"/>
    <s v="Purchases - Secondary"/>
    <x v="2"/>
    <x v="4"/>
    <s v="Sacramento Municipal"/>
    <n v="6590"/>
    <n v="1118.7938637421748"/>
    <n v="3686.4257810304662"/>
  </r>
  <r>
    <x v="4"/>
    <s v="Purchases - Secondary"/>
    <x v="2"/>
    <x v="4"/>
    <s v="Seattle City Light Marketing"/>
    <n v="211502"/>
    <n v="1118.7938637421748"/>
    <n v="118313.56988459874"/>
  </r>
  <r>
    <x v="4"/>
    <s v="Purchases - Secondary"/>
    <x v="2"/>
    <x v="4"/>
    <s v="Sempra Energy Trading"/>
    <n v="2267825"/>
    <n v="1118.7938637421748"/>
    <n v="1268614.3470205488"/>
  </r>
  <r>
    <x v="4"/>
    <s v="Purchases - Secondary"/>
    <x v="2"/>
    <x v="4"/>
    <s v="Shell Energy (Coral Pwr)"/>
    <n v="485252"/>
    <n v="1118.7938637421748"/>
    <n v="271448.47998430888"/>
  </r>
  <r>
    <x v="4"/>
    <s v="Purchases - Secondary"/>
    <x v="2"/>
    <x v="4"/>
    <s v="Sierra Pacific Power"/>
    <n v="25"/>
    <n v="1118.7938637421748"/>
    <n v="13.984923296777186"/>
  </r>
  <r>
    <x v="4"/>
    <s v="Purchases - Secondary"/>
    <x v="2"/>
    <x v="4"/>
    <s v="Snohomish County PUD #1"/>
    <n v="57116"/>
    <n v="1118.7938637421748"/>
    <n v="31950.51516074903"/>
  </r>
  <r>
    <x v="4"/>
    <s v="Purchases - Secondary"/>
    <x v="2"/>
    <x v="4"/>
    <s v="Southern Cal - Edison"/>
    <n v="7805"/>
    <n v="1118.7938637421748"/>
    <n v="4366.0930532538368"/>
  </r>
  <r>
    <x v="4"/>
    <s v="Purchases - Secondary"/>
    <x v="2"/>
    <x v="4"/>
    <s v="Tacoma Power"/>
    <n v="75813"/>
    <n v="1118.7938637421748"/>
    <n v="42409.559595942752"/>
  </r>
  <r>
    <x v="4"/>
    <s v="Purchases - Secondary"/>
    <x v="2"/>
    <x v="4"/>
    <s v="Talen Energy (PPL Energy Plus)"/>
    <n v="407444"/>
    <n v="1118.7938637421748"/>
    <n v="227922.92350928334"/>
  </r>
  <r>
    <x v="4"/>
    <s v="Purchases - Secondary"/>
    <x v="2"/>
    <x v="4"/>
    <s v="Tenaska"/>
    <n v="2895"/>
    <n v="1118.7938637421748"/>
    <n v="1619.4541177667979"/>
  </r>
  <r>
    <x v="4"/>
    <s v="Purchases - Secondary"/>
    <x v="2"/>
    <x v="4"/>
    <s v="The Energy Authority"/>
    <n v="122625"/>
    <n v="1118.7938637421748"/>
    <n v="68596.048770692098"/>
  </r>
  <r>
    <x v="4"/>
    <s v="Purchases - Secondary"/>
    <x v="2"/>
    <x v="4"/>
    <s v="TransAlta Energy Marketing"/>
    <n v="278480"/>
    <n v="1118.7938637421748"/>
    <n v="155780.85758746043"/>
  </r>
  <r>
    <x v="4"/>
    <s v="Purchases - Secondary"/>
    <x v="2"/>
    <x v="4"/>
    <s v="TransCanada Energy Marketing"/>
    <n v="7326"/>
    <n v="1118.7938637421748"/>
    <n v="4098.1419228875866"/>
  </r>
  <r>
    <x v="4"/>
    <s v="Purchases - Secondary"/>
    <x v="2"/>
    <x v="4"/>
    <s v="TransCanada Energy Sales Ltd"/>
    <n v="9898"/>
    <n v="1118.7938637421748"/>
    <n v="5536.9108316600232"/>
  </r>
  <r>
    <x v="4"/>
    <s v="Purchases - Secondary"/>
    <x v="2"/>
    <x v="4"/>
    <s v="Turlock Irrigation District"/>
    <n v="850"/>
    <n v="1118.7938637421748"/>
    <n v="475.48739209042429"/>
  </r>
  <r>
    <x v="4"/>
    <s v="Purchases - Secondary"/>
    <x v="2"/>
    <x v="4"/>
    <s v="Western Area Power Association"/>
    <n v="360"/>
    <n v="1118.7938637421748"/>
    <n v="201.38289547359145"/>
  </r>
  <r>
    <x v="4"/>
    <s v="Interchange - In"/>
    <x v="2"/>
    <x v="4"/>
    <s v="Black Creek Hydro"/>
    <n v="6088"/>
    <n v="1118.7938637421748"/>
    <n v="3405.60852123118"/>
  </r>
  <r>
    <x v="4"/>
    <s v="Interchange - In"/>
    <x v="2"/>
    <x v="4"/>
    <s v="BPA"/>
    <n v="76504"/>
    <n v="1118.7938637421748"/>
    <n v="42796.102875865676"/>
  </r>
  <r>
    <x v="4"/>
    <s v="Interchange - In"/>
    <x v="2"/>
    <x v="4"/>
    <s v="Deviation"/>
    <n v="-23317.616000000002"/>
    <n v="1118.7938637421748"/>
    <n v="-13043.802848948179"/>
  </r>
  <r>
    <x v="4"/>
    <s v="Interchange - In"/>
    <x v="2"/>
    <x v="4"/>
    <s v="Morgan Stanley CG"/>
    <n v="20000"/>
    <n v="1118.7938637421748"/>
    <n v="11187.938637421748"/>
  </r>
  <r>
    <x v="4"/>
    <s v="Interchange - In"/>
    <x v="2"/>
    <x v="4"/>
    <s v="Pacific Gas &amp; Elec - Exchange"/>
    <n v="413000"/>
    <n v="1118.7938637421748"/>
    <n v="231030.9328627591"/>
  </r>
  <r>
    <x v="4"/>
    <s v="Interchange - In"/>
    <x v="2"/>
    <x v="4"/>
    <s v="Powerex Corp."/>
    <n v="38000"/>
    <n v="1118.7938637421748"/>
    <n v="21257.083411101321"/>
  </r>
  <r>
    <x v="4"/>
    <s v="Interchange - In"/>
    <x v="2"/>
    <x v="4"/>
    <s v="TransAlta Energy Marketing"/>
    <n v="1533600"/>
    <n v="1118.7938637421748"/>
    <n v="857891.1347174996"/>
  </r>
  <r>
    <x v="4"/>
    <s v="Interchange - Out"/>
    <x v="2"/>
    <x v="4"/>
    <s v="Black Creek Hydro"/>
    <n v="-4172"/>
    <n v="1118.7938637421748"/>
    <n v="-2333.8039997661767"/>
  </r>
  <r>
    <x v="4"/>
    <s v="Interchange - Out"/>
    <x v="2"/>
    <x v="4"/>
    <s v="BPA"/>
    <n v="-81545"/>
    <n v="1118.7938637421748"/>
    <n v="-45616.022809427821"/>
  </r>
  <r>
    <x v="4"/>
    <s v="Interchange - Out"/>
    <x v="2"/>
    <x v="4"/>
    <s v="Deviation"/>
    <n v="-43828.805999999997"/>
    <n v="1118.7938637421748"/>
    <n v="-24517.699603973106"/>
  </r>
  <r>
    <x v="4"/>
    <s v="Interchange - Out"/>
    <x v="2"/>
    <x v="4"/>
    <s v="Morgan Stanley CG"/>
    <n v="-17200"/>
    <n v="1118.7938637421748"/>
    <n v="-9621.6272281827041"/>
  </r>
  <r>
    <x v="4"/>
    <s v="Interchange - Out"/>
    <x v="2"/>
    <x v="4"/>
    <s v="Pacific Gas &amp; Elec - Exchange"/>
    <n v="-413000"/>
    <n v="1118.7938637421748"/>
    <n v="-231030.9328627591"/>
  </r>
  <r>
    <x v="4"/>
    <s v="Interchange - Out"/>
    <x v="2"/>
    <x v="4"/>
    <s v="Powerex Corp."/>
    <n v="-68795"/>
    <n v="1118.7938637421748"/>
    <n v="-38483.711928071461"/>
  </r>
  <r>
    <x v="4"/>
    <s v="Interchange - Out"/>
    <x v="2"/>
    <x v="4"/>
    <s v="TransAlta Energy Marketing"/>
    <n v="-1533600"/>
    <n v="1118.7938637421748"/>
    <n v="-857891.1347174996"/>
  </r>
  <r>
    <x v="4"/>
    <s v="Sales for Resale"/>
    <x v="2"/>
    <x v="4"/>
    <s v="Avista Corp. WWP Division"/>
    <n v="-39571"/>
    <n v="1118.7938637421748"/>
    <n v="-22135.8959910708"/>
  </r>
  <r>
    <x v="4"/>
    <s v="Sales for Resale"/>
    <x v="2"/>
    <x v="4"/>
    <s v="Barclays Bank Plc"/>
    <n v="-33513"/>
    <n v="1118.7938637421748"/>
    <n v="-18747.069377795753"/>
  </r>
  <r>
    <x v="4"/>
    <s v="Sales for Resale"/>
    <x v="2"/>
    <x v="4"/>
    <s v="Black Hills Power"/>
    <n v="-1600"/>
    <n v="1118.7938637421748"/>
    <n v="-895.03509099373991"/>
  </r>
  <r>
    <x v="4"/>
    <s v="Sales for Resale"/>
    <x v="2"/>
    <x v="4"/>
    <s v="Book Outs - EITF 03-11"/>
    <n v="3599695"/>
    <n v="1118.7938637421748"/>
    <n v="2013658.338671694"/>
  </r>
  <r>
    <x v="4"/>
    <s v="Sales for Resale"/>
    <x v="2"/>
    <x v="4"/>
    <s v="BP Energy Co."/>
    <n v="-152945"/>
    <n v="1118.7938637421748"/>
    <n v="-85556.963745023459"/>
  </r>
  <r>
    <x v="4"/>
    <s v="Sales for Resale"/>
    <x v="2"/>
    <x v="4"/>
    <s v="BPA"/>
    <n v="-254156"/>
    <n v="1118.7938637421748"/>
    <n v="-142174.08661662808"/>
  </r>
  <r>
    <x v="4"/>
    <s v="Sales for Resale"/>
    <x v="2"/>
    <x v="4"/>
    <s v="British Columbia Transmission Corp"/>
    <n v="-35"/>
    <n v="1118.7938637421748"/>
    <n v="-19.578892615488062"/>
  </r>
  <r>
    <x v="4"/>
    <s v="Sales for Resale"/>
    <x v="2"/>
    <x v="4"/>
    <s v="Cargill Power Markets"/>
    <n v="-240421"/>
    <n v="1118.7938637421748"/>
    <n v="-134490.7697573787"/>
  </r>
  <r>
    <x v="4"/>
    <s v="Sales for Resale"/>
    <x v="2"/>
    <x v="4"/>
    <s v="Chelan County PUD #1"/>
    <n v="-3890"/>
    <n v="1118.7938637421748"/>
    <n v="-2176.0540649785303"/>
  </r>
  <r>
    <x v="4"/>
    <s v="Sales for Resale"/>
    <x v="2"/>
    <x v="4"/>
    <s v="Citigroup Energy Inc"/>
    <n v="-635716"/>
    <n v="1118.7938637421748"/>
    <n v="-355617.57994136022"/>
  </r>
  <r>
    <x v="4"/>
    <s v="Sales for Resale"/>
    <x v="2"/>
    <x v="4"/>
    <s v="Clatskanie PUD"/>
    <n v="-15633"/>
    <n v="1118.7938637421748"/>
    <n v="-8745.0522359407096"/>
  </r>
  <r>
    <x v="4"/>
    <s v="Sales for Resale"/>
    <x v="2"/>
    <x v="4"/>
    <s v="Conoco, Inc."/>
    <n v="-111736"/>
    <n v="1118.7938637421748"/>
    <n v="-62504.775579547822"/>
  </r>
  <r>
    <x v="4"/>
    <s v="Sales for Resale"/>
    <x v="2"/>
    <x v="4"/>
    <s v="Constellation Power Source, Inc."/>
    <n v="-61701"/>
    <n v="1118.7938637421748"/>
    <n v="-34515.350093377965"/>
  </r>
  <r>
    <x v="4"/>
    <s v="Sales for Resale"/>
    <x v="2"/>
    <x v="4"/>
    <s v="CP Energy Marketing (Epcor)"/>
    <n v="-605"/>
    <n v="1118.7938637421748"/>
    <n v="-338.43514378200791"/>
  </r>
  <r>
    <x v="4"/>
    <s v="Sales for Resale"/>
    <x v="2"/>
    <x v="4"/>
    <s v="Credit Suisse Energy, LLC"/>
    <n v="-8444"/>
    <n v="1118.7938637421748"/>
    <n v="-4723.5476927194622"/>
  </r>
  <r>
    <x v="4"/>
    <s v="Sales for Resale"/>
    <x v="2"/>
    <x v="4"/>
    <s v="DB Energy Trading LLC"/>
    <n v="-182400"/>
    <n v="1118.7938637421748"/>
    <n v="-102034.00037328636"/>
  </r>
  <r>
    <x v="4"/>
    <s v="Sales for Resale"/>
    <x v="2"/>
    <x v="4"/>
    <s v="Douglas County PUD #1"/>
    <n v="-450"/>
    <n v="1118.7938637421748"/>
    <n v="-251.72861934198934"/>
  </r>
  <r>
    <x v="4"/>
    <s v="Sales for Resale"/>
    <x v="2"/>
    <x v="4"/>
    <s v="Eagle Energy Partners"/>
    <n v="-10242"/>
    <n v="1118.7938637421748"/>
    <n v="-5729.3433762236782"/>
  </r>
  <r>
    <x v="4"/>
    <s v="Sales for Resale"/>
    <x v="2"/>
    <x v="4"/>
    <s v="ENMAX Energy Marketing, Inc."/>
    <n v="-6394"/>
    <n v="1118.7938637421748"/>
    <n v="-3576.783982383733"/>
  </r>
  <r>
    <x v="4"/>
    <s v="Sales for Resale"/>
    <x v="2"/>
    <x v="4"/>
    <s v="Eugene Water &amp; Electric"/>
    <n v="-19889"/>
    <n v="1118.7938637421748"/>
    <n v="-11125.845577984057"/>
  </r>
  <r>
    <x v="4"/>
    <s v="Sales for Resale"/>
    <x v="2"/>
    <x v="4"/>
    <s v="Fortis Energy Marketing &amp; Trading"/>
    <n v="-110920"/>
    <n v="1118.7938637421748"/>
    <n v="-62048.307683141014"/>
  </r>
  <r>
    <x v="4"/>
    <s v="Sales for Resale"/>
    <x v="2"/>
    <x v="4"/>
    <s v="Grant County PUD #2"/>
    <n v="-22571"/>
    <n v="1118.7938637421748"/>
    <n v="-12626.148149262315"/>
  </r>
  <r>
    <x v="4"/>
    <s v="Sales for Resale"/>
    <x v="2"/>
    <x v="4"/>
    <s v="Hinson Power Company"/>
    <n v="-3950"/>
    <n v="1118.7938637421748"/>
    <n v="-2209.6178808907953"/>
  </r>
  <r>
    <x v="4"/>
    <s v="Sales for Resale"/>
    <x v="2"/>
    <x v="4"/>
    <s v="Iberdrola Renewables (PPM Energy)"/>
    <n v="-485458"/>
    <n v="1118.7938637421748"/>
    <n v="-271563.71575227432"/>
  </r>
  <r>
    <x v="4"/>
    <s v="Sales for Resale"/>
    <x v="2"/>
    <x v="4"/>
    <s v="Idaho Power Company"/>
    <n v="-31952"/>
    <n v="1118.7938637421748"/>
    <n v="-17873.850767144984"/>
  </r>
  <r>
    <x v="4"/>
    <s v="Sales for Resale"/>
    <x v="2"/>
    <x v="4"/>
    <s v="Integrys Energy Services, Inc"/>
    <n v="-4800"/>
    <n v="1118.7938637421748"/>
    <n v="-2685.1052729812195"/>
  </r>
  <r>
    <x v="4"/>
    <s v="Sales for Resale"/>
    <x v="2"/>
    <x v="4"/>
    <s v="J. Aron &amp; Company"/>
    <n v="-43800"/>
    <n v="1118.7938637421748"/>
    <n v="-24501.585615953627"/>
  </r>
  <r>
    <x v="4"/>
    <s v="Sales for Resale"/>
    <x v="2"/>
    <x v="4"/>
    <s v="JP Morgan Ventures Energy"/>
    <n v="-162587"/>
    <n v="1118.7938637421748"/>
    <n v="-90950.668962124502"/>
  </r>
  <r>
    <x v="4"/>
    <s v="Sales for Resale"/>
    <x v="2"/>
    <x v="4"/>
    <s v="Los Angeles Dept. Water &amp; Power"/>
    <n v="-400"/>
    <n v="1118.7938637421748"/>
    <n v="-223.75877274843498"/>
  </r>
  <r>
    <x v="4"/>
    <s v="Sales for Resale"/>
    <x v="2"/>
    <x v="4"/>
    <s v="Modesto Irrigation District"/>
    <n v="-2329"/>
    <n v="1118.7938637421748"/>
    <n v="-1302.8354543277626"/>
  </r>
  <r>
    <x v="4"/>
    <s v="Sales for Resale"/>
    <x v="2"/>
    <x v="4"/>
    <s v="Morgan Stanley CG"/>
    <n v="-660584"/>
    <n v="1118.7938637421748"/>
    <n v="-369528.66284313041"/>
  </r>
  <r>
    <x v="4"/>
    <s v="Sales for Resale"/>
    <x v="2"/>
    <x v="4"/>
    <s v="N. California Power Agency"/>
    <n v="-558"/>
    <n v="1118.7938637421748"/>
    <n v="-312.14348798406678"/>
  </r>
  <r>
    <x v="4"/>
    <s v="Sales for Resale"/>
    <x v="2"/>
    <x v="4"/>
    <s v="Natur Ener USA"/>
    <n v="-9"/>
    <n v="1118.7938637421748"/>
    <n v="-5.0345723868397876"/>
  </r>
  <r>
    <x v="4"/>
    <s v="Sales for Resale"/>
    <x v="2"/>
    <x v="4"/>
    <s v="NorthPoint Energy Solutions, Inc."/>
    <n v="-40364"/>
    <n v="1118.7938637421748"/>
    <n v="-22579.49775804457"/>
  </r>
  <r>
    <x v="4"/>
    <s v="Sales for Resale"/>
    <x v="2"/>
    <x v="4"/>
    <s v="Northwestern Energy"/>
    <n v="-22137"/>
    <n v="1118.7938637421748"/>
    <n v="-12383.369880830262"/>
  </r>
  <r>
    <x v="4"/>
    <s v="Sales for Resale"/>
    <x v="2"/>
    <x v="4"/>
    <s v="Occidental Power Services"/>
    <n v="-33200"/>
    <n v="1118.7938637421748"/>
    <n v="-18571.978138120103"/>
  </r>
  <r>
    <x v="4"/>
    <s v="Sales for Resale"/>
    <x v="2"/>
    <x v="4"/>
    <s v="Okanogan PUD"/>
    <n v="-180"/>
    <n v="1118.7938637421748"/>
    <n v="-100.69144773679572"/>
  </r>
  <r>
    <x v="4"/>
    <s v="Sales for Resale"/>
    <x v="2"/>
    <x v="4"/>
    <s v="Pacific Northwest Generatin Coop."/>
    <n v="-15026"/>
    <n v="1118.7938637421748"/>
    <n v="-8405.4982982949605"/>
  </r>
  <r>
    <x v="4"/>
    <s v="Sales for Resale"/>
    <x v="2"/>
    <x v="4"/>
    <s v="Pacific Summit Energy LLC"/>
    <n v="-141740"/>
    <n v="1118.7938637421748"/>
    <n v="-79288.921123407927"/>
  </r>
  <r>
    <x v="4"/>
    <s v="Sales for Resale"/>
    <x v="2"/>
    <x v="4"/>
    <s v="Pacificorp"/>
    <n v="-175631"/>
    <n v="1118.7938637421748"/>
    <n v="-98247.442541450946"/>
  </r>
  <r>
    <x v="4"/>
    <s v="Sales for Resale"/>
    <x v="2"/>
    <x v="4"/>
    <s v="PG&amp;E Energy Trading"/>
    <n v="-1400"/>
    <n v="1118.7938637421748"/>
    <n v="-783.15570461952245"/>
  </r>
  <r>
    <x v="4"/>
    <s v="Sales for Resale"/>
    <x v="2"/>
    <x v="4"/>
    <s v="Portland General Electric"/>
    <n v="-88446"/>
    <n v="1118.7938637421748"/>
    <n v="-49476.4210362702"/>
  </r>
  <r>
    <x v="4"/>
    <s v="Sales for Resale"/>
    <x v="2"/>
    <x v="4"/>
    <s v="Powerex Corp."/>
    <n v="-547840"/>
    <n v="1118.7938637421748"/>
    <n v="-306460.01515625656"/>
  </r>
  <r>
    <x v="4"/>
    <s v="Sales for Resale"/>
    <x v="2"/>
    <x v="4"/>
    <s v="Public Service of Colorado"/>
    <n v="-6800"/>
    <n v="1118.7938637421748"/>
    <n v="-3803.8991367233943"/>
  </r>
  <r>
    <x v="4"/>
    <s v="Sales for Resale"/>
    <x v="2"/>
    <x v="4"/>
    <s v="Rainbow Energy Marketing"/>
    <n v="-57994"/>
    <n v="1118.7938637421748"/>
    <n v="-32441.665666931844"/>
  </r>
  <r>
    <x v="4"/>
    <s v="Sales for Resale"/>
    <x v="2"/>
    <x v="4"/>
    <s v="Redding, City of"/>
    <n v="-441"/>
    <n v="1118.7938637421748"/>
    <n v="-246.69404695514956"/>
  </r>
  <r>
    <x v="4"/>
    <s v="Sales for Resale"/>
    <x v="2"/>
    <x v="4"/>
    <s v="Sacramento Municipal"/>
    <n v="-11919"/>
    <n v="1118.7938637421748"/>
    <n v="-6667.4520309714908"/>
  </r>
  <r>
    <x v="4"/>
    <s v="Sales for Resale"/>
    <x v="2"/>
    <x v="4"/>
    <s v="San Diego Gas &amp; Electric"/>
    <n v="-1032"/>
    <n v="1118.7938637421748"/>
    <n v="-577.29763369096224"/>
  </r>
  <r>
    <x v="4"/>
    <s v="Sales for Resale"/>
    <x v="2"/>
    <x v="4"/>
    <s v="Seattle City Light Marketing"/>
    <n v="-33841"/>
    <n v="1118.7938637421748"/>
    <n v="-18930.551571449469"/>
  </r>
  <r>
    <x v="4"/>
    <s v="Sales for Resale"/>
    <x v="2"/>
    <x v="4"/>
    <s v="Sempra Energy Trading"/>
    <n v="-272319"/>
    <n v="1118.7938637421748"/>
    <n v="-152334.41309020267"/>
  </r>
  <r>
    <x v="4"/>
    <s v="Sales for Resale"/>
    <x v="2"/>
    <x v="4"/>
    <s v="Shell Energy (Coral Pwr)"/>
    <n v="-446690"/>
    <n v="1118.7938637421748"/>
    <n v="-249877.01549749603"/>
  </r>
  <r>
    <x v="4"/>
    <s v="Sales for Resale"/>
    <x v="2"/>
    <x v="4"/>
    <s v="Sierra Pacific Power"/>
    <n v="-3532"/>
    <n v="1118.7938637421748"/>
    <n v="-1975.7899633686809"/>
  </r>
  <r>
    <x v="4"/>
    <s v="Sales for Resale"/>
    <x v="2"/>
    <x v="4"/>
    <s v="Silicon Valley Pwr - Santa Clara"/>
    <n v="-35"/>
    <n v="1118.7938637421748"/>
    <n v="-19.578892615488062"/>
  </r>
  <r>
    <x v="4"/>
    <s v="Sales for Resale"/>
    <x v="2"/>
    <x v="4"/>
    <s v="Snohomish County PUD #1"/>
    <n v="-10967"/>
    <n v="1118.7938637421748"/>
    <n v="-6134.906151830216"/>
  </r>
  <r>
    <x v="4"/>
    <s v="Sales for Resale"/>
    <x v="2"/>
    <x v="4"/>
    <s v="Southern Cal - Edison"/>
    <n v="-502250"/>
    <n v="1118.7938637421748"/>
    <n v="-280957.10903225368"/>
  </r>
  <r>
    <x v="4"/>
    <s v="Sales for Resale"/>
    <x v="2"/>
    <x v="4"/>
    <s v="Tacoma Power"/>
    <n v="-2294"/>
    <n v="1118.7938637421748"/>
    <n v="-1283.2565617122746"/>
  </r>
  <r>
    <x v="4"/>
    <s v="Sales for Resale"/>
    <x v="2"/>
    <x v="4"/>
    <s v="Talen Energy (PPL Energy Plus)"/>
    <n v="-71305"/>
    <n v="1118.7938637421748"/>
    <n v="-39887.798227067891"/>
  </r>
  <r>
    <x v="4"/>
    <s v="Sales for Resale"/>
    <x v="2"/>
    <x v="4"/>
    <s v="The Energy Authority"/>
    <n v="-14698"/>
    <n v="1118.7938637421748"/>
    <n v="-8222.0161046412431"/>
  </r>
  <r>
    <x v="4"/>
    <s v="Sales for Resale"/>
    <x v="2"/>
    <x v="4"/>
    <s v="TransAlta Energy Marketing"/>
    <n v="-297158"/>
    <n v="1118.7938637421748"/>
    <n v="-166229.27348094858"/>
  </r>
  <r>
    <x v="4"/>
    <s v="Sales for Resale"/>
    <x v="2"/>
    <x v="4"/>
    <s v="TransCanada Energy Marketing"/>
    <n v="-4687"/>
    <n v="1118.7938637421748"/>
    <n v="-2621.8934196797863"/>
  </r>
  <r>
    <x v="4"/>
    <s v="Sales for Resale"/>
    <x v="2"/>
    <x v="4"/>
    <s v="TransCanada Energy Sales Ltd"/>
    <n v="-10850"/>
    <n v="1118.7938637421748"/>
    <n v="-6069.4567108012989"/>
  </r>
  <r>
    <x v="4"/>
    <s v="Sales for Resale"/>
    <x v="2"/>
    <x v="4"/>
    <s v="Turlock Irrigation District"/>
    <n v="-3013"/>
    <n v="1118.7938637421748"/>
    <n v="-1685.4629557275862"/>
  </r>
  <r>
    <x v="4"/>
    <s v="Sales for Resale"/>
    <x v="2"/>
    <x v="4"/>
    <s v="Western Area Power Association"/>
    <n v="-80"/>
    <n v="1118.7938637421748"/>
    <n v="-44.751754549686993"/>
  </r>
  <r>
    <x v="5"/>
    <s v="Generation - Hydro"/>
    <x v="0"/>
    <x v="0"/>
    <s v="Electron"/>
    <n v="88025.31"/>
    <n v="0"/>
    <n v="0"/>
  </r>
  <r>
    <x v="5"/>
    <s v="Generation - Hydro"/>
    <x v="0"/>
    <x v="0"/>
    <s v="Lower Baker"/>
    <n v="366338.20400000003"/>
    <n v="0"/>
    <n v="0"/>
  </r>
  <r>
    <x v="5"/>
    <s v="Generation - Hydro"/>
    <x v="0"/>
    <x v="0"/>
    <s v="Snoqualmie Falls #1"/>
    <n v="13051.4"/>
    <n v="0"/>
    <n v="0"/>
  </r>
  <r>
    <x v="5"/>
    <s v="Generation - Hydro"/>
    <x v="0"/>
    <x v="0"/>
    <s v="Snoqualmie Falls #2"/>
    <n v="101676.9"/>
    <n v="0"/>
    <n v="0"/>
  </r>
  <r>
    <x v="5"/>
    <s v="Generation - Hydro"/>
    <x v="0"/>
    <x v="0"/>
    <s v="Upper Baker"/>
    <n v="360504.88400000002"/>
    <n v="0"/>
    <n v="0"/>
  </r>
  <r>
    <x v="5"/>
    <s v="Generation - Steam"/>
    <x v="0"/>
    <x v="1"/>
    <s v="Colstrip 1 &amp; 2"/>
    <n v="2293375"/>
    <n v="2459.3791415279557"/>
    <n v="2820139.3193508377"/>
  </r>
  <r>
    <x v="5"/>
    <s v="Generation - Steam"/>
    <x v="0"/>
    <x v="1"/>
    <s v="Colstrip 3 &amp; 4"/>
    <n v="2904730"/>
    <n v="2253.7140624002409"/>
    <n v="3273215.424237926"/>
  </r>
  <r>
    <x v="5"/>
    <s v="Generation - Steam"/>
    <x v="0"/>
    <x v="2"/>
    <s v="Encogen"/>
    <n v="197771.9"/>
    <n v="1048.0399821103836"/>
    <n v="103636.42926896828"/>
  </r>
  <r>
    <x v="5"/>
    <s v="Generation - Steam"/>
    <x v="0"/>
    <x v="2"/>
    <s v="Freddie #1"/>
    <n v="418445.701"/>
    <n v="852.04390676417449"/>
    <n v="178267.05492435681"/>
  </r>
  <r>
    <x v="5"/>
    <s v="Generation - Steam"/>
    <x v="0"/>
    <x v="2"/>
    <s v="Goldendale"/>
    <n v="1541236"/>
    <n v="802.12478285881059"/>
    <n v="618131.79591709084"/>
  </r>
  <r>
    <x v="5"/>
    <s v="Generation - Steam"/>
    <x v="0"/>
    <x v="2"/>
    <s v="Mint Farm"/>
    <n v="1441302.4"/>
    <n v="853.14312133657666"/>
    <n v="614818.61416294961"/>
  </r>
  <r>
    <x v="5"/>
    <s v="Generation - Steam"/>
    <x v="0"/>
    <x v="2"/>
    <s v="Sumas"/>
    <n v="410625.5"/>
    <n v="1003.9238425075457"/>
    <n v="206118.36489579111"/>
  </r>
  <r>
    <x v="5"/>
    <s v="Generation - Oil/Gas/Wind"/>
    <x v="0"/>
    <x v="3"/>
    <s v="Crystal Mountain"/>
    <n v="113.77"/>
    <n v="2093.3542823985194"/>
    <n v="119.08045835423978"/>
  </r>
  <r>
    <x v="5"/>
    <s v="Generation - Oil/Gas/Wind"/>
    <x v="0"/>
    <x v="2"/>
    <s v="Fredonia"/>
    <n v="11884.6"/>
    <n v="1778.949592432009"/>
    <n v="10571.052163108727"/>
  </r>
  <r>
    <x v="5"/>
    <s v="Generation - Oil/Gas/Wind"/>
    <x v="0"/>
    <x v="2"/>
    <s v="Fredonia 3 &amp; 4"/>
    <n v="62288.3"/>
    <n v="1250.8379732879328"/>
    <n v="38956.285465775371"/>
  </r>
  <r>
    <x v="5"/>
    <s v="Generation - Oil/Gas/Wind"/>
    <x v="0"/>
    <x v="2"/>
    <s v="Fredrickson 1 &amp; 2"/>
    <n v="10272.1"/>
    <n v="2012.6363069602537"/>
    <n v="10337.000704363212"/>
  </r>
  <r>
    <x v="5"/>
    <s v="Generation - Oil/Gas/Wind"/>
    <x v="0"/>
    <x v="0"/>
    <s v="Hopkins Ridge (W184)"/>
    <n v="381270.98800000001"/>
    <n v="0"/>
    <n v="0"/>
  </r>
  <r>
    <x v="5"/>
    <s v="Generation - Oil/Gas/Wind"/>
    <x v="0"/>
    <x v="2"/>
    <s v="Whitehorn 2&amp;3"/>
    <n v="8366.7000000000007"/>
    <n v="1870.3544180877277"/>
    <n v="7824.3471549072965"/>
  </r>
  <r>
    <x v="5"/>
    <s v="Generation - Oil/Gas/Wind"/>
    <x v="0"/>
    <x v="0"/>
    <s v="Wild Horse (W183)"/>
    <n v="609654.95499999996"/>
    <n v="0"/>
    <n v="0"/>
  </r>
  <r>
    <x v="5"/>
    <s v="Purchases - Firm"/>
    <x v="1"/>
    <x v="4"/>
    <s v="BC Hydro (Point Roberts)"/>
    <n v="20921"/>
    <n v="1191.716320391361"/>
    <n v="12465.948569453833"/>
  </r>
  <r>
    <x v="5"/>
    <s v="Purchases - Firm"/>
    <x v="1"/>
    <x v="7"/>
    <s v="Book Outs - EITF 03-11"/>
    <n v="-753803"/>
    <n v="0"/>
    <n v="0"/>
  </r>
  <r>
    <x v="5"/>
    <s v="Purchases - Firm"/>
    <x v="1"/>
    <x v="0"/>
    <s v="BPA"/>
    <n v="7000"/>
    <n v="0"/>
    <n v="0"/>
  </r>
  <r>
    <x v="5"/>
    <s v="Purchases - Firm"/>
    <x v="1"/>
    <x v="4"/>
    <s v="BPA Firm - WNP#3 Exchange"/>
    <n v="406710"/>
    <n v="1191.716320391361"/>
    <n v="242341.47233318523"/>
  </r>
  <r>
    <x v="5"/>
    <s v="Purchases - Firm"/>
    <x v="1"/>
    <x v="0"/>
    <s v="Chelan PUD - Rock Island Syst #2"/>
    <n v="1213235"/>
    <n v="0"/>
    <n v="0"/>
  </r>
  <r>
    <x v="5"/>
    <s v="Purchases - Firm"/>
    <x v="1"/>
    <x v="0"/>
    <s v="Chelan PUD - Rocky Reach"/>
    <n v="1914094"/>
    <n v="0"/>
    <n v="0"/>
  </r>
  <r>
    <x v="5"/>
    <s v="Purchases - Firm"/>
    <x v="1"/>
    <x v="4"/>
    <s v="Credit Suisse Energy, LLC"/>
    <n v="107950"/>
    <n v="1191.716320391361"/>
    <n v="64322.888393123707"/>
  </r>
  <r>
    <x v="5"/>
    <s v="Purchases - Firm"/>
    <x v="1"/>
    <x v="0"/>
    <s v="Douglas PUD - Wells Project"/>
    <n v="871104"/>
    <n v="0"/>
    <n v="0"/>
  </r>
  <r>
    <x v="5"/>
    <s v="Purchases - Firm"/>
    <x v="1"/>
    <x v="0"/>
    <s v="Farm Power Lynden LLC"/>
    <n v="204.023"/>
    <n v="0"/>
    <n v="0"/>
  </r>
  <r>
    <x v="5"/>
    <s v="Purchases - Firm"/>
    <x v="1"/>
    <x v="0"/>
    <s v="Farm Power Rexville LLC"/>
    <n v="4873.87"/>
    <n v="0"/>
    <n v="0"/>
  </r>
  <r>
    <x v="5"/>
    <s v="Purchases - Firm"/>
    <x v="1"/>
    <x v="0"/>
    <s v="Grant PUD - Priest Rapids Project"/>
    <n v="331731"/>
    <n v="0"/>
    <n v="0"/>
  </r>
  <r>
    <x v="5"/>
    <s v="Purchases - Firm"/>
    <x v="1"/>
    <x v="0"/>
    <s v="Klondike Wind Power III"/>
    <n v="120632"/>
    <n v="0"/>
    <n v="0"/>
  </r>
  <r>
    <x v="5"/>
    <s v="Purchases - Firm"/>
    <x v="1"/>
    <x v="1"/>
    <s v="NWestern Energy(MPC) Firm Contract"/>
    <n v="788313"/>
    <n v="2156.77257820159"/>
    <n v="850105.93071991508"/>
  </r>
  <r>
    <x v="5"/>
    <s v="Purchases - Firm"/>
    <x v="1"/>
    <x v="4"/>
    <s v="Powerex Corp."/>
    <n v="179999"/>
    <n v="1191.716320391361"/>
    <n v="107253.8729770623"/>
  </r>
  <r>
    <x v="5"/>
    <s v="Purchases - Firm"/>
    <x v="1"/>
    <x v="0"/>
    <s v="Qualco Energy"/>
    <n v="3520"/>
    <n v="0"/>
    <n v="0"/>
  </r>
  <r>
    <x v="5"/>
    <s v="Purchases - Firm"/>
    <x v="1"/>
    <x v="4"/>
    <s v="Sempra Energy Trading"/>
    <n v="547795"/>
    <n v="1191.716320391361"/>
    <n v="326408.12086439284"/>
  </r>
  <r>
    <x v="5"/>
    <s v="Purchases - Firm"/>
    <x v="1"/>
    <x v="4"/>
    <s v="Shell Energy (Coral Pwr)"/>
    <n v="330050"/>
    <n v="1191.716320391361"/>
    <n v="196662.98577258436"/>
  </r>
  <r>
    <x v="5"/>
    <s v="Purchases - Firm"/>
    <x v="1"/>
    <x v="4"/>
    <s v="Snohomish PUD Conservation"/>
    <n v="14464"/>
    <n v="1191.716320391361"/>
    <n v="8618.4924290703239"/>
  </r>
  <r>
    <x v="5"/>
    <s v="Purchases - Firm"/>
    <x v="1"/>
    <x v="0"/>
    <s v="VanderHaak Dairy Digester"/>
    <n v="2551.8000000000002"/>
    <n v="0"/>
    <n v="0"/>
  </r>
  <r>
    <x v="5"/>
    <s v="Purchases - Firm"/>
    <x v="1"/>
    <x v="0"/>
    <s v="WASCO Hydro"/>
    <n v="40782"/>
    <n v="0"/>
    <n v="0"/>
  </r>
  <r>
    <x v="5"/>
    <s v="Purchases - PURPA"/>
    <x v="1"/>
    <x v="0"/>
    <s v="Hutchinson Creek"/>
    <n v="1106.72"/>
    <n v="0"/>
    <n v="0"/>
  </r>
  <r>
    <x v="5"/>
    <s v="Purchases - PURPA"/>
    <x v="1"/>
    <x v="0"/>
    <s v="Koma Kulshan Associates"/>
    <n v="42708.480000000003"/>
    <n v="0"/>
    <n v="0"/>
  </r>
  <r>
    <x v="5"/>
    <s v="Purchases - PURPA"/>
    <x v="1"/>
    <x v="2"/>
    <s v="March Point Cogen. - 1 &amp; 2"/>
    <n v="1081243.416"/>
    <n v="712.53279701083932"/>
    <n v="385210.69772601721"/>
  </r>
  <r>
    <x v="5"/>
    <s v="Purchases - PURPA"/>
    <x v="1"/>
    <x v="0"/>
    <s v="Nooksack"/>
    <n v="25921.554"/>
    <n v="0"/>
    <n v="0"/>
  </r>
  <r>
    <x v="5"/>
    <s v="Purchases - PURPA"/>
    <x v="1"/>
    <x v="5"/>
    <s v="Port Townsend Paper Co."/>
    <n v="2886.24"/>
    <n v="1034.1967526732399"/>
    <n v="1492.4700177178058"/>
  </r>
  <r>
    <x v="5"/>
    <s v="Purchases - PURPA"/>
    <x v="1"/>
    <x v="6"/>
    <s v="Spokane MSW"/>
    <n v="141480"/>
    <n v="4609.1077496501721"/>
    <n v="326048.28221025318"/>
  </r>
  <r>
    <x v="5"/>
    <s v="Purchases - PURPA"/>
    <x v="1"/>
    <x v="0"/>
    <s v="Sygitowicz Creek"/>
    <n v="1227.8399999999999"/>
    <n v="0"/>
    <n v="0"/>
  </r>
  <r>
    <x v="5"/>
    <s v="Purchases - PURPA"/>
    <x v="1"/>
    <x v="2"/>
    <s v="Tenaska"/>
    <n v="652723.43999999994"/>
    <n v="885.49571382392162"/>
    <n v="288991.90421620279"/>
  </r>
  <r>
    <x v="5"/>
    <s v="Purchases - PURPA"/>
    <x v="1"/>
    <x v="0"/>
    <s v="Twin Falls Hydro"/>
    <n v="73497.600000000006"/>
    <n v="0"/>
    <n v="0"/>
  </r>
  <r>
    <x v="5"/>
    <s v="Purchases - PURPA"/>
    <x v="1"/>
    <x v="0"/>
    <s v="Weeks Falls"/>
    <n v="13234.2"/>
    <n v="0"/>
    <n v="0"/>
  </r>
  <r>
    <x v="5"/>
    <s v="Purchases - Secondary"/>
    <x v="2"/>
    <x v="4"/>
    <s v="Avista Corp. WWP Division"/>
    <n v="165694.6"/>
    <n v="1191.716320391361"/>
    <n v="98730.479510359219"/>
  </r>
  <r>
    <x v="5"/>
    <s v="Purchases - Secondary"/>
    <x v="2"/>
    <x v="4"/>
    <s v="Barclays Bank Plc"/>
    <n v="138700"/>
    <n v="1191.716320391361"/>
    <n v="82645.526819140883"/>
  </r>
  <r>
    <x v="5"/>
    <s v="Purchases - Secondary"/>
    <x v="2"/>
    <x v="4"/>
    <s v="Black Hills Power"/>
    <n v="1224"/>
    <n v="1191.716320391361"/>
    <n v="729.330388079513"/>
  </r>
  <r>
    <x v="5"/>
    <s v="Purchases - Secondary"/>
    <x v="2"/>
    <x v="4"/>
    <s v="BNP Paribas Energy Trading"/>
    <n v="15600"/>
    <n v="1191.716320391361"/>
    <n v="9295.3872990526161"/>
  </r>
  <r>
    <x v="5"/>
    <s v="Purchases - Secondary"/>
    <x v="2"/>
    <x v="4"/>
    <s v="Book Outs - EITF 03-11"/>
    <n v="-3094185"/>
    <n v="1191.716320391361"/>
    <n v="-1843695.3814050718"/>
  </r>
  <r>
    <x v="5"/>
    <s v="Purchases - Secondary"/>
    <x v="2"/>
    <x v="4"/>
    <s v="BP Energy Co."/>
    <n v="78616"/>
    <n v="1191.716320391361"/>
    <n v="46843.985121943624"/>
  </r>
  <r>
    <x v="5"/>
    <s v="Purchases - Secondary"/>
    <x v="2"/>
    <x v="4"/>
    <s v="BPA"/>
    <n v="206160"/>
    <n v="1191.716320391361"/>
    <n v="122842.11830594149"/>
  </r>
  <r>
    <x v="5"/>
    <s v="Purchases - Secondary"/>
    <x v="2"/>
    <x v="4"/>
    <s v="Burbank, City of"/>
    <n v="59686"/>
    <n v="1191.716320391361"/>
    <n v="35564.390149439387"/>
  </r>
  <r>
    <x v="5"/>
    <s v="Purchases - Secondary"/>
    <x v="2"/>
    <x v="4"/>
    <s v="Cargill Power Markets"/>
    <n v="183821"/>
    <n v="1191.716320391361"/>
    <n v="109531.24286533019"/>
  </r>
  <r>
    <x v="5"/>
    <s v="Purchases - Secondary"/>
    <x v="2"/>
    <x v="4"/>
    <s v="Chelan County PUD #1"/>
    <n v="15633"/>
    <n v="1191.716320391361"/>
    <n v="9315.0506183390735"/>
  </r>
  <r>
    <x v="5"/>
    <s v="Purchases - Secondary"/>
    <x v="2"/>
    <x v="4"/>
    <s v="Citigroup Energy Inc"/>
    <n v="775756"/>
    <n v="1191.716320391361"/>
    <n v="462240.54292076034"/>
  </r>
  <r>
    <x v="5"/>
    <s v="Purchases - Secondary"/>
    <x v="2"/>
    <x v="4"/>
    <s v="Clatskanie PUD"/>
    <n v="25594"/>
    <n v="1191.716320391361"/>
    <n v="15250.393752048247"/>
  </r>
  <r>
    <x v="5"/>
    <s v="Purchases - Secondary"/>
    <x v="2"/>
    <x v="4"/>
    <s v="Conoco, Inc."/>
    <n v="82208"/>
    <n v="1191.716320391361"/>
    <n v="48984.307633366501"/>
  </r>
  <r>
    <x v="5"/>
    <s v="Purchases - Secondary"/>
    <x v="2"/>
    <x v="4"/>
    <s v="Constellation Power Source, Inc."/>
    <n v="95234"/>
    <n v="1191.716320391361"/>
    <n v="56745.956028075438"/>
  </r>
  <r>
    <x v="5"/>
    <s v="Purchases - Secondary"/>
    <x v="2"/>
    <x v="4"/>
    <s v="CP Energy Marketing (Epcor)"/>
    <n v="10876"/>
    <n v="1191.716320391361"/>
    <n v="6480.5533502882217"/>
  </r>
  <r>
    <x v="5"/>
    <s v="Purchases - Secondary"/>
    <x v="2"/>
    <x v="4"/>
    <s v="DB Energy Trading LLC"/>
    <n v="117600"/>
    <n v="1191.716320391361"/>
    <n v="70072.91963901202"/>
  </r>
  <r>
    <x v="5"/>
    <s v="Purchases - Secondary"/>
    <x v="2"/>
    <x v="4"/>
    <s v="Douglas County PUD #1"/>
    <n v="184451"/>
    <n v="1191.716320391361"/>
    <n v="109906.63350625346"/>
  </r>
  <r>
    <x v="5"/>
    <s v="Purchases - Secondary"/>
    <x v="2"/>
    <x v="4"/>
    <s v="Eagle Energy Partners"/>
    <n v="31"/>
    <n v="1191.716320391361"/>
    <n v="18.471602966066097"/>
  </r>
  <r>
    <x v="5"/>
    <s v="Purchases - Secondary"/>
    <x v="2"/>
    <x v="4"/>
    <s v="EDF Trading NA LLC"/>
    <n v="320131"/>
    <n v="1191.716320391361"/>
    <n v="190752.66868160339"/>
  </r>
  <r>
    <x v="5"/>
    <s v="Purchases - Secondary"/>
    <x v="2"/>
    <x v="4"/>
    <s v="Endure Energy LLC"/>
    <n v="17600"/>
    <n v="1191.716320391361"/>
    <n v="10487.103619443977"/>
  </r>
  <r>
    <x v="5"/>
    <s v="Purchases - Secondary"/>
    <x v="2"/>
    <x v="4"/>
    <s v="ENMAX Energy Marketing, Inc."/>
    <n v="430"/>
    <n v="1191.716320391361"/>
    <n v="256.21900888414262"/>
  </r>
  <r>
    <x v="5"/>
    <s v="Purchases - Secondary"/>
    <x v="2"/>
    <x v="4"/>
    <s v="Eugene Water &amp; Electric"/>
    <n v="63929"/>
    <n v="1191.716320391361"/>
    <n v="38092.616323149661"/>
  </r>
  <r>
    <x v="5"/>
    <s v="Purchases - Secondary"/>
    <x v="2"/>
    <x v="4"/>
    <s v="Fortis Energy Marketing &amp; Trading"/>
    <n v="4000"/>
    <n v="1191.716320391361"/>
    <n v="2383.432640782722"/>
  </r>
  <r>
    <x v="5"/>
    <s v="Purchases - Secondary"/>
    <x v="2"/>
    <x v="4"/>
    <s v="Grant County PUD #2"/>
    <n v="20495"/>
    <n v="1191.716320391361"/>
    <n v="12212.112993210472"/>
  </r>
  <r>
    <x v="5"/>
    <s v="Purchases - Secondary"/>
    <x v="2"/>
    <x v="4"/>
    <s v="Iberdrola Renewables (PPM Energy)"/>
    <n v="682132"/>
    <n v="1191.716320391361"/>
    <n v="406453.91853059997"/>
  </r>
  <r>
    <x v="5"/>
    <s v="Purchases - Secondary"/>
    <x v="2"/>
    <x v="4"/>
    <s v="Idaho Power Company"/>
    <n v="17382"/>
    <n v="1191.716320391361"/>
    <n v="10357.206540521318"/>
  </r>
  <r>
    <x v="5"/>
    <s v="Purchases - Secondary"/>
    <x v="2"/>
    <x v="4"/>
    <s v="J. Aron &amp; Company"/>
    <n v="32200"/>
    <n v="1191.716320391361"/>
    <n v="19186.632758300912"/>
  </r>
  <r>
    <x v="5"/>
    <s v="Purchases - Secondary"/>
    <x v="2"/>
    <x v="4"/>
    <s v="JP Morgan Ventures Energy"/>
    <n v="136924"/>
    <n v="1191.716320391361"/>
    <n v="81587.282726633348"/>
  </r>
  <r>
    <x v="5"/>
    <s v="Purchases - Secondary"/>
    <x v="2"/>
    <x v="4"/>
    <s v="Merrill Lynch Commodities"/>
    <n v="55600"/>
    <n v="1191.716320391361"/>
    <n v="33129.713706879833"/>
  </r>
  <r>
    <x v="5"/>
    <s v="Purchases - Secondary"/>
    <x v="2"/>
    <x v="4"/>
    <s v="Modesto Irrigation District"/>
    <n v="45"/>
    <n v="1191.716320391361"/>
    <n v="26.813617208805624"/>
  </r>
  <r>
    <x v="5"/>
    <s v="Purchases - Secondary"/>
    <x v="2"/>
    <x v="4"/>
    <s v="Morgan Stanley CG"/>
    <n v="1135590"/>
    <n v="1191.716320391361"/>
    <n v="676650.56813661277"/>
  </r>
  <r>
    <x v="5"/>
    <s v="Purchases - Secondary"/>
    <x v="2"/>
    <x v="4"/>
    <s v="NextEra Energy Power Marketing"/>
    <n v="20186"/>
    <n v="1191.716320391361"/>
    <n v="12027.992821710008"/>
  </r>
  <r>
    <x v="5"/>
    <s v="Purchases - Secondary"/>
    <x v="2"/>
    <x v="4"/>
    <s v="Noble Americas Energy Solutions"/>
    <n v="24200"/>
    <n v="1191.716320391361"/>
    <n v="14419.767476735469"/>
  </r>
  <r>
    <x v="5"/>
    <s v="Purchases - Secondary"/>
    <x v="2"/>
    <x v="4"/>
    <s v="NorthPoint Energy Solutions, Inc."/>
    <n v="4037"/>
    <n v="1191.716320391361"/>
    <n v="2405.4793927099622"/>
  </r>
  <r>
    <x v="5"/>
    <s v="Purchases - Secondary"/>
    <x v="2"/>
    <x v="4"/>
    <s v="Northwestern Energy"/>
    <n v="2854"/>
    <n v="1191.716320391361"/>
    <n v="1700.579189198472"/>
  </r>
  <r>
    <x v="5"/>
    <s v="Purchases - Secondary"/>
    <x v="2"/>
    <x v="4"/>
    <s v="Occidental Power Services"/>
    <n v="30400"/>
    <n v="1191.716320391361"/>
    <n v="18114.088069948688"/>
  </r>
  <r>
    <x v="5"/>
    <s v="Purchases - Secondary"/>
    <x v="2"/>
    <x v="4"/>
    <s v="Okanogan PUD"/>
    <n v="2374"/>
    <n v="1191.716320391361"/>
    <n v="1414.5672723045457"/>
  </r>
  <r>
    <x v="5"/>
    <s v="Purchases - Secondary"/>
    <x v="2"/>
    <x v="4"/>
    <s v="Pacific Northwest Generatin Coop."/>
    <n v="87811"/>
    <n v="1191.716320391361"/>
    <n v="52322.900904942901"/>
  </r>
  <r>
    <x v="5"/>
    <s v="Purchases - Secondary"/>
    <x v="2"/>
    <x v="4"/>
    <s v="Pacific Summit Energy LLC"/>
    <n v="46767"/>
    <n v="1191.716320391361"/>
    <n v="27866.498577871389"/>
  </r>
  <r>
    <x v="5"/>
    <s v="Purchases - Secondary"/>
    <x v="2"/>
    <x v="4"/>
    <s v="Pacificorp"/>
    <n v="80243"/>
    <n v="1191.716320391361"/>
    <n v="47813.446348581994"/>
  </r>
  <r>
    <x v="5"/>
    <s v="Purchases - Secondary"/>
    <x v="2"/>
    <x v="4"/>
    <s v="Portland General Electric"/>
    <n v="292936"/>
    <n v="1191.716320391361"/>
    <n v="174548.30601508185"/>
  </r>
  <r>
    <x v="5"/>
    <s v="Purchases - Secondary"/>
    <x v="2"/>
    <x v="4"/>
    <s v="Powerex Corp."/>
    <n v="300036"/>
    <n v="1191.716320391361"/>
    <n v="178778.89895247121"/>
  </r>
  <r>
    <x v="5"/>
    <s v="Purchases - Secondary"/>
    <x v="2"/>
    <x v="4"/>
    <s v="Public Service of Colorado"/>
    <n v="6500"/>
    <n v="1191.716320391361"/>
    <n v="3873.0780412719232"/>
  </r>
  <r>
    <x v="5"/>
    <s v="Purchases - Secondary"/>
    <x v="2"/>
    <x v="4"/>
    <s v="Rainbow Energy Marketing"/>
    <n v="98150"/>
    <n v="1191.716320391361"/>
    <n v="58483.478423206041"/>
  </r>
  <r>
    <x v="5"/>
    <s v="Purchases - Secondary"/>
    <x v="2"/>
    <x v="4"/>
    <s v="Redding, City of"/>
    <n v="173"/>
    <n v="1191.716320391361"/>
    <n v="103.08346171385273"/>
  </r>
  <r>
    <x v="5"/>
    <s v="Purchases - Secondary"/>
    <x v="2"/>
    <x v="4"/>
    <s v="Sacramento Municipal"/>
    <n v="5475"/>
    <n v="1191.716320391361"/>
    <n v="3262.3234270713506"/>
  </r>
  <r>
    <x v="5"/>
    <s v="Purchases - Secondary"/>
    <x v="2"/>
    <x v="4"/>
    <s v="San Diego Gas &amp; Electric"/>
    <n v="684"/>
    <n v="1191.716320391361"/>
    <n v="407.56698157384551"/>
  </r>
  <r>
    <x v="5"/>
    <s v="Purchases - Secondary"/>
    <x v="2"/>
    <x v="4"/>
    <s v="Seattle City Light Marketing"/>
    <n v="249821"/>
    <n v="1191.716320391361"/>
    <n v="148857.88143824509"/>
  </r>
  <r>
    <x v="5"/>
    <s v="Purchases - Secondary"/>
    <x v="2"/>
    <x v="4"/>
    <s v="Sempra Energy Trading"/>
    <n v="995085"/>
    <n v="1191.716320391361"/>
    <n v="592929.51733831875"/>
  </r>
  <r>
    <x v="5"/>
    <s v="Purchases - Secondary"/>
    <x v="2"/>
    <x v="4"/>
    <s v="Shell Energy (Coral Pwr)"/>
    <n v="355579"/>
    <n v="1191.716320391361"/>
    <n v="211874.64874421986"/>
  </r>
  <r>
    <x v="5"/>
    <s v="Purchases - Secondary"/>
    <x v="2"/>
    <x v="4"/>
    <s v="Sierra Pacific Power"/>
    <n v="1600"/>
    <n v="1191.716320391361"/>
    <n v="953.37305631308891"/>
  </r>
  <r>
    <x v="5"/>
    <s v="Purchases - Secondary"/>
    <x v="2"/>
    <x v="4"/>
    <s v="Snohomish County PUD #1"/>
    <n v="45702"/>
    <n v="1191.716320391361"/>
    <n v="27231.909637262994"/>
  </r>
  <r>
    <x v="5"/>
    <s v="Purchases - Secondary"/>
    <x v="2"/>
    <x v="4"/>
    <s v="Southern Cal - Edison"/>
    <n v="13647"/>
    <n v="1191.716320391361"/>
    <n v="8131.6763121904514"/>
  </r>
  <r>
    <x v="5"/>
    <s v="Purchases - Secondary"/>
    <x v="2"/>
    <x v="4"/>
    <s v="Tacoma Power"/>
    <n v="47836"/>
    <n v="1191.716320391361"/>
    <n v="28503.470951120573"/>
  </r>
  <r>
    <x v="5"/>
    <s v="Purchases - Secondary"/>
    <x v="2"/>
    <x v="4"/>
    <s v="Talen Energy (PPL Energy Plus)"/>
    <n v="147357"/>
    <n v="1191.716320391361"/>
    <n v="87803.870911954888"/>
  </r>
  <r>
    <x v="5"/>
    <s v="Purchases - Secondary"/>
    <x v="2"/>
    <x v="4"/>
    <s v="Tenaska"/>
    <n v="1038"/>
    <n v="1191.716320391361"/>
    <n v="618.50077028311637"/>
  </r>
  <r>
    <x v="5"/>
    <s v="Purchases - Secondary"/>
    <x v="2"/>
    <x v="4"/>
    <s v="The Energy Authority"/>
    <n v="78028"/>
    <n v="1191.716320391361"/>
    <n v="46493.620523748563"/>
  </r>
  <r>
    <x v="5"/>
    <s v="Purchases - Secondary"/>
    <x v="2"/>
    <x v="4"/>
    <s v="TransAlta Energy Marketing"/>
    <n v="1107783"/>
    <n v="1191.716320391361"/>
    <n v="660081.5402760515"/>
  </r>
  <r>
    <x v="5"/>
    <s v="Purchases - Secondary"/>
    <x v="2"/>
    <x v="4"/>
    <s v="TransCanada Energy Sales Ltd"/>
    <n v="8791"/>
    <n v="1191.716320391361"/>
    <n v="5238.1890862802275"/>
  </r>
  <r>
    <x v="5"/>
    <s v="Purchases - Secondary"/>
    <x v="2"/>
    <x v="4"/>
    <s v="Turlock Irrigation District"/>
    <n v="52383"/>
    <n v="1191.716320391361"/>
    <n v="31212.838005530331"/>
  </r>
  <r>
    <x v="5"/>
    <s v="Purchases - Secondary"/>
    <x v="2"/>
    <x v="4"/>
    <s v="Western Area Power Association"/>
    <n v="20"/>
    <n v="1191.716320391361"/>
    <n v="11.91716320391361"/>
  </r>
  <r>
    <x v="5"/>
    <s v="Interchange - In"/>
    <x v="2"/>
    <x v="4"/>
    <s v="Black Creek Hydro"/>
    <n v="11424"/>
    <n v="1191.716320391361"/>
    <n v="6807.0836220754545"/>
  </r>
  <r>
    <x v="5"/>
    <s v="Interchange - In"/>
    <x v="2"/>
    <x v="4"/>
    <s v="BPA"/>
    <n v="65580"/>
    <n v="1191.716320391361"/>
    <n v="39076.378145632727"/>
  </r>
  <r>
    <x v="5"/>
    <s v="Interchange - In"/>
    <x v="2"/>
    <x v="4"/>
    <s v="Pacific Gas &amp; Elec - Exchange"/>
    <n v="412908"/>
    <n v="1191.716320391361"/>
    <n v="246034.60121007805"/>
  </r>
  <r>
    <x v="5"/>
    <s v="Interchange - In"/>
    <x v="2"/>
    <x v="4"/>
    <s v="TransAlta Energy Marketing"/>
    <n v="1533400"/>
    <n v="1191.716320391361"/>
    <n v="913688.90284405649"/>
  </r>
  <r>
    <x v="5"/>
    <s v="Interchange - Out"/>
    <x v="2"/>
    <x v="4"/>
    <s v="Black Creek Hydro"/>
    <n v="-10438"/>
    <n v="1191.716320391361"/>
    <n v="-6219.5674761225137"/>
  </r>
  <r>
    <x v="5"/>
    <s v="Interchange - Out"/>
    <x v="2"/>
    <x v="4"/>
    <s v="BPA"/>
    <n v="-57475"/>
    <n v="1191.716320391361"/>
    <n v="-34246.947757246737"/>
  </r>
  <r>
    <x v="5"/>
    <s v="Interchange - Out"/>
    <x v="2"/>
    <x v="4"/>
    <s v="Deviation"/>
    <n v="20831.312000000002"/>
    <n v="1191.716320391361"/>
    <n v="12412.507242782203"/>
  </r>
  <r>
    <x v="5"/>
    <s v="Interchange - Out"/>
    <x v="2"/>
    <x v="4"/>
    <s v="Pacific Gas &amp; Elec - Exchange"/>
    <n v="-413000"/>
    <n v="1191.716320391361"/>
    <n v="-246089.42016081605"/>
  </r>
  <r>
    <x v="5"/>
    <s v="Interchange - Out"/>
    <x v="2"/>
    <x v="4"/>
    <s v="TransAlta Energy Marketing"/>
    <n v="-1536249"/>
    <n v="1191.716320391361"/>
    <n v="-915386.50274245394"/>
  </r>
  <r>
    <x v="5"/>
    <s v="Sales for Resale"/>
    <x v="2"/>
    <x v="4"/>
    <s v="Avista Corp. WWP Division"/>
    <n v="-27014"/>
    <n v="1191.716320391361"/>
    <n v="-16096.512339526113"/>
  </r>
  <r>
    <x v="5"/>
    <s v="Sales for Resale"/>
    <x v="2"/>
    <x v="4"/>
    <s v="Barclays Bank Plc"/>
    <n v="-40109"/>
    <n v="1191.716320391361"/>
    <n v="-23899.274947288552"/>
  </r>
  <r>
    <x v="5"/>
    <s v="Sales for Resale"/>
    <x v="2"/>
    <x v="4"/>
    <s v="Black Hills Power"/>
    <n v="-2465"/>
    <n v="1191.716320391361"/>
    <n v="-1468.7903648823526"/>
  </r>
  <r>
    <x v="5"/>
    <s v="Sales for Resale"/>
    <x v="2"/>
    <x v="4"/>
    <s v="BNP Paribas Energy Trading"/>
    <n v="-29925"/>
    <n v="1191.716320391361"/>
    <n v="-17831.055443855741"/>
  </r>
  <r>
    <x v="5"/>
    <s v="Sales for Resale"/>
    <x v="2"/>
    <x v="4"/>
    <s v="Book Outs - EITF 03-11"/>
    <n v="3847988"/>
    <n v="1191.716320391361"/>
    <n v="2292855.0501350565"/>
  </r>
  <r>
    <x v="5"/>
    <s v="Sales for Resale"/>
    <x v="2"/>
    <x v="4"/>
    <s v="BP Energy Co."/>
    <n v="-259544"/>
    <n v="1191.716320391361"/>
    <n v="-154651.41032982769"/>
  </r>
  <r>
    <x v="5"/>
    <s v="Sales for Resale"/>
    <x v="2"/>
    <x v="4"/>
    <s v="BPA"/>
    <n v="-159865"/>
    <n v="1191.716320391361"/>
    <n v="-95256.864779682466"/>
  </r>
  <r>
    <x v="5"/>
    <s v="Sales for Resale"/>
    <x v="2"/>
    <x v="4"/>
    <s v="British Columbia Transmission Corp"/>
    <n v="-49"/>
    <n v="1191.716320391361"/>
    <n v="-29.197049849588343"/>
  </r>
  <r>
    <x v="5"/>
    <s v="Sales for Resale"/>
    <x v="2"/>
    <x v="4"/>
    <s v="Burbank, City of"/>
    <n v="-530"/>
    <n v="1191.716320391361"/>
    <n v="-315.80482490371071"/>
  </r>
  <r>
    <x v="5"/>
    <s v="Sales for Resale"/>
    <x v="2"/>
    <x v="4"/>
    <s v="Cargill Power Markets"/>
    <n v="-261663"/>
    <n v="1191.716320391361"/>
    <n v="-155914.03377128235"/>
  </r>
  <r>
    <x v="5"/>
    <s v="Sales for Resale"/>
    <x v="2"/>
    <x v="4"/>
    <s v="Chelan County PUD #1"/>
    <n v="-5161"/>
    <n v="1191.716320391361"/>
    <n v="-3075.2239647699071"/>
  </r>
  <r>
    <x v="5"/>
    <s v="Sales for Resale"/>
    <x v="2"/>
    <x v="4"/>
    <s v="Citigroup Energy Inc"/>
    <n v="-767741"/>
    <n v="1191.716320391361"/>
    <n v="-457464.73976679193"/>
  </r>
  <r>
    <x v="5"/>
    <s v="Sales for Resale"/>
    <x v="2"/>
    <x v="4"/>
    <s v="Clatskanie PUD"/>
    <n v="-10025"/>
    <n v="1191.716320391361"/>
    <n v="-5973.4780559616975"/>
  </r>
  <r>
    <x v="5"/>
    <s v="Sales for Resale"/>
    <x v="2"/>
    <x v="4"/>
    <s v="Conoco, Inc."/>
    <n v="-111624"/>
    <n v="1191.716320391361"/>
    <n v="-66512.071273682639"/>
  </r>
  <r>
    <x v="5"/>
    <s v="Sales for Resale"/>
    <x v="2"/>
    <x v="4"/>
    <s v="Constellation Power Source, Inc."/>
    <n v="-42662"/>
    <n v="1191.716320391361"/>
    <n v="-25420.500830268124"/>
  </r>
  <r>
    <x v="5"/>
    <s v="Sales for Resale"/>
    <x v="2"/>
    <x v="4"/>
    <s v="CP Energy Marketing (Epcor)"/>
    <n v="-54095"/>
    <n v="1191.716320391361"/>
    <n v="-32232.947175785335"/>
  </r>
  <r>
    <x v="5"/>
    <s v="Sales for Resale"/>
    <x v="2"/>
    <x v="4"/>
    <s v="DB Energy Trading LLC"/>
    <n v="-150800"/>
    <n v="1191.716320391361"/>
    <n v="-89855.410557508614"/>
  </r>
  <r>
    <x v="5"/>
    <s v="Sales for Resale"/>
    <x v="2"/>
    <x v="4"/>
    <s v="Douglas County PUD #1"/>
    <n v="-1065"/>
    <n v="1191.716320391361"/>
    <n v="-634.58894060839964"/>
  </r>
  <r>
    <x v="5"/>
    <s v="Sales for Resale"/>
    <x v="2"/>
    <x v="4"/>
    <s v="Eagle Energy Partners"/>
    <n v="-831"/>
    <n v="1191.716320391361"/>
    <n v="-495.15813112261054"/>
  </r>
  <r>
    <x v="5"/>
    <s v="Sales for Resale"/>
    <x v="2"/>
    <x v="4"/>
    <s v="EDF Trading NA LLC"/>
    <n v="-58348"/>
    <n v="1191.716320391361"/>
    <n v="-34767.131931097567"/>
  </r>
  <r>
    <x v="5"/>
    <s v="Sales for Resale"/>
    <x v="2"/>
    <x v="4"/>
    <s v="Endure Energy LLC"/>
    <n v="-1200"/>
    <n v="1191.716320391361"/>
    <n v="-715.02979223481657"/>
  </r>
  <r>
    <x v="5"/>
    <s v="Sales for Resale"/>
    <x v="2"/>
    <x v="4"/>
    <s v="ENMAX Energy Marketing, Inc."/>
    <n v="-1808"/>
    <n v="1191.716320391361"/>
    <n v="-1077.3115536337905"/>
  </r>
  <r>
    <x v="5"/>
    <s v="Sales for Resale"/>
    <x v="2"/>
    <x v="4"/>
    <s v="Eugene Water &amp; Electric"/>
    <n v="-14553"/>
    <n v="1191.716320391361"/>
    <n v="-8671.5238053277371"/>
  </r>
  <r>
    <x v="5"/>
    <s v="Sales for Resale"/>
    <x v="2"/>
    <x v="4"/>
    <s v="Fortis Energy Marketing &amp; Trading"/>
    <n v="-12000"/>
    <n v="1191.716320391361"/>
    <n v="-7150.2979223481661"/>
  </r>
  <r>
    <x v="5"/>
    <s v="Sales for Resale"/>
    <x v="2"/>
    <x v="4"/>
    <s v="Grant County PUD #2"/>
    <n v="-45909"/>
    <n v="1191.716320391361"/>
    <n v="-27355.252276423496"/>
  </r>
  <r>
    <x v="5"/>
    <s v="Sales for Resale"/>
    <x v="2"/>
    <x v="4"/>
    <s v="Iberdrola Renewables (PPM Energy)"/>
    <n v="-442218"/>
    <n v="1191.716320391361"/>
    <n v="-263499.20388541342"/>
  </r>
  <r>
    <x v="5"/>
    <s v="Sales for Resale"/>
    <x v="2"/>
    <x v="4"/>
    <s v="Idaho Power Company"/>
    <n v="-60759"/>
    <n v="1191.716320391361"/>
    <n v="-36203.745955329352"/>
  </r>
  <r>
    <x v="5"/>
    <s v="Sales for Resale"/>
    <x v="2"/>
    <x v="4"/>
    <s v="J. Aron &amp; Company"/>
    <n v="-800"/>
    <n v="1191.716320391361"/>
    <n v="-476.68652815654445"/>
  </r>
  <r>
    <x v="5"/>
    <s v="Sales for Resale"/>
    <x v="2"/>
    <x v="4"/>
    <s v="JP Morgan Ventures Energy"/>
    <n v="-92601"/>
    <n v="1191.716320391361"/>
    <n v="-55177.061492280205"/>
  </r>
  <r>
    <x v="5"/>
    <s v="Sales for Resale"/>
    <x v="2"/>
    <x v="4"/>
    <s v="Merrill Lynch Commodities"/>
    <n v="-75385"/>
    <n v="1191.716320391361"/>
    <n v="-44918.76740635137"/>
  </r>
  <r>
    <x v="5"/>
    <s v="Sales for Resale"/>
    <x v="2"/>
    <x v="4"/>
    <s v="Modesto Irrigation District"/>
    <n v="-10"/>
    <n v="1191.716320391361"/>
    <n v="-5.958581601956805"/>
  </r>
  <r>
    <x v="5"/>
    <s v="Sales for Resale"/>
    <x v="2"/>
    <x v="4"/>
    <s v="Morgan Stanley CG"/>
    <n v="-454431"/>
    <n v="1191.716320391361"/>
    <n v="-270776.41959588329"/>
  </r>
  <r>
    <x v="5"/>
    <s v="Sales for Resale"/>
    <x v="2"/>
    <x v="4"/>
    <s v="N. California Power Agency"/>
    <n v="-356"/>
    <n v="1191.716320391361"/>
    <n v="-212.12550502966226"/>
  </r>
  <r>
    <x v="5"/>
    <s v="Sales for Resale"/>
    <x v="2"/>
    <x v="4"/>
    <s v="Natur Ener USA"/>
    <n v="-2"/>
    <n v="1191.716320391361"/>
    <n v="-1.191716320391361"/>
  </r>
  <r>
    <x v="5"/>
    <s v="Sales for Resale"/>
    <x v="2"/>
    <x v="4"/>
    <s v="NextEra Energy Power Marketing"/>
    <n v="-294"/>
    <n v="1191.716320391361"/>
    <n v="-175.18229909753009"/>
  </r>
  <r>
    <x v="5"/>
    <s v="Sales for Resale"/>
    <x v="2"/>
    <x v="4"/>
    <s v="NorthPoint Energy Solutions, Inc."/>
    <n v="-10173"/>
    <n v="1191.716320391361"/>
    <n v="-6061.6650636706572"/>
  </r>
  <r>
    <x v="5"/>
    <s v="Sales for Resale"/>
    <x v="2"/>
    <x v="4"/>
    <s v="Northwestern Energy"/>
    <n v="-48784"/>
    <n v="1191.716320391361"/>
    <n v="-29068.34448698608"/>
  </r>
  <r>
    <x v="5"/>
    <s v="Sales for Resale"/>
    <x v="2"/>
    <x v="4"/>
    <s v="Okanogan PUD"/>
    <n v="-175"/>
    <n v="1191.716320391361"/>
    <n v="-104.27517803424409"/>
  </r>
  <r>
    <x v="5"/>
    <s v="Sales for Resale"/>
    <x v="2"/>
    <x v="4"/>
    <s v="Pacific Northwest Generatin Coop."/>
    <n v="-4755"/>
    <n v="1191.716320391361"/>
    <n v="-2833.305551730461"/>
  </r>
  <r>
    <x v="5"/>
    <s v="Sales for Resale"/>
    <x v="2"/>
    <x v="4"/>
    <s v="Pacific Summit Energy LLC"/>
    <n v="-111596"/>
    <n v="1191.716320391361"/>
    <n v="-66495.387245197169"/>
  </r>
  <r>
    <x v="5"/>
    <s v="Sales for Resale"/>
    <x v="2"/>
    <x v="4"/>
    <s v="Pacificorp"/>
    <n v="-167918"/>
    <n v="1191.716320391361"/>
    <n v="-100055.31054373828"/>
  </r>
  <r>
    <x v="5"/>
    <s v="Sales for Resale"/>
    <x v="2"/>
    <x v="4"/>
    <s v="Portland General Electric"/>
    <n v="-68889"/>
    <n v="1191.716320391361"/>
    <n v="-41048.072797720233"/>
  </r>
  <r>
    <x v="5"/>
    <s v="Sales for Resale"/>
    <x v="2"/>
    <x v="4"/>
    <s v="Powerex Corp."/>
    <n v="-330673"/>
    <n v="1191.716320391361"/>
    <n v="-197034.20540638626"/>
  </r>
  <r>
    <x v="5"/>
    <s v="Sales for Resale"/>
    <x v="2"/>
    <x v="4"/>
    <s v="Public Service of Colorado"/>
    <n v="-4400"/>
    <n v="1191.716320391361"/>
    <n v="-2621.7759048609942"/>
  </r>
  <r>
    <x v="5"/>
    <s v="Sales for Resale"/>
    <x v="2"/>
    <x v="4"/>
    <s v="Rainbow Energy Marketing"/>
    <n v="-46883"/>
    <n v="1191.716320391361"/>
    <n v="-27935.618124454089"/>
  </r>
  <r>
    <x v="5"/>
    <s v="Sales for Resale"/>
    <x v="2"/>
    <x v="4"/>
    <s v="Redding, City of"/>
    <n v="-463"/>
    <n v="1191.716320391361"/>
    <n v="-275.88232817060003"/>
  </r>
  <r>
    <x v="5"/>
    <s v="Sales for Resale"/>
    <x v="2"/>
    <x v="4"/>
    <s v="Sacramento Municipal"/>
    <n v="-4178"/>
    <n v="1191.716320391361"/>
    <n v="-2489.4953932975532"/>
  </r>
  <r>
    <x v="5"/>
    <s v="Sales for Resale"/>
    <x v="2"/>
    <x v="4"/>
    <s v="San Diego Gas &amp; Electric"/>
    <n v="-10399"/>
    <n v="1191.716320391361"/>
    <n v="-6196.3290078748814"/>
  </r>
  <r>
    <x v="5"/>
    <s v="Sales for Resale"/>
    <x v="2"/>
    <x v="4"/>
    <s v="Seattle City Light Marketing"/>
    <n v="-24056"/>
    <n v="1191.716320391361"/>
    <n v="-14333.963901667292"/>
  </r>
  <r>
    <x v="5"/>
    <s v="Sales for Resale"/>
    <x v="2"/>
    <x v="4"/>
    <s v="Sempra Energy Trading"/>
    <n v="-112120"/>
    <n v="1191.716320391361"/>
    <n v="-66807.616921139706"/>
  </r>
  <r>
    <x v="5"/>
    <s v="Sales for Resale"/>
    <x v="2"/>
    <x v="4"/>
    <s v="Shell Energy (Coral Pwr)"/>
    <n v="-449454"/>
    <n v="1191.716320391361"/>
    <n v="-267810.83353258937"/>
  </r>
  <r>
    <x v="5"/>
    <s v="Sales for Resale"/>
    <x v="2"/>
    <x v="4"/>
    <s v="Sierra Pacific Power"/>
    <n v="-2937"/>
    <n v="1191.716320391361"/>
    <n v="-1750.0354164947137"/>
  </r>
  <r>
    <x v="5"/>
    <s v="Sales for Resale"/>
    <x v="2"/>
    <x v="4"/>
    <s v="Snohomish County PUD #1"/>
    <n v="-6352"/>
    <n v="1191.716320391361"/>
    <n v="-3784.8910335629625"/>
  </r>
  <r>
    <x v="5"/>
    <s v="Sales for Resale"/>
    <x v="2"/>
    <x v="4"/>
    <s v="Southern Cal - Edison"/>
    <n v="-1236986"/>
    <n v="1191.716320391361"/>
    <n v="-737068.20214781398"/>
  </r>
  <r>
    <x v="5"/>
    <s v="Sales for Resale"/>
    <x v="2"/>
    <x v="4"/>
    <s v="Tacoma Power"/>
    <n v="-2132"/>
    <n v="1191.716320391361"/>
    <n v="-1270.3695975371909"/>
  </r>
  <r>
    <x v="5"/>
    <s v="Sales for Resale"/>
    <x v="2"/>
    <x v="4"/>
    <s v="Talen Energy (PPL Energy Plus)"/>
    <n v="-176278"/>
    <n v="1191.716320391361"/>
    <n v="-105036.68476297417"/>
  </r>
  <r>
    <x v="5"/>
    <s v="Sales for Resale"/>
    <x v="2"/>
    <x v="4"/>
    <s v="The Energy Authority"/>
    <n v="-8119"/>
    <n v="1191.716320391361"/>
    <n v="-4837.7724026287297"/>
  </r>
  <r>
    <x v="5"/>
    <s v="Sales for Resale"/>
    <x v="2"/>
    <x v="4"/>
    <s v="TransAlta Energy Marketing"/>
    <n v="-318081"/>
    <n v="1191.716320391361"/>
    <n v="-189531.15945320224"/>
  </r>
  <r>
    <x v="5"/>
    <s v="Sales for Resale"/>
    <x v="2"/>
    <x v="4"/>
    <s v="TransCanada Energy Sales Ltd"/>
    <n v="-9650"/>
    <n v="1191.716320391361"/>
    <n v="-5750.0312458883172"/>
  </r>
  <r>
    <x v="5"/>
    <s v="Sales for Resale"/>
    <x v="2"/>
    <x v="4"/>
    <s v="Turlock Irrigation District"/>
    <n v="-5147"/>
    <n v="1191.716320391361"/>
    <n v="-3066.8819505271672"/>
  </r>
  <r>
    <x v="6"/>
    <s v="Generation - Hydro"/>
    <x v="0"/>
    <x v="0"/>
    <s v="Electron"/>
    <n v="50340.805"/>
    <n v="0"/>
    <n v="0"/>
  </r>
  <r>
    <x v="6"/>
    <s v="Generation - Hydro"/>
    <x v="0"/>
    <x v="0"/>
    <s v="Lower Baker"/>
    <n v="332792.353"/>
    <n v="0"/>
    <n v="0"/>
  </r>
  <r>
    <x v="6"/>
    <s v="Generation - Hydro"/>
    <x v="0"/>
    <x v="0"/>
    <s v="Snoqualmie Falls #1"/>
    <n v="-290.36"/>
    <n v="0"/>
    <n v="0"/>
  </r>
  <r>
    <x v="6"/>
    <s v="Generation - Hydro"/>
    <x v="0"/>
    <x v="0"/>
    <s v="Snoqualmie Falls #2"/>
    <n v="-174.56"/>
    <n v="0"/>
    <n v="0"/>
  </r>
  <r>
    <x v="6"/>
    <s v="Generation - Hydro"/>
    <x v="0"/>
    <x v="0"/>
    <s v="Upper Baker"/>
    <n v="301309.36599999998"/>
    <n v="0"/>
    <n v="0"/>
  </r>
  <r>
    <x v="6"/>
    <s v="Generation - Steam"/>
    <x v="0"/>
    <x v="1"/>
    <s v="Colstrip 1 &amp; 2"/>
    <n v="1897910"/>
    <n v="2327.0605860279479"/>
    <n v="2208275.7784141512"/>
  </r>
  <r>
    <x v="6"/>
    <s v="Generation - Steam"/>
    <x v="0"/>
    <x v="1"/>
    <s v="Colstrip 3 &amp; 4"/>
    <n v="2312673"/>
    <n v="2379.5191963705229"/>
    <n v="2751524.8992139031"/>
  </r>
  <r>
    <x v="6"/>
    <s v="Generation - Steam"/>
    <x v="0"/>
    <x v="2"/>
    <s v="Encogen"/>
    <n v="88887.6"/>
    <n v="1094.7936280114202"/>
    <n v="48656.789044613957"/>
  </r>
  <r>
    <x v="6"/>
    <s v="Generation - Steam"/>
    <x v="0"/>
    <x v="2"/>
    <s v="Freddie #1"/>
    <n v="135217.96400000001"/>
    <n v="868.10920406721675"/>
    <n v="58691.979551814788"/>
  </r>
  <r>
    <x v="6"/>
    <s v="Generation - Steam"/>
    <x v="0"/>
    <x v="2"/>
    <s v="Goldendale"/>
    <n v="609012.73499999999"/>
    <n v="794.73030162961243"/>
    <n v="242000.43729141259"/>
  </r>
  <r>
    <x v="6"/>
    <s v="Generation - Steam"/>
    <x v="0"/>
    <x v="2"/>
    <s v="Mint Farm"/>
    <n v="702080.6"/>
    <n v="870.8206822191604"/>
    <n v="305693.15353241871"/>
  </r>
  <r>
    <x v="6"/>
    <s v="Generation - Steam"/>
    <x v="0"/>
    <x v="2"/>
    <s v="Sumas"/>
    <n v="178397.424"/>
    <n v="1016.0404659069227"/>
    <n v="90629.500898777405"/>
  </r>
  <r>
    <x v="6"/>
    <s v="Generation - Oil/Gas/Wind"/>
    <x v="0"/>
    <x v="3"/>
    <s v="Crystal Mountain"/>
    <n v="273.13"/>
    <n v="1834.7460975699516"/>
    <n v="250.56210081464044"/>
  </r>
  <r>
    <x v="6"/>
    <s v="Generation - Oil/Gas/Wind"/>
    <x v="0"/>
    <x v="2"/>
    <s v="Fredonia"/>
    <n v="27939.9"/>
    <n v="1632.4948746619955"/>
    <n v="22805.871774284344"/>
  </r>
  <r>
    <x v="6"/>
    <s v="Generation - Oil/Gas/Wind"/>
    <x v="0"/>
    <x v="2"/>
    <s v="Fredonia 3 &amp; 4"/>
    <n v="48850.400000000001"/>
    <n v="1231.573102374178"/>
    <n v="30081.419340109773"/>
  </r>
  <r>
    <x v="6"/>
    <s v="Generation - Oil/Gas/Wind"/>
    <x v="0"/>
    <x v="2"/>
    <s v="Fredrickson 1 &amp; 2"/>
    <n v="9975.6"/>
    <n v="12617.057120113494"/>
    <n v="62931.357503702078"/>
  </r>
  <r>
    <x v="6"/>
    <s v="Generation - Oil/Gas/Wind"/>
    <x v="0"/>
    <x v="0"/>
    <s v="Hopkins Ridge (W184)"/>
    <n v="433218.60800000001"/>
    <n v="0"/>
    <n v="0"/>
  </r>
  <r>
    <x v="6"/>
    <s v="Generation - Oil/Gas/Wind"/>
    <x v="0"/>
    <x v="2"/>
    <s v="Whitehorn 2&amp;3"/>
    <n v="22501"/>
    <n v="1900.7042839872613"/>
    <n v="21383.873546998682"/>
  </r>
  <r>
    <x v="6"/>
    <s v="Generation - Oil/Gas/Wind"/>
    <x v="0"/>
    <x v="0"/>
    <s v="Wild Horse (W183)"/>
    <n v="730658.80599999998"/>
    <n v="0"/>
    <n v="0"/>
  </r>
  <r>
    <x v="6"/>
    <s v="Purchases - Firm"/>
    <x v="1"/>
    <x v="0"/>
    <s v="3 Bar G Wind Turbine #3 LLC"/>
    <n v="105.014"/>
    <n v="0"/>
    <n v="0"/>
  </r>
  <r>
    <x v="6"/>
    <s v="Purchases - Firm"/>
    <x v="1"/>
    <x v="4"/>
    <s v="Barclays Bank Plc"/>
    <n v="109875"/>
    <n v="904.65944483592443"/>
    <n v="49699.728250673601"/>
  </r>
  <r>
    <x v="6"/>
    <s v="Purchases - Firm"/>
    <x v="1"/>
    <x v="4"/>
    <s v="BC Hydro (Point Roberts)"/>
    <n v="22073.61"/>
    <n v="904.65944483592443"/>
    <n v="9984.549884062355"/>
  </r>
  <r>
    <x v="6"/>
    <s v="Purchases - Firm"/>
    <x v="1"/>
    <x v="0"/>
    <s v="Black Creek Hydro Inc"/>
    <n v="9716.4599999999991"/>
    <n v="0"/>
    <n v="0"/>
  </r>
  <r>
    <x v="6"/>
    <s v="Purchases - Firm"/>
    <x v="1"/>
    <x v="7"/>
    <s v="Book Outs - EITF 03-11"/>
    <n v="-509390"/>
    <n v="0"/>
    <n v="0"/>
  </r>
  <r>
    <x v="6"/>
    <s v="Purchases - Firm"/>
    <x v="1"/>
    <x v="0"/>
    <s v="BPA"/>
    <n v="7000"/>
    <n v="0"/>
    <n v="0"/>
  </r>
  <r>
    <x v="6"/>
    <s v="Purchases - Firm"/>
    <x v="1"/>
    <x v="4"/>
    <s v="BPA Firm - WNP#3 Exchange"/>
    <n v="413808"/>
    <n v="904.65944483592443"/>
    <n v="187177.6577743321"/>
  </r>
  <r>
    <x v="6"/>
    <s v="Purchases - Firm"/>
    <x v="1"/>
    <x v="0"/>
    <s v="Chelan PUD - RI &amp; RR"/>
    <n v="129926"/>
    <n v="0"/>
    <n v="0"/>
  </r>
  <r>
    <x v="6"/>
    <s v="Purchases - Firm"/>
    <x v="1"/>
    <x v="0"/>
    <s v="Chelan PUD - Rock Island Syst #2"/>
    <n v="1647786"/>
    <n v="0"/>
    <n v="0"/>
  </r>
  <r>
    <x v="6"/>
    <s v="Purchases - Firm"/>
    <x v="1"/>
    <x v="0"/>
    <s v="Chelan PUD - Rocky Reach"/>
    <n v="2517798"/>
    <n v="0"/>
    <n v="0"/>
  </r>
  <r>
    <x v="6"/>
    <s v="Purchases - Firm"/>
    <x v="1"/>
    <x v="0"/>
    <s v="Douglas PUD - Wells Project"/>
    <n v="1061183"/>
    <n v="0"/>
    <n v="0"/>
  </r>
  <r>
    <x v="6"/>
    <s v="Purchases - Firm"/>
    <x v="1"/>
    <x v="0"/>
    <s v="Farm Power Lynden LLC"/>
    <n v="3412.36"/>
    <n v="0"/>
    <n v="0"/>
  </r>
  <r>
    <x v="6"/>
    <s v="Purchases - Firm"/>
    <x v="1"/>
    <x v="0"/>
    <s v="Farm Power Rexville LLC"/>
    <n v="4903.5690000000004"/>
    <n v="0"/>
    <n v="0"/>
  </r>
  <r>
    <x v="6"/>
    <s v="Purchases - Firm"/>
    <x v="1"/>
    <x v="0"/>
    <s v="Grant PUD - Priest Rapids Project"/>
    <n v="253731"/>
    <n v="0"/>
    <n v="0"/>
  </r>
  <r>
    <x v="6"/>
    <s v="Purchases - Firm"/>
    <x v="1"/>
    <x v="0"/>
    <s v="Island Community Solar LLC"/>
    <n v="15.23"/>
    <n v="0"/>
    <n v="0"/>
  </r>
  <r>
    <x v="6"/>
    <s v="Purchases - Firm"/>
    <x v="1"/>
    <x v="4"/>
    <s v="JP Morgan Ventures Energy"/>
    <n v="385873"/>
    <n v="904.65944483592443"/>
    <n v="174541.82697858635"/>
  </r>
  <r>
    <x v="6"/>
    <s v="Purchases - Firm"/>
    <x v="1"/>
    <x v="0"/>
    <s v="Klondike Wind Power III"/>
    <n v="132950"/>
    <n v="0"/>
    <n v="0"/>
  </r>
  <r>
    <x v="6"/>
    <s v="Purchases - Firm"/>
    <x v="1"/>
    <x v="0"/>
    <s v="Knudsen Wind Turbine #1"/>
    <n v="85.938000000000002"/>
    <n v="0"/>
    <n v="0"/>
  </r>
  <r>
    <x v="6"/>
    <s v="Purchases - Firm"/>
    <x v="1"/>
    <x v="4"/>
    <s v="Powerex Corp."/>
    <n v="180000"/>
    <n v="904.65944483592443"/>
    <n v="81419.350035233205"/>
  </r>
  <r>
    <x v="6"/>
    <s v="Purchases - Firm"/>
    <x v="1"/>
    <x v="0"/>
    <s v="Qualco Energy"/>
    <n v="3315"/>
    <n v="0"/>
    <n v="0"/>
  </r>
  <r>
    <x v="6"/>
    <s v="Purchases - Firm"/>
    <x v="1"/>
    <x v="4"/>
    <s v="Sempra Energy Trading"/>
    <n v="161925"/>
    <n v="904.65944483592443"/>
    <n v="73243.490302528531"/>
  </r>
  <r>
    <x v="6"/>
    <s v="Purchases - Firm"/>
    <x v="1"/>
    <x v="4"/>
    <s v="Shell Energy (Coral Pwr)"/>
    <n v="437989"/>
    <n v="904.65944483592443"/>
    <n v="198115.44279212086"/>
  </r>
  <r>
    <x v="6"/>
    <s v="Purchases - Firm"/>
    <x v="1"/>
    <x v="0"/>
    <s v="Skookumchuck Hydro"/>
    <n v="5017.3999999999996"/>
    <n v="0"/>
    <n v="0"/>
  </r>
  <r>
    <x v="6"/>
    <s v="Purchases - Firm"/>
    <x v="1"/>
    <x v="0"/>
    <s v="Smith Creek Hydro"/>
    <n v="169.59399999999999"/>
    <n v="0"/>
    <n v="0"/>
  </r>
  <r>
    <x v="6"/>
    <s v="Purchases - Firm"/>
    <x v="1"/>
    <x v="0"/>
    <s v="Van Dyk - S Holsteins"/>
    <n v="749.88199999999995"/>
    <n v="0"/>
    <n v="0"/>
  </r>
  <r>
    <x v="6"/>
    <s v="Purchases - Firm"/>
    <x v="1"/>
    <x v="0"/>
    <s v="VanderHaak Dairy Digester"/>
    <n v="3919"/>
    <n v="0"/>
    <n v="0"/>
  </r>
  <r>
    <x v="6"/>
    <s v="Purchases - Firm"/>
    <x v="1"/>
    <x v="0"/>
    <s v="WASCO Hydro"/>
    <n v="38437"/>
    <n v="0"/>
    <n v="0"/>
  </r>
  <r>
    <x v="6"/>
    <s v="Purchases - PURPA"/>
    <x v="1"/>
    <x v="0"/>
    <s v="Hutchinson Creek"/>
    <n v="1180.2"/>
    <n v="0"/>
    <n v="0"/>
  </r>
  <r>
    <x v="6"/>
    <s v="Purchases - PURPA"/>
    <x v="1"/>
    <x v="0"/>
    <s v="Koma Kulshan Associates"/>
    <n v="41094.68"/>
    <n v="0"/>
    <n v="0"/>
  </r>
  <r>
    <x v="6"/>
    <s v="Purchases - PURPA"/>
    <x v="1"/>
    <x v="2"/>
    <s v="March Point Cogen. - 1 &amp; 2"/>
    <n v="769775.10599999991"/>
    <n v="712.22460121237009"/>
    <n v="274126.38394702994"/>
  </r>
  <r>
    <x v="6"/>
    <s v="Purchases - PURPA"/>
    <x v="1"/>
    <x v="0"/>
    <s v="Nooksack"/>
    <n v="24528.506000000001"/>
    <n v="0"/>
    <n v="0"/>
  </r>
  <r>
    <x v="6"/>
    <s v="Purchases - PURPA"/>
    <x v="1"/>
    <x v="5"/>
    <s v="Port Townsend Paper Co."/>
    <n v="2962.03"/>
    <n v="1037.0038632651913"/>
    <n v="1535.8182765536974"/>
  </r>
  <r>
    <x v="6"/>
    <s v="Purchases - PURPA"/>
    <x v="1"/>
    <x v="6"/>
    <s v="Spokane MSW"/>
    <n v="143386"/>
    <n v="4486.4813195427632"/>
    <n v="321649.30524197931"/>
  </r>
  <r>
    <x v="6"/>
    <s v="Purchases - PURPA"/>
    <x v="1"/>
    <x v="0"/>
    <s v="Sygitowicz Creek"/>
    <n v="1153.68"/>
    <n v="0"/>
    <n v="0"/>
  </r>
  <r>
    <x v="6"/>
    <s v="Purchases - PURPA"/>
    <x v="1"/>
    <x v="2"/>
    <s v="Tenaska"/>
    <n v="81307.08"/>
    <n v="775.68707973541314"/>
    <n v="31534.425723506807"/>
  </r>
  <r>
    <x v="6"/>
    <s v="Purchases - PURPA"/>
    <x v="1"/>
    <x v="0"/>
    <s v="Twin Falls Hydro"/>
    <n v="90259.6"/>
    <n v="0"/>
    <n v="0"/>
  </r>
  <r>
    <x v="6"/>
    <s v="Purchases - PURPA"/>
    <x v="1"/>
    <x v="0"/>
    <s v="Weeks Falls"/>
    <n v="15834"/>
    <n v="0"/>
    <n v="0"/>
  </r>
  <r>
    <x v="6"/>
    <s v="Purchases - Secondary"/>
    <x v="2"/>
    <x v="4"/>
    <s v="Avista Corp. WWP Division"/>
    <n v="117376.28"/>
    <n v="904.65944483592443"/>
    <n v="53092.78015085301"/>
  </r>
  <r>
    <x v="6"/>
    <s v="Purchases - Secondary"/>
    <x v="2"/>
    <x v="4"/>
    <s v="Barclays Bank Plc"/>
    <n v="27750"/>
    <n v="904.65944483592443"/>
    <n v="12552.149797098453"/>
  </r>
  <r>
    <x v="6"/>
    <s v="Purchases - Secondary"/>
    <x v="2"/>
    <x v="4"/>
    <s v="Black Hills Power"/>
    <n v="3515"/>
    <n v="904.65944483592443"/>
    <n v="1589.9389742991373"/>
  </r>
  <r>
    <x v="6"/>
    <s v="Purchases - Secondary"/>
    <x v="2"/>
    <x v="4"/>
    <s v="BNP Paribas Energy Trading"/>
    <n v="119000"/>
    <n v="904.65944483592443"/>
    <n v="53827.236967737503"/>
  </r>
  <r>
    <x v="6"/>
    <s v="Purchases - Secondary"/>
    <x v="2"/>
    <x v="4"/>
    <s v="Book Outs - EITF 03-11"/>
    <n v="-3113284"/>
    <n v="904.65944483592443"/>
    <n v="-1408230.8875282831"/>
  </r>
  <r>
    <x v="6"/>
    <s v="Purchases - Secondary"/>
    <x v="2"/>
    <x v="4"/>
    <s v="BP Energy Co."/>
    <n v="345552"/>
    <n v="904.65944483592443"/>
    <n v="156303.44024097169"/>
  </r>
  <r>
    <x v="6"/>
    <s v="Purchases - Secondary"/>
    <x v="2"/>
    <x v="4"/>
    <s v="BPA"/>
    <n v="382105"/>
    <n v="904.65944483592443"/>
    <n v="172837.44858451546"/>
  </r>
  <r>
    <x v="6"/>
    <s v="Purchases - Secondary"/>
    <x v="2"/>
    <x v="4"/>
    <s v="British Columbia Transmission Corp"/>
    <n v="9"/>
    <n v="904.65944483592443"/>
    <n v="4.0709675017616602"/>
  </r>
  <r>
    <x v="6"/>
    <s v="Purchases - Secondary"/>
    <x v="2"/>
    <x v="4"/>
    <s v="Burbank, City of"/>
    <n v="2000"/>
    <n v="904.65944483592443"/>
    <n v="904.65944483592443"/>
  </r>
  <r>
    <x v="6"/>
    <s v="Purchases - Secondary"/>
    <x v="2"/>
    <x v="4"/>
    <s v="Cargill Power Markets"/>
    <n v="318865"/>
    <n v="904.65944483592443"/>
    <n v="144232.11693880352"/>
  </r>
  <r>
    <x v="6"/>
    <s v="Purchases - Secondary"/>
    <x v="2"/>
    <x v="4"/>
    <s v="Chelan County PUD #1"/>
    <n v="8620"/>
    <n v="904.65944483592443"/>
    <n v="3899.0822072428346"/>
  </r>
  <r>
    <x v="6"/>
    <s v="Purchases - Secondary"/>
    <x v="2"/>
    <x v="4"/>
    <s v="Citigroup Energy Inc"/>
    <n v="1028188"/>
    <n v="904.65944483592443"/>
    <n v="465079.99263347971"/>
  </r>
  <r>
    <x v="6"/>
    <s v="Purchases - Secondary"/>
    <x v="2"/>
    <x v="4"/>
    <s v="Clark Public Utilities"/>
    <n v="8570"/>
    <n v="904.65944483592443"/>
    <n v="3876.465721121936"/>
  </r>
  <r>
    <x v="6"/>
    <s v="Purchases - Secondary"/>
    <x v="2"/>
    <x v="4"/>
    <s v="Clatskanie PUD"/>
    <n v="15878"/>
    <n v="904.65944483592443"/>
    <n v="7182.0913325524043"/>
  </r>
  <r>
    <x v="6"/>
    <s v="Purchases - Secondary"/>
    <x v="2"/>
    <x v="4"/>
    <s v="Constellation Power Source, Inc."/>
    <n v="298689"/>
    <n v="904.65944483592443"/>
    <n v="135105.91245929874"/>
  </r>
  <r>
    <x v="6"/>
    <s v="Purchases - Secondary"/>
    <x v="2"/>
    <x v="4"/>
    <s v="CP Energy Marketing (Epcor)"/>
    <n v="5848"/>
    <n v="904.65944483592443"/>
    <n v="2645.2242167002428"/>
  </r>
  <r>
    <x v="6"/>
    <s v="Purchases - Secondary"/>
    <x v="2"/>
    <x v="4"/>
    <s v="DB Energy Trading LLC"/>
    <n v="197398"/>
    <n v="904.65944483592443"/>
    <n v="89288.982545860898"/>
  </r>
  <r>
    <x v="6"/>
    <s v="Purchases - Secondary"/>
    <x v="2"/>
    <x v="4"/>
    <s v="Douglas County PUD #1"/>
    <n v="277494"/>
    <n v="904.65944483592443"/>
    <n v="125518.78399265"/>
  </r>
  <r>
    <x v="6"/>
    <s v="Purchases - Secondary"/>
    <x v="2"/>
    <x v="4"/>
    <s v="EDF Trading NA LLC"/>
    <n v="585729"/>
    <n v="904.65944483592443"/>
    <n v="264942.63598215056"/>
  </r>
  <r>
    <x v="6"/>
    <s v="Purchases - Secondary"/>
    <x v="2"/>
    <x v="4"/>
    <s v="Eugene Water &amp; Electric"/>
    <n v="63900"/>
    <n v="904.65944483592443"/>
    <n v="28903.869262507786"/>
  </r>
  <r>
    <x v="6"/>
    <s v="Purchases - Secondary"/>
    <x v="2"/>
    <x v="4"/>
    <s v="Exelon Generation Co LLC"/>
    <n v="10000"/>
    <n v="904.65944483592443"/>
    <n v="4523.2972241796215"/>
  </r>
  <r>
    <x v="6"/>
    <s v="Purchases - Secondary"/>
    <x v="2"/>
    <x v="4"/>
    <s v="Grant County PUD #2"/>
    <n v="57335"/>
    <n v="904.65944483592443"/>
    <n v="25934.324634833865"/>
  </r>
  <r>
    <x v="6"/>
    <s v="Purchases - Secondary"/>
    <x v="2"/>
    <x v="4"/>
    <s v="Hinson Power Company"/>
    <n v="20800"/>
    <n v="904.65944483592443"/>
    <n v="9408.4582262936146"/>
  </r>
  <r>
    <x v="6"/>
    <s v="Purchases - Secondary"/>
    <x v="2"/>
    <x v="4"/>
    <s v="Iberdrola Renewables (PPM Energy)"/>
    <n v="587403"/>
    <n v="904.65944483592443"/>
    <n v="265699.83593747829"/>
  </r>
  <r>
    <x v="6"/>
    <s v="Purchases - Secondary"/>
    <x v="2"/>
    <x v="4"/>
    <s v="Idaho Power Company"/>
    <n v="73320"/>
    <n v="904.65944483592443"/>
    <n v="33164.815247684986"/>
  </r>
  <r>
    <x v="6"/>
    <s v="Purchases - Secondary"/>
    <x v="2"/>
    <x v="4"/>
    <s v="J. Aron &amp; Company"/>
    <n v="400"/>
    <n v="904.65944483592443"/>
    <n v="180.93188896718488"/>
  </r>
  <r>
    <x v="6"/>
    <s v="Purchases - Secondary"/>
    <x v="2"/>
    <x v="4"/>
    <s v="JP Morgan Ventures Energy"/>
    <n v="1148676"/>
    <n v="904.65944483592443"/>
    <n v="519580.29622817517"/>
  </r>
  <r>
    <x v="6"/>
    <s v="Purchases - Secondary"/>
    <x v="2"/>
    <x v="4"/>
    <s v="Merrill Lynch Commodities"/>
    <n v="350800"/>
    <n v="904.65944483592443"/>
    <n v="158677.26662422114"/>
  </r>
  <r>
    <x v="6"/>
    <s v="Purchases - Secondary"/>
    <x v="2"/>
    <x v="4"/>
    <s v="Morgan Stanley CG"/>
    <n v="1335550"/>
    <n v="904.65944483592443"/>
    <n v="604108.96077530948"/>
  </r>
  <r>
    <x v="6"/>
    <s v="Purchases - Secondary"/>
    <x v="2"/>
    <x v="4"/>
    <s v="NextEra Energy Power Marketing"/>
    <n v="30168"/>
    <n v="904.65944483592443"/>
    <n v="13645.883065905085"/>
  </r>
  <r>
    <x v="6"/>
    <s v="Purchases - Secondary"/>
    <x v="2"/>
    <x v="4"/>
    <s v="Noble Americas Energy Solutions"/>
    <n v="10800"/>
    <n v="904.65944483592443"/>
    <n v="4885.1610021139923"/>
  </r>
  <r>
    <x v="6"/>
    <s v="Purchases - Secondary"/>
    <x v="2"/>
    <x v="4"/>
    <s v="Noble Americas Gas &amp; Power"/>
    <n v="3200"/>
    <n v="904.65944483592443"/>
    <n v="1447.455111737479"/>
  </r>
  <r>
    <x v="6"/>
    <s v="Purchases - Secondary"/>
    <x v="2"/>
    <x v="4"/>
    <s v="NorthPoint Energy Solutions, Inc."/>
    <n v="430"/>
    <n v="904.65944483592443"/>
    <n v="194.50178063972376"/>
  </r>
  <r>
    <x v="6"/>
    <s v="Purchases - Secondary"/>
    <x v="2"/>
    <x v="4"/>
    <s v="Northwestern Energy"/>
    <n v="6224"/>
    <n v="904.65944483592443"/>
    <n v="2815.3001923293969"/>
  </r>
  <r>
    <x v="6"/>
    <s v="Purchases - Secondary"/>
    <x v="2"/>
    <x v="4"/>
    <s v="Okanogan PUD"/>
    <n v="4945"/>
    <n v="904.65944483592443"/>
    <n v="2236.770477356823"/>
  </r>
  <r>
    <x v="6"/>
    <s v="Purchases - Secondary"/>
    <x v="2"/>
    <x v="4"/>
    <s v="Pacific Northwest Generatin Coop."/>
    <n v="337472"/>
    <n v="904.65944483592443"/>
    <n v="152648.61608383455"/>
  </r>
  <r>
    <x v="6"/>
    <s v="Purchases - Secondary"/>
    <x v="2"/>
    <x v="4"/>
    <s v="Pacific Summit Energy LLC"/>
    <n v="1952"/>
    <n v="904.65944483592443"/>
    <n v="882.94761815986226"/>
  </r>
  <r>
    <x v="6"/>
    <s v="Purchases - Secondary"/>
    <x v="2"/>
    <x v="4"/>
    <s v="Pacificorp"/>
    <n v="78506"/>
    <n v="904.65944483592443"/>
    <n v="35510.597188144544"/>
  </r>
  <r>
    <x v="6"/>
    <s v="Purchases - Secondary"/>
    <x v="2"/>
    <x v="4"/>
    <s v="PG&amp;E Energy Trading"/>
    <n v="104400"/>
    <n v="904.65944483592443"/>
    <n v="47223.22302043526"/>
  </r>
  <r>
    <x v="6"/>
    <s v="Purchases - Secondary"/>
    <x v="2"/>
    <x v="4"/>
    <s v="Portland General Electric"/>
    <n v="41895"/>
    <n v="904.65944483592443"/>
    <n v="18950.353720700528"/>
  </r>
  <r>
    <x v="6"/>
    <s v="Purchases - Secondary"/>
    <x v="2"/>
    <x v="4"/>
    <s v="Powerex Corp."/>
    <n v="168076"/>
    <n v="904.65944483592443"/>
    <n v="76025.770425121416"/>
  </r>
  <r>
    <x v="6"/>
    <s v="Purchases - Secondary"/>
    <x v="2"/>
    <x v="4"/>
    <s v="Public Service of Colorado"/>
    <n v="800"/>
    <n v="904.65944483592443"/>
    <n v="361.86377793436975"/>
  </r>
  <r>
    <x v="6"/>
    <s v="Purchases - Secondary"/>
    <x v="2"/>
    <x v="4"/>
    <s v="Rainbow Energy Marketing"/>
    <n v="48216"/>
    <n v="904.65944483592443"/>
    <n v="21809.529896104465"/>
  </r>
  <r>
    <x v="6"/>
    <s v="Purchases - Secondary"/>
    <x v="2"/>
    <x v="4"/>
    <s v="Sacramento Municipal"/>
    <n v="5763"/>
    <n v="904.65944483592443"/>
    <n v="2606.7761902947159"/>
  </r>
  <r>
    <x v="6"/>
    <s v="Purchases - Secondary"/>
    <x v="2"/>
    <x v="4"/>
    <s v="San Diego Gas &amp; Electric"/>
    <n v="556"/>
    <n v="904.65944483592443"/>
    <n v="251.495325664387"/>
  </r>
  <r>
    <x v="6"/>
    <s v="Purchases - Secondary"/>
    <x v="2"/>
    <x v="4"/>
    <s v="Seattle City Light Marketing"/>
    <n v="251794"/>
    <n v="904.65944483592443"/>
    <n v="113893.91012650839"/>
  </r>
  <r>
    <x v="6"/>
    <s v="Purchases - Secondary"/>
    <x v="2"/>
    <x v="4"/>
    <s v="Sempra Energy Trading"/>
    <n v="77538"/>
    <n v="904.65944483592443"/>
    <n v="35072.742016843949"/>
  </r>
  <r>
    <x v="6"/>
    <s v="Purchases - Secondary"/>
    <x v="2"/>
    <x v="4"/>
    <s v="Shell Energy (Coral Pwr)"/>
    <n v="484678"/>
    <n v="904.65944483592443"/>
    <n v="219234.26520209308"/>
  </r>
  <r>
    <x v="6"/>
    <s v="Purchases - Secondary"/>
    <x v="2"/>
    <x v="4"/>
    <s v="Sierra Pacific Power"/>
    <n v="125"/>
    <n v="904.65944483592443"/>
    <n v="56.541215302245277"/>
  </r>
  <r>
    <x v="6"/>
    <s v="Purchases - Secondary"/>
    <x v="2"/>
    <x v="4"/>
    <s v="Snohomish County PUD #1"/>
    <n v="43003"/>
    <n v="904.65944483592443"/>
    <n v="19451.535053139633"/>
  </r>
  <r>
    <x v="6"/>
    <s v="Purchases - Secondary"/>
    <x v="2"/>
    <x v="4"/>
    <s v="Southern Cal - Edison"/>
    <n v="14057"/>
    <n v="904.65944483592443"/>
    <n v="6358.3989080292949"/>
  </r>
  <r>
    <x v="6"/>
    <s v="Purchases - Secondary"/>
    <x v="2"/>
    <x v="4"/>
    <s v="Tacoma Power"/>
    <n v="108837"/>
    <n v="904.65944483592443"/>
    <n v="49230.209998803759"/>
  </r>
  <r>
    <x v="6"/>
    <s v="Purchases - Secondary"/>
    <x v="2"/>
    <x v="4"/>
    <s v="Talen Energy (PPL Energy Plus)"/>
    <n v="122522"/>
    <n v="904.65944483592443"/>
    <n v="55420.342250093563"/>
  </r>
  <r>
    <x v="6"/>
    <s v="Purchases - Secondary"/>
    <x v="2"/>
    <x v="4"/>
    <s v="Tenaska"/>
    <n v="202"/>
    <n v="904.65944483592443"/>
    <n v="91.370603928428366"/>
  </r>
  <r>
    <x v="6"/>
    <s v="Purchases - Secondary"/>
    <x v="2"/>
    <x v="4"/>
    <s v="Tenaska Power Services Co."/>
    <n v="400"/>
    <n v="904.65944483592443"/>
    <n v="180.93188896718488"/>
  </r>
  <r>
    <x v="6"/>
    <s v="Purchases - Secondary"/>
    <x v="2"/>
    <x v="4"/>
    <s v="The Energy Authority"/>
    <n v="55496"/>
    <n v="904.65944483592443"/>
    <n v="25102.490275307231"/>
  </r>
  <r>
    <x v="6"/>
    <s v="Purchases - Secondary"/>
    <x v="2"/>
    <x v="4"/>
    <s v="TransAlta Energy Marketing"/>
    <n v="2238117"/>
    <n v="904.65944483592443"/>
    <n v="1012366.8413489223"/>
  </r>
  <r>
    <x v="6"/>
    <s v="Purchases - Secondary"/>
    <x v="2"/>
    <x v="4"/>
    <s v="Turlock Irrigation District"/>
    <n v="37399"/>
    <n v="904.65944483592443"/>
    <n v="16916.679288709369"/>
  </r>
  <r>
    <x v="6"/>
    <s v="Purchases - Secondary"/>
    <x v="2"/>
    <x v="4"/>
    <s v="Western Area Power Association"/>
    <n v="1669"/>
    <n v="904.65944483592443"/>
    <n v="754.93830671557885"/>
  </r>
  <r>
    <x v="6"/>
    <s v="Interchange - In"/>
    <x v="2"/>
    <x v="4"/>
    <s v="Black Creek Hydro"/>
    <n v="3049"/>
    <n v="904.65944483592443"/>
    <n v="1379.1533236523669"/>
  </r>
  <r>
    <x v="6"/>
    <s v="Interchange - In"/>
    <x v="2"/>
    <x v="4"/>
    <s v="BPA"/>
    <n v="45405"/>
    <n v="904.65944483592443"/>
    <n v="20538.031046387576"/>
  </r>
  <r>
    <x v="6"/>
    <s v="Interchange - In"/>
    <x v="2"/>
    <x v="4"/>
    <s v="Pacific Gas &amp; Elec - Exchange"/>
    <n v="413092"/>
    <n v="904.65944483592443"/>
    <n v="186853.78969308085"/>
  </r>
  <r>
    <x v="6"/>
    <s v="Interchange - Out"/>
    <x v="2"/>
    <x v="4"/>
    <s v="Black Creek Hydro"/>
    <n v="-6556"/>
    <n v="904.65944483592443"/>
    <n v="-2965.4736601721602"/>
  </r>
  <r>
    <x v="6"/>
    <s v="Interchange - Out"/>
    <x v="2"/>
    <x v="4"/>
    <s v="BPA"/>
    <n v="-46691"/>
    <n v="904.65944483592443"/>
    <n v="-21119.727069417073"/>
  </r>
  <r>
    <x v="6"/>
    <s v="Interchange - Out"/>
    <x v="2"/>
    <x v="4"/>
    <s v="Deviation"/>
    <n v="34040.392"/>
    <n v="904.65944483592443"/>
    <n v="15397.481064358622"/>
  </r>
  <r>
    <x v="6"/>
    <s v="Interchange - Out"/>
    <x v="2"/>
    <x v="4"/>
    <s v="Pacific Gas &amp; Elec - Exchange"/>
    <n v="-413000"/>
    <n v="904.65944483592443"/>
    <n v="-186812.17535861841"/>
  </r>
  <r>
    <x v="6"/>
    <s v="Sales for Resale"/>
    <x v="2"/>
    <x v="4"/>
    <s v="Avista Corp. WWP Division"/>
    <n v="-30733"/>
    <n v="904.65944483592443"/>
    <n v="-13901.449359071232"/>
  </r>
  <r>
    <x v="6"/>
    <s v="Sales for Resale"/>
    <x v="2"/>
    <x v="4"/>
    <s v="Barclays Bank Plc"/>
    <n v="-29465"/>
    <n v="904.65944483592443"/>
    <n v="-13327.895271045256"/>
  </r>
  <r>
    <x v="6"/>
    <s v="Sales for Resale"/>
    <x v="2"/>
    <x v="4"/>
    <s v="Black Hills Power"/>
    <n v="-2654"/>
    <n v="904.65944483592443"/>
    <n v="-1200.4830832972718"/>
  </r>
  <r>
    <x v="6"/>
    <s v="Sales for Resale"/>
    <x v="2"/>
    <x v="4"/>
    <s v="BNP Paribas Energy Trading"/>
    <n v="-20616"/>
    <n v="904.65944483592443"/>
    <n v="-9325.2295573687079"/>
  </r>
  <r>
    <x v="6"/>
    <s v="Sales for Resale"/>
    <x v="2"/>
    <x v="4"/>
    <s v="Book Outs - EITF 03-11"/>
    <n v="3622674"/>
    <n v="904.65944483592443"/>
    <n v="1638643.1248307689"/>
  </r>
  <r>
    <x v="6"/>
    <s v="Sales for Resale"/>
    <x v="2"/>
    <x v="4"/>
    <s v="BP Energy Co."/>
    <n v="-148410"/>
    <n v="904.65944483592443"/>
    <n v="-67130.254104049774"/>
  </r>
  <r>
    <x v="6"/>
    <s v="Sales for Resale"/>
    <x v="2"/>
    <x v="4"/>
    <s v="BPA"/>
    <n v="-84760"/>
    <n v="904.65944483592443"/>
    <n v="-38339.467272146481"/>
  </r>
  <r>
    <x v="6"/>
    <s v="Sales for Resale"/>
    <x v="2"/>
    <x v="4"/>
    <s v="British Columbia Transmission Corp"/>
    <n v="-1"/>
    <n v="904.65944483592443"/>
    <n v="-0.45232972241796221"/>
  </r>
  <r>
    <x v="6"/>
    <s v="Sales for Resale"/>
    <x v="2"/>
    <x v="4"/>
    <s v="Burbank, City of"/>
    <n v="-800"/>
    <n v="904.65944483592443"/>
    <n v="-361.86377793436975"/>
  </r>
  <r>
    <x v="6"/>
    <s v="Sales for Resale"/>
    <x v="2"/>
    <x v="4"/>
    <s v="Cargill Power Markets"/>
    <n v="-141861"/>
    <n v="904.65944483592443"/>
    <n v="-64167.946751934534"/>
  </r>
  <r>
    <x v="6"/>
    <s v="Sales for Resale"/>
    <x v="2"/>
    <x v="4"/>
    <s v="Chelan County PUD #1"/>
    <n v="-1600"/>
    <n v="904.65944483592443"/>
    <n v="-723.7275558687395"/>
  </r>
  <r>
    <x v="6"/>
    <s v="Sales for Resale"/>
    <x v="2"/>
    <x v="4"/>
    <s v="Citigroup Energy Inc"/>
    <n v="-167241"/>
    <n v="904.65944483592443"/>
    <n v="-75648.075106902426"/>
  </r>
  <r>
    <x v="6"/>
    <s v="Sales for Resale"/>
    <x v="2"/>
    <x v="4"/>
    <s v="Clark Public Utilities"/>
    <n v="-6320"/>
    <n v="904.65944483592443"/>
    <n v="-2858.7238456815212"/>
  </r>
  <r>
    <x v="6"/>
    <s v="Sales for Resale"/>
    <x v="2"/>
    <x v="4"/>
    <s v="Clatskanie PUD"/>
    <n v="-8952"/>
    <n v="904.65944483592443"/>
    <n v="-4049.2556750855979"/>
  </r>
  <r>
    <x v="6"/>
    <s v="Sales for Resale"/>
    <x v="2"/>
    <x v="4"/>
    <s v="Conoco, Inc."/>
    <n v="-40"/>
    <n v="904.65944483592443"/>
    <n v="-18.093188896718491"/>
  </r>
  <r>
    <x v="6"/>
    <s v="Sales for Resale"/>
    <x v="2"/>
    <x v="4"/>
    <s v="Constellation Power Source, Inc."/>
    <n v="-50578"/>
    <n v="904.65944483592443"/>
    <n v="-22877.932700455691"/>
  </r>
  <r>
    <x v="6"/>
    <s v="Sales for Resale"/>
    <x v="2"/>
    <x v="4"/>
    <s v="CP Energy Marketing (Epcor)"/>
    <n v="-9659"/>
    <n v="904.65944483592443"/>
    <n v="-4369.0527888350971"/>
  </r>
  <r>
    <x v="6"/>
    <s v="Sales for Resale"/>
    <x v="2"/>
    <x v="4"/>
    <s v="DB Energy Trading LLC"/>
    <n v="-73077"/>
    <n v="904.65944483592443"/>
    <n v="-33054.899125137425"/>
  </r>
  <r>
    <x v="6"/>
    <s v="Sales for Resale"/>
    <x v="2"/>
    <x v="4"/>
    <s v="Douglas County PUD #1"/>
    <n v="-1531"/>
    <n v="904.65944483592443"/>
    <n v="-692.51680502190015"/>
  </r>
  <r>
    <x v="6"/>
    <s v="Sales for Resale"/>
    <x v="2"/>
    <x v="4"/>
    <s v="EDF Trading NA LLC"/>
    <n v="-95429"/>
    <n v="904.65944483592443"/>
    <n v="-43165.373080623714"/>
  </r>
  <r>
    <x v="6"/>
    <s v="Sales for Resale"/>
    <x v="2"/>
    <x v="4"/>
    <s v="ENMAX Energy Marketing, Inc."/>
    <n v="567"/>
    <n v="904.65944483592443"/>
    <n v="256.47095261098457"/>
  </r>
  <r>
    <x v="6"/>
    <s v="Sales for Resale"/>
    <x v="2"/>
    <x v="4"/>
    <s v="Eugene Water &amp; Electric"/>
    <n v="-33425"/>
    <n v="904.65944483592443"/>
    <n v="-15119.120971820388"/>
  </r>
  <r>
    <x v="6"/>
    <s v="Sales for Resale"/>
    <x v="2"/>
    <x v="4"/>
    <s v="Exelon Generation Co LLC"/>
    <n v="-15200"/>
    <n v="904.65944483592443"/>
    <n v="-6875.4117807530256"/>
  </r>
  <r>
    <x v="6"/>
    <s v="Sales for Resale"/>
    <x v="2"/>
    <x v="4"/>
    <s v="Grant County PUD #2"/>
    <n v="-27856"/>
    <n v="904.65944483592443"/>
    <n v="-12600.096747674756"/>
  </r>
  <r>
    <x v="6"/>
    <s v="Sales for Resale"/>
    <x v="2"/>
    <x v="4"/>
    <s v="Iberdrola Renewables (PPM Energy)"/>
    <n v="-428020"/>
    <n v="904.65944483592443"/>
    <n v="-193606.16778933618"/>
  </r>
  <r>
    <x v="6"/>
    <s v="Sales for Resale"/>
    <x v="2"/>
    <x v="4"/>
    <s v="Idaho Power Company"/>
    <n v="-24625"/>
    <n v="904.65944483592443"/>
    <n v="-11138.61941454232"/>
  </r>
  <r>
    <x v="6"/>
    <s v="Sales for Resale"/>
    <x v="2"/>
    <x v="4"/>
    <s v="J. Aron &amp; Company"/>
    <n v="-21600"/>
    <n v="904.65944483592443"/>
    <n v="-9770.3220042279845"/>
  </r>
  <r>
    <x v="6"/>
    <s v="Sales for Resale"/>
    <x v="2"/>
    <x v="4"/>
    <s v="JP Morgan Ventures Energy"/>
    <n v="-47261"/>
    <n v="904.65944483592443"/>
    <n v="-21377.555011195313"/>
  </r>
  <r>
    <x v="6"/>
    <s v="Sales for Resale"/>
    <x v="2"/>
    <x v="4"/>
    <s v="Los Angeles Dept. Water &amp; Power"/>
    <n v="-1150"/>
    <n v="904.65944483592443"/>
    <n v="-520.17918078065657"/>
  </r>
  <r>
    <x v="6"/>
    <s v="Sales for Resale"/>
    <x v="2"/>
    <x v="4"/>
    <s v="Merrill Lynch Commodities"/>
    <n v="-18800"/>
    <n v="904.65944483592443"/>
    <n v="-8503.79878145769"/>
  </r>
  <r>
    <x v="6"/>
    <s v="Sales for Resale"/>
    <x v="2"/>
    <x v="4"/>
    <s v="Morgan Stanley CG"/>
    <n v="-586129"/>
    <n v="904.65944483592443"/>
    <n v="-265123.56787111779"/>
  </r>
  <r>
    <x v="6"/>
    <s v="Sales for Resale"/>
    <x v="2"/>
    <x v="4"/>
    <s v="N. California Power Agency"/>
    <n v="-482"/>
    <n v="904.65944483592443"/>
    <n v="-218.02292620545779"/>
  </r>
  <r>
    <x v="6"/>
    <s v="Sales for Resale"/>
    <x v="2"/>
    <x v="4"/>
    <s v="Natur Ener USA"/>
    <n v="-30"/>
    <n v="904.65944483592443"/>
    <n v="-13.569891672538866"/>
  </r>
  <r>
    <x v="6"/>
    <s v="Sales for Resale"/>
    <x v="2"/>
    <x v="4"/>
    <s v="NextEra Energy Power Marketing"/>
    <n v="-9250"/>
    <n v="904.65944483592443"/>
    <n v="-4184.0499323661506"/>
  </r>
  <r>
    <x v="6"/>
    <s v="Sales for Resale"/>
    <x v="2"/>
    <x v="4"/>
    <s v="Noble Americas Energy Solutions"/>
    <n v="-800"/>
    <n v="904.65944483592443"/>
    <n v="-361.86377793436975"/>
  </r>
  <r>
    <x v="6"/>
    <s v="Sales for Resale"/>
    <x v="2"/>
    <x v="4"/>
    <s v="Noble Americas Gas &amp; Power"/>
    <n v="-3388"/>
    <n v="904.65944483592443"/>
    <n v="-1532.493099552056"/>
  </r>
  <r>
    <x v="6"/>
    <s v="Sales for Resale"/>
    <x v="2"/>
    <x v="4"/>
    <s v="NorthPoint Energy Solutions, Inc."/>
    <n v="-7683"/>
    <n v="904.65944483592443"/>
    <n v="-3475.2492573372037"/>
  </r>
  <r>
    <x v="6"/>
    <s v="Sales for Resale"/>
    <x v="2"/>
    <x v="4"/>
    <s v="Northwestern Energy"/>
    <n v="-56370"/>
    <n v="904.65944483592443"/>
    <n v="-25497.82645270053"/>
  </r>
  <r>
    <x v="6"/>
    <s v="Sales for Resale"/>
    <x v="2"/>
    <x v="4"/>
    <s v="Okanogan PUD"/>
    <n v="-855"/>
    <n v="904.65944483592443"/>
    <n v="-386.74191266735772"/>
  </r>
  <r>
    <x v="6"/>
    <s v="Sales for Resale"/>
    <x v="2"/>
    <x v="4"/>
    <s v="Pacific Northwest Generatin Coop."/>
    <n v="-1655"/>
    <n v="904.65944483592443"/>
    <n v="-748.60569060172747"/>
  </r>
  <r>
    <x v="6"/>
    <s v="Sales for Resale"/>
    <x v="2"/>
    <x v="4"/>
    <s v="Pacific Summit Energy LLC"/>
    <n v="-57339"/>
    <n v="904.65944483592443"/>
    <n v="-25936.133953723536"/>
  </r>
  <r>
    <x v="6"/>
    <s v="Sales for Resale"/>
    <x v="2"/>
    <x v="4"/>
    <s v="Pacificorp"/>
    <n v="-246935"/>
    <n v="904.65944483592443"/>
    <n v="-111696.0400052795"/>
  </r>
  <r>
    <x v="6"/>
    <s v="Sales for Resale"/>
    <x v="2"/>
    <x v="4"/>
    <s v="PG&amp;E Energy Trading"/>
    <n v="-790398"/>
    <n v="904.65944483592443"/>
    <n v="-357520.50793971255"/>
  </r>
  <r>
    <x v="6"/>
    <s v="Sales for Resale"/>
    <x v="2"/>
    <x v="4"/>
    <s v="Portland General Electric"/>
    <n v="-251716"/>
    <n v="904.65944483592443"/>
    <n v="-113858.62840815978"/>
  </r>
  <r>
    <x v="6"/>
    <s v="Sales for Resale"/>
    <x v="2"/>
    <x v="4"/>
    <s v="Powerex Corp."/>
    <n v="-294366"/>
    <n v="904.65944483592443"/>
    <n v="-133150.49106928587"/>
  </r>
  <r>
    <x v="6"/>
    <s v="Sales for Resale"/>
    <x v="2"/>
    <x v="4"/>
    <s v="Public Service of Colorado"/>
    <n v="-1600"/>
    <n v="904.65944483592443"/>
    <n v="-723.7275558687395"/>
  </r>
  <r>
    <x v="6"/>
    <s v="Sales for Resale"/>
    <x v="2"/>
    <x v="4"/>
    <s v="Rainbow Energy Marketing"/>
    <n v="-69776"/>
    <n v="904.65944483592443"/>
    <n v="-31561.75871143573"/>
  </r>
  <r>
    <x v="6"/>
    <s v="Sales for Resale"/>
    <x v="2"/>
    <x v="4"/>
    <s v="Redding, City of"/>
    <n v="-69"/>
    <n v="904.65944483592443"/>
    <n v="-31.210750846839392"/>
  </r>
  <r>
    <x v="6"/>
    <s v="Sales for Resale"/>
    <x v="2"/>
    <x v="4"/>
    <s v="Sacramento Municipal"/>
    <n v="-28531"/>
    <n v="904.65944483592443"/>
    <n v="-12905.419310306881"/>
  </r>
  <r>
    <x v="6"/>
    <s v="Sales for Resale"/>
    <x v="2"/>
    <x v="4"/>
    <s v="San Diego Gas &amp; Electric"/>
    <n v="-22412"/>
    <n v="904.65944483592443"/>
    <n v="-10137.613738831369"/>
  </r>
  <r>
    <x v="6"/>
    <s v="Sales for Resale"/>
    <x v="2"/>
    <x v="4"/>
    <s v="Seattle City Light Marketing"/>
    <n v="-23444"/>
    <n v="904.65944483592443"/>
    <n v="-10604.418012366707"/>
  </r>
  <r>
    <x v="6"/>
    <s v="Sales for Resale"/>
    <x v="2"/>
    <x v="4"/>
    <s v="Shell Energy (Coral Pwr)"/>
    <n v="-457267"/>
    <n v="904.65944483592443"/>
    <n v="-206835.45518089432"/>
  </r>
  <r>
    <x v="6"/>
    <s v="Sales for Resale"/>
    <x v="2"/>
    <x v="4"/>
    <s v="Sierra Pacific Power"/>
    <n v="-14123"/>
    <n v="904.65944483592443"/>
    <n v="-6388.2526697088806"/>
  </r>
  <r>
    <x v="6"/>
    <s v="Sales for Resale"/>
    <x v="2"/>
    <x v="4"/>
    <s v="Snohomish County PUD #1"/>
    <n v="-9938"/>
    <n v="904.65944483592443"/>
    <n v="-4495.2527813897086"/>
  </r>
  <r>
    <x v="6"/>
    <s v="Sales for Resale"/>
    <x v="2"/>
    <x v="4"/>
    <s v="Southern Cal - Edison"/>
    <n v="-526126"/>
    <n v="904.65944483592443"/>
    <n v="-237982.42753687277"/>
  </r>
  <r>
    <x v="6"/>
    <s v="Sales for Resale"/>
    <x v="2"/>
    <x v="4"/>
    <s v="Tacoma Power"/>
    <n v="-19779"/>
    <n v="904.65944483592443"/>
    <n v="-8946.6295797048751"/>
  </r>
  <r>
    <x v="6"/>
    <s v="Sales for Resale"/>
    <x v="2"/>
    <x v="4"/>
    <s v="Talen Energy (PPL Energy Plus)"/>
    <n v="-185885"/>
    <n v="904.65944483592443"/>
    <n v="-84081.31045166291"/>
  </r>
  <r>
    <x v="6"/>
    <s v="Sales for Resale"/>
    <x v="2"/>
    <x v="4"/>
    <s v="Tenaska Power Services Co."/>
    <n v="-3600"/>
    <n v="904.65944483592443"/>
    <n v="-1628.3870007046639"/>
  </r>
  <r>
    <x v="6"/>
    <s v="Sales for Resale"/>
    <x v="2"/>
    <x v="4"/>
    <s v="The Energy Authority"/>
    <n v="-19100"/>
    <n v="904.65944483592443"/>
    <n v="-8639.4976981830787"/>
  </r>
  <r>
    <x v="6"/>
    <s v="Sales for Resale"/>
    <x v="2"/>
    <x v="4"/>
    <s v="TransAlta Energy Marketing"/>
    <n v="-212919"/>
    <n v="904.65944483592443"/>
    <n v="-96309.592167510098"/>
  </r>
  <r>
    <x v="6"/>
    <s v="Sales for Resale"/>
    <x v="2"/>
    <x v="4"/>
    <s v="TransCanada Energy Sales Ltd"/>
    <n v="-14806"/>
    <n v="904.65944483592443"/>
    <n v="-6697.193870120348"/>
  </r>
  <r>
    <x v="6"/>
    <s v="Sales for Resale"/>
    <x v="2"/>
    <x v="4"/>
    <s v="Turlock Irrigation District"/>
    <n v="-24869"/>
    <n v="904.65944483592443"/>
    <n v="-11248.987866812302"/>
  </r>
  <r>
    <x v="6"/>
    <s v="Sales for Resale"/>
    <x v="2"/>
    <x v="4"/>
    <s v="Western Area Power Association"/>
    <n v="-1265"/>
    <n v="904.65944483592443"/>
    <n v="-572.19709885872226"/>
  </r>
  <r>
    <x v="7"/>
    <s v="Generation - Hydro"/>
    <x v="0"/>
    <x v="0"/>
    <s v="Electron"/>
    <n v="49582.500999999997"/>
    <n v="0"/>
    <n v="0"/>
  </r>
  <r>
    <x v="7"/>
    <s v="Generation - Hydro"/>
    <x v="0"/>
    <x v="0"/>
    <s v="Lower Baker"/>
    <n v="349273.41600000003"/>
    <n v="0"/>
    <n v="0"/>
  </r>
  <r>
    <x v="7"/>
    <s v="Generation - Hydro"/>
    <x v="0"/>
    <x v="0"/>
    <s v="Snoqualmie Falls #1"/>
    <n v="-1203.3699999999999"/>
    <n v="0"/>
    <n v="0"/>
  </r>
  <r>
    <x v="7"/>
    <s v="Generation - Hydro"/>
    <x v="0"/>
    <x v="0"/>
    <s v="Snoqualmie Falls #2"/>
    <n v="-636.02"/>
    <n v="0"/>
    <n v="0"/>
  </r>
  <r>
    <x v="7"/>
    <s v="Generation - Hydro"/>
    <x v="0"/>
    <x v="0"/>
    <s v="Upper Baker"/>
    <n v="349723.13699999999"/>
    <n v="0"/>
    <n v="0"/>
  </r>
  <r>
    <x v="7"/>
    <s v="Generation - Steam"/>
    <x v="0"/>
    <x v="1"/>
    <s v="Colstrip 1 &amp; 2"/>
    <n v="1424335.0120000001"/>
    <n v="2349.8257362489862"/>
    <n v="1673469.5341190542"/>
  </r>
  <r>
    <x v="7"/>
    <s v="Generation - Steam"/>
    <x v="0"/>
    <x v="1"/>
    <s v="Colstrip 3 &amp; 4"/>
    <n v="2385189"/>
    <n v="2393.7645012833036"/>
    <n v="2854790.3785257111"/>
  </r>
  <r>
    <x v="7"/>
    <s v="Generation - Steam"/>
    <x v="2"/>
    <x v="4"/>
    <s v="Deferral Offsets"/>
    <n v="-52.36"/>
    <n v="903.13346574503635"/>
    <n v="-23.644034133205054"/>
  </r>
  <r>
    <x v="7"/>
    <s v="Generation - Steam"/>
    <x v="0"/>
    <x v="2"/>
    <s v="Encogen"/>
    <n v="108457.06999999999"/>
    <n v="1049.4122071397105"/>
    <n v="56908.086604303033"/>
  </r>
  <r>
    <x v="7"/>
    <s v="Generation - Steam"/>
    <x v="0"/>
    <x v="2"/>
    <s v="Ferndale Co-Generation"/>
    <n v="1607.07"/>
    <n v="19630.897386131426"/>
    <n v="15774.113131165115"/>
  </r>
  <r>
    <x v="7"/>
    <s v="Generation - Steam"/>
    <x v="0"/>
    <x v="2"/>
    <s v="Freddie #1"/>
    <n v="175177.486"/>
    <n v="1749.2870770111949"/>
    <n v="153217.85622155474"/>
  </r>
  <r>
    <x v="7"/>
    <s v="Generation - Steam"/>
    <x v="0"/>
    <x v="2"/>
    <s v="Goldendale"/>
    <n v="909496.56500000006"/>
    <n v="788.66119728262413"/>
    <n v="358642.32493866701"/>
  </r>
  <r>
    <x v="7"/>
    <s v="Generation - Steam"/>
    <x v="0"/>
    <x v="2"/>
    <s v="Mint Farm"/>
    <n v="1098069.3709999998"/>
    <n v="870.20470928410623"/>
    <n v="477772.5688824181"/>
  </r>
  <r>
    <x v="7"/>
    <s v="Generation - Steam"/>
    <x v="0"/>
    <x v="2"/>
    <s v="Sumas"/>
    <n v="223749.87400000001"/>
    <n v="1049.718162234019"/>
    <n v="117437.15326768665"/>
  </r>
  <r>
    <x v="7"/>
    <s v="Generation - Oil/Gas/Wind"/>
    <x v="0"/>
    <x v="3"/>
    <s v="Crystal Mountain"/>
    <n v="298.26"/>
    <n v="72576.7303584982"/>
    <n v="10823.367798362837"/>
  </r>
  <r>
    <x v="7"/>
    <s v="Generation - Oil/Gas/Wind"/>
    <x v="2"/>
    <x v="4"/>
    <s v="Deferral Offsets"/>
    <n v="-101.64"/>
    <n v="903.13346574503635"/>
    <n v="-45.897242729162748"/>
  </r>
  <r>
    <x v="7"/>
    <s v="Generation - Oil/Gas/Wind"/>
    <x v="0"/>
    <x v="2"/>
    <s v="Fredonia"/>
    <n v="17192.718000000001"/>
    <n v="14670.939396443593"/>
    <n v="126116.66191907245"/>
  </r>
  <r>
    <x v="7"/>
    <s v="Generation - Oil/Gas/Wind"/>
    <x v="0"/>
    <x v="2"/>
    <s v="Fredonia 3 &amp; 4"/>
    <n v="25360"/>
    <n v="1266.8699948920128"/>
    <n v="16063.91153523072"/>
  </r>
  <r>
    <x v="7"/>
    <s v="Generation - Oil/Gas/Wind"/>
    <x v="0"/>
    <x v="2"/>
    <s v="Fredrickson 1 &amp; 2"/>
    <n v="31650.31"/>
    <n v="2994.5387814226269"/>
    <n v="47389.040369524198"/>
  </r>
  <r>
    <x v="7"/>
    <s v="Generation - Oil/Gas/Wind"/>
    <x v="0"/>
    <x v="0"/>
    <s v="Hopkins Ridge (W184)"/>
    <n v="430639.962"/>
    <n v="0"/>
    <n v="0"/>
  </r>
  <r>
    <x v="7"/>
    <s v="Generation - Oil/Gas/Wind"/>
    <x v="0"/>
    <x v="0"/>
    <s v="Lower Snake River"/>
    <n v="714783.17700000003"/>
    <n v="0"/>
    <n v="0"/>
  </r>
  <r>
    <x v="7"/>
    <s v="Generation - Oil/Gas/Wind"/>
    <x v="0"/>
    <x v="2"/>
    <s v="Whitehorn 2&amp;3"/>
    <n v="29277.7"/>
    <n v="5720.0200830619897"/>
    <n v="83734.515992932007"/>
  </r>
  <r>
    <x v="7"/>
    <s v="Generation - Oil/Gas/Wind"/>
    <x v="0"/>
    <x v="0"/>
    <s v="Wild Horse (W183)"/>
    <n v="677389.93"/>
    <n v="0"/>
    <n v="0"/>
  </r>
  <r>
    <x v="7"/>
    <s v="Purchases - Firm"/>
    <x v="1"/>
    <x v="0"/>
    <s v="3 Bar G Wind Turbine #3 LLC"/>
    <n v="190.13800000000001"/>
    <n v="0"/>
    <n v="0"/>
  </r>
  <r>
    <x v="7"/>
    <s v="Purchases - Firm"/>
    <x v="1"/>
    <x v="4"/>
    <s v="Barclays Bank Plc"/>
    <n v="217875"/>
    <n v="903.13346574503635"/>
    <n v="98385.101924599905"/>
  </r>
  <r>
    <x v="7"/>
    <s v="Purchases - Firm"/>
    <x v="1"/>
    <x v="4"/>
    <s v="BC Hydro (Point Roberts)"/>
    <n v="21416.769"/>
    <n v="903.13346574503635"/>
    <n v="9671.1004060154282"/>
  </r>
  <r>
    <x v="7"/>
    <s v="Purchases - Firm"/>
    <x v="1"/>
    <x v="0"/>
    <s v="Black Creek Hydro Inc"/>
    <n v="11481.12"/>
    <n v="0"/>
    <n v="0"/>
  </r>
  <r>
    <x v="7"/>
    <s v="Purchases - Firm"/>
    <x v="1"/>
    <x v="7"/>
    <s v="Book Outs - EITF 03-11"/>
    <n v="-449210"/>
    <n v="0"/>
    <n v="0"/>
  </r>
  <r>
    <x v="7"/>
    <s v="Purchases - Firm"/>
    <x v="1"/>
    <x v="0"/>
    <s v="BPA"/>
    <n v="6832"/>
    <n v="0"/>
    <n v="0"/>
  </r>
  <r>
    <x v="7"/>
    <s v="Purchases - Firm"/>
    <x v="1"/>
    <x v="4"/>
    <s v="BPA Firm - WNP#3 Exchange"/>
    <n v="400153"/>
    <n v="903.13346574503635"/>
    <n v="180695.78285913676"/>
  </r>
  <r>
    <x v="7"/>
    <s v="Purchases - Firm"/>
    <x v="1"/>
    <x v="0"/>
    <s v="CC Solar 1 and CC Solar 2"/>
    <n v="3.48"/>
    <n v="0"/>
    <n v="0"/>
  </r>
  <r>
    <x v="7"/>
    <s v="Purchases - Firm"/>
    <x v="1"/>
    <x v="0"/>
    <s v="Chelan PUD - RI &amp; RR"/>
    <n v="2300840"/>
    <n v="0"/>
    <n v="0"/>
  </r>
  <r>
    <x v="7"/>
    <s v="Purchases - Firm"/>
    <x v="1"/>
    <x v="0"/>
    <s v="Chelan PUD - Rock Island Syst #2"/>
    <n v="716417"/>
    <n v="0"/>
    <n v="0"/>
  </r>
  <r>
    <x v="7"/>
    <s v="Purchases - Firm"/>
    <x v="1"/>
    <x v="0"/>
    <s v="Chelan PUD - Rocky Reach"/>
    <n v="-80276"/>
    <n v="0"/>
    <n v="0"/>
  </r>
  <r>
    <x v="7"/>
    <s v="Purchases - Firm"/>
    <x v="1"/>
    <x v="0"/>
    <s v="Douglas PUD - Wells Project"/>
    <n v="979910"/>
    <n v="0"/>
    <n v="0"/>
  </r>
  <r>
    <x v="7"/>
    <s v="Purchases - Firm"/>
    <x v="1"/>
    <x v="0"/>
    <s v="Edaleen Dairy LLC"/>
    <n v="1390.963"/>
    <n v="0"/>
    <n v="0"/>
  </r>
  <r>
    <x v="7"/>
    <s v="Purchases - Firm"/>
    <x v="1"/>
    <x v="0"/>
    <s v="Farm Power Lynden LLC"/>
    <n v="4187.8609999999999"/>
    <n v="0"/>
    <n v="0"/>
  </r>
  <r>
    <x v="7"/>
    <s v="Purchases - Firm"/>
    <x v="1"/>
    <x v="0"/>
    <s v="Farm Power Rexville LLC"/>
    <n v="5803.0730000000003"/>
    <n v="0"/>
    <n v="0"/>
  </r>
  <r>
    <x v="7"/>
    <s v="Purchases - Firm"/>
    <x v="1"/>
    <x v="0"/>
    <s v="Grant PUD - Priest Rapids Project"/>
    <n v="75568"/>
    <n v="0"/>
    <n v="0"/>
  </r>
  <r>
    <x v="7"/>
    <s v="Purchases - Firm"/>
    <x v="1"/>
    <x v="0"/>
    <s v="Island Community Solar LLC"/>
    <n v="57.93"/>
    <n v="0"/>
    <n v="0"/>
  </r>
  <r>
    <x v="7"/>
    <s v="Purchases - Firm"/>
    <x v="1"/>
    <x v="4"/>
    <s v="JP Morgan Ventures Energy"/>
    <n v="549589"/>
    <n v="903.13346574503635"/>
    <n v="248176.10915267438"/>
  </r>
  <r>
    <x v="7"/>
    <s v="Purchases - Firm"/>
    <x v="1"/>
    <x v="2"/>
    <s v="Klamath Falls (Iberdrola)"/>
    <n v="500"/>
    <n v="801.87985943021681"/>
    <n v="200.4699648575542"/>
  </r>
  <r>
    <x v="7"/>
    <s v="Purchases - Firm"/>
    <x v="1"/>
    <x v="0"/>
    <s v="Klondike Wind Power III"/>
    <n v="124794"/>
    <n v="0"/>
    <n v="0"/>
  </r>
  <r>
    <x v="7"/>
    <s v="Purchases - Firm"/>
    <x v="1"/>
    <x v="0"/>
    <s v="Knudsen Wind Turbine #1"/>
    <n v="134.72900000000001"/>
    <n v="0"/>
    <n v="0"/>
  </r>
  <r>
    <x v="7"/>
    <s v="Purchases - Firm"/>
    <x v="1"/>
    <x v="4"/>
    <s v="Powerex Corp."/>
    <n v="120000"/>
    <n v="903.13346574503635"/>
    <n v="54188.007944702178"/>
  </r>
  <r>
    <x v="7"/>
    <s v="Purchases - Firm"/>
    <x v="1"/>
    <x v="0"/>
    <s v="Qualco Energy"/>
    <n v="3402"/>
    <n v="0"/>
    <n v="0"/>
  </r>
  <r>
    <x v="7"/>
    <s v="Purchases - Firm"/>
    <x v="1"/>
    <x v="0"/>
    <s v="Rainier Bio Gas"/>
    <n v="58.277000000000001"/>
    <n v="0"/>
    <n v="0"/>
  </r>
  <r>
    <x v="7"/>
    <s v="Purchases - Firm"/>
    <x v="1"/>
    <x v="4"/>
    <s v="Shell Energy (Coral Pwr)"/>
    <n v="439124"/>
    <n v="903.13346574503635"/>
    <n v="198293.79000591167"/>
  </r>
  <r>
    <x v="7"/>
    <s v="Purchases - Firm"/>
    <x v="1"/>
    <x v="0"/>
    <s v="Skookumchuck Hydro"/>
    <n v="6421.8"/>
    <n v="0"/>
    <n v="0"/>
  </r>
  <r>
    <x v="7"/>
    <s v="Purchases - Firm"/>
    <x v="1"/>
    <x v="0"/>
    <s v="Smith Creek Hydro"/>
    <n v="215.179"/>
    <n v="0"/>
    <n v="0"/>
  </r>
  <r>
    <x v="7"/>
    <s v="Purchases - Firm"/>
    <x v="1"/>
    <x v="0"/>
    <s v="Swauk Wind"/>
    <n v="29.4"/>
    <n v="0"/>
    <n v="0"/>
  </r>
  <r>
    <x v="7"/>
    <s v="Purchases - Firm"/>
    <x v="1"/>
    <x v="0"/>
    <s v="Van Dyk - S Holsteins"/>
    <n v="2762.123"/>
    <n v="0"/>
    <n v="0"/>
  </r>
  <r>
    <x v="7"/>
    <s v="Purchases - Firm"/>
    <x v="1"/>
    <x v="0"/>
    <s v="VanderHaak Dairy Digester"/>
    <n v="3538.12"/>
    <n v="0"/>
    <n v="0"/>
  </r>
  <r>
    <x v="7"/>
    <s v="Purchases - Firm"/>
    <x v="1"/>
    <x v="0"/>
    <s v="WASCO Hydro"/>
    <n v="38227"/>
    <n v="0"/>
    <n v="0"/>
  </r>
  <r>
    <x v="7"/>
    <s v="Purchases - PURPA"/>
    <x v="1"/>
    <x v="0"/>
    <s v="Bio Energy Washington (BEW)"/>
    <n v="2787.3119999999999"/>
    <n v="0"/>
    <n v="0"/>
  </r>
  <r>
    <x v="7"/>
    <s v="Purchases - PURPA"/>
    <x v="1"/>
    <x v="0"/>
    <s v="Hutchinson Creek"/>
    <n v="1243.96"/>
    <n v="0"/>
    <n v="0"/>
  </r>
  <r>
    <x v="7"/>
    <s v="Purchases - PURPA"/>
    <x v="1"/>
    <x v="0"/>
    <s v="Koma Kulshan Associates"/>
    <n v="42519.24"/>
    <n v="0"/>
    <n v="0"/>
  </r>
  <r>
    <x v="7"/>
    <s v="Purchases - PURPA"/>
    <x v="1"/>
    <x v="0"/>
    <s v="Lake Washington -- Finn Hill"/>
    <n v="95.68"/>
    <n v="0"/>
    <n v="0"/>
  </r>
  <r>
    <x v="7"/>
    <s v="Purchases - PURPA"/>
    <x v="1"/>
    <x v="0"/>
    <s v="Nooksack"/>
    <n v="25294.784"/>
    <n v="0"/>
    <n v="0"/>
  </r>
  <r>
    <x v="7"/>
    <s v="Purchases - PURPA"/>
    <x v="1"/>
    <x v="5"/>
    <s v="Port Townsend Paper Co."/>
    <n v="1475.0070000000001"/>
    <n v="988.65799650043755"/>
    <n v="729.13873272206047"/>
  </r>
  <r>
    <x v="7"/>
    <s v="Purchases - PURPA"/>
    <x v="1"/>
    <x v="0"/>
    <s v="Sygitowicz Creek"/>
    <n v="1478.24"/>
    <n v="0"/>
    <n v="0"/>
  </r>
  <r>
    <x v="7"/>
    <s v="Purchases - PURPA"/>
    <x v="1"/>
    <x v="0"/>
    <s v="Twin Falls Hydro"/>
    <n v="95827.199999999997"/>
    <n v="0"/>
    <n v="0"/>
  </r>
  <r>
    <x v="7"/>
    <s v="Purchases - PURPA"/>
    <x v="1"/>
    <x v="0"/>
    <s v="Weeks Falls"/>
    <n v="17113.599999999999"/>
    <n v="0"/>
    <n v="0"/>
  </r>
  <r>
    <x v="7"/>
    <s v="Purchases - Secondary"/>
    <x v="2"/>
    <x v="4"/>
    <s v="Avista Corp. WWP Division"/>
    <n v="126962.18"/>
    <n v="903.13346574503635"/>
    <n v="57331.896820972572"/>
  </r>
  <r>
    <x v="7"/>
    <s v="Purchases - Secondary"/>
    <x v="2"/>
    <x v="4"/>
    <s v="Barclays Bank Plc"/>
    <n v="22000"/>
    <n v="903.13346574503635"/>
    <n v="9934.4681231954"/>
  </r>
  <r>
    <x v="7"/>
    <s v="Purchases - Secondary"/>
    <x v="2"/>
    <x v="4"/>
    <s v="Black Hills Power"/>
    <n v="1600"/>
    <n v="903.13346574503635"/>
    <n v="722.50677259602912"/>
  </r>
  <r>
    <x v="7"/>
    <s v="Purchases - Secondary"/>
    <x v="2"/>
    <x v="4"/>
    <s v="Book Outs - EITF 03-11"/>
    <n v="-2428057"/>
    <n v="903.13346574503635"/>
    <n v="-1096429.7667182479"/>
  </r>
  <r>
    <x v="7"/>
    <s v="Purchases - Secondary"/>
    <x v="2"/>
    <x v="4"/>
    <s v="BP Energy Co."/>
    <n v="1236010"/>
    <n v="903.13346574503635"/>
    <n v="558140.99749776116"/>
  </r>
  <r>
    <x v="7"/>
    <s v="Purchases - Secondary"/>
    <x v="2"/>
    <x v="4"/>
    <s v="BPA"/>
    <n v="384112.7"/>
    <n v="903.13346574503635"/>
    <n v="173452.51699384171"/>
  </r>
  <r>
    <x v="7"/>
    <s v="Purchases - Secondary"/>
    <x v="2"/>
    <x v="4"/>
    <s v="Brookfield Energy Marketing"/>
    <n v="1200"/>
    <n v="903.13346574503635"/>
    <n v="541.88007944702179"/>
  </r>
  <r>
    <x v="7"/>
    <s v="Purchases - Secondary"/>
    <x v="2"/>
    <x v="4"/>
    <s v="Calpine Energy Services"/>
    <n v="467588"/>
    <n v="903.13346574503635"/>
    <n v="211147.18549039503"/>
  </r>
  <r>
    <x v="7"/>
    <s v="Purchases - Secondary"/>
    <x v="2"/>
    <x v="4"/>
    <s v="Cargill Power Markets"/>
    <n v="252059"/>
    <n v="903.13346574503635"/>
    <n v="113821.45912111407"/>
  </r>
  <r>
    <x v="7"/>
    <s v="Purchases - Secondary"/>
    <x v="2"/>
    <x v="4"/>
    <s v="Chelan County PUD #1"/>
    <n v="124383"/>
    <n v="903.13346574503635"/>
    <n v="56167.224934882426"/>
  </r>
  <r>
    <x v="7"/>
    <s v="Purchases - Secondary"/>
    <x v="2"/>
    <x v="4"/>
    <s v="Citigroup Energy Inc"/>
    <n v="1014046"/>
    <n v="903.13346574503635"/>
    <n v="457909.43920244556"/>
  </r>
  <r>
    <x v="7"/>
    <s v="Purchases - Secondary"/>
    <x v="2"/>
    <x v="4"/>
    <s v="Clark Public Utilities"/>
    <n v="26743"/>
    <n v="903.13346574503635"/>
    <n v="12076.249137209754"/>
  </r>
  <r>
    <x v="7"/>
    <s v="Purchases - Secondary"/>
    <x v="2"/>
    <x v="4"/>
    <s v="Clatskanie PUD"/>
    <n v="11019"/>
    <n v="903.13346574503635"/>
    <n v="4975.813829522278"/>
  </r>
  <r>
    <x v="7"/>
    <s v="Purchases - Secondary"/>
    <x v="2"/>
    <x v="4"/>
    <s v="Constellation Power Source, Inc."/>
    <n v="65386"/>
    <n v="903.13346574503635"/>
    <n v="29526.142395602474"/>
  </r>
  <r>
    <x v="7"/>
    <s v="Purchases - Secondary"/>
    <x v="2"/>
    <x v="4"/>
    <s v="CP Energy Marketing (Epcor)"/>
    <n v="1133"/>
    <n v="903.13346574503635"/>
    <n v="511.6251083445631"/>
  </r>
  <r>
    <x v="7"/>
    <s v="Purchases - Secondary"/>
    <x v="2"/>
    <x v="4"/>
    <s v="DB Energy Trading LLC"/>
    <n v="502043"/>
    <n v="903.13346574503635"/>
    <n v="226705.91727151762"/>
  </r>
  <r>
    <x v="7"/>
    <s v="Purchases - Secondary"/>
    <x v="2"/>
    <x v="4"/>
    <s v="Douglas County PUD #1"/>
    <n v="336342"/>
    <n v="903.13346574503635"/>
    <n v="151880.8580678085"/>
  </r>
  <r>
    <x v="7"/>
    <s v="Purchases - Secondary"/>
    <x v="2"/>
    <x v="4"/>
    <s v="EDF Trading NA LLC"/>
    <n v="222630"/>
    <n v="903.13346574503635"/>
    <n v="100532.30173940872"/>
  </r>
  <r>
    <x v="7"/>
    <s v="Purchases - Secondary"/>
    <x v="2"/>
    <x v="4"/>
    <s v="ENMAX Energy Marketing, Inc."/>
    <n v="75"/>
    <n v="903.13346574503635"/>
    <n v="33.867504965438862"/>
  </r>
  <r>
    <x v="7"/>
    <s v="Purchases - Secondary"/>
    <x v="2"/>
    <x v="4"/>
    <s v="Eugene Water &amp; Electric"/>
    <n v="42962"/>
    <n v="903.13346574503635"/>
    <n v="19400.209977669128"/>
  </r>
  <r>
    <x v="7"/>
    <s v="Purchases - Secondary"/>
    <x v="2"/>
    <x v="4"/>
    <s v="Grant County PUD #2"/>
    <n v="36506"/>
    <n v="903.13346574503635"/>
    <n v="16484.895150244149"/>
  </r>
  <r>
    <x v="7"/>
    <s v="Purchases - Secondary"/>
    <x v="2"/>
    <x v="4"/>
    <s v="Iberdrola Renewables (PPM Energy)"/>
    <n v="561582"/>
    <n v="903.13346574503635"/>
    <n v="253591.7489800145"/>
  </r>
  <r>
    <x v="7"/>
    <s v="Purchases - Secondary"/>
    <x v="2"/>
    <x v="4"/>
    <s v="Idaho Falls Power"/>
    <n v="25"/>
    <n v="903.13346574503635"/>
    <n v="11.289168321812955"/>
  </r>
  <r>
    <x v="7"/>
    <s v="Purchases - Secondary"/>
    <x v="2"/>
    <x v="4"/>
    <s v="Idaho Power Company"/>
    <n v="10082"/>
    <n v="903.13346574503635"/>
    <n v="4552.6958008207275"/>
  </r>
  <r>
    <x v="7"/>
    <s v="Purchases - Secondary"/>
    <x v="2"/>
    <x v="4"/>
    <s v="J. Aron &amp; Company"/>
    <n v="2400"/>
    <n v="903.13346574503635"/>
    <n v="1083.7601588940436"/>
  </r>
  <r>
    <x v="7"/>
    <s v="Purchases - Secondary"/>
    <x v="2"/>
    <x v="4"/>
    <s v="JP Morgan Ventures Energy"/>
    <n v="1278611"/>
    <n v="903.13346574503635"/>
    <n v="577378.19188486342"/>
  </r>
  <r>
    <x v="7"/>
    <s v="Purchases - Secondary"/>
    <x v="2"/>
    <x v="4"/>
    <s v="Merrill Lynch Commodities"/>
    <n v="269356"/>
    <n v="903.13346574503635"/>
    <n v="121632.20889960999"/>
  </r>
  <r>
    <x v="7"/>
    <s v="Purchases - Secondary"/>
    <x v="2"/>
    <x v="4"/>
    <s v="Morgan Stanley CG"/>
    <n v="1078306"/>
    <n v="903.13346574503635"/>
    <n v="486927.1174568336"/>
  </r>
  <r>
    <x v="7"/>
    <s v="Purchases - Secondary"/>
    <x v="2"/>
    <x v="4"/>
    <s v="Natur Ener USA"/>
    <n v="448"/>
    <n v="903.13346574503635"/>
    <n v="202.30189632688814"/>
  </r>
  <r>
    <x v="7"/>
    <s v="Purchases - Secondary"/>
    <x v="2"/>
    <x v="4"/>
    <s v="NextEra Energy Power Marketing"/>
    <n v="113935"/>
    <n v="903.13346574503635"/>
    <n v="51449.255709830359"/>
  </r>
  <r>
    <x v="7"/>
    <s v="Purchases - Secondary"/>
    <x v="2"/>
    <x v="4"/>
    <s v="Noble Americas Energy Solutions"/>
    <n v="800"/>
    <n v="903.13346574503635"/>
    <n v="361.25338629801456"/>
  </r>
  <r>
    <x v="7"/>
    <s v="Purchases - Secondary"/>
    <x v="2"/>
    <x v="4"/>
    <s v="Noble Americas Gas &amp; Power"/>
    <n v="800"/>
    <n v="903.13346574503635"/>
    <n v="361.25338629801456"/>
  </r>
  <r>
    <x v="7"/>
    <s v="Purchases - Secondary"/>
    <x v="2"/>
    <x v="4"/>
    <s v="NorthPoint Energy Solutions, Inc."/>
    <n v="4"/>
    <n v="903.13346574503635"/>
    <n v="1.8062669314900728"/>
  </r>
  <r>
    <x v="7"/>
    <s v="Purchases - Secondary"/>
    <x v="2"/>
    <x v="4"/>
    <s v="Northwestern Energy"/>
    <n v="3418"/>
    <n v="903.13346574503635"/>
    <n v="1543.4550929582672"/>
  </r>
  <r>
    <x v="7"/>
    <s v="Purchases - Secondary"/>
    <x v="2"/>
    <x v="4"/>
    <s v="Okanogan PUD"/>
    <n v="1487"/>
    <n v="903.13346574503635"/>
    <n v="671.47973178143445"/>
  </r>
  <r>
    <x v="7"/>
    <s v="Purchases - Secondary"/>
    <x v="2"/>
    <x v="4"/>
    <s v="Pacific Summit Energy LLC"/>
    <n v="1179"/>
    <n v="903.13346574503635"/>
    <n v="532.39717805669886"/>
  </r>
  <r>
    <x v="7"/>
    <s v="Purchases - Secondary"/>
    <x v="2"/>
    <x v="4"/>
    <s v="Pacificorp"/>
    <n v="76562"/>
    <n v="903.13346574503635"/>
    <n v="34572.852202185735"/>
  </r>
  <r>
    <x v="7"/>
    <s v="Purchases - Secondary"/>
    <x v="2"/>
    <x v="4"/>
    <s v="PG&amp;E Energy Trading"/>
    <n v="70000"/>
    <n v="903.13346574503635"/>
    <n v="31609.671301076272"/>
  </r>
  <r>
    <x v="7"/>
    <s v="Purchases - Secondary"/>
    <x v="2"/>
    <x v="4"/>
    <s v="Portland General Electric"/>
    <n v="24419"/>
    <n v="903.13346574503635"/>
    <n v="11026.80805001402"/>
  </r>
  <r>
    <x v="7"/>
    <s v="Purchases - Secondary"/>
    <x v="2"/>
    <x v="4"/>
    <s v="Powerex Corp."/>
    <n v="231003"/>
    <n v="903.13346574503635"/>
    <n v="104313.26999375032"/>
  </r>
  <r>
    <x v="7"/>
    <s v="Purchases - Secondary"/>
    <x v="2"/>
    <x v="4"/>
    <s v="Rainbow Energy Marketing"/>
    <n v="23628"/>
    <n v="903.13346574503635"/>
    <n v="10669.618764311859"/>
  </r>
  <r>
    <x v="7"/>
    <s v="Purchases - Secondary"/>
    <x v="2"/>
    <x v="4"/>
    <s v="Sacramento Municipal"/>
    <n v="3654"/>
    <n v="903.13346574503635"/>
    <n v="1650.0248419161815"/>
  </r>
  <r>
    <x v="7"/>
    <s v="Purchases - Secondary"/>
    <x v="2"/>
    <x v="4"/>
    <s v="San Diego Gas &amp; Electric"/>
    <n v="451"/>
    <n v="903.13346574503635"/>
    <n v="203.65659652550571"/>
  </r>
  <r>
    <x v="7"/>
    <s v="Purchases - Secondary"/>
    <x v="2"/>
    <x v="4"/>
    <s v="Seattle City Light Marketing"/>
    <n v="246052"/>
    <n v="903.13346574503635"/>
    <n v="111108.89775674885"/>
  </r>
  <r>
    <x v="7"/>
    <s v="Purchases - Secondary"/>
    <x v="2"/>
    <x v="4"/>
    <s v="Shell Energy (Coral Pwr)"/>
    <n v="182238"/>
    <n v="903.13346574503635"/>
    <n v="82292.618265221972"/>
  </r>
  <r>
    <x v="7"/>
    <s v="Purchases - Secondary"/>
    <x v="2"/>
    <x v="4"/>
    <s v="Snohomish County PUD #1"/>
    <n v="176041"/>
    <n v="903.13346574503635"/>
    <n v="79494.259221610977"/>
  </r>
  <r>
    <x v="7"/>
    <s v="Purchases - Secondary"/>
    <x v="2"/>
    <x v="4"/>
    <s v="Southern Cal - Edison"/>
    <n v="62658"/>
    <n v="903.13346574503635"/>
    <n v="28294.268348326244"/>
  </r>
  <r>
    <x v="7"/>
    <s v="Purchases - Secondary"/>
    <x v="2"/>
    <x v="4"/>
    <s v="Tacoma Power"/>
    <n v="200033"/>
    <n v="903.13346574503635"/>
    <n v="90328.24827668842"/>
  </r>
  <r>
    <x v="7"/>
    <s v="Purchases - Secondary"/>
    <x v="2"/>
    <x v="4"/>
    <s v="Talen Energy (PPL Energy Plus)"/>
    <n v="109330"/>
    <n v="903.13346574503635"/>
    <n v="49369.790904952417"/>
  </r>
  <r>
    <x v="7"/>
    <s v="Purchases - Secondary"/>
    <x v="2"/>
    <x v="4"/>
    <s v="Tenaska Power Services Co."/>
    <n v="32812"/>
    <n v="903.13346574503635"/>
    <n v="14816.807639013066"/>
  </r>
  <r>
    <x v="7"/>
    <s v="Purchases - Secondary"/>
    <x v="2"/>
    <x v="4"/>
    <s v="The Energy Authority"/>
    <n v="457673"/>
    <n v="903.13346574503635"/>
    <n v="206669.90133396402"/>
  </r>
  <r>
    <x v="7"/>
    <s v="Purchases - Secondary"/>
    <x v="2"/>
    <x v="4"/>
    <s v="TransAlta Energy Marketing"/>
    <n v="1404952"/>
    <n v="903.13346574503635"/>
    <n v="634429.58448271011"/>
  </r>
  <r>
    <x v="7"/>
    <s v="Purchases - Secondary"/>
    <x v="2"/>
    <x v="4"/>
    <s v="TransCanada Energy Marketing"/>
    <n v="200"/>
    <n v="903.13346574503635"/>
    <n v="90.31334657450364"/>
  </r>
  <r>
    <x v="7"/>
    <s v="Purchases - Secondary"/>
    <x v="2"/>
    <x v="4"/>
    <s v="TransCanada Energy Sales Ltd"/>
    <n v="-200"/>
    <n v="903.13346574503635"/>
    <n v="-90.31334657450364"/>
  </r>
  <r>
    <x v="7"/>
    <s v="Purchases - Secondary"/>
    <x v="2"/>
    <x v="4"/>
    <s v="Tri-State Generation and Transmissi"/>
    <n v="124"/>
    <n v="903.13346574503635"/>
    <n v="55.994274876192257"/>
  </r>
  <r>
    <x v="7"/>
    <s v="Purchases - Secondary"/>
    <x v="2"/>
    <x v="4"/>
    <s v="Turlock Irrigation District"/>
    <n v="3343"/>
    <n v="903.13346574503635"/>
    <n v="1509.5875879928283"/>
  </r>
  <r>
    <x v="7"/>
    <s v="Interchange - In"/>
    <x v="2"/>
    <x v="4"/>
    <s v="BPA"/>
    <n v="35599"/>
    <n v="903.13346574503635"/>
    <n v="16075.324123528775"/>
  </r>
  <r>
    <x v="7"/>
    <s v="Interchange - In"/>
    <x v="2"/>
    <x v="4"/>
    <s v="Pacific Gas &amp; Elec - Exchange"/>
    <n v="413000"/>
    <n v="903.13346574503635"/>
    <n v="186497.06067635"/>
  </r>
  <r>
    <x v="7"/>
    <s v="Interchange - Out"/>
    <x v="2"/>
    <x v="4"/>
    <s v="BPA"/>
    <n v="-35375"/>
    <n v="903.13346574503635"/>
    <n v="-15974.173175365331"/>
  </r>
  <r>
    <x v="7"/>
    <s v="Interchange - Out"/>
    <x v="2"/>
    <x v="4"/>
    <s v="Deviation"/>
    <n v="42716.544999999998"/>
    <n v="903.13346574503635"/>
    <n v="19289.370665251899"/>
  </r>
  <r>
    <x v="7"/>
    <s v="Interchange - Out"/>
    <x v="2"/>
    <x v="4"/>
    <s v="Pacific Gas &amp; Elec - Exchange"/>
    <n v="-412995"/>
    <n v="903.13346574503635"/>
    <n v="-186494.80284268563"/>
  </r>
  <r>
    <x v="7"/>
    <s v="Sales for Resale"/>
    <x v="2"/>
    <x v="4"/>
    <s v="Avista Corp. WWP Division"/>
    <n v="-37126"/>
    <n v="903.13346574503635"/>
    <n v="-16764.866524625111"/>
  </r>
  <r>
    <x v="7"/>
    <s v="Sales for Resale"/>
    <x v="2"/>
    <x v="4"/>
    <s v="Barclays Bank Plc"/>
    <n v="-2400"/>
    <n v="903.13346574503635"/>
    <n v="-1083.7601588940436"/>
  </r>
  <r>
    <x v="7"/>
    <s v="Sales for Resale"/>
    <x v="2"/>
    <x v="4"/>
    <s v="Black Hills Power"/>
    <n v="-18302"/>
    <n v="903.13346574503635"/>
    <n v="-8264.5743450328282"/>
  </r>
  <r>
    <x v="7"/>
    <s v="Sales for Resale"/>
    <x v="2"/>
    <x v="4"/>
    <s v="Book Outs - EITF 03-11"/>
    <n v="2877267"/>
    <n v="903.13346574503635"/>
    <n v="1299278.0587919119"/>
  </r>
  <r>
    <x v="7"/>
    <s v="Sales for Resale"/>
    <x v="2"/>
    <x v="4"/>
    <s v="BP Energy Co."/>
    <n v="-97731"/>
    <n v="903.13346574503635"/>
    <n v="-44132.068370364068"/>
  </r>
  <r>
    <x v="7"/>
    <s v="Sales for Resale"/>
    <x v="2"/>
    <x v="4"/>
    <s v="BPA"/>
    <n v="-147151"/>
    <n v="903.13346574503635"/>
    <n v="-66448.496308923917"/>
  </r>
  <r>
    <x v="7"/>
    <s v="Sales for Resale"/>
    <x v="2"/>
    <x v="4"/>
    <s v="British Columbia Transmission Corp"/>
    <n v="-57"/>
    <n v="903.13346574503635"/>
    <n v="-25.739303773733536"/>
  </r>
  <r>
    <x v="7"/>
    <s v="Sales for Resale"/>
    <x v="2"/>
    <x v="4"/>
    <s v="Brookfield Energy Marketing"/>
    <n v="-2000"/>
    <n v="903.13346574503635"/>
    <n v="-903.13346574503635"/>
  </r>
  <r>
    <x v="7"/>
    <s v="Sales for Resale"/>
    <x v="2"/>
    <x v="4"/>
    <s v="Calpine Energy Services"/>
    <n v="-142467"/>
    <n v="903.13346574503635"/>
    <n v="-64333.357732149052"/>
  </r>
  <r>
    <x v="7"/>
    <s v="Sales for Resale"/>
    <x v="2"/>
    <x v="4"/>
    <s v="Cargill Power Markets"/>
    <n v="-311820"/>
    <n v="903.13346574503635"/>
    <n v="-140807.53864430863"/>
  </r>
  <r>
    <x v="7"/>
    <s v="Sales for Resale"/>
    <x v="2"/>
    <x v="4"/>
    <s v="Chelan County PUD #1"/>
    <n v="-6435"/>
    <n v="903.13346574503635"/>
    <n v="-2905.8319260346543"/>
  </r>
  <r>
    <x v="7"/>
    <s v="Sales for Resale"/>
    <x v="2"/>
    <x v="4"/>
    <s v="Citigroup Energy Inc"/>
    <n v="-93176"/>
    <n v="903.13346574503635"/>
    <n v="-42075.181902129756"/>
  </r>
  <r>
    <x v="7"/>
    <s v="Sales for Resale"/>
    <x v="2"/>
    <x v="4"/>
    <s v="Clark Public Utilities"/>
    <n v="-13840"/>
    <n v="903.13346574503635"/>
    <n v="-6249.6835829556521"/>
  </r>
  <r>
    <x v="7"/>
    <s v="Sales for Resale"/>
    <x v="2"/>
    <x v="4"/>
    <s v="Clatskanie PUD"/>
    <n v="-5387"/>
    <n v="903.13346574503635"/>
    <n v="-2432.5899899842552"/>
  </r>
  <r>
    <x v="7"/>
    <s v="Sales for Resale"/>
    <x v="2"/>
    <x v="4"/>
    <s v="Constellation Power Source, Inc."/>
    <n v="-22185"/>
    <n v="903.13346574503635"/>
    <n v="-10018.007968776816"/>
  </r>
  <r>
    <x v="7"/>
    <s v="Sales for Resale"/>
    <x v="2"/>
    <x v="4"/>
    <s v="CP Energy Marketing (Epcor)"/>
    <n v="-1299"/>
    <n v="903.13346574503635"/>
    <n v="-586.58518600140121"/>
  </r>
  <r>
    <x v="7"/>
    <s v="Sales for Resale"/>
    <x v="2"/>
    <x v="4"/>
    <s v="DB Energy Trading LLC"/>
    <n v="-242964"/>
    <n v="903.13346574503635"/>
    <n v="-109714.4596856385"/>
  </r>
  <r>
    <x v="7"/>
    <s v="Sales for Resale"/>
    <x v="2"/>
    <x v="4"/>
    <s v="Douglas County PUD #1"/>
    <n v="-1410"/>
    <n v="903.13346574503635"/>
    <n v="-636.70909335025067"/>
  </r>
  <r>
    <x v="7"/>
    <s v="Sales for Resale"/>
    <x v="2"/>
    <x v="4"/>
    <s v="EDF Trading NA LLC"/>
    <n v="-34355"/>
    <n v="903.13346574503635"/>
    <n v="-15513.575107835362"/>
  </r>
  <r>
    <x v="7"/>
    <s v="Sales for Resale"/>
    <x v="2"/>
    <x v="4"/>
    <s v="ENMAX Energy Marketing, Inc."/>
    <n v="-225"/>
    <n v="903.13346574503635"/>
    <n v="-101.60251489631659"/>
  </r>
  <r>
    <x v="7"/>
    <s v="Sales for Resale"/>
    <x v="2"/>
    <x v="4"/>
    <s v="Eugene Water &amp; Electric"/>
    <n v="-17869"/>
    <n v="903.13346574503635"/>
    <n v="-8069.0459496990279"/>
  </r>
  <r>
    <x v="7"/>
    <s v="Sales for Resale"/>
    <x v="2"/>
    <x v="4"/>
    <s v="Exelon Generation Co LLC"/>
    <n v="-2800"/>
    <n v="903.13346574503635"/>
    <n v="-1264.3868520430508"/>
  </r>
  <r>
    <x v="7"/>
    <s v="Sales for Resale"/>
    <x v="2"/>
    <x v="4"/>
    <s v="Fortis BC"/>
    <n v="-56236"/>
    <n v="903.13346574503635"/>
    <n v="-25394.306789818933"/>
  </r>
  <r>
    <x v="7"/>
    <s v="Sales for Resale"/>
    <x v="2"/>
    <x v="4"/>
    <s v="Grant County PUD #2"/>
    <n v="-11925"/>
    <n v="903.13346574503635"/>
    <n v="-5384.9332895047792"/>
  </r>
  <r>
    <x v="7"/>
    <s v="Sales for Resale"/>
    <x v="2"/>
    <x v="4"/>
    <s v="Iberdrola Renewables (PPM Energy)"/>
    <n v="-541878"/>
    <n v="903.13346574503635"/>
    <n v="-244694.07807549441"/>
  </r>
  <r>
    <x v="7"/>
    <s v="Sales for Resale"/>
    <x v="2"/>
    <x v="4"/>
    <s v="Idaho Power Company"/>
    <n v="-25835"/>
    <n v="903.13346574503635"/>
    <n v="-11666.226543761506"/>
  </r>
  <r>
    <x v="7"/>
    <s v="Sales for Resale"/>
    <x v="2"/>
    <x v="4"/>
    <s v="J. Aron &amp; Company"/>
    <n v="-2800"/>
    <n v="903.13346574503635"/>
    <n v="-1264.3868520430508"/>
  </r>
  <r>
    <x v="7"/>
    <s v="Sales for Resale"/>
    <x v="2"/>
    <x v="4"/>
    <s v="JP Morgan Ventures Energy"/>
    <n v="-52134"/>
    <n v="903.13346574503635"/>
    <n v="-23541.980051575862"/>
  </r>
  <r>
    <x v="7"/>
    <s v="Sales for Resale"/>
    <x v="2"/>
    <x v="4"/>
    <s v="Morgan Stanley CG"/>
    <n v="-310918"/>
    <n v="903.13346574503635"/>
    <n v="-140400.2254512576"/>
  </r>
  <r>
    <x v="7"/>
    <s v="Sales for Resale"/>
    <x v="2"/>
    <x v="4"/>
    <s v="Natur Ener USA"/>
    <n v="-6"/>
    <n v="903.13346574503635"/>
    <n v="-2.7094003972351093"/>
  </r>
  <r>
    <x v="7"/>
    <s v="Sales for Resale"/>
    <x v="2"/>
    <x v="4"/>
    <s v="NextEra Energy Power Marketing"/>
    <n v="-2739"/>
    <n v="903.13346574503635"/>
    <n v="-1236.8412813378272"/>
  </r>
  <r>
    <x v="7"/>
    <s v="Sales for Resale"/>
    <x v="2"/>
    <x v="4"/>
    <s v="Noble Americas Energy Solutions"/>
    <n v="-2800"/>
    <n v="903.13346574503635"/>
    <n v="-1264.3868520430508"/>
  </r>
  <r>
    <x v="7"/>
    <s v="Sales for Resale"/>
    <x v="2"/>
    <x v="4"/>
    <s v="Noble Americas Gas &amp; Power"/>
    <n v="-7600"/>
    <n v="903.13346574503635"/>
    <n v="-3431.9071698311382"/>
  </r>
  <r>
    <x v="7"/>
    <s v="Sales for Resale"/>
    <x v="2"/>
    <x v="4"/>
    <s v="NorthPoint Energy Solutions, Inc."/>
    <n v="-8404"/>
    <n v="903.13346574503635"/>
    <n v="-3794.966823060643"/>
  </r>
  <r>
    <x v="7"/>
    <s v="Sales for Resale"/>
    <x v="2"/>
    <x v="4"/>
    <s v="Northwestern Energy"/>
    <n v="-84493"/>
    <n v="903.13346574503635"/>
    <n v="-38154.22796059768"/>
  </r>
  <r>
    <x v="7"/>
    <s v="Sales for Resale"/>
    <x v="2"/>
    <x v="4"/>
    <s v="Okanogan PUD"/>
    <n v="-470"/>
    <n v="903.13346574503635"/>
    <n v="-212.23636445008356"/>
  </r>
  <r>
    <x v="7"/>
    <s v="Sales for Resale"/>
    <x v="2"/>
    <x v="4"/>
    <s v="Pacific Summit Energy LLC"/>
    <n v="-430"/>
    <n v="903.13346574503635"/>
    <n v="-194.17369513518281"/>
  </r>
  <r>
    <x v="7"/>
    <s v="Sales for Resale"/>
    <x v="2"/>
    <x v="4"/>
    <s v="Pacificorp"/>
    <n v="-116892"/>
    <n v="903.13346574503635"/>
    <n v="-52784.538538934394"/>
  </r>
  <r>
    <x v="7"/>
    <s v="Sales for Resale"/>
    <x v="2"/>
    <x v="4"/>
    <s v="PG&amp;E Energy Trading"/>
    <n v="-216530"/>
    <n v="903.13346574503635"/>
    <n v="-97777.744668886357"/>
  </r>
  <r>
    <x v="7"/>
    <s v="Sales for Resale"/>
    <x v="2"/>
    <x v="4"/>
    <s v="Portland General Electric"/>
    <n v="-72993"/>
    <n v="903.13346574503635"/>
    <n v="-32961.210532563717"/>
  </r>
  <r>
    <x v="7"/>
    <s v="Sales for Resale"/>
    <x v="2"/>
    <x v="4"/>
    <s v="Powerex Corp."/>
    <n v="-406530"/>
    <n v="903.13346574503635"/>
    <n v="-183575.4239146648"/>
  </r>
  <r>
    <x v="7"/>
    <s v="Sales for Resale"/>
    <x v="2"/>
    <x v="4"/>
    <s v="Rainbow Energy Marketing"/>
    <n v="-58846"/>
    <n v="903.13346574503635"/>
    <n v="-26572.895962616207"/>
  </r>
  <r>
    <x v="7"/>
    <s v="Sales for Resale"/>
    <x v="2"/>
    <x v="4"/>
    <s v="Sacramento Municipal"/>
    <n v="-10011"/>
    <n v="903.13346574503635"/>
    <n v="-4520.6345627867795"/>
  </r>
  <r>
    <x v="7"/>
    <s v="Sales for Resale"/>
    <x v="2"/>
    <x v="4"/>
    <s v="San Diego Gas &amp; Electric"/>
    <n v="-29918"/>
    <n v="903.13346574503635"/>
    <n v="-13509.973514079998"/>
  </r>
  <r>
    <x v="7"/>
    <s v="Sales for Resale"/>
    <x v="2"/>
    <x v="4"/>
    <s v="Seattle City Light Marketing"/>
    <n v="-46589"/>
    <n v="903.13346574503635"/>
    <n v="-21038.042517797749"/>
  </r>
  <r>
    <x v="7"/>
    <s v="Sales for Resale"/>
    <x v="2"/>
    <x v="4"/>
    <s v="Shell Energy (Coral Pwr)"/>
    <n v="-299293"/>
    <n v="903.13346574503635"/>
    <n v="-135150.76218161458"/>
  </r>
  <r>
    <x v="7"/>
    <s v="Sales for Resale"/>
    <x v="2"/>
    <x v="4"/>
    <s v="Sierra Pacific Power"/>
    <n v="-1542"/>
    <n v="903.13346574503635"/>
    <n v="-696.31590208942305"/>
  </r>
  <r>
    <x v="7"/>
    <s v="Sales for Resale"/>
    <x v="2"/>
    <x v="4"/>
    <s v="Snohomish County PUD #1"/>
    <n v="-9531"/>
    <n v="903.13346574503635"/>
    <n v="-4303.882531007971"/>
  </r>
  <r>
    <x v="7"/>
    <s v="Sales for Resale"/>
    <x v="2"/>
    <x v="4"/>
    <s v="Southern Cal - Edison"/>
    <n v="-20000"/>
    <n v="903.13346574503635"/>
    <n v="-9031.334657450363"/>
  </r>
  <r>
    <x v="7"/>
    <s v="Sales for Resale"/>
    <x v="2"/>
    <x v="4"/>
    <s v="Tacoma Power"/>
    <n v="-19628"/>
    <n v="903.13346574503635"/>
    <n v="-8863.351832821787"/>
  </r>
  <r>
    <x v="7"/>
    <s v="Sales for Resale"/>
    <x v="2"/>
    <x v="4"/>
    <s v="Talen Energy (PPL Energy Plus)"/>
    <n v="-67867"/>
    <n v="903.13346574503635"/>
    <n v="-30646.479459859191"/>
  </r>
  <r>
    <x v="7"/>
    <s v="Sales for Resale"/>
    <x v="2"/>
    <x v="4"/>
    <s v="Tenaska Power Services Co."/>
    <n v="-36412"/>
    <n v="903.13346574503635"/>
    <n v="-16442.44787735413"/>
  </r>
  <r>
    <x v="7"/>
    <s v="Sales for Resale"/>
    <x v="2"/>
    <x v="4"/>
    <s v="The Energy Authority"/>
    <n v="-34934"/>
    <n v="903.13346574503635"/>
    <n v="-15775.03224616855"/>
  </r>
  <r>
    <x v="7"/>
    <s v="Sales for Resale"/>
    <x v="2"/>
    <x v="4"/>
    <s v="TransAlta Energy Marketing"/>
    <n v="-443951"/>
    <n v="903.13346574503635"/>
    <n v="-200473.50262548734"/>
  </r>
  <r>
    <x v="7"/>
    <s v="Sales for Resale"/>
    <x v="2"/>
    <x v="4"/>
    <s v="TransCanada Energy Sales Ltd"/>
    <n v="-49555"/>
    <n v="903.13346574503635"/>
    <n v="-22377.389447497641"/>
  </r>
  <r>
    <x v="7"/>
    <s v="Sales for Resale"/>
    <x v="2"/>
    <x v="4"/>
    <s v="Tri-State Generation and Transmissi"/>
    <n v="-12499"/>
    <n v="903.13346574503635"/>
    <n v="-5644.132594173605"/>
  </r>
  <r>
    <x v="7"/>
    <s v="Sales for Resale"/>
    <x v="2"/>
    <x v="4"/>
    <s v="Turlock Irrigation District"/>
    <n v="-3606"/>
    <n v="903.13346574503635"/>
    <n v="-1628.3496387383004"/>
  </r>
  <r>
    <x v="7"/>
    <s v="Sales for Resale"/>
    <x v="2"/>
    <x v="4"/>
    <s v="Western Area Power Association"/>
    <n v="-407"/>
    <n v="903.13346574503635"/>
    <n v="-183.7876602791149"/>
  </r>
  <r>
    <x v="8"/>
    <s v="Generation - Hydro"/>
    <x v="0"/>
    <x v="0"/>
    <s v="Electron"/>
    <n v="57768.31"/>
    <n v="0"/>
    <n v="0"/>
  </r>
  <r>
    <x v="8"/>
    <s v="Generation - Hydro"/>
    <x v="0"/>
    <x v="0"/>
    <s v="Lower Baker"/>
    <n v="350427.55599999998"/>
    <n v="0"/>
    <n v="0"/>
  </r>
  <r>
    <x v="8"/>
    <s v="Generation - Hydro"/>
    <x v="0"/>
    <x v="0"/>
    <s v="Snoqualmie Falls #1"/>
    <n v="-173.11"/>
    <n v="0"/>
    <n v="0"/>
  </r>
  <r>
    <x v="8"/>
    <s v="Generation - Hydro"/>
    <x v="0"/>
    <x v="0"/>
    <s v="Snoqualmie Falls #2"/>
    <n v="76306.592999999993"/>
    <n v="0"/>
    <n v="0"/>
  </r>
  <r>
    <x v="8"/>
    <s v="Generation - Hydro"/>
    <x v="0"/>
    <x v="0"/>
    <s v="Upper Baker"/>
    <n v="353239.95299999998"/>
    <n v="0"/>
    <n v="0"/>
  </r>
  <r>
    <x v="8"/>
    <s v="Generation - Steam"/>
    <x v="0"/>
    <x v="1"/>
    <s v="Colstrip 1 &amp; 2"/>
    <n v="2322485"/>
    <n v="2417.1951474274647"/>
    <n v="2806949.7359865373"/>
  </r>
  <r>
    <x v="8"/>
    <s v="Generation - Steam"/>
    <x v="0"/>
    <x v="1"/>
    <s v="Colstrip 3 &amp; 4"/>
    <n v="2023723"/>
    <n v="2310.6941211344692"/>
    <n v="2338102.4194523059"/>
  </r>
  <r>
    <x v="8"/>
    <s v="Generation - Steam"/>
    <x v="0"/>
    <x v="2"/>
    <s v="Encogen"/>
    <n v="268267.32500000001"/>
    <n v="1090.0119485596624"/>
    <n v="146207.29482906914"/>
  </r>
  <r>
    <x v="8"/>
    <s v="Generation - Steam"/>
    <x v="0"/>
    <x v="2"/>
    <s v="Ferndale Co-Generation"/>
    <n v="869393.88599999994"/>
    <n v="1001.4112354217872"/>
    <n v="435310.40272370417"/>
  </r>
  <r>
    <x v="8"/>
    <s v="Generation - Steam"/>
    <x v="0"/>
    <x v="2"/>
    <s v="Freddie #1"/>
    <n v="416396.53899999999"/>
    <n v="1735.1748954894076"/>
    <n v="361260.41052073799"/>
  </r>
  <r>
    <x v="8"/>
    <s v="Generation - Steam"/>
    <x v="0"/>
    <x v="2"/>
    <s v="Goldendale"/>
    <n v="1469093.6269999999"/>
    <n v="816.81954748930616"/>
    <n v="599992.19581278169"/>
  </r>
  <r>
    <x v="8"/>
    <s v="Generation - Steam"/>
    <x v="0"/>
    <x v="2"/>
    <s v="Mint Farm"/>
    <n v="1614347.7590000001"/>
    <n v="864.2324486412848"/>
    <n v="697585.85835957038"/>
  </r>
  <r>
    <x v="8"/>
    <s v="Generation - Steam"/>
    <x v="0"/>
    <x v="2"/>
    <s v="Sumas"/>
    <n v="536584.62"/>
    <n v="1027.0424170770877"/>
    <n v="275547.5825455953"/>
  </r>
  <r>
    <x v="8"/>
    <s v="Generation - Oil/Gas/Wind"/>
    <x v="0"/>
    <x v="3"/>
    <s v="Crystal Mountain"/>
    <n v="48.722000000000001"/>
    <n v="2629.0976266346393"/>
    <n v="64.047447282446456"/>
  </r>
  <r>
    <x v="8"/>
    <s v="Generation - Oil/Gas/Wind"/>
    <x v="0"/>
    <x v="2"/>
    <s v="Fredonia"/>
    <n v="112470.95"/>
    <n v="1470.4134074018527"/>
    <n v="82689.396411611713"/>
  </r>
  <r>
    <x v="8"/>
    <s v="Generation - Oil/Gas/Wind"/>
    <x v="0"/>
    <x v="2"/>
    <s v="Fredonia 3 &amp; 4"/>
    <n v="12943.957"/>
    <n v="1252.1295261118873"/>
    <n v="8103.7553722113244"/>
  </r>
  <r>
    <x v="8"/>
    <s v="Generation - Oil/Gas/Wind"/>
    <x v="0"/>
    <x v="2"/>
    <s v="Fredrickson 1 &amp; 2"/>
    <n v="27905.3"/>
    <n v="2727.9687020896617"/>
    <n v="38062.392511211321"/>
  </r>
  <r>
    <x v="8"/>
    <s v="Generation - Oil/Gas/Wind"/>
    <x v="0"/>
    <x v="0"/>
    <s v="Hopkins Ridge (W184)"/>
    <n v="406599.78"/>
    <n v="0"/>
    <n v="0"/>
  </r>
  <r>
    <x v="8"/>
    <s v="Generation - Oil/Gas/Wind"/>
    <x v="0"/>
    <x v="0"/>
    <s v="Lower Snake River"/>
    <n v="816895.07"/>
    <n v="0"/>
    <n v="0"/>
  </r>
  <r>
    <x v="8"/>
    <s v="Generation - Oil/Gas/Wind"/>
    <x v="0"/>
    <x v="2"/>
    <s v="Whitehorn 2&amp;3"/>
    <n v="27795.7"/>
    <n v="2273.2985103724336"/>
    <n v="31593.961702379525"/>
  </r>
  <r>
    <x v="8"/>
    <s v="Generation - Oil/Gas/Wind"/>
    <x v="0"/>
    <x v="0"/>
    <s v="Wild Horse (W183)"/>
    <n v="659105.34199999995"/>
    <n v="0"/>
    <n v="0"/>
  </r>
  <r>
    <x v="8"/>
    <s v="Purchases - Firm"/>
    <x v="1"/>
    <x v="0"/>
    <s v="3 Bar G Wind Turbine #3 LLC"/>
    <n v="202.654"/>
    <n v="0"/>
    <n v="0"/>
  </r>
  <r>
    <x v="8"/>
    <s v="Purchases - Firm"/>
    <x v="1"/>
    <x v="4"/>
    <s v="Barclays Bank Plc"/>
    <n v="216075"/>
    <n v="1132.1250513717666"/>
    <n v="122311.96023757724"/>
  </r>
  <r>
    <x v="8"/>
    <s v="Purchases - Firm"/>
    <x v="1"/>
    <x v="4"/>
    <s v="BC Hydro (Point Roberts)"/>
    <n v="21366.07"/>
    <n v="1132.1250513717666"/>
    <n v="12094.531548181381"/>
  </r>
  <r>
    <x v="8"/>
    <s v="Purchases - Firm"/>
    <x v="1"/>
    <x v="0"/>
    <s v="Bio Energy Washington (BEW)"/>
    <n v="0.89400000000000002"/>
    <n v="0"/>
    <n v="0"/>
  </r>
  <r>
    <x v="8"/>
    <s v="Purchases - Firm"/>
    <x v="1"/>
    <x v="0"/>
    <s v="Black Creek Hydro Inc"/>
    <n v="12819.279"/>
    <n v="0"/>
    <n v="0"/>
  </r>
  <r>
    <x v="8"/>
    <s v="Purchases - Firm"/>
    <x v="1"/>
    <x v="7"/>
    <s v="Book Outs - EITF 03-11"/>
    <n v="-204155"/>
    <n v="0"/>
    <n v="0"/>
  </r>
  <r>
    <x v="8"/>
    <s v="Purchases - Firm"/>
    <x v="1"/>
    <x v="0"/>
    <s v="BPA"/>
    <n v="7000"/>
    <n v="0"/>
    <n v="0"/>
  </r>
  <r>
    <x v="8"/>
    <s v="Purchases - Firm"/>
    <x v="1"/>
    <x v="4"/>
    <s v="BPA Firm - WNP#3 Exchange"/>
    <n v="374969"/>
    <n v="1132.1250513717666"/>
    <n v="212255.89919390998"/>
  </r>
  <r>
    <x v="8"/>
    <s v="Purchases - Firm"/>
    <x v="1"/>
    <x v="0"/>
    <s v="CC Solar 1 and CC Solar 2"/>
    <n v="28.17"/>
    <n v="0"/>
    <n v="0"/>
  </r>
  <r>
    <x v="8"/>
    <s v="Purchases - Firm"/>
    <x v="1"/>
    <x v="0"/>
    <s v="Chelan PUD - RI &amp; RR"/>
    <n v="2436603"/>
    <n v="0"/>
    <n v="0"/>
  </r>
  <r>
    <x v="8"/>
    <s v="Purchases - Firm"/>
    <x v="1"/>
    <x v="0"/>
    <s v="Chelan PUD - Rock Island Syst #2"/>
    <n v="-43063"/>
    <n v="0"/>
    <n v="0"/>
  </r>
  <r>
    <x v="8"/>
    <s v="Purchases - Firm"/>
    <x v="1"/>
    <x v="0"/>
    <s v="Chelan PUD - Rocky Reach"/>
    <n v="-78804"/>
    <n v="0"/>
    <n v="0"/>
  </r>
  <r>
    <x v="8"/>
    <s v="Purchases - Firm"/>
    <x v="1"/>
    <x v="0"/>
    <s v="Douglas PUD - Wells Project"/>
    <n v="1064303"/>
    <n v="0"/>
    <n v="0"/>
  </r>
  <r>
    <x v="8"/>
    <s v="Purchases - Firm"/>
    <x v="1"/>
    <x v="0"/>
    <s v="Edaleen Dairy LLC"/>
    <n v="3924.8539999999998"/>
    <n v="0"/>
    <n v="0"/>
  </r>
  <r>
    <x v="8"/>
    <s v="Purchases - Firm"/>
    <x v="1"/>
    <x v="0"/>
    <s v="Farm Power Lynden LLC"/>
    <n v="4128.7299999999996"/>
    <n v="0"/>
    <n v="0"/>
  </r>
  <r>
    <x v="8"/>
    <s v="Purchases - Firm"/>
    <x v="1"/>
    <x v="0"/>
    <s v="Farm Power Rexville LLC"/>
    <n v="5448.1419999999998"/>
    <n v="0"/>
    <n v="0"/>
  </r>
  <r>
    <x v="8"/>
    <s v="Purchases - Firm"/>
    <x v="1"/>
    <x v="0"/>
    <s v="Grant PUD - Priest Rapids Project"/>
    <n v="72986"/>
    <n v="0"/>
    <n v="0"/>
  </r>
  <r>
    <x v="8"/>
    <s v="Purchases - Firm"/>
    <x v="1"/>
    <x v="0"/>
    <s v="Island Community Solar LLC"/>
    <n v="59.14"/>
    <n v="0"/>
    <n v="0"/>
  </r>
  <r>
    <x v="8"/>
    <s v="Purchases - Firm"/>
    <x v="1"/>
    <x v="4"/>
    <s v="JP Morgan Ventures Energy"/>
    <n v="161925"/>
    <n v="1132.1250513717666"/>
    <n v="91659.674471686667"/>
  </r>
  <r>
    <x v="8"/>
    <s v="Purchases - Firm"/>
    <x v="1"/>
    <x v="2"/>
    <s v="Klamath Falls (Iberdrola)"/>
    <n v="8450"/>
    <n v="807.41888800286392"/>
    <n v="3411.3448018121003"/>
  </r>
  <r>
    <x v="8"/>
    <s v="Purchases - Firm"/>
    <x v="1"/>
    <x v="0"/>
    <s v="Klondike Wind Power III"/>
    <n v="134050"/>
    <n v="0"/>
    <n v="0"/>
  </r>
  <r>
    <x v="8"/>
    <s v="Purchases - Firm"/>
    <x v="1"/>
    <x v="0"/>
    <s v="Knudsen Wind Turbine #1"/>
    <n v="127.961"/>
    <n v="0"/>
    <n v="0"/>
  </r>
  <r>
    <x v="8"/>
    <s v="Purchases - Firm"/>
    <x v="1"/>
    <x v="0"/>
    <s v="Qualco Energy"/>
    <n v="3381"/>
    <n v="0"/>
    <n v="0"/>
  </r>
  <r>
    <x v="8"/>
    <s v="Purchases - Firm"/>
    <x v="1"/>
    <x v="0"/>
    <s v="Rainier Bio Gas"/>
    <n v="5794.9889999999996"/>
    <n v="0"/>
    <n v="0"/>
  </r>
  <r>
    <x v="8"/>
    <s v="Purchases - Firm"/>
    <x v="1"/>
    <x v="4"/>
    <s v="Shell Energy (Coral Pwr)"/>
    <n v="107950"/>
    <n v="1132.1250513717666"/>
    <n v="61106.449647791102"/>
  </r>
  <r>
    <x v="8"/>
    <s v="Purchases - Firm"/>
    <x v="1"/>
    <x v="0"/>
    <s v="Skookumchuck Hydro"/>
    <n v="6742.4620000000004"/>
    <n v="0"/>
    <n v="0"/>
  </r>
  <r>
    <x v="8"/>
    <s v="Purchases - Firm"/>
    <x v="1"/>
    <x v="0"/>
    <s v="Smith Creek Hydro"/>
    <n v="147.297"/>
    <n v="0"/>
    <n v="0"/>
  </r>
  <r>
    <x v="8"/>
    <s v="Purchases - Firm"/>
    <x v="1"/>
    <x v="0"/>
    <s v="Swauk Wind"/>
    <n v="10571.721"/>
    <n v="0"/>
    <n v="0"/>
  </r>
  <r>
    <x v="8"/>
    <s v="Purchases - Firm"/>
    <x v="1"/>
    <x v="0"/>
    <s v="Van Dyk - S Holsteins"/>
    <n v="2314.8589999999999"/>
    <n v="0"/>
    <n v="0"/>
  </r>
  <r>
    <x v="8"/>
    <s v="Purchases - Firm"/>
    <x v="1"/>
    <x v="0"/>
    <s v="VanderHaak Dairy Digester"/>
    <n v="2969.8710000000001"/>
    <n v="0"/>
    <n v="0"/>
  </r>
  <r>
    <x v="8"/>
    <s v="Purchases - PURPA"/>
    <x v="1"/>
    <x v="0"/>
    <s v="Bio Energy Washington (BEW)"/>
    <n v="27.050999999999998"/>
    <n v="0"/>
    <n v="0"/>
  </r>
  <r>
    <x v="8"/>
    <s v="Purchases - PURPA"/>
    <x v="1"/>
    <x v="0"/>
    <s v="BIO FUEL WA"/>
    <n v="1564.5119999999999"/>
    <n v="0"/>
    <n v="0"/>
  </r>
  <r>
    <x v="8"/>
    <s v="Purchases - PURPA"/>
    <x v="1"/>
    <x v="0"/>
    <s v="Hutchinson Creek"/>
    <n v="814.8"/>
    <n v="0"/>
    <n v="0"/>
  </r>
  <r>
    <x v="8"/>
    <s v="Purchases - PURPA"/>
    <x v="1"/>
    <x v="0"/>
    <s v="Koma Kulshan Associates"/>
    <n v="40135.911999999997"/>
    <n v="0"/>
    <n v="0"/>
  </r>
  <r>
    <x v="8"/>
    <s v="Purchases - PURPA"/>
    <x v="1"/>
    <x v="0"/>
    <s v="Lake Washington -- Finn Hill"/>
    <n v="288.08"/>
    <n v="0"/>
    <n v="0"/>
  </r>
  <r>
    <x v="8"/>
    <s v="Purchases - PURPA"/>
    <x v="1"/>
    <x v="0"/>
    <s v="Nooksack"/>
    <n v="23771.706999999999"/>
    <n v="0"/>
    <n v="0"/>
  </r>
  <r>
    <x v="8"/>
    <s v="Purchases - PURPA"/>
    <x v="1"/>
    <x v="0"/>
    <s v="Sygitowicz Creek"/>
    <n v="1170.0820000000001"/>
    <n v="0"/>
    <n v="0"/>
  </r>
  <r>
    <x v="8"/>
    <s v="Purchases - PURPA"/>
    <x v="1"/>
    <x v="0"/>
    <s v="Twin Falls Hydro"/>
    <n v="83478.721999999994"/>
    <n v="0"/>
    <n v="0"/>
  </r>
  <r>
    <x v="8"/>
    <s v="Purchases - PURPA"/>
    <x v="1"/>
    <x v="0"/>
    <s v="Weeks Falls"/>
    <n v="14706.681"/>
    <n v="0"/>
    <n v="0"/>
  </r>
  <r>
    <x v="8"/>
    <s v="Purchases - Secondary"/>
    <x v="2"/>
    <x v="4"/>
    <s v="Avista Corp. WWP Division"/>
    <n v="231202.04"/>
    <n v="1132.1250513717666"/>
    <n v="130874.81070612863"/>
  </r>
  <r>
    <x v="8"/>
    <s v="Purchases - Secondary"/>
    <x v="2"/>
    <x v="4"/>
    <s v="Black Hills Power"/>
    <n v="4600"/>
    <n v="1132.1250513717666"/>
    <n v="2603.8876181550631"/>
  </r>
  <r>
    <x v="8"/>
    <s v="Purchases - Secondary"/>
    <x v="2"/>
    <x v="4"/>
    <s v="Book Outs - EITF 03-11"/>
    <n v="-3157200"/>
    <n v="1132.1250513717666"/>
    <n v="-1787172.606095471"/>
  </r>
  <r>
    <x v="8"/>
    <s v="Purchases - Secondary"/>
    <x v="2"/>
    <x v="4"/>
    <s v="BP Energy Co."/>
    <n v="1103049"/>
    <n v="1132.1250513717666"/>
    <n v="624394.70289528789"/>
  </r>
  <r>
    <x v="8"/>
    <s v="Purchases - Secondary"/>
    <x v="2"/>
    <x v="4"/>
    <s v="BPA"/>
    <n v="417735"/>
    <n v="1132.1250513717666"/>
    <n v="236464.12916739247"/>
  </r>
  <r>
    <x v="8"/>
    <s v="Purchases - Secondary"/>
    <x v="2"/>
    <x v="4"/>
    <s v="Brookfield Energy Marketing"/>
    <n v="800"/>
    <n v="1132.1250513717666"/>
    <n v="452.85002054870665"/>
  </r>
  <r>
    <x v="8"/>
    <s v="Purchases - Secondary"/>
    <x v="2"/>
    <x v="4"/>
    <s v="Burbank, City of"/>
    <n v="200"/>
    <n v="1132.1250513717666"/>
    <n v="113.21250513717666"/>
  </r>
  <r>
    <x v="8"/>
    <s v="Purchases - Secondary"/>
    <x v="2"/>
    <x v="4"/>
    <s v="California ISO"/>
    <n v="34629"/>
    <n v="1132.1250513717666"/>
    <n v="19602.179201976451"/>
  </r>
  <r>
    <x v="8"/>
    <s v="Purchases - Secondary"/>
    <x v="2"/>
    <x v="4"/>
    <s v="Calpine Energy Services"/>
    <n v="82375"/>
    <n v="1132.1250513717666"/>
    <n v="46629.400553374639"/>
  </r>
  <r>
    <x v="8"/>
    <s v="Purchases - Secondary"/>
    <x v="2"/>
    <x v="4"/>
    <s v="Cargill Power Markets"/>
    <n v="475057"/>
    <n v="1132.1250513717666"/>
    <n v="268911.96526475862"/>
  </r>
  <r>
    <x v="8"/>
    <s v="Purchases - Secondary"/>
    <x v="2"/>
    <x v="4"/>
    <s v="Chelan County PUD #1"/>
    <n v="15616"/>
    <n v="1132.1250513717666"/>
    <n v="8839.6324011107536"/>
  </r>
  <r>
    <x v="8"/>
    <s v="Purchases - Secondary"/>
    <x v="2"/>
    <x v="4"/>
    <s v="Citigroup Energy Inc"/>
    <n v="209900"/>
    <n v="1132.1250513717666"/>
    <n v="118816.5241414669"/>
  </r>
  <r>
    <x v="8"/>
    <s v="Purchases - Secondary"/>
    <x v="2"/>
    <x v="4"/>
    <s v="Clark Public Utilities"/>
    <n v="16000"/>
    <n v="1132.1250513717666"/>
    <n v="9057.000410974133"/>
  </r>
  <r>
    <x v="8"/>
    <s v="Purchases - Secondary"/>
    <x v="2"/>
    <x v="4"/>
    <s v="Clatskanie PUD"/>
    <n v="2268"/>
    <n v="1132.1250513717666"/>
    <n v="1283.8298082555832"/>
  </r>
  <r>
    <x v="8"/>
    <s v="Purchases - Secondary"/>
    <x v="2"/>
    <x v="4"/>
    <s v="Constellation Power Source, Inc."/>
    <n v="12317"/>
    <n v="1132.1250513717666"/>
    <n v="6972.1921288730255"/>
  </r>
  <r>
    <x v="8"/>
    <s v="Purchases - Secondary"/>
    <x v="2"/>
    <x v="4"/>
    <s v="CP Energy Marketing (Epcor)"/>
    <n v="5815"/>
    <n v="1132.1250513717666"/>
    <n v="3291.6535868634114"/>
  </r>
  <r>
    <x v="8"/>
    <s v="Purchases - Secondary"/>
    <x v="2"/>
    <x v="4"/>
    <s v="DB Energy Trading LLC"/>
    <n v="433233"/>
    <n v="1132.1250513717666"/>
    <n v="245236.96619047227"/>
  </r>
  <r>
    <x v="8"/>
    <s v="Purchases - Secondary"/>
    <x v="2"/>
    <x v="4"/>
    <s v="Douglas County PUD #1"/>
    <n v="305577"/>
    <n v="1132.1250513717666"/>
    <n v="172975.68841151518"/>
  </r>
  <r>
    <x v="8"/>
    <s v="Purchases - Secondary"/>
    <x v="2"/>
    <x v="4"/>
    <s v="EDF Trading NA LLC"/>
    <n v="163552"/>
    <n v="1132.1250513717666"/>
    <n v="92580.658200977588"/>
  </r>
  <r>
    <x v="8"/>
    <s v="Purchases - Secondary"/>
    <x v="2"/>
    <x v="4"/>
    <s v="Eugene Water &amp; Electric"/>
    <n v="14487"/>
    <n v="1132.1250513717666"/>
    <n v="8200.5478096113911"/>
  </r>
  <r>
    <x v="8"/>
    <s v="Purchases - Secondary"/>
    <x v="2"/>
    <x v="4"/>
    <s v="Exelon Generation Co LLC"/>
    <n v="60279"/>
    <n v="1132.1250513717666"/>
    <n v="34121.68298581936"/>
  </r>
  <r>
    <x v="8"/>
    <s v="Purchases - Secondary"/>
    <x v="2"/>
    <x v="4"/>
    <s v="Grant County PUD #2"/>
    <n v="27401"/>
    <n v="1132.1250513717666"/>
    <n v="15510.67926631889"/>
  </r>
  <r>
    <x v="8"/>
    <s v="Purchases - Secondary"/>
    <x v="2"/>
    <x v="4"/>
    <s v="Iberdrola Renewables (PPM Energy)"/>
    <n v="862192"/>
    <n v="1132.1250513717666"/>
    <n v="488054.58114616311"/>
  </r>
  <r>
    <x v="8"/>
    <s v="Purchases - Secondary"/>
    <x v="2"/>
    <x v="4"/>
    <s v="Idaho Power Company"/>
    <n v="8565"/>
    <n v="1132.1250513717666"/>
    <n v="4848.3255324995907"/>
  </r>
  <r>
    <x v="8"/>
    <s v="Purchases - Secondary"/>
    <x v="2"/>
    <x v="4"/>
    <s v="J. Aron &amp; Company"/>
    <n v="16200"/>
    <n v="1132.1250513717666"/>
    <n v="9170.2129161113098"/>
  </r>
  <r>
    <x v="8"/>
    <s v="Purchases - Secondary"/>
    <x v="2"/>
    <x v="4"/>
    <s v="JP Morgan Ventures Energy"/>
    <n v="1017850"/>
    <n v="1132.1250513717666"/>
    <n v="576166.74176937633"/>
  </r>
  <r>
    <x v="8"/>
    <s v="Purchases - Secondary"/>
    <x v="2"/>
    <x v="4"/>
    <s v="Morgan Stanley CG"/>
    <n v="2038800"/>
    <n v="1132.1250513717666"/>
    <n v="1154088.2773683788"/>
  </r>
  <r>
    <x v="8"/>
    <s v="Purchases - Secondary"/>
    <x v="2"/>
    <x v="4"/>
    <s v="Natur Ener USA"/>
    <n v="2"/>
    <n v="1132.1250513717666"/>
    <n v="1.1321250513717667"/>
  </r>
  <r>
    <x v="8"/>
    <s v="Purchases - Secondary"/>
    <x v="2"/>
    <x v="4"/>
    <s v="NextEra Energy Power Marketing"/>
    <n v="38830"/>
    <n v="1132.1250513717666"/>
    <n v="21980.207872382849"/>
  </r>
  <r>
    <x v="8"/>
    <s v="Purchases - Secondary"/>
    <x v="2"/>
    <x v="4"/>
    <s v="Noble Americas Energy Solutions"/>
    <n v="8800"/>
    <n v="1132.1250513717666"/>
    <n v="4981.3502260357727"/>
  </r>
  <r>
    <x v="8"/>
    <s v="Purchases - Secondary"/>
    <x v="2"/>
    <x v="4"/>
    <s v="Noble Americas Gas &amp; Power"/>
    <n v="400"/>
    <n v="1132.1250513717666"/>
    <n v="226.42501027435333"/>
  </r>
  <r>
    <x v="8"/>
    <s v="Purchases - Secondary"/>
    <x v="2"/>
    <x v="4"/>
    <s v="Northwestern Energy"/>
    <n v="26622"/>
    <n v="1132.1250513717666"/>
    <n v="15069.716558809585"/>
  </r>
  <r>
    <x v="8"/>
    <s v="Purchases - Secondary"/>
    <x v="2"/>
    <x v="4"/>
    <s v="Okanogan PUD"/>
    <n v="26282"/>
    <n v="1132.1250513717666"/>
    <n v="14877.255300076386"/>
  </r>
  <r>
    <x v="8"/>
    <s v="Purchases - Secondary"/>
    <x v="2"/>
    <x v="4"/>
    <s v="Pacificorp"/>
    <n v="82864"/>
    <n v="1132.1250513717666"/>
    <n v="46906.205128435038"/>
  </r>
  <r>
    <x v="8"/>
    <s v="Purchases - Secondary"/>
    <x v="2"/>
    <x v="4"/>
    <s v="Portland General Electric"/>
    <n v="43399"/>
    <n v="1132.1250513717666"/>
    <n v="24566.547552241649"/>
  </r>
  <r>
    <x v="8"/>
    <s v="Purchases - Secondary"/>
    <x v="2"/>
    <x v="4"/>
    <s v="Powerex Corp."/>
    <n v="176702"/>
    <n v="1132.1250513717666"/>
    <n v="100024.38041374696"/>
  </r>
  <r>
    <x v="8"/>
    <s v="Purchases - Secondary"/>
    <x v="2"/>
    <x v="4"/>
    <s v="Rainbow Energy Marketing"/>
    <n v="20918"/>
    <n v="1132.1250513717666"/>
    <n v="11840.895912297306"/>
  </r>
  <r>
    <x v="8"/>
    <s v="Purchases - Secondary"/>
    <x v="2"/>
    <x v="4"/>
    <s v="Sacramento Municipal"/>
    <n v="1700"/>
    <n v="1132.1250513717666"/>
    <n v="962.30629366600169"/>
  </r>
  <r>
    <x v="8"/>
    <s v="Purchases - Secondary"/>
    <x v="2"/>
    <x v="4"/>
    <s v="San Diego Gas &amp; Electric"/>
    <n v="76"/>
    <n v="1132.1250513717666"/>
    <n v="43.020751952127128"/>
  </r>
  <r>
    <x v="8"/>
    <s v="Purchases - Secondary"/>
    <x v="2"/>
    <x v="4"/>
    <s v="Seattle City Light Marketing"/>
    <n v="144546"/>
    <n v="1132.1250513717666"/>
    <n v="81822.0738377917"/>
  </r>
  <r>
    <x v="8"/>
    <s v="Purchases - Secondary"/>
    <x v="2"/>
    <x v="4"/>
    <s v="Shell Energy (Coral Pwr)"/>
    <n v="611302"/>
    <n v="1132.1250513717666"/>
    <n v="346035.15407683182"/>
  </r>
  <r>
    <x v="8"/>
    <s v="Purchases - Secondary"/>
    <x v="2"/>
    <x v="4"/>
    <s v="Snohomish County PUD #1"/>
    <n v="49476"/>
    <n v="1132.1250513717666"/>
    <n v="28006.509520834763"/>
  </r>
  <r>
    <x v="8"/>
    <s v="Purchases - Secondary"/>
    <x v="2"/>
    <x v="4"/>
    <s v="Southern Cal - Edison"/>
    <n v="49519"/>
    <n v="1132.1250513717666"/>
    <n v="28030.850209439257"/>
  </r>
  <r>
    <x v="8"/>
    <s v="Purchases - Secondary"/>
    <x v="2"/>
    <x v="4"/>
    <s v="Tacoma Power"/>
    <n v="104948"/>
    <n v="1132.1250513717666"/>
    <n v="59407.129945682078"/>
  </r>
  <r>
    <x v="8"/>
    <s v="Purchases - Secondary"/>
    <x v="2"/>
    <x v="4"/>
    <s v="Talen Energy (PPL Energy Plus)"/>
    <n v="172219"/>
    <n v="1132.1250513717666"/>
    <n v="97486.722111097144"/>
  </r>
  <r>
    <x v="8"/>
    <s v="Purchases - Secondary"/>
    <x v="2"/>
    <x v="4"/>
    <s v="Tenaska Power Services Co."/>
    <n v="5800"/>
    <n v="1132.1250513717666"/>
    <n v="3283.1626489781233"/>
  </r>
  <r>
    <x v="8"/>
    <s v="Purchases - Secondary"/>
    <x v="2"/>
    <x v="4"/>
    <s v="The Energy Authority"/>
    <n v="97683"/>
    <n v="1132.1250513717666"/>
    <n v="55294.685696574139"/>
  </r>
  <r>
    <x v="8"/>
    <s v="Purchases - Secondary"/>
    <x v="2"/>
    <x v="4"/>
    <s v="TransAlta Energy Marketing"/>
    <n v="1129071"/>
    <n v="1132.1250513717666"/>
    <n v="639124.78193868604"/>
  </r>
  <r>
    <x v="8"/>
    <s v="Purchases - Secondary"/>
    <x v="2"/>
    <x v="4"/>
    <s v="TransCanada Energy Sales Ltd"/>
    <n v="681"/>
    <n v="1132.1250513717666"/>
    <n v="385.4885799920865"/>
  </r>
  <r>
    <x v="8"/>
    <s v="Purchases - Secondary"/>
    <x v="2"/>
    <x v="4"/>
    <s v="Turlock Irrigation District"/>
    <n v="60816"/>
    <n v="1132.1250513717666"/>
    <n v="34425.65856211268"/>
  </r>
  <r>
    <x v="8"/>
    <s v="Purchases - Secondary"/>
    <x v="2"/>
    <x v="4"/>
    <s v="Vitol Inc."/>
    <n v="262136"/>
    <n v="1132.1250513717666"/>
    <n v="148385.36623319471"/>
  </r>
  <r>
    <x v="8"/>
    <s v="Interchange - In"/>
    <x v="2"/>
    <x v="4"/>
    <s v="Pacific Gas &amp; Elec - Exchange"/>
    <n v="413000"/>
    <n v="1132.1250513717666"/>
    <n v="233783.8231082698"/>
  </r>
  <r>
    <x v="8"/>
    <s v="Interchange - Out"/>
    <x v="2"/>
    <x v="4"/>
    <s v="Deviation"/>
    <n v="47848.936999999998"/>
    <n v="1132.1250513717666"/>
    <n v="27085.490129604714"/>
  </r>
  <r>
    <x v="8"/>
    <s v="Interchange - Out"/>
    <x v="2"/>
    <x v="4"/>
    <s v="Pacific Gas &amp; Elec - Exchange"/>
    <n v="-413000"/>
    <n v="1132.1250513717666"/>
    <n v="-233783.8231082698"/>
  </r>
  <r>
    <x v="8"/>
    <s v="Sales for Resale"/>
    <x v="2"/>
    <x v="4"/>
    <s v="Avista Corp. WWP Division"/>
    <n v="-45139"/>
    <n v="1132.1250513717666"/>
    <n v="-25551.496346935084"/>
  </r>
  <r>
    <x v="8"/>
    <s v="Sales for Resale"/>
    <x v="2"/>
    <x v="4"/>
    <s v="Barclays Bank Plc"/>
    <n v="-35"/>
    <n v="1132.1250513717666"/>
    <n v="-19.812188399005919"/>
  </r>
  <r>
    <x v="8"/>
    <s v="Sales for Resale"/>
    <x v="2"/>
    <x v="4"/>
    <s v="Black Hills Power"/>
    <n v="-1762"/>
    <n v="1132.1250513717666"/>
    <n v="-997.40217025852644"/>
  </r>
  <r>
    <x v="8"/>
    <s v="Sales for Resale"/>
    <x v="2"/>
    <x v="4"/>
    <s v="Book Outs - EITF 03-11"/>
    <n v="3361355"/>
    <n v="1132.1250513717666"/>
    <n v="1902737.1010268724"/>
  </r>
  <r>
    <x v="8"/>
    <s v="Sales for Resale"/>
    <x v="2"/>
    <x v="4"/>
    <s v="BP Energy Co."/>
    <n v="-297433"/>
    <n v="1132.1250513717666"/>
    <n v="-168365.67520232935"/>
  </r>
  <r>
    <x v="8"/>
    <s v="Sales for Resale"/>
    <x v="2"/>
    <x v="4"/>
    <s v="BPA"/>
    <n v="-165628"/>
    <n v="1132.1250513717666"/>
    <n v="-93755.804004301492"/>
  </r>
  <r>
    <x v="8"/>
    <s v="Sales for Resale"/>
    <x v="2"/>
    <x v="4"/>
    <s v="British Columbia Transmission Corp"/>
    <n v="-65"/>
    <n v="1132.1250513717666"/>
    <n v="-36.794064169582413"/>
  </r>
  <r>
    <x v="8"/>
    <s v="Sales for Resale"/>
    <x v="2"/>
    <x v="4"/>
    <s v="Brookfield Energy Marketing"/>
    <n v="-800"/>
    <n v="1132.1250513717666"/>
    <n v="-452.85002054870665"/>
  </r>
  <r>
    <x v="8"/>
    <s v="Sales for Resale"/>
    <x v="2"/>
    <x v="4"/>
    <s v="Burbank, City of"/>
    <n v="-2200"/>
    <n v="1132.1250513717666"/>
    <n v="-1245.3375565089432"/>
  </r>
  <r>
    <x v="8"/>
    <s v="Sales for Resale"/>
    <x v="2"/>
    <x v="4"/>
    <s v="California ISO"/>
    <n v="-8579"/>
    <n v="1132.1250513717666"/>
    <n v="-4856.2504078591928"/>
  </r>
  <r>
    <x v="8"/>
    <s v="Sales for Resale"/>
    <x v="2"/>
    <x v="4"/>
    <s v="Calpine Energy Services"/>
    <n v="-390795"/>
    <n v="1132.1250513717666"/>
    <n v="-221214.40472541479"/>
  </r>
  <r>
    <x v="8"/>
    <s v="Sales for Resale"/>
    <x v="2"/>
    <x v="4"/>
    <s v="Cargill Power Markets"/>
    <n v="-158112"/>
    <n v="1132.1250513717666"/>
    <n v="-89501.278061246383"/>
  </r>
  <r>
    <x v="8"/>
    <s v="Sales for Resale"/>
    <x v="2"/>
    <x v="4"/>
    <s v="Chelan County PUD #1"/>
    <n v="-25371"/>
    <n v="1132.1250513717666"/>
    <n v="-14361.572339176544"/>
  </r>
  <r>
    <x v="8"/>
    <s v="Sales for Resale"/>
    <x v="2"/>
    <x v="4"/>
    <s v="Citigroup Energy Inc"/>
    <n v="-60746"/>
    <n v="1132.1250513717666"/>
    <n v="-34386.034185314667"/>
  </r>
  <r>
    <x v="8"/>
    <s v="Sales for Resale"/>
    <x v="2"/>
    <x v="4"/>
    <s v="Clark Public Utilities"/>
    <n v="-18922"/>
    <n v="1132.1250513717666"/>
    <n v="-10711.035111028285"/>
  </r>
  <r>
    <x v="8"/>
    <s v="Sales for Resale"/>
    <x v="2"/>
    <x v="4"/>
    <s v="Clatskanie PUD"/>
    <n v="-5659"/>
    <n v="1132.1250513717666"/>
    <n v="-3203.3478328564138"/>
  </r>
  <r>
    <x v="8"/>
    <s v="Sales for Resale"/>
    <x v="2"/>
    <x v="4"/>
    <s v="Constellation Power Source, Inc."/>
    <n v="-1"/>
    <n v="1132.1250513717666"/>
    <n v="-0.56606252568588333"/>
  </r>
  <r>
    <x v="8"/>
    <s v="Sales for Resale"/>
    <x v="2"/>
    <x v="4"/>
    <s v="CP Energy Marketing (Epcor)"/>
    <n v="-1115"/>
    <n v="1132.1250513717666"/>
    <n v="-631.15971613975989"/>
  </r>
  <r>
    <x v="8"/>
    <s v="Sales for Resale"/>
    <x v="2"/>
    <x v="4"/>
    <s v="DB Energy Trading LLC"/>
    <n v="8"/>
    <n v="1132.1250513717666"/>
    <n v="4.5285002054870667"/>
  </r>
  <r>
    <x v="8"/>
    <s v="Sales for Resale"/>
    <x v="2"/>
    <x v="4"/>
    <s v="Douglas County PUD #1"/>
    <n v="-3025"/>
    <n v="1132.1250513717666"/>
    <n v="-1712.3391401997969"/>
  </r>
  <r>
    <x v="8"/>
    <s v="Sales for Resale"/>
    <x v="2"/>
    <x v="4"/>
    <s v="EDF Trading NA LLC"/>
    <n v="-40695"/>
    <n v="1132.1250513717666"/>
    <n v="-23035.914482787022"/>
  </r>
  <r>
    <x v="8"/>
    <s v="Sales for Resale"/>
    <x v="2"/>
    <x v="4"/>
    <s v="Eugene Water &amp; Electric"/>
    <n v="-35479"/>
    <n v="1132.1250513717666"/>
    <n v="-20083.332348809454"/>
  </r>
  <r>
    <x v="8"/>
    <s v="Sales for Resale"/>
    <x v="2"/>
    <x v="4"/>
    <s v="Exelon Generation Co LLC"/>
    <n v="-34998"/>
    <n v="1132.1250513717666"/>
    <n v="-19811.056273954546"/>
  </r>
  <r>
    <x v="8"/>
    <s v="Sales for Resale"/>
    <x v="2"/>
    <x v="4"/>
    <s v="Fortis BC"/>
    <n v="-144215"/>
    <n v="1132.1250513717666"/>
    <n v="-81634.707141789666"/>
  </r>
  <r>
    <x v="8"/>
    <s v="Sales for Resale"/>
    <x v="2"/>
    <x v="4"/>
    <s v="Grant County PUD #2"/>
    <n v="-26969"/>
    <n v="1132.1250513717666"/>
    <n v="-15266.140255222586"/>
  </r>
  <r>
    <x v="8"/>
    <s v="Sales for Resale"/>
    <x v="2"/>
    <x v="4"/>
    <s v="Iberdrola Renewables (PPM Energy)"/>
    <n v="-646518"/>
    <n v="1132.1250513717666"/>
    <n v="-365969.61198138591"/>
  </r>
  <r>
    <x v="8"/>
    <s v="Sales for Resale"/>
    <x v="2"/>
    <x v="4"/>
    <s v="Idaho Power Company"/>
    <n v="-27009"/>
    <n v="1132.1250513717666"/>
    <n v="-15288.782756250022"/>
  </r>
  <r>
    <x v="8"/>
    <s v="Sales for Resale"/>
    <x v="2"/>
    <x v="4"/>
    <s v="J. Aron &amp; Company"/>
    <n v="-52425"/>
    <n v="1132.1250513717666"/>
    <n v="-29675.827909082433"/>
  </r>
  <r>
    <x v="8"/>
    <s v="Sales for Resale"/>
    <x v="2"/>
    <x v="4"/>
    <s v="JP Morgan Ventures Energy"/>
    <n v="-54818"/>
    <n v="1132.1250513717666"/>
    <n v="-31030.415533048752"/>
  </r>
  <r>
    <x v="8"/>
    <s v="Sales for Resale"/>
    <x v="2"/>
    <x v="4"/>
    <s v="Morgan Stanley CG"/>
    <n v="-389258"/>
    <n v="1132.1250513717666"/>
    <n v="-220344.36662343555"/>
  </r>
  <r>
    <x v="8"/>
    <s v="Sales for Resale"/>
    <x v="2"/>
    <x v="4"/>
    <s v="Natur Ener USA"/>
    <n v="-9"/>
    <n v="1132.1250513717666"/>
    <n v="-5.0945627311729496"/>
  </r>
  <r>
    <x v="8"/>
    <s v="Sales for Resale"/>
    <x v="2"/>
    <x v="4"/>
    <s v="NextEra Energy Power Marketing"/>
    <n v="-1181"/>
    <n v="1132.1250513717666"/>
    <n v="-668.51984283502816"/>
  </r>
  <r>
    <x v="8"/>
    <s v="Sales for Resale"/>
    <x v="2"/>
    <x v="4"/>
    <s v="Noble Americas Energy Solutions"/>
    <n v="-5999"/>
    <n v="1132.1250513717666"/>
    <n v="-3395.8090915896137"/>
  </r>
  <r>
    <x v="8"/>
    <s v="Sales for Resale"/>
    <x v="2"/>
    <x v="4"/>
    <s v="Noble Americas Gas &amp; Power"/>
    <n v="-6600"/>
    <n v="1132.1250513717666"/>
    <n v="-3736.01266952683"/>
  </r>
  <r>
    <x v="8"/>
    <s v="Sales for Resale"/>
    <x v="2"/>
    <x v="4"/>
    <s v="NorthPoint Energy Solutions, Inc."/>
    <n v="-23745"/>
    <n v="1132.1250513717666"/>
    <n v="-13441.1546724113"/>
  </r>
  <r>
    <x v="8"/>
    <s v="Sales for Resale"/>
    <x v="2"/>
    <x v="4"/>
    <s v="Northwestern Energy"/>
    <n v="-83310"/>
    <n v="1132.1250513717666"/>
    <n v="-47158.66901489094"/>
  </r>
  <r>
    <x v="8"/>
    <s v="Sales for Resale"/>
    <x v="2"/>
    <x v="4"/>
    <s v="Okanogan PUD"/>
    <n v="-2675"/>
    <n v="1132.1250513717666"/>
    <n v="-1514.2172562097378"/>
  </r>
  <r>
    <x v="8"/>
    <s v="Sales for Resale"/>
    <x v="2"/>
    <x v="4"/>
    <s v="Pacificorp"/>
    <n v="-277031"/>
    <n v="1132.1250513717666"/>
    <n v="-156816.86755328593"/>
  </r>
  <r>
    <x v="8"/>
    <s v="Sales for Resale"/>
    <x v="2"/>
    <x v="4"/>
    <s v="Portland General Electric"/>
    <n v="-192170"/>
    <n v="1132.1250513717666"/>
    <n v="-108780.23556105619"/>
  </r>
  <r>
    <x v="8"/>
    <s v="Sales for Resale"/>
    <x v="2"/>
    <x v="4"/>
    <s v="Powerex Corp."/>
    <n v="-403044"/>
    <n v="1132.1250513717666"/>
    <n v="-228148.10460254113"/>
  </r>
  <r>
    <x v="8"/>
    <s v="Sales for Resale"/>
    <x v="2"/>
    <x v="4"/>
    <s v="Rainbow Energy Marketing"/>
    <n v="-35434"/>
    <n v="1132.1250513717666"/>
    <n v="-20057.859535153591"/>
  </r>
  <r>
    <x v="8"/>
    <s v="Sales for Resale"/>
    <x v="2"/>
    <x v="4"/>
    <s v="Sacramento Municipal"/>
    <n v="-7107"/>
    <n v="1132.1250513717666"/>
    <n v="-4023.0063700495725"/>
  </r>
  <r>
    <x v="8"/>
    <s v="Sales for Resale"/>
    <x v="2"/>
    <x v="4"/>
    <s v="San Diego Gas &amp; Electric"/>
    <n v="-975"/>
    <n v="1132.1250513717666"/>
    <n v="-551.91096254373622"/>
  </r>
  <r>
    <x v="8"/>
    <s v="Sales for Resale"/>
    <x v="2"/>
    <x v="4"/>
    <s v="Seattle City Light Marketing"/>
    <n v="-23533"/>
    <n v="1132.1250513717666"/>
    <n v="-13321.149416965893"/>
  </r>
  <r>
    <x v="8"/>
    <s v="Sales for Resale"/>
    <x v="2"/>
    <x v="4"/>
    <s v="Shell Energy (Coral Pwr)"/>
    <n v="-279421"/>
    <n v="1132.1250513717666"/>
    <n v="-158169.7569896752"/>
  </r>
  <r>
    <x v="8"/>
    <s v="Sales for Resale"/>
    <x v="2"/>
    <x v="4"/>
    <s v="Sierra Pacific Power"/>
    <n v="-2095"/>
    <n v="1132.1250513717666"/>
    <n v="-1185.9009913119255"/>
  </r>
  <r>
    <x v="8"/>
    <s v="Sales for Resale"/>
    <x v="2"/>
    <x v="4"/>
    <s v="Snohomish County PUD #1"/>
    <n v="-30000"/>
    <n v="1132.1250513717666"/>
    <n v="-16981.875770576498"/>
  </r>
  <r>
    <x v="8"/>
    <s v="Sales for Resale"/>
    <x v="2"/>
    <x v="4"/>
    <s v="Southern Cal - Edison"/>
    <n v="-175"/>
    <n v="1132.1250513717666"/>
    <n v="-99.06094199502958"/>
  </r>
  <r>
    <x v="8"/>
    <s v="Sales for Resale"/>
    <x v="2"/>
    <x v="4"/>
    <s v="Tacoma Power"/>
    <n v="-36049"/>
    <n v="1132.1250513717666"/>
    <n v="-20405.987988450408"/>
  </r>
  <r>
    <x v="8"/>
    <s v="Sales for Resale"/>
    <x v="2"/>
    <x v="4"/>
    <s v="Talen Energy (PPL Energy Plus)"/>
    <n v="-64235"/>
    <n v="1132.1250513717666"/>
    <n v="-36361.026337432711"/>
  </r>
  <r>
    <x v="8"/>
    <s v="Sales for Resale"/>
    <x v="2"/>
    <x v="4"/>
    <s v="Tenaska Power Services Co."/>
    <n v="-870"/>
    <n v="1132.1250513717666"/>
    <n v="-492.47439734671849"/>
  </r>
  <r>
    <x v="8"/>
    <s v="Sales for Resale"/>
    <x v="2"/>
    <x v="4"/>
    <s v="The Energy Authority"/>
    <n v="-43118"/>
    <n v="1132.1250513717666"/>
    <n v="-24407.483982523918"/>
  </r>
  <r>
    <x v="8"/>
    <s v="Sales for Resale"/>
    <x v="2"/>
    <x v="4"/>
    <s v="TransAlta Energy Marketing"/>
    <n v="-391631"/>
    <n v="1132.1250513717666"/>
    <n v="-221687.63299688816"/>
  </r>
  <r>
    <x v="8"/>
    <s v="Sales for Resale"/>
    <x v="2"/>
    <x v="4"/>
    <s v="TransCanada Energy Marketing"/>
    <n v="-3692"/>
    <n v="1132.1250513717666"/>
    <n v="-2089.9028448322811"/>
  </r>
  <r>
    <x v="8"/>
    <s v="Sales for Resale"/>
    <x v="2"/>
    <x v="4"/>
    <s v="TransCanada Energy Sales Ltd"/>
    <n v="-27429"/>
    <n v="1132.1250513717666"/>
    <n v="-15526.529017038094"/>
  </r>
  <r>
    <x v="8"/>
    <s v="Sales for Resale"/>
    <x v="2"/>
    <x v="4"/>
    <s v="Turlock Irrigation District"/>
    <n v="-3960"/>
    <n v="1132.1250513717666"/>
    <n v="-2241.6076017160981"/>
  </r>
  <r>
    <x v="8"/>
    <s v="Sales for Resale"/>
    <x v="2"/>
    <x v="4"/>
    <s v="Vitol Inc."/>
    <n v="-466011"/>
    <n v="1132.1250513717666"/>
    <n v="-263791.3636574042"/>
  </r>
  <r>
    <x v="9"/>
    <s v="Generation - Hydro"/>
    <x v="0"/>
    <x v="0"/>
    <s v="Electron"/>
    <n v="42364.24"/>
    <n v="0"/>
    <n v="0"/>
  </r>
  <r>
    <x v="9"/>
    <s v="Generation - Hydro"/>
    <x v="0"/>
    <x v="0"/>
    <s v="Lower Baker"/>
    <n v="429609.103"/>
    <n v="0"/>
    <n v="0"/>
  </r>
  <r>
    <x v="9"/>
    <s v="Generation - Hydro"/>
    <x v="0"/>
    <x v="0"/>
    <s v="Snoqualmie Falls #1"/>
    <n v="40375.218000000001"/>
    <n v="0"/>
    <n v="0"/>
  </r>
  <r>
    <x v="9"/>
    <s v="Generation - Hydro"/>
    <x v="0"/>
    <x v="0"/>
    <s v="Snoqualmie Falls #2"/>
    <n v="147766.71299999999"/>
    <n v="0"/>
    <n v="0"/>
  </r>
  <r>
    <x v="9"/>
    <s v="Generation - Hydro"/>
    <x v="0"/>
    <x v="0"/>
    <s v="Upper Baker"/>
    <n v="340085.38099999999"/>
    <n v="0"/>
    <n v="0"/>
  </r>
  <r>
    <x v="9"/>
    <s v="Generation - Steam"/>
    <x v="0"/>
    <x v="1"/>
    <s v="Colstrip 1 &amp; 2"/>
    <n v="2114046"/>
    <n v="2408.3042658485197"/>
    <n v="2545633"/>
  </r>
  <r>
    <x v="9"/>
    <s v="Generation - Steam"/>
    <x v="0"/>
    <x v="1"/>
    <s v="Colstrip 3 &amp; 4"/>
    <n v="2395521"/>
    <n v="2341.5632757967892"/>
    <n v="2804632"/>
  </r>
  <r>
    <x v="9"/>
    <s v="Generation - Steam"/>
    <x v="0"/>
    <x v="2"/>
    <s v="Encogen"/>
    <n v="218068.82899999997"/>
    <n v="1067.0003580483333"/>
    <n v="116339.75931109037"/>
  </r>
  <r>
    <x v="9"/>
    <s v="Generation - Steam"/>
    <x v="0"/>
    <x v="2"/>
    <s v="Ferndale Co-Generation"/>
    <n v="722557.11800000002"/>
    <n v="1015.5714207225303"/>
    <n v="366904.17944021849"/>
  </r>
  <r>
    <x v="9"/>
    <s v="Generation - Steam"/>
    <x v="0"/>
    <x v="2"/>
    <s v="Freddie #1"/>
    <n v="346742.94699999999"/>
    <n v="1725.3245108965496"/>
    <n v="299122.05271980161"/>
  </r>
  <r>
    <x v="9"/>
    <s v="Generation - Steam"/>
    <x v="0"/>
    <x v="2"/>
    <s v="Goldendale"/>
    <n v="1029457.112"/>
    <n v="828.58673039731809"/>
    <n v="426497.25125817279"/>
  </r>
  <r>
    <x v="9"/>
    <s v="Generation - Steam"/>
    <x v="0"/>
    <x v="2"/>
    <s v="Mint Farm"/>
    <n v="1284786.4339999999"/>
    <n v="871.89901865046033"/>
    <n v="560102.01549001213"/>
  </r>
  <r>
    <x v="9"/>
    <s v="Generation - Steam"/>
    <x v="0"/>
    <x v="2"/>
    <s v="Sumas"/>
    <n v="446064.98"/>
    <n v="1032.8886672668616"/>
    <n v="230367.73135330962"/>
  </r>
  <r>
    <x v="9"/>
    <s v="Generation - Oil/Gas/Wind"/>
    <x v="0"/>
    <x v="3"/>
    <s v="Crystal Mountain"/>
    <n v="357.8"/>
    <n v="1822.9319187566496"/>
    <n v="326.12252026556462"/>
  </r>
  <r>
    <x v="9"/>
    <s v="Generation - Oil/Gas/Wind"/>
    <x v="0"/>
    <x v="2"/>
    <s v="Fredonia"/>
    <n v="56804.9"/>
    <n v="1772.0470230151398"/>
    <n v="50330.476968836359"/>
  </r>
  <r>
    <x v="9"/>
    <s v="Generation - Oil/Gas/Wind"/>
    <x v="0"/>
    <x v="2"/>
    <s v="Fredonia 3 &amp; 4"/>
    <n v="11337.6"/>
    <n v="1329.4098394714711"/>
    <n v="7536.1584979958752"/>
  </r>
  <r>
    <x v="9"/>
    <s v="Generation - Oil/Gas/Wind"/>
    <x v="0"/>
    <x v="2"/>
    <s v="Fredrickson 1 &amp; 2"/>
    <n v="14347.32"/>
    <n v="3747.2792048698875"/>
    <n v="26881.706940806918"/>
  </r>
  <r>
    <x v="9"/>
    <s v="Generation - Oil/Gas/Wind"/>
    <x v="0"/>
    <x v="0"/>
    <s v="Hopkins Ridge (W184)"/>
    <n v="442302.62199999997"/>
    <n v="0"/>
    <n v="0"/>
  </r>
  <r>
    <x v="9"/>
    <s v="Generation - Oil/Gas/Wind"/>
    <x v="0"/>
    <x v="0"/>
    <s v="Lower Snake River"/>
    <n v="883474.77099999995"/>
    <n v="0"/>
    <n v="0"/>
  </r>
  <r>
    <x v="9"/>
    <s v="Generation - Oil/Gas/Wind"/>
    <x v="0"/>
    <x v="2"/>
    <s v="Whitehorn 2&amp;3"/>
    <n v="24458.1"/>
    <n v="2653.7287919374417"/>
    <n v="32452.582083042569"/>
  </r>
  <r>
    <x v="9"/>
    <s v="Generation - Oil/Gas/Wind"/>
    <x v="0"/>
    <x v="0"/>
    <s v="Wild Horse (W183)"/>
    <n v="649976.24100000004"/>
    <n v="0"/>
    <n v="0"/>
  </r>
  <r>
    <x v="9"/>
    <s v="Purchases - Firm"/>
    <x v="1"/>
    <x v="0"/>
    <s v="3 Bar G Wind Turbine #3 LLC"/>
    <n v="143.74799999999999"/>
    <n v="0"/>
    <n v="0"/>
  </r>
  <r>
    <x v="9"/>
    <s v="Purchases - Firm"/>
    <x v="1"/>
    <x v="4"/>
    <s v="Barclays Bank Plc"/>
    <n v="216079"/>
    <n v="1014"/>
    <n v="109552.053"/>
  </r>
  <r>
    <x v="9"/>
    <s v="Purchases - Firm"/>
    <x v="1"/>
    <x v="4"/>
    <s v="BC Hydro (Point Roberts)"/>
    <n v="20696.929"/>
    <n v="1014"/>
    <n v="10493.343003"/>
  </r>
  <r>
    <x v="9"/>
    <s v="Purchases - Firm"/>
    <x v="1"/>
    <x v="0"/>
    <s v="Bio Energy Washington (BEW)"/>
    <n v="13.750999999999999"/>
    <n v="0"/>
    <n v="0"/>
  </r>
  <r>
    <x v="9"/>
    <s v="Purchases - Firm"/>
    <x v="1"/>
    <x v="0"/>
    <s v="Black Creek Hydro Inc"/>
    <n v="14182.659"/>
    <n v="0"/>
    <n v="0"/>
  </r>
  <r>
    <x v="9"/>
    <s v="Purchases - Firm"/>
    <x v="1"/>
    <x v="7"/>
    <s v="Book Outs - EITF 03-11"/>
    <n v="-10172"/>
    <n v="0"/>
    <n v="0"/>
  </r>
  <r>
    <x v="9"/>
    <s v="Purchases - Firm"/>
    <x v="1"/>
    <x v="0"/>
    <s v="BPA"/>
    <n v="7000"/>
    <n v="0"/>
    <n v="0"/>
  </r>
  <r>
    <x v="9"/>
    <s v="Purchases - Firm"/>
    <x v="1"/>
    <x v="4"/>
    <s v="BPA Firm - WNP#3 Exchange"/>
    <n v="360022"/>
    <n v="1014"/>
    <n v="182531.15400000001"/>
  </r>
  <r>
    <x v="9"/>
    <s v="Purchases - Firm"/>
    <x v="1"/>
    <x v="0"/>
    <s v="CC Solar 1 and CC Solar 2"/>
    <n v="28.02"/>
    <n v="0"/>
    <n v="0"/>
  </r>
  <r>
    <x v="9"/>
    <s v="Purchases - Firm"/>
    <x v="1"/>
    <x v="0"/>
    <s v="Chelan PUD - RI &amp; RR"/>
    <n v="2323845"/>
    <n v="0"/>
    <n v="0"/>
  </r>
  <r>
    <x v="9"/>
    <s v="Purchases - Firm"/>
    <x v="1"/>
    <x v="0"/>
    <s v="Chelan PUD - Rock Island Syst #2"/>
    <n v="-38431"/>
    <n v="0"/>
    <n v="0"/>
  </r>
  <r>
    <x v="9"/>
    <s v="Purchases - Firm"/>
    <x v="1"/>
    <x v="0"/>
    <s v="Chelan PUD - Rocky Reach"/>
    <n v="-81380"/>
    <n v="0"/>
    <n v="0"/>
  </r>
  <r>
    <x v="9"/>
    <s v="Purchases - Firm"/>
    <x v="1"/>
    <x v="0"/>
    <s v="Douglas PUD - Wells Project"/>
    <n v="1048857"/>
    <n v="0"/>
    <n v="0"/>
  </r>
  <r>
    <x v="9"/>
    <s v="Purchases - Firm"/>
    <x v="1"/>
    <x v="0"/>
    <s v="Edaleen Dairy LLC"/>
    <n v="3733.9949999999999"/>
    <n v="0"/>
    <n v="0"/>
  </r>
  <r>
    <x v="9"/>
    <s v="Purchases - Firm"/>
    <x v="1"/>
    <x v="0"/>
    <s v="Farm Power Lynden LLC"/>
    <n v="4946.95"/>
    <n v="0"/>
    <n v="0"/>
  </r>
  <r>
    <x v="9"/>
    <s v="Purchases - Firm"/>
    <x v="1"/>
    <x v="0"/>
    <s v="Farm Power Rexville LLC"/>
    <n v="5241.9309999999996"/>
    <n v="0"/>
    <n v="0"/>
  </r>
  <r>
    <x v="9"/>
    <s v="Purchases - Firm"/>
    <x v="1"/>
    <x v="0"/>
    <s v="Grant PUD - Priest Rapids Project"/>
    <n v="50317"/>
    <n v="0"/>
    <n v="0"/>
  </r>
  <r>
    <x v="9"/>
    <s v="Purchases - Firm"/>
    <x v="1"/>
    <x v="0"/>
    <s v="Island Community Solar LLC"/>
    <n v="59.67"/>
    <n v="0"/>
    <n v="0"/>
  </r>
  <r>
    <x v="9"/>
    <s v="Purchases - Firm"/>
    <x v="1"/>
    <x v="2"/>
    <s v="Klamath Falls (Iberdrola)"/>
    <n v="1200"/>
    <n v="814.11824078403606"/>
    <n v="488.47094447042167"/>
  </r>
  <r>
    <x v="9"/>
    <s v="Purchases - Firm"/>
    <x v="1"/>
    <x v="0"/>
    <s v="Klondike Wind Power III"/>
    <n v="129205"/>
    <n v="0"/>
    <n v="0"/>
  </r>
  <r>
    <x v="9"/>
    <s v="Purchases - Firm"/>
    <x v="1"/>
    <x v="0"/>
    <s v="Knudsen Wind Turbine #1"/>
    <n v="151.547"/>
    <n v="0"/>
    <n v="0"/>
  </r>
  <r>
    <x v="9"/>
    <s v="Purchases - Firm"/>
    <x v="1"/>
    <x v="0"/>
    <s v="Qualco Energy"/>
    <n v="290"/>
    <n v="0"/>
    <n v="0"/>
  </r>
  <r>
    <x v="9"/>
    <s v="Purchases - Firm"/>
    <x v="1"/>
    <x v="0"/>
    <s v="Rainier Bio Gas"/>
    <n v="5027.634"/>
    <n v="0"/>
    <n v="0"/>
  </r>
  <r>
    <x v="9"/>
    <s v="Purchases - Firm"/>
    <x v="1"/>
    <x v="0"/>
    <s v="Skookumchuck Hydro"/>
    <n v="6471.0950000000003"/>
    <n v="0"/>
    <n v="0"/>
  </r>
  <r>
    <x v="9"/>
    <s v="Purchases - Firm"/>
    <x v="1"/>
    <x v="0"/>
    <s v="Smith Creek Hydro"/>
    <n v="174.334"/>
    <n v="0"/>
    <n v="0"/>
  </r>
  <r>
    <x v="9"/>
    <s v="Purchases - Firm"/>
    <x v="1"/>
    <x v="0"/>
    <s v="Swauk Wind"/>
    <n v="11215.539000000001"/>
    <n v="0"/>
    <n v="0"/>
  </r>
  <r>
    <x v="9"/>
    <s v="Purchases - Firm"/>
    <x v="1"/>
    <x v="1"/>
    <s v="Transalta Centralia Generation LLC"/>
    <n v="133020"/>
    <n v="2369.4801521895856"/>
    <n v="157594.12492212933"/>
  </r>
  <r>
    <x v="9"/>
    <s v="Purchases - Firm"/>
    <x v="1"/>
    <x v="0"/>
    <s v="Van Dyk - S Holsteins"/>
    <n v="2188.8200000000002"/>
    <n v="0"/>
    <n v="0"/>
  </r>
  <r>
    <x v="9"/>
    <s v="Purchases - Firm"/>
    <x v="1"/>
    <x v="0"/>
    <s v="VanderHaak Dairy Digester"/>
    <n v="3510.7820000000002"/>
    <n v="0"/>
    <n v="0"/>
  </r>
  <r>
    <x v="9"/>
    <s v="Purchases - PURPA"/>
    <x v="1"/>
    <x v="0"/>
    <s v="BIO FUEL WA"/>
    <n v="36676.847000000002"/>
    <n v="0"/>
    <n v="0"/>
  </r>
  <r>
    <x v="9"/>
    <s v="Purchases - PURPA"/>
    <x v="1"/>
    <x v="0"/>
    <s v="Electron Hydro, LLC"/>
    <n v="8568.0669999999991"/>
    <n v="0"/>
    <n v="0"/>
  </r>
  <r>
    <x v="9"/>
    <s v="Purchases - PURPA"/>
    <x v="1"/>
    <x v="0"/>
    <s v="Hutchinson Creek"/>
    <n v="233.12"/>
    <n v="0"/>
    <n v="0"/>
  </r>
  <r>
    <x v="9"/>
    <s v="Purchases - PURPA"/>
    <x v="1"/>
    <x v="0"/>
    <s v="Koma Kulshan Associates"/>
    <n v="48522.928999999996"/>
    <n v="0"/>
    <n v="0"/>
  </r>
  <r>
    <x v="9"/>
    <s v="Purchases - PURPA"/>
    <x v="1"/>
    <x v="0"/>
    <s v="Lake Washington -- Finn Hill"/>
    <n v="271.08"/>
    <n v="0"/>
    <n v="0"/>
  </r>
  <r>
    <x v="9"/>
    <s v="Purchases - PURPA"/>
    <x v="1"/>
    <x v="0"/>
    <s v="Nooksack"/>
    <n v="25212.421999999999"/>
    <n v="0"/>
    <n v="0"/>
  </r>
  <r>
    <x v="9"/>
    <s v="Purchases - PURPA"/>
    <x v="1"/>
    <x v="0"/>
    <s v="Sygitowicz Creek"/>
    <n v="1168.2139999999999"/>
    <n v="0"/>
    <n v="0"/>
  </r>
  <r>
    <x v="9"/>
    <s v="Purchases - PURPA"/>
    <x v="1"/>
    <x v="0"/>
    <s v="Twin Falls Hydro"/>
    <n v="92557.659"/>
    <n v="0"/>
    <n v="0"/>
  </r>
  <r>
    <x v="9"/>
    <s v="Purchases - PURPA"/>
    <x v="1"/>
    <x v="0"/>
    <s v="Weeks Falls"/>
    <n v="16407.221000000001"/>
    <n v="0"/>
    <n v="0"/>
  </r>
  <r>
    <x v="9"/>
    <s v="Purchases - Secondary"/>
    <x v="2"/>
    <x v="4"/>
    <s v="Avista Corp. WWP Division"/>
    <n v="321265"/>
    <n v="1014"/>
    <n v="162881.35500000001"/>
  </r>
  <r>
    <x v="9"/>
    <s v="Purchases - Secondary"/>
    <x v="2"/>
    <x v="4"/>
    <s v="Black Hills Power"/>
    <n v="875"/>
    <n v="1014"/>
    <n v="443.625"/>
  </r>
  <r>
    <x v="9"/>
    <s v="Purchases - Secondary"/>
    <x v="2"/>
    <x v="4"/>
    <s v="Book Outs - EITF 03-11"/>
    <n v="-2005870"/>
    <n v="1014"/>
    <n v="-1016976.09"/>
  </r>
  <r>
    <x v="9"/>
    <s v="Purchases - Secondary"/>
    <x v="2"/>
    <x v="4"/>
    <s v="BP Energy Co."/>
    <n v="1096755"/>
    <n v="1014"/>
    <n v="556054.78500000003"/>
  </r>
  <r>
    <x v="9"/>
    <s v="Purchases - Secondary"/>
    <x v="2"/>
    <x v="4"/>
    <s v="BPA"/>
    <n v="169672"/>
    <n v="1014"/>
    <n v="86023.703999999998"/>
  </r>
  <r>
    <x v="9"/>
    <s v="Purchases - Secondary"/>
    <x v="2"/>
    <x v="4"/>
    <s v="Burbank, City of"/>
    <n v="200"/>
    <n v="1014"/>
    <n v="101.4"/>
  </r>
  <r>
    <x v="9"/>
    <s v="Purchases - Secondary"/>
    <x v="2"/>
    <x v="4"/>
    <s v="California ISO"/>
    <n v="65176"/>
    <n v="1014"/>
    <n v="33044.232000000004"/>
  </r>
  <r>
    <x v="9"/>
    <s v="Purchases - Secondary"/>
    <x v="2"/>
    <x v="4"/>
    <s v="Calpine Energy Services"/>
    <n v="47482"/>
    <n v="1014"/>
    <n v="24073.374"/>
  </r>
  <r>
    <x v="9"/>
    <s v="Purchases - Secondary"/>
    <x v="2"/>
    <x v="4"/>
    <s v="Cargill Power Markets"/>
    <n v="609585"/>
    <n v="1014"/>
    <n v="309059.59499999997"/>
  </r>
  <r>
    <x v="9"/>
    <s v="Purchases - Secondary"/>
    <x v="2"/>
    <x v="4"/>
    <s v="Chelan County PUD #1"/>
    <n v="4821"/>
    <n v="1014"/>
    <n v="2444.2469999999998"/>
  </r>
  <r>
    <x v="9"/>
    <s v="Purchases - Secondary"/>
    <x v="2"/>
    <x v="4"/>
    <s v="Citigroup Energy Inc"/>
    <n v="145653"/>
    <n v="1014"/>
    <n v="73846.070999999996"/>
  </r>
  <r>
    <x v="9"/>
    <s v="Purchases - Secondary"/>
    <x v="2"/>
    <x v="4"/>
    <s v="City of Idaho Falls"/>
    <n v="10"/>
    <n v="1014"/>
    <n v="5.07"/>
  </r>
  <r>
    <x v="9"/>
    <s v="Purchases - Secondary"/>
    <x v="2"/>
    <x v="4"/>
    <s v="Clark Public Utilities"/>
    <n v="5396"/>
    <n v="1014"/>
    <n v="2735.7719999999999"/>
  </r>
  <r>
    <x v="9"/>
    <s v="Purchases - Secondary"/>
    <x v="2"/>
    <x v="4"/>
    <s v="Clatskanie PUD"/>
    <n v="2270"/>
    <n v="1014"/>
    <n v="1150.8900000000001"/>
  </r>
  <r>
    <x v="9"/>
    <s v="Purchases - Secondary"/>
    <x v="2"/>
    <x v="4"/>
    <s v="Constellation Power Source, Inc."/>
    <n v="20"/>
    <n v="1014"/>
    <n v="10.14"/>
  </r>
  <r>
    <x v="9"/>
    <s v="Purchases - Secondary"/>
    <x v="2"/>
    <x v="4"/>
    <s v="CP Energy Marketing (Epcor)"/>
    <n v="825"/>
    <n v="1014"/>
    <n v="418.27499999999998"/>
  </r>
  <r>
    <x v="9"/>
    <s v="Purchases - Secondary"/>
    <x v="2"/>
    <x v="4"/>
    <s v="Douglas County PUD #1"/>
    <n v="277023"/>
    <n v="1014"/>
    <n v="140450.66099999999"/>
  </r>
  <r>
    <x v="9"/>
    <s v="Purchases - Secondary"/>
    <x v="2"/>
    <x v="4"/>
    <s v="EDF Trading NA LLC"/>
    <n v="611857"/>
    <n v="1014"/>
    <n v="310211.49900000001"/>
  </r>
  <r>
    <x v="9"/>
    <s v="Purchases - Secondary"/>
    <x v="2"/>
    <x v="4"/>
    <s v="ENMAX Energy Marketing, Inc."/>
    <n v="100"/>
    <n v="1014"/>
    <n v="50.7"/>
  </r>
  <r>
    <x v="9"/>
    <s v="Purchases - Secondary"/>
    <x v="2"/>
    <x v="4"/>
    <s v="Eugene Water &amp; Electric"/>
    <n v="12875"/>
    <n v="1014"/>
    <n v="6527.625"/>
  </r>
  <r>
    <x v="9"/>
    <s v="Purchases - Secondary"/>
    <x v="2"/>
    <x v="4"/>
    <s v="Exelon Generation Co LLC"/>
    <n v="187630"/>
    <n v="1014"/>
    <n v="95128.41"/>
  </r>
  <r>
    <x v="9"/>
    <s v="Purchases - Secondary"/>
    <x v="2"/>
    <x v="4"/>
    <s v="Grant County PUD #2"/>
    <n v="12652"/>
    <n v="1014"/>
    <n v="6414.5640000000003"/>
  </r>
  <r>
    <x v="9"/>
    <s v="Purchases - Secondary"/>
    <x v="2"/>
    <x v="4"/>
    <s v="Iberdrola Renewables (PPM Energy)"/>
    <n v="716696"/>
    <n v="1014"/>
    <n v="363364.87199999997"/>
  </r>
  <r>
    <x v="9"/>
    <s v="Purchases - Secondary"/>
    <x v="2"/>
    <x v="4"/>
    <s v="Idaho Power Company"/>
    <n v="12466"/>
    <n v="1014"/>
    <n v="6320.2619999999997"/>
  </r>
  <r>
    <x v="9"/>
    <s v="Purchases - Secondary"/>
    <x v="2"/>
    <x v="4"/>
    <s v="J. Aron &amp; Company"/>
    <n v="20400"/>
    <n v="1014"/>
    <n v="10342.799999999999"/>
  </r>
  <r>
    <x v="9"/>
    <s v="Purchases - Secondary"/>
    <x v="2"/>
    <x v="4"/>
    <s v="JP Morgan Ventures Energy"/>
    <n v="156705"/>
    <n v="1014"/>
    <n v="79449.434999999998"/>
  </r>
  <r>
    <x v="9"/>
    <s v="Purchases - Secondary"/>
    <x v="2"/>
    <x v="4"/>
    <s v="Morgan Stanley CG"/>
    <n v="1790503"/>
    <n v="1014"/>
    <n v="907785.02099999995"/>
  </r>
  <r>
    <x v="9"/>
    <s v="Purchases - Secondary"/>
    <x v="2"/>
    <x v="4"/>
    <s v="Natur Ener USA"/>
    <n v="1"/>
    <n v="1014"/>
    <n v="0.50700000000000001"/>
  </r>
  <r>
    <x v="9"/>
    <s v="Purchases - Secondary"/>
    <x v="2"/>
    <x v="4"/>
    <s v="NextEra Energy Power Marketing"/>
    <n v="56233"/>
    <n v="1014"/>
    <n v="28510.131000000001"/>
  </r>
  <r>
    <x v="9"/>
    <s v="Purchases - Secondary"/>
    <x v="2"/>
    <x v="4"/>
    <s v="Noble Americas Energy Solutions"/>
    <n v="4000"/>
    <n v="1014"/>
    <n v="2028"/>
  </r>
  <r>
    <x v="9"/>
    <s v="Purchases - Secondary"/>
    <x v="2"/>
    <x v="4"/>
    <s v="Noble Americas Gas &amp; Power"/>
    <n v="4000"/>
    <n v="1014"/>
    <n v="2028"/>
  </r>
  <r>
    <x v="9"/>
    <s v="Purchases - Secondary"/>
    <x v="2"/>
    <x v="4"/>
    <s v="NorthPoint Energy Solutions, Inc."/>
    <n v="871"/>
    <n v="1014"/>
    <n v="441.59699999999998"/>
  </r>
  <r>
    <x v="9"/>
    <s v="Purchases - Secondary"/>
    <x v="2"/>
    <x v="4"/>
    <s v="Northwestern Energy"/>
    <n v="1948"/>
    <n v="1014"/>
    <n v="987.63599999999997"/>
  </r>
  <r>
    <x v="9"/>
    <s v="Purchases - Secondary"/>
    <x v="2"/>
    <x v="4"/>
    <s v="Okanogan PUD"/>
    <n v="7707"/>
    <n v="1014"/>
    <n v="3907.4490000000001"/>
  </r>
  <r>
    <x v="9"/>
    <s v="Purchases - Secondary"/>
    <x v="2"/>
    <x v="4"/>
    <s v="Pacificorp"/>
    <n v="71357"/>
    <n v="1014"/>
    <n v="36177.999000000003"/>
  </r>
  <r>
    <x v="9"/>
    <s v="Purchases - Secondary"/>
    <x v="2"/>
    <x v="4"/>
    <s v="Portland General Electric"/>
    <n v="183483"/>
    <n v="1014"/>
    <n v="93025.880999999994"/>
  </r>
  <r>
    <x v="9"/>
    <s v="Purchases - Secondary"/>
    <x v="2"/>
    <x v="4"/>
    <s v="Powerex Corp."/>
    <n v="100896"/>
    <n v="1014"/>
    <n v="51154.271999999997"/>
  </r>
  <r>
    <x v="9"/>
    <s v="Purchases - Secondary"/>
    <x v="2"/>
    <x v="4"/>
    <s v="Rainbow Energy Marketing"/>
    <n v="5071"/>
    <n v="1014"/>
    <n v="2570.9969999999998"/>
  </r>
  <r>
    <x v="9"/>
    <s v="Purchases - Secondary"/>
    <x v="2"/>
    <x v="4"/>
    <s v="Sacramento Municipal"/>
    <n v="2075"/>
    <n v="1014"/>
    <n v="1052.0250000000001"/>
  </r>
  <r>
    <x v="9"/>
    <s v="Purchases - Secondary"/>
    <x v="2"/>
    <x v="4"/>
    <s v="Seattle City Light Marketing"/>
    <n v="69998"/>
    <n v="1014"/>
    <n v="35488.985999999997"/>
  </r>
  <r>
    <x v="9"/>
    <s v="Purchases - Secondary"/>
    <x v="2"/>
    <x v="4"/>
    <s v="Shell Energy (Coral Pwr)"/>
    <n v="365203"/>
    <n v="1014"/>
    <n v="185157.921"/>
  </r>
  <r>
    <x v="9"/>
    <s v="Purchases - Secondary"/>
    <x v="2"/>
    <x v="4"/>
    <s v="Snohomish County PUD #1"/>
    <n v="20464"/>
    <n v="1014"/>
    <n v="10375.248"/>
  </r>
  <r>
    <x v="9"/>
    <s v="Purchases - Secondary"/>
    <x v="2"/>
    <x v="4"/>
    <s v="Southern Cal - Edison"/>
    <n v="47417"/>
    <n v="1014"/>
    <n v="24040.419000000002"/>
  </r>
  <r>
    <x v="9"/>
    <s v="Purchases - Secondary"/>
    <x v="2"/>
    <x v="4"/>
    <s v="Tacoma Power"/>
    <n v="151109"/>
    <n v="1014"/>
    <n v="76612.263000000006"/>
  </r>
  <r>
    <x v="9"/>
    <s v="Purchases - Secondary"/>
    <x v="2"/>
    <x v="4"/>
    <s v="Talen Energy (PPL Energy Plus)"/>
    <n v="235629"/>
    <n v="1014"/>
    <n v="119463.90300000001"/>
  </r>
  <r>
    <x v="9"/>
    <s v="Purchases - Secondary"/>
    <x v="2"/>
    <x v="4"/>
    <s v="Tenaska Power Services Co."/>
    <n v="4534"/>
    <n v="1014"/>
    <n v="2298.7379999999998"/>
  </r>
  <r>
    <x v="9"/>
    <s v="Purchases - Secondary"/>
    <x v="2"/>
    <x v="4"/>
    <s v="The Energy Authority"/>
    <n v="51948"/>
    <n v="1014"/>
    <n v="26337.635999999999"/>
  </r>
  <r>
    <x v="9"/>
    <s v="Purchases - Secondary"/>
    <x v="2"/>
    <x v="4"/>
    <s v="TransAlta Energy Marketing"/>
    <n v="1300789"/>
    <n v="1014"/>
    <n v="659500.02300000004"/>
  </r>
  <r>
    <x v="9"/>
    <s v="Purchases - Secondary"/>
    <x v="2"/>
    <x v="4"/>
    <s v="TransCanada Energy Sales Ltd"/>
    <n v="2410"/>
    <n v="1014"/>
    <n v="1221.8699999999999"/>
  </r>
  <r>
    <x v="9"/>
    <s v="Purchases - Secondary"/>
    <x v="2"/>
    <x v="4"/>
    <s v="Turlock Irrigation District"/>
    <n v="81172"/>
    <n v="1014"/>
    <n v="41154.203999999998"/>
  </r>
  <r>
    <x v="9"/>
    <s v="Purchases - Secondary"/>
    <x v="2"/>
    <x v="4"/>
    <s v="Vitol Inc."/>
    <n v="452905"/>
    <n v="1014"/>
    <n v="229622.83499999999"/>
  </r>
  <r>
    <x v="9"/>
    <s v="Interchange - In"/>
    <x v="2"/>
    <x v="4"/>
    <s v="Avista Nichols Pump"/>
    <n v="22326.400000000001"/>
    <n v="1014"/>
    <n v="11319.4848"/>
  </r>
  <r>
    <x v="9"/>
    <s v="Interchange - In"/>
    <x v="2"/>
    <x v="4"/>
    <s v="Pacific Gas &amp; Elec - Exchange"/>
    <n v="413000"/>
    <n v="1014"/>
    <n v="209391"/>
  </r>
  <r>
    <x v="9"/>
    <s v="Interchange - Out"/>
    <x v="2"/>
    <x v="4"/>
    <s v="Deviation"/>
    <n v="76073.797000000006"/>
    <n v="1014"/>
    <n v="38569.415079000006"/>
  </r>
  <r>
    <x v="9"/>
    <s v="Interchange - Out"/>
    <x v="2"/>
    <x v="4"/>
    <s v="Exelon Generation Co LLC"/>
    <n v="-25"/>
    <n v="1014"/>
    <n v="-12.675000000000001"/>
  </r>
  <r>
    <x v="9"/>
    <s v="Interchange - Out"/>
    <x v="2"/>
    <x v="4"/>
    <s v="Pacific Gas &amp; Elec - Exchange"/>
    <n v="-413000"/>
    <n v="1014"/>
    <n v="-209391"/>
  </r>
  <r>
    <x v="9"/>
    <s v="Sales for Resale"/>
    <x v="2"/>
    <x v="4"/>
    <s v="Avista Corp. WWP Division"/>
    <n v="-60183"/>
    <n v="1014"/>
    <n v="-30512.780999999999"/>
  </r>
  <r>
    <x v="9"/>
    <s v="Sales for Resale"/>
    <x v="2"/>
    <x v="4"/>
    <s v="Black Hills Power"/>
    <n v="-390"/>
    <n v="1014"/>
    <n v="-197.73"/>
  </r>
  <r>
    <x v="9"/>
    <s v="Sales for Resale"/>
    <x v="2"/>
    <x v="4"/>
    <s v="Book Outs - EITF 03-11"/>
    <n v="2016042"/>
    <n v="1014"/>
    <n v="1022133.294"/>
  </r>
  <r>
    <x v="9"/>
    <s v="Sales for Resale"/>
    <x v="2"/>
    <x v="4"/>
    <s v="BP Energy Co."/>
    <n v="-51111"/>
    <n v="1014"/>
    <n v="-25913.276999999998"/>
  </r>
  <r>
    <x v="9"/>
    <s v="Sales for Resale"/>
    <x v="2"/>
    <x v="4"/>
    <s v="BPA"/>
    <n v="-159211"/>
    <n v="1014"/>
    <n v="-80719.976999999999"/>
  </r>
  <r>
    <x v="9"/>
    <s v="Sales for Resale"/>
    <x v="2"/>
    <x v="4"/>
    <s v="British Columbia Transmission Corp"/>
    <n v="-49"/>
    <n v="1014"/>
    <n v="-24.843"/>
  </r>
  <r>
    <x v="9"/>
    <s v="Sales for Resale"/>
    <x v="2"/>
    <x v="4"/>
    <s v="Brookfield Energy Marketing"/>
    <n v="-800"/>
    <n v="1014"/>
    <n v="-405.6"/>
  </r>
  <r>
    <x v="9"/>
    <s v="Sales for Resale"/>
    <x v="2"/>
    <x v="4"/>
    <s v="Burbank, City of"/>
    <n v="-2400"/>
    <n v="1014"/>
    <n v="-1216.8"/>
  </r>
  <r>
    <x v="9"/>
    <s v="Sales for Resale"/>
    <x v="2"/>
    <x v="4"/>
    <s v="Calpine Energy Services"/>
    <n v="-117424"/>
    <n v="1014"/>
    <n v="-59533.968000000001"/>
  </r>
  <r>
    <x v="9"/>
    <s v="Sales for Resale"/>
    <x v="2"/>
    <x v="4"/>
    <s v="Cargill Power Markets"/>
    <n v="-190421"/>
    <n v="1014"/>
    <n v="-96543.447"/>
  </r>
  <r>
    <x v="9"/>
    <s v="Sales for Resale"/>
    <x v="2"/>
    <x v="4"/>
    <s v="Chelan County PUD #1"/>
    <n v="-16609"/>
    <n v="1014"/>
    <n v="-8420.7630000000008"/>
  </r>
  <r>
    <x v="9"/>
    <s v="Sales for Resale"/>
    <x v="2"/>
    <x v="4"/>
    <s v="Citigroup Energy Inc"/>
    <n v="-26800"/>
    <n v="1014"/>
    <n v="-13587.6"/>
  </r>
  <r>
    <x v="9"/>
    <s v="Sales for Resale"/>
    <x v="2"/>
    <x v="4"/>
    <s v="Clark Public Utilities"/>
    <n v="-9222"/>
    <n v="1014"/>
    <n v="-4675.5540000000001"/>
  </r>
  <r>
    <x v="9"/>
    <s v="Sales for Resale"/>
    <x v="2"/>
    <x v="4"/>
    <s v="Clatskanie PUD"/>
    <n v="-4124"/>
    <n v="1014"/>
    <n v="-2090.8679999999999"/>
  </r>
  <r>
    <x v="9"/>
    <s v="Sales for Resale"/>
    <x v="2"/>
    <x v="4"/>
    <s v="Conoco, Inc."/>
    <n v="-1200"/>
    <n v="1014"/>
    <n v="-608.4"/>
  </r>
  <r>
    <x v="9"/>
    <s v="Sales for Resale"/>
    <x v="2"/>
    <x v="4"/>
    <s v="Constellation Power Source, Inc."/>
    <n v="-119"/>
    <n v="1014"/>
    <n v="-60.332999999999998"/>
  </r>
  <r>
    <x v="9"/>
    <s v="Sales for Resale"/>
    <x v="2"/>
    <x v="4"/>
    <s v="CP Energy Marketing (Epcor)"/>
    <n v="-947"/>
    <n v="1014"/>
    <n v="-480.12900000000002"/>
  </r>
  <r>
    <x v="9"/>
    <s v="Sales for Resale"/>
    <x v="2"/>
    <x v="4"/>
    <s v="Douglas County PUD #1"/>
    <n v="-1819"/>
    <n v="1014"/>
    <n v="-922.23299999999995"/>
  </r>
  <r>
    <x v="9"/>
    <s v="Sales for Resale"/>
    <x v="2"/>
    <x v="4"/>
    <s v="EDF Trading NA LLC"/>
    <n v="-136984"/>
    <n v="1014"/>
    <n v="-69450.888000000006"/>
  </r>
  <r>
    <x v="9"/>
    <s v="Sales for Resale"/>
    <x v="2"/>
    <x v="4"/>
    <s v="Eugene Water &amp; Electric"/>
    <n v="-38757"/>
    <n v="1014"/>
    <n v="-19649.798999999999"/>
  </r>
  <r>
    <x v="9"/>
    <s v="Sales for Resale"/>
    <x v="2"/>
    <x v="4"/>
    <s v="Exelon Generation Co LLC"/>
    <n v="-16580"/>
    <n v="1014"/>
    <n v="-8406.06"/>
  </r>
  <r>
    <x v="9"/>
    <s v="Sales for Resale"/>
    <x v="2"/>
    <x v="4"/>
    <s v="Fortis BC"/>
    <n v="-27508"/>
    <n v="1014"/>
    <n v="-13946.556"/>
  </r>
  <r>
    <x v="9"/>
    <s v="Sales for Resale"/>
    <x v="2"/>
    <x v="4"/>
    <s v="Grant County PUD #2"/>
    <n v="-27899"/>
    <n v="1014"/>
    <n v="-14144.793"/>
  </r>
  <r>
    <x v="9"/>
    <s v="Sales for Resale"/>
    <x v="2"/>
    <x v="4"/>
    <s v="Iberdrola Renewables (PPM Energy)"/>
    <n v="-536036"/>
    <n v="1014"/>
    <n v="-271770.25199999998"/>
  </r>
  <r>
    <x v="9"/>
    <s v="Sales for Resale"/>
    <x v="2"/>
    <x v="4"/>
    <s v="Idaho Power Company"/>
    <n v="-15235"/>
    <n v="1014"/>
    <n v="-7724.1450000000004"/>
  </r>
  <r>
    <x v="9"/>
    <s v="Sales for Resale"/>
    <x v="2"/>
    <x v="4"/>
    <s v="J. Aron &amp; Company"/>
    <n v="-2600"/>
    <n v="1014"/>
    <n v="-1318.2"/>
  </r>
  <r>
    <x v="9"/>
    <s v="Sales for Resale"/>
    <x v="2"/>
    <x v="4"/>
    <s v="JP Morgan Ventures Energy"/>
    <n v="-5071"/>
    <n v="1014"/>
    <n v="-2570.9969999999998"/>
  </r>
  <r>
    <x v="9"/>
    <s v="Sales for Resale"/>
    <x v="2"/>
    <x v="4"/>
    <s v="Morgan Stanley CG"/>
    <n v="-332554"/>
    <n v="1014"/>
    <n v="-168604.878"/>
  </r>
  <r>
    <x v="9"/>
    <s v="Sales for Resale"/>
    <x v="2"/>
    <x v="4"/>
    <s v="Natur Ener USA"/>
    <n v="-24"/>
    <n v="1014"/>
    <n v="-12.167999999999999"/>
  </r>
  <r>
    <x v="9"/>
    <s v="Sales for Resale"/>
    <x v="2"/>
    <x v="4"/>
    <s v="Nevada Power Company"/>
    <n v="-159"/>
    <n v="1014"/>
    <n v="-80.613"/>
  </r>
  <r>
    <x v="9"/>
    <s v="Sales for Resale"/>
    <x v="2"/>
    <x v="4"/>
    <s v="NextEra Energy Power Marketing"/>
    <n v="-159"/>
    <n v="1014"/>
    <n v="-80.613"/>
  </r>
  <r>
    <x v="9"/>
    <s v="Sales for Resale"/>
    <x v="2"/>
    <x v="4"/>
    <s v="Noble Americas Gas &amp; Power"/>
    <n v="-400"/>
    <n v="1014"/>
    <n v="-202.8"/>
  </r>
  <r>
    <x v="9"/>
    <s v="Sales for Resale"/>
    <x v="2"/>
    <x v="4"/>
    <s v="NorthPoint Energy Solutions, Inc."/>
    <n v="-3481"/>
    <n v="1014"/>
    <n v="-1764.867"/>
  </r>
  <r>
    <x v="9"/>
    <s v="Sales for Resale"/>
    <x v="2"/>
    <x v="4"/>
    <s v="Northwestern Energy"/>
    <n v="-68236"/>
    <n v="1014"/>
    <n v="-34595.652000000002"/>
  </r>
  <r>
    <x v="9"/>
    <s v="Sales for Resale"/>
    <x v="2"/>
    <x v="4"/>
    <s v="Okanogan PUD"/>
    <n v="-1855"/>
    <n v="1014"/>
    <n v="-940.48500000000001"/>
  </r>
  <r>
    <x v="9"/>
    <s v="Sales for Resale"/>
    <x v="2"/>
    <x v="4"/>
    <s v="Pacificorp"/>
    <n v="-109675"/>
    <n v="1014"/>
    <n v="-55605.224999999999"/>
  </r>
  <r>
    <x v="9"/>
    <s v="Sales for Resale"/>
    <x v="2"/>
    <x v="4"/>
    <s v="Portland General Electric"/>
    <n v="-123272"/>
    <n v="1014"/>
    <n v="-62498.904000000002"/>
  </r>
  <r>
    <x v="9"/>
    <s v="Sales for Resale"/>
    <x v="2"/>
    <x v="4"/>
    <s v="Powerex Corp."/>
    <n v="-401453"/>
    <n v="1014"/>
    <n v="-203536.671"/>
  </r>
  <r>
    <x v="9"/>
    <s v="Sales for Resale"/>
    <x v="2"/>
    <x v="4"/>
    <s v="Rainbow Energy Marketing"/>
    <n v="-21430"/>
    <n v="1014"/>
    <n v="-10865.01"/>
  </r>
  <r>
    <x v="9"/>
    <s v="Sales for Resale"/>
    <x v="2"/>
    <x v="4"/>
    <s v="Sacramento Municipal"/>
    <n v="-4593"/>
    <n v="1014"/>
    <n v="-2328.6509999999998"/>
  </r>
  <r>
    <x v="9"/>
    <s v="Sales for Resale"/>
    <x v="2"/>
    <x v="4"/>
    <s v="Seattle City Light Marketing"/>
    <n v="-20865"/>
    <n v="1014"/>
    <n v="-10578.555"/>
  </r>
  <r>
    <x v="9"/>
    <s v="Sales for Resale"/>
    <x v="2"/>
    <x v="4"/>
    <s v="Shell Energy (Coral Pwr)"/>
    <n v="-210325"/>
    <n v="1014"/>
    <n v="-106634.77499999999"/>
  </r>
  <r>
    <x v="9"/>
    <s v="Sales for Resale"/>
    <x v="2"/>
    <x v="4"/>
    <s v="Snohomish County PUD #1"/>
    <n v="-12377"/>
    <n v="1014"/>
    <n v="-6275.1390000000001"/>
  </r>
  <r>
    <x v="9"/>
    <s v="Sales for Resale"/>
    <x v="2"/>
    <x v="4"/>
    <s v="Tacoma Power"/>
    <n v="-14402"/>
    <n v="1014"/>
    <n v="-7301.8140000000003"/>
  </r>
  <r>
    <x v="9"/>
    <s v="Sales for Resale"/>
    <x v="2"/>
    <x v="4"/>
    <s v="Talen Energy (PPL Energy Plus)"/>
    <n v="-52930"/>
    <n v="1014"/>
    <n v="-26835.51"/>
  </r>
  <r>
    <x v="9"/>
    <s v="Sales for Resale"/>
    <x v="2"/>
    <x v="4"/>
    <s v="Tenaska Power Services Co."/>
    <n v="-512"/>
    <n v="1014"/>
    <n v="-259.584"/>
  </r>
  <r>
    <x v="9"/>
    <s v="Sales for Resale"/>
    <x v="2"/>
    <x v="4"/>
    <s v="The Energy Authority"/>
    <n v="-36276"/>
    <n v="1014"/>
    <n v="-18391.932000000001"/>
  </r>
  <r>
    <x v="9"/>
    <s v="Sales for Resale"/>
    <x v="2"/>
    <x v="4"/>
    <s v="TransAlta Energy Marketing"/>
    <n v="-302261"/>
    <n v="1014"/>
    <n v="-153246.32699999999"/>
  </r>
  <r>
    <x v="9"/>
    <s v="Sales for Resale"/>
    <x v="2"/>
    <x v="4"/>
    <s v="TransCanada Energy Sales Ltd"/>
    <n v="-20682"/>
    <n v="1014"/>
    <n v="-10485.773999999999"/>
  </r>
  <r>
    <x v="9"/>
    <s v="Sales for Resale"/>
    <x v="2"/>
    <x v="4"/>
    <s v="Turlock Irrigation District"/>
    <n v="-311"/>
    <n v="1014"/>
    <n v="-157.67699999999999"/>
  </r>
  <r>
    <x v="9"/>
    <s v="Sales for Resale"/>
    <x v="2"/>
    <x v="4"/>
    <s v="Vitol Inc."/>
    <n v="-221200"/>
    <n v="1014"/>
    <n v="-112148.4"/>
  </r>
  <r>
    <x v="10"/>
    <s v="Generation - Hydro"/>
    <x v="0"/>
    <x v="0"/>
    <s v="Lower Baker"/>
    <n v="308611.20000000001"/>
    <n v="0"/>
    <n v="0"/>
  </r>
  <r>
    <x v="10"/>
    <s v="Generation - Hydro"/>
    <x v="0"/>
    <x v="0"/>
    <s v="Snoqualmie Falls #1"/>
    <n v="17890.858"/>
    <n v="0"/>
    <n v="0"/>
  </r>
  <r>
    <x v="10"/>
    <s v="Generation - Hydro"/>
    <x v="0"/>
    <x v="0"/>
    <s v="Snoqualmie Falls #2"/>
    <n v="100979.7"/>
    <n v="0"/>
    <n v="0"/>
  </r>
  <r>
    <x v="10"/>
    <s v="Generation - Hydro"/>
    <x v="0"/>
    <x v="0"/>
    <s v="Upper Baker"/>
    <n v="278749.55"/>
    <n v="0"/>
    <n v="0"/>
  </r>
  <r>
    <x v="10"/>
    <s v="Generation - Steam"/>
    <x v="0"/>
    <x v="1"/>
    <s v="Colstrip 1 &amp; 2"/>
    <n v="1756858"/>
    <n v="2594.5160621974005"/>
    <n v="2279098.1500000004"/>
  </r>
  <r>
    <x v="10"/>
    <s v="Generation - Steam"/>
    <x v="0"/>
    <x v="1"/>
    <s v="Colstrip 3 &amp; 4"/>
    <n v="2738174"/>
    <n v="2358.8187967601766"/>
    <n v="3229428.15"/>
  </r>
  <r>
    <x v="10"/>
    <s v="Generation - Oil/Gas/Wind"/>
    <x v="0"/>
    <x v="3"/>
    <s v="Crystal Mountain"/>
    <n v="293.68"/>
    <n v="1822.9137276553097"/>
    <n v="267.67665176890569"/>
  </r>
  <r>
    <x v="10"/>
    <s v="Generation - Oil/Gas/Wind"/>
    <x v="0"/>
    <x v="2"/>
    <s v="Encogen"/>
    <n v="297657.59999999998"/>
    <n v="1058.9334859919586"/>
    <n v="157599.79999999999"/>
  </r>
  <r>
    <x v="10"/>
    <s v="Generation - Oil/Gas/Wind"/>
    <x v="0"/>
    <x v="2"/>
    <s v="Ferndale Co-Generation"/>
    <n v="868466.83199999994"/>
    <n v="1028.8920279686629"/>
    <n v="446779.3"/>
  </r>
  <r>
    <x v="10"/>
    <s v="Generation - Oil/Gas/Wind"/>
    <x v="0"/>
    <x v="2"/>
    <s v="Freddie #1"/>
    <n v="623181.11300000001"/>
    <n v="875.14295254323611"/>
    <n v="272686.27960000001"/>
  </r>
  <r>
    <x v="10"/>
    <s v="Generation - Oil/Gas/Wind"/>
    <x v="0"/>
    <x v="2"/>
    <s v="Fredonia"/>
    <n v="113691.1"/>
    <n v="1576.637719260428"/>
    <n v="89624.838302104617"/>
  </r>
  <r>
    <x v="10"/>
    <s v="Generation - Oil/Gas/Wind"/>
    <x v="0"/>
    <x v="2"/>
    <s v="Fredonia 3 &amp; 4"/>
    <n v="47603.8"/>
    <n v="1200.1394846629889"/>
    <n v="28565.599999999995"/>
  </r>
  <r>
    <x v="10"/>
    <s v="Generation - Oil/Gas/Wind"/>
    <x v="0"/>
    <x v="2"/>
    <s v="Fredrickson 1 &amp; 2"/>
    <n v="39935.4"/>
    <n v="2385.4498602543363"/>
    <n v="47631.947174600515"/>
  </r>
  <r>
    <x v="10"/>
    <s v="Generation - Oil/Gas/Wind"/>
    <x v="0"/>
    <x v="2"/>
    <s v="Goldendale"/>
    <n v="1498666"/>
    <n v="810.75730015894135"/>
    <n v="607527.19999999995"/>
  </r>
  <r>
    <x v="10"/>
    <s v="Generation - Oil/Gas/Wind"/>
    <x v="0"/>
    <x v="0"/>
    <s v="Hopkins Ridge (W184)"/>
    <n v="364779.478"/>
    <n v="0"/>
    <n v="0"/>
  </r>
  <r>
    <x v="10"/>
    <s v="Generation - Oil/Gas/Wind"/>
    <x v="0"/>
    <x v="0"/>
    <s v="Lower Snake River"/>
    <n v="741767.96"/>
    <n v="0"/>
    <n v="0"/>
  </r>
  <r>
    <x v="10"/>
    <s v="Generation - Oil/Gas/Wind"/>
    <x v="0"/>
    <x v="2"/>
    <s v="Mint Farm"/>
    <n v="1701035.9"/>
    <n v="887.90330644991093"/>
    <n v="755177.7"/>
  </r>
  <r>
    <x v="10"/>
    <s v="Generation - Oil/Gas/Wind"/>
    <x v="0"/>
    <x v="2"/>
    <s v="Sumas"/>
    <n v="601052.9"/>
    <n v="1035.8728824035288"/>
    <n v="311307.2"/>
  </r>
  <r>
    <x v="10"/>
    <s v="Generation - Oil/Gas/Wind"/>
    <x v="0"/>
    <x v="2"/>
    <s v="Whitehorn 2&amp;3"/>
    <n v="38733.300000000003"/>
    <n v="1952.6062775910088"/>
    <n v="37815.442365907918"/>
  </r>
  <r>
    <x v="10"/>
    <s v="Generation - Oil/Gas/Wind"/>
    <x v="0"/>
    <x v="0"/>
    <s v="Wild Horse (W183)"/>
    <n v="608885.75"/>
    <n v="0"/>
    <n v="0"/>
  </r>
  <r>
    <x v="10"/>
    <s v="Purchases - Firm"/>
    <x v="1"/>
    <x v="0"/>
    <s v="3 Bar G Wind Turbine #3 LLC"/>
    <n v="138.036"/>
    <n v="0"/>
    <n v="0"/>
  </r>
  <r>
    <x v="10"/>
    <s v="Purchases - Firm"/>
    <x v="1"/>
    <x v="4"/>
    <s v="Barclays Bank Plc"/>
    <n v="106200"/>
    <n v="1074"/>
    <n v="57029.4"/>
  </r>
  <r>
    <x v="10"/>
    <s v="Purchases - Firm"/>
    <x v="1"/>
    <x v="4"/>
    <s v="BC Hydro (Point Roberts)"/>
    <n v="19583.703000000001"/>
    <n v="1074"/>
    <n v="10516.448511000001"/>
  </r>
  <r>
    <x v="10"/>
    <s v="Purchases - Firm"/>
    <x v="1"/>
    <x v="0"/>
    <s v="Bio Energy Washington (BEW)"/>
    <n v="1.859"/>
    <n v="0"/>
    <n v="0"/>
  </r>
  <r>
    <x v="10"/>
    <s v="Purchases - Firm"/>
    <x v="1"/>
    <x v="0"/>
    <s v="Black Creek Hydro Inc"/>
    <n v="6365.9970000000003"/>
    <n v="0"/>
    <n v="0"/>
  </r>
  <r>
    <x v="10"/>
    <s v="Purchases - Firm"/>
    <x v="1"/>
    <x v="7"/>
    <s v="Book Outs - EITF 03-11"/>
    <n v="-2253"/>
    <n v="0"/>
    <n v="0"/>
  </r>
  <r>
    <x v="10"/>
    <s v="Purchases - Firm"/>
    <x v="1"/>
    <x v="0"/>
    <s v="BPA"/>
    <n v="7000"/>
    <n v="0"/>
    <n v="0"/>
  </r>
  <r>
    <x v="10"/>
    <s v="Purchases - Firm"/>
    <x v="1"/>
    <x v="4"/>
    <s v="BPA Firm - WNP#3 Exchange"/>
    <n v="343584"/>
    <n v="1074"/>
    <n v="184504.60800000001"/>
  </r>
  <r>
    <x v="10"/>
    <s v="Purchases - Firm"/>
    <x v="1"/>
    <x v="0"/>
    <s v="CC Solar 1 and CC Solar 2"/>
    <n v="22.84"/>
    <n v="0"/>
    <n v="0"/>
  </r>
  <r>
    <x v="10"/>
    <s v="Purchases - Firm"/>
    <x v="1"/>
    <x v="0"/>
    <s v="Chelan PUD - RI &amp; RR"/>
    <n v="2299343"/>
    <n v="0"/>
    <n v="0"/>
  </r>
  <r>
    <x v="10"/>
    <s v="Purchases - Firm"/>
    <x v="1"/>
    <x v="0"/>
    <s v="Chelan PUD - Rock Island Syst #2"/>
    <n v="-39940"/>
    <n v="0"/>
    <n v="0"/>
  </r>
  <r>
    <x v="10"/>
    <s v="Purchases - Firm"/>
    <x v="1"/>
    <x v="0"/>
    <s v="Chelan PUD - Rocky Reach"/>
    <n v="-82401"/>
    <n v="0"/>
    <n v="0"/>
  </r>
  <r>
    <x v="10"/>
    <s v="Purchases - Firm"/>
    <x v="1"/>
    <x v="0"/>
    <s v="Douglas PUD - Wells Project"/>
    <n v="1094705"/>
    <n v="0"/>
    <n v="0"/>
  </r>
  <r>
    <x v="10"/>
    <s v="Purchases - Firm"/>
    <x v="1"/>
    <x v="0"/>
    <s v="Edaleen Dairy LLC"/>
    <n v="4697.4279999999999"/>
    <n v="0"/>
    <n v="0"/>
  </r>
  <r>
    <x v="10"/>
    <s v="Purchases - Firm"/>
    <x v="1"/>
    <x v="0"/>
    <s v="Farm Power Lynden LLC"/>
    <n v="4857.8090000000002"/>
    <n v="0"/>
    <n v="0"/>
  </r>
  <r>
    <x v="10"/>
    <s v="Purchases - Firm"/>
    <x v="1"/>
    <x v="0"/>
    <s v="Farm Power Rexville LLC"/>
    <n v="4485.2"/>
    <n v="0"/>
    <n v="0"/>
  </r>
  <r>
    <x v="10"/>
    <s v="Purchases - Firm"/>
    <x v="1"/>
    <x v="0"/>
    <s v="Grant PUD - Priest Rapids Project"/>
    <n v="53743"/>
    <n v="0"/>
    <n v="0"/>
  </r>
  <r>
    <x v="10"/>
    <s v="Purchases - Firm"/>
    <x v="1"/>
    <x v="0"/>
    <s v="Island Community Solar LLC"/>
    <n v="61.71"/>
    <n v="0"/>
    <n v="0"/>
  </r>
  <r>
    <x v="10"/>
    <s v="Purchases - Firm"/>
    <x v="1"/>
    <x v="2"/>
    <s v="Klamath Falls (Iberdrola)"/>
    <n v="400"/>
    <n v="806.28252911890797"/>
    <n v="161.25650582378159"/>
  </r>
  <r>
    <x v="10"/>
    <s v="Purchases - Firm"/>
    <x v="1"/>
    <x v="0"/>
    <s v="Klondike Wind Power III"/>
    <n v="119141"/>
    <n v="0"/>
    <n v="0"/>
  </r>
  <r>
    <x v="10"/>
    <s v="Purchases - Firm"/>
    <x v="1"/>
    <x v="0"/>
    <s v="Knudsen Wind Turbine #1"/>
    <n v="129.62800000000001"/>
    <n v="0"/>
    <n v="0"/>
  </r>
  <r>
    <x v="10"/>
    <s v="Purchases - Firm"/>
    <x v="1"/>
    <x v="0"/>
    <s v="Rainier Bio Gas"/>
    <n v="4950.2660000000005"/>
    <n v="0"/>
    <n v="0"/>
  </r>
  <r>
    <x v="10"/>
    <s v="Purchases - Firm"/>
    <x v="1"/>
    <x v="0"/>
    <s v="Skookumchuck Hydro"/>
    <n v="4961.1959999999999"/>
    <n v="0"/>
    <n v="0"/>
  </r>
  <r>
    <x v="10"/>
    <s v="Purchases - Firm"/>
    <x v="1"/>
    <x v="0"/>
    <s v="Smith Creek Hydro"/>
    <n v="162.84899999999999"/>
    <n v="0"/>
    <n v="0"/>
  </r>
  <r>
    <x v="10"/>
    <s v="Purchases - Firm"/>
    <x v="1"/>
    <x v="0"/>
    <s v="Swauk Wind"/>
    <n v="11368.796"/>
    <n v="0"/>
    <n v="0"/>
  </r>
  <r>
    <x v="10"/>
    <s v="Purchases - Firm"/>
    <x v="1"/>
    <x v="1"/>
    <s v="Transalta Centralia Generation LLC"/>
    <n v="1651177"/>
    <n v="2406.7107411405805"/>
    <n v="1986952.7107121402"/>
  </r>
  <r>
    <x v="10"/>
    <s v="Purchases - Firm"/>
    <x v="1"/>
    <x v="0"/>
    <s v="Van Dyk - S Holsteins"/>
    <n v="1619.28"/>
    <n v="0"/>
    <n v="0"/>
  </r>
  <r>
    <x v="10"/>
    <s v="Purchases - Firm"/>
    <x v="1"/>
    <x v="0"/>
    <s v="VanderHaak Dairy Digester"/>
    <n v="3455.4459999999999"/>
    <n v="0"/>
    <n v="0"/>
  </r>
  <r>
    <x v="10"/>
    <s v="Purchases - PURPA"/>
    <x v="1"/>
    <x v="0"/>
    <s v="BIO FUEL WA"/>
    <n v="32656.922999999999"/>
    <n v="0"/>
    <n v="0"/>
  </r>
  <r>
    <x v="10"/>
    <s v="Purchases - PURPA"/>
    <x v="1"/>
    <x v="0"/>
    <s v="Electron Hydro, LLC"/>
    <n v="62833.254000000001"/>
    <n v="0"/>
    <n v="0"/>
  </r>
  <r>
    <x v="10"/>
    <s v="Purchases - PURPA"/>
    <x v="1"/>
    <x v="0"/>
    <s v="Emerald City Renewables"/>
    <n v="1087.0940000000001"/>
    <n v="0"/>
    <n v="0"/>
  </r>
  <r>
    <x v="10"/>
    <s v="Purchases - PURPA"/>
    <x v="1"/>
    <x v="0"/>
    <s v="Hutchinson Creek"/>
    <n v="744.32"/>
    <n v="0"/>
    <n v="0"/>
  </r>
  <r>
    <x v="10"/>
    <s v="Purchases - PURPA"/>
    <x v="1"/>
    <x v="0"/>
    <s v="Koma Kulshan Associates"/>
    <n v="36094.142"/>
    <n v="0"/>
    <n v="0"/>
  </r>
  <r>
    <x v="10"/>
    <s v="Purchases - PURPA"/>
    <x v="1"/>
    <x v="0"/>
    <s v="Lake Washington -- Finn Hill"/>
    <n v="278.68"/>
    <n v="0"/>
    <n v="0"/>
  </r>
  <r>
    <x v="10"/>
    <s v="Purchases - PURPA"/>
    <x v="1"/>
    <x v="0"/>
    <s v="Nooksack"/>
    <n v="22257.173999999999"/>
    <n v="0"/>
    <n v="0"/>
  </r>
  <r>
    <x v="10"/>
    <s v="Purchases - PURPA"/>
    <x v="1"/>
    <x v="0"/>
    <s v="Sygitowicz Creek"/>
    <n v="738.61900000000003"/>
    <n v="0"/>
    <n v="0"/>
  </r>
  <r>
    <x v="10"/>
    <s v="Purchases - PURPA"/>
    <x v="1"/>
    <x v="0"/>
    <s v="Twin Falls Hydro"/>
    <n v="52604.395000000004"/>
    <n v="0"/>
    <n v="0"/>
  </r>
  <r>
    <x v="10"/>
    <s v="Purchases - PURPA"/>
    <x v="1"/>
    <x v="0"/>
    <s v="Weeks Falls"/>
    <n v="8526.616"/>
    <n v="0"/>
    <n v="0"/>
  </r>
  <r>
    <x v="10"/>
    <s v="Purchases - Secondary"/>
    <x v="2"/>
    <x v="4"/>
    <s v="Avista Corp. WWP Division"/>
    <n v="127355"/>
    <n v="1074"/>
    <n v="68389.634999999995"/>
  </r>
  <r>
    <x v="10"/>
    <s v="Purchases - Secondary"/>
    <x v="2"/>
    <x v="4"/>
    <s v="Barclays Bank Plc"/>
    <n v="-30"/>
    <n v="1074"/>
    <n v="-16.11"/>
  </r>
  <r>
    <x v="10"/>
    <s v="Purchases - Secondary"/>
    <x v="2"/>
    <x v="4"/>
    <s v="Black Hills Power"/>
    <n v="1200"/>
    <n v="1074"/>
    <n v="644.4"/>
  </r>
  <r>
    <x v="10"/>
    <s v="Purchases - Secondary"/>
    <x v="2"/>
    <x v="4"/>
    <s v="Book Outs - EITF 03-11"/>
    <n v="-5721875"/>
    <n v="1074"/>
    <n v="-3072646.875"/>
  </r>
  <r>
    <x v="10"/>
    <s v="Purchases - Secondary"/>
    <x v="2"/>
    <x v="4"/>
    <s v="BP Energy Co."/>
    <n v="340839"/>
    <n v="1074"/>
    <n v="183030.54300000001"/>
  </r>
  <r>
    <x v="10"/>
    <s v="Purchases - Secondary"/>
    <x v="2"/>
    <x v="4"/>
    <s v="BPA"/>
    <n v="141462"/>
    <n v="1074"/>
    <n v="75965.093999999997"/>
  </r>
  <r>
    <x v="10"/>
    <s v="Purchases - Secondary"/>
    <x v="2"/>
    <x v="4"/>
    <s v="British Columbia Transmission Corp"/>
    <n v="67"/>
    <n v="1074"/>
    <n v="35.978999999999999"/>
  </r>
  <r>
    <x v="10"/>
    <s v="Purchases - Secondary"/>
    <x v="2"/>
    <x v="4"/>
    <s v="CAISO EESC Load Undistributed Costs"/>
    <n v="0"/>
    <n v="1074"/>
    <n v="0"/>
  </r>
  <r>
    <x v="10"/>
    <s v="Purchases - Secondary"/>
    <x v="2"/>
    <x v="4"/>
    <s v="California ISO"/>
    <n v="12114"/>
    <n v="1074"/>
    <n v="6505.2179999999998"/>
  </r>
  <r>
    <x v="10"/>
    <s v="Purchases - Secondary"/>
    <x v="2"/>
    <x v="4"/>
    <s v="Calpine Energy Services"/>
    <n v="350294"/>
    <n v="1074"/>
    <n v="188107.878"/>
  </r>
  <r>
    <x v="10"/>
    <s v="Purchases - Secondary"/>
    <x v="2"/>
    <x v="4"/>
    <s v="Cargill (Financial)"/>
    <n v="0"/>
    <n v="1074"/>
    <n v="0"/>
  </r>
  <r>
    <x v="10"/>
    <s v="Purchases - Secondary"/>
    <x v="2"/>
    <x v="4"/>
    <s v="Cargill Power Markets"/>
    <n v="779739"/>
    <n v="1074"/>
    <n v="418719.84299999999"/>
  </r>
  <r>
    <x v="10"/>
    <s v="Purchases - Secondary"/>
    <x v="2"/>
    <x v="4"/>
    <s v="Chelan County PUD #1"/>
    <n v="857"/>
    <n v="1074"/>
    <n v="460.209"/>
  </r>
  <r>
    <x v="10"/>
    <s v="Purchases - Secondary"/>
    <x v="2"/>
    <x v="4"/>
    <s v="Citigroup Energy (Financial)"/>
    <n v="0"/>
    <n v="1074"/>
    <n v="0"/>
  </r>
  <r>
    <x v="10"/>
    <s v="Purchases - Secondary"/>
    <x v="2"/>
    <x v="4"/>
    <s v="Citigroup Energy Inc"/>
    <n v="507518"/>
    <n v="1074"/>
    <n v="272537.16600000003"/>
  </r>
  <r>
    <x v="10"/>
    <s v="Purchases - Secondary"/>
    <x v="2"/>
    <x v="4"/>
    <s v="Clark Public Utilities"/>
    <n v="5045"/>
    <n v="1074"/>
    <n v="2709.165"/>
  </r>
  <r>
    <x v="10"/>
    <s v="Purchases - Secondary"/>
    <x v="2"/>
    <x v="4"/>
    <s v="Clatskanie PUD"/>
    <n v="2021"/>
    <n v="1074"/>
    <n v="1085.277"/>
  </r>
  <r>
    <x v="10"/>
    <s v="Purchases - Secondary"/>
    <x v="2"/>
    <x v="4"/>
    <s v="Conoco, Inc."/>
    <n v="2000"/>
    <n v="1074"/>
    <n v="1074"/>
  </r>
  <r>
    <x v="10"/>
    <s v="Purchases - Secondary"/>
    <x v="2"/>
    <x v="4"/>
    <s v="Constellation Power Source, Inc."/>
    <n v="7"/>
    <n v="1074"/>
    <n v="3.7589999999999999"/>
  </r>
  <r>
    <x v="10"/>
    <s v="Purchases - Secondary"/>
    <x v="2"/>
    <x v="4"/>
    <s v="Douglas County PUD #1"/>
    <n v="271759"/>
    <n v="1074"/>
    <n v="145934.58300000001"/>
  </r>
  <r>
    <x v="10"/>
    <s v="Purchases - Secondary"/>
    <x v="2"/>
    <x v="4"/>
    <s v="EDF Trading (Financial)"/>
    <n v="0"/>
    <n v="1074"/>
    <n v="0"/>
  </r>
  <r>
    <x v="10"/>
    <s v="Purchases - Secondary"/>
    <x v="2"/>
    <x v="4"/>
    <s v="EDF Trading NA LLC"/>
    <n v="2085606"/>
    <n v="1074"/>
    <n v="1119970.422"/>
  </r>
  <r>
    <x v="10"/>
    <s v="Purchases - Secondary"/>
    <x v="2"/>
    <x v="4"/>
    <s v="ENMAX Energy Marketing, Inc."/>
    <n v="990"/>
    <n v="1074"/>
    <n v="531.63"/>
  </r>
  <r>
    <x v="10"/>
    <s v="Purchases - Secondary"/>
    <x v="2"/>
    <x v="4"/>
    <s v="Eugene Water &amp; Electric"/>
    <n v="10905"/>
    <n v="1074"/>
    <n v="5855.9849999999997"/>
  </r>
  <r>
    <x v="10"/>
    <s v="Purchases - Secondary"/>
    <x v="2"/>
    <x v="4"/>
    <s v="Exelon Generation (Financial)"/>
    <n v="0"/>
    <n v="1074"/>
    <n v="0"/>
  </r>
  <r>
    <x v="10"/>
    <s v="Purchases - Secondary"/>
    <x v="2"/>
    <x v="4"/>
    <s v="Exelon Generation Co LLC"/>
    <n v="183085"/>
    <n v="1074"/>
    <n v="98316.645000000004"/>
  </r>
  <r>
    <x v="10"/>
    <s v="Purchases - Secondary"/>
    <x v="2"/>
    <x v="4"/>
    <s v="Grant County PUD #2"/>
    <n v="14148"/>
    <n v="1074"/>
    <n v="7597.4759999999997"/>
  </r>
  <r>
    <x v="10"/>
    <s v="Purchases - Secondary"/>
    <x v="2"/>
    <x v="4"/>
    <s v="Iberdrola Renewables (PPM Energy)"/>
    <n v="677785"/>
    <n v="1074"/>
    <n v="363970.54499999998"/>
  </r>
  <r>
    <x v="10"/>
    <s v="Purchases - Secondary"/>
    <x v="2"/>
    <x v="4"/>
    <s v="Idaho Power Company"/>
    <n v="14768"/>
    <n v="1074"/>
    <n v="7930.4160000000002"/>
  </r>
  <r>
    <x v="10"/>
    <s v="Purchases - Secondary"/>
    <x v="2"/>
    <x v="4"/>
    <s v="J. Aron &amp; Company"/>
    <n v="10400"/>
    <n v="1074"/>
    <n v="5584.8"/>
  </r>
  <r>
    <x v="10"/>
    <s v="Purchases - Secondary"/>
    <x v="2"/>
    <x v="4"/>
    <s v="JP Morgan Ventures Energy"/>
    <n v="67092"/>
    <n v="1074"/>
    <n v="36028.404000000002"/>
  </r>
  <r>
    <x v="10"/>
    <s v="Purchases - Secondary"/>
    <x v="2"/>
    <x v="4"/>
    <s v="Morgan Stanley CG"/>
    <n v="1304649"/>
    <n v="1074"/>
    <n v="700596.51300000004"/>
  </r>
  <r>
    <x v="10"/>
    <s v="Purchases - Secondary"/>
    <x v="2"/>
    <x v="4"/>
    <s v="Morgan Stanley CG (Financial)"/>
    <n v="0"/>
    <n v="1074"/>
    <n v="0"/>
  </r>
  <r>
    <x v="10"/>
    <s v="Purchases - Secondary"/>
    <x v="2"/>
    <x v="4"/>
    <s v="NextEra Energy Power Marketing"/>
    <n v="113998"/>
    <n v="1074"/>
    <n v="61216.925999999999"/>
  </r>
  <r>
    <x v="10"/>
    <s v="Purchases - Secondary"/>
    <x v="2"/>
    <x v="4"/>
    <s v="Noble Americas Energy Solutions"/>
    <n v="800"/>
    <n v="1074"/>
    <n v="429.6"/>
  </r>
  <r>
    <x v="10"/>
    <s v="Purchases - Secondary"/>
    <x v="2"/>
    <x v="4"/>
    <s v="NorthPoint Energy Solutions, Inc."/>
    <n v="300"/>
    <n v="1074"/>
    <n v="161.1"/>
  </r>
  <r>
    <x v="10"/>
    <s v="Purchases - Secondary"/>
    <x v="2"/>
    <x v="4"/>
    <s v="Northwestern Energy"/>
    <n v="10619"/>
    <n v="1074"/>
    <n v="5702.4030000000002"/>
  </r>
  <r>
    <x v="10"/>
    <s v="Purchases - Secondary"/>
    <x v="2"/>
    <x v="4"/>
    <s v="Okanogan PUD"/>
    <n v="15430"/>
    <n v="1074"/>
    <n v="8285.91"/>
  </r>
  <r>
    <x v="10"/>
    <s v="Purchases - Secondary"/>
    <x v="2"/>
    <x v="4"/>
    <s v="Pacificorp"/>
    <n v="26590"/>
    <n v="1074"/>
    <n v="14278.83"/>
  </r>
  <r>
    <x v="10"/>
    <s v="Purchases - Secondary"/>
    <x v="2"/>
    <x v="4"/>
    <s v="Portland General Electric"/>
    <n v="109691"/>
    <n v="1074"/>
    <n v="58904.067000000003"/>
  </r>
  <r>
    <x v="10"/>
    <s v="Purchases - Secondary"/>
    <x v="2"/>
    <x v="4"/>
    <s v="Powerex Corp."/>
    <n v="144388"/>
    <n v="1074"/>
    <n v="77536.356"/>
  </r>
  <r>
    <x v="10"/>
    <s v="Purchases - Secondary"/>
    <x v="2"/>
    <x v="4"/>
    <s v="Public Service of Colorado"/>
    <n v="800"/>
    <n v="1074"/>
    <n v="429.6"/>
  </r>
  <r>
    <x v="10"/>
    <s v="Purchases - Secondary"/>
    <x v="2"/>
    <x v="4"/>
    <s v="Rainbow Energy Marketing"/>
    <n v="12393"/>
    <n v="1074"/>
    <n v="6655.0410000000002"/>
  </r>
  <r>
    <x v="10"/>
    <s v="Purchases - Secondary"/>
    <x v="2"/>
    <x v="4"/>
    <s v="Sacramento Municipal"/>
    <n v="5966"/>
    <n v="1074"/>
    <n v="3203.7420000000002"/>
  </r>
  <r>
    <x v="10"/>
    <s v="Purchases - Secondary"/>
    <x v="2"/>
    <x v="4"/>
    <s v="Seattle City Light Marketing"/>
    <n v="96380"/>
    <n v="1074"/>
    <n v="51756.06"/>
  </r>
  <r>
    <x v="10"/>
    <s v="Purchases - Secondary"/>
    <x v="2"/>
    <x v="4"/>
    <s v="Shell Energy (Coral Pwr)"/>
    <n v="309247"/>
    <n v="1074"/>
    <n v="166065.639"/>
  </r>
  <r>
    <x v="10"/>
    <s v="Purchases - Secondary"/>
    <x v="2"/>
    <x v="4"/>
    <s v="Shell Energy NA (Financial)"/>
    <n v="0"/>
    <n v="1074"/>
    <n v="0"/>
  </r>
  <r>
    <x v="10"/>
    <s v="Purchases - Secondary"/>
    <x v="2"/>
    <x v="4"/>
    <s v="Snohomish County PUD #1"/>
    <n v="18557"/>
    <n v="1074"/>
    <n v="9965.1090000000004"/>
  </r>
  <r>
    <x v="10"/>
    <s v="Purchases - Secondary"/>
    <x v="2"/>
    <x v="4"/>
    <s v="Southern Cal - Edison"/>
    <n v="42837"/>
    <n v="1074"/>
    <n v="23003.469000000001"/>
  </r>
  <r>
    <x v="10"/>
    <s v="Purchases - Secondary"/>
    <x v="2"/>
    <x v="4"/>
    <s v="Tacoma Power"/>
    <n v="38385"/>
    <n v="1074"/>
    <n v="20612.744999999999"/>
  </r>
  <r>
    <x v="10"/>
    <s v="Purchases - Secondary"/>
    <x v="2"/>
    <x v="4"/>
    <s v="Talen Energy (PPL Energy Plus)"/>
    <n v="242781"/>
    <n v="1074"/>
    <n v="130373.397"/>
  </r>
  <r>
    <x v="10"/>
    <s v="Purchases - Secondary"/>
    <x v="2"/>
    <x v="4"/>
    <s v="Tenaska Power Services Co."/>
    <n v="297"/>
    <n v="1074"/>
    <n v="159.489"/>
  </r>
  <r>
    <x v="10"/>
    <s v="Purchases - Secondary"/>
    <x v="2"/>
    <x v="4"/>
    <s v="The Energy Authority"/>
    <n v="57242"/>
    <n v="1074"/>
    <n v="30738.954000000002"/>
  </r>
  <r>
    <x v="10"/>
    <s v="Purchases - Secondary"/>
    <x v="2"/>
    <x v="4"/>
    <s v="TransAlta Energy Marketing"/>
    <n v="1275174"/>
    <n v="1074"/>
    <n v="684768.43799999997"/>
  </r>
  <r>
    <x v="10"/>
    <s v="Purchases - Secondary"/>
    <x v="2"/>
    <x v="4"/>
    <s v="TransCanada Energy Sales Ltd"/>
    <n v="15993"/>
    <n v="1074"/>
    <n v="8588.241"/>
  </r>
  <r>
    <x v="10"/>
    <s v="Purchases - Secondary"/>
    <x v="2"/>
    <x v="4"/>
    <s v="Turlock Irrigation District"/>
    <n v="24277"/>
    <n v="1074"/>
    <n v="13036.749"/>
  </r>
  <r>
    <x v="10"/>
    <s v="Purchases - Secondary"/>
    <x v="2"/>
    <x v="4"/>
    <s v="Vitol Inc."/>
    <n v="1563318"/>
    <n v="1074"/>
    <n v="839501.76599999995"/>
  </r>
  <r>
    <x v="10"/>
    <s v="Purchases - Secondary"/>
    <x v="2"/>
    <x v="4"/>
    <s v="Western Area Power Association"/>
    <n v="3"/>
    <n v="1074"/>
    <n v="1.611"/>
  </r>
  <r>
    <x v="10"/>
    <s v="Interchange - In"/>
    <x v="2"/>
    <x v="4"/>
    <s v="Avista Nichols Pump"/>
    <n v="22743.040000000001"/>
    <n v="1074"/>
    <n v="12213.012480000001"/>
  </r>
  <r>
    <x v="10"/>
    <s v="Interchange - In"/>
    <x v="2"/>
    <x v="4"/>
    <s v="Constellation Power Source, Inc."/>
    <n v="0"/>
    <n v="1074"/>
    <n v="0"/>
  </r>
  <r>
    <x v="10"/>
    <s v="Interchange - Out"/>
    <x v="2"/>
    <x v="4"/>
    <s v="Pacific Gas &amp; Elec - Exchange"/>
    <n v="413000"/>
    <n v="1074"/>
    <n v="221781"/>
  </r>
  <r>
    <x v="10"/>
    <s v="Purchases - Secondary"/>
    <x v="2"/>
    <x v="4"/>
    <s v="Interchange-out deviation"/>
    <n v="52886.561999999998"/>
    <n v="1074"/>
    <n v="28400.083793999998"/>
  </r>
  <r>
    <x v="10"/>
    <s v="Interchange - Out"/>
    <x v="2"/>
    <x v="4"/>
    <s v="Pacific Gas &amp; Elec - Exchange"/>
    <n v="-413000"/>
    <n v="1074"/>
    <n v="-221781"/>
  </r>
  <r>
    <x v="10"/>
    <s v="Sales for Resale"/>
    <x v="2"/>
    <x v="4"/>
    <s v="Avista Corp. WWP Division"/>
    <n v="-59334"/>
    <n v="1074"/>
    <n v="-31862.358"/>
  </r>
  <r>
    <x v="10"/>
    <s v="Sales for Resale"/>
    <x v="2"/>
    <x v="4"/>
    <s v="Black Hills Power"/>
    <n v="-30"/>
    <n v="1074"/>
    <n v="-16.11"/>
  </r>
  <r>
    <x v="10"/>
    <s v="Sales for Resale"/>
    <x v="2"/>
    <x v="4"/>
    <s v="Book Outs - EITF 03-11"/>
    <n v="5724128"/>
    <n v="1074"/>
    <n v="3073856.736"/>
  </r>
  <r>
    <x v="10"/>
    <s v="Sales for Resale"/>
    <x v="2"/>
    <x v="4"/>
    <s v="BP Energy Co."/>
    <n v="-303763"/>
    <n v="1074"/>
    <n v="-163120.731"/>
  </r>
  <r>
    <x v="10"/>
    <s v="Sales for Resale"/>
    <x v="2"/>
    <x v="4"/>
    <s v="BPA"/>
    <n v="-284002"/>
    <n v="1074"/>
    <n v="-152509.07399999999"/>
  </r>
  <r>
    <x v="10"/>
    <s v="Sales for Resale"/>
    <x v="2"/>
    <x v="4"/>
    <s v="British Columbia Transmission Corp"/>
    <n v="-28"/>
    <n v="1074"/>
    <n v="-15.036"/>
  </r>
  <r>
    <x v="10"/>
    <s v="Sales for Resale"/>
    <x v="2"/>
    <x v="4"/>
    <s v="Calpine Energy Services"/>
    <n v="-117995"/>
    <n v="1074"/>
    <n v="-63363.315000000002"/>
  </r>
  <r>
    <x v="10"/>
    <s v="Sales for Resale"/>
    <x v="2"/>
    <x v="4"/>
    <s v="Cargill Power Markets"/>
    <n v="-176345"/>
    <n v="1074"/>
    <n v="-94697.264999999999"/>
  </r>
  <r>
    <x v="10"/>
    <s v="Sales for Resale"/>
    <x v="2"/>
    <x v="4"/>
    <s v="Chelan County PUD #1"/>
    <n v="-4207"/>
    <n v="1074"/>
    <n v="-2259.1590000000001"/>
  </r>
  <r>
    <x v="10"/>
    <s v="Sales for Resale"/>
    <x v="2"/>
    <x v="4"/>
    <s v="Citigroup Energy Inc"/>
    <n v="-327954"/>
    <n v="1074"/>
    <n v="-176111.29800000001"/>
  </r>
  <r>
    <x v="10"/>
    <s v="Sales for Resale"/>
    <x v="2"/>
    <x v="4"/>
    <s v="Clark Public Utilities"/>
    <n v="-6032"/>
    <n v="1074"/>
    <n v="-3239.1840000000002"/>
  </r>
  <r>
    <x v="10"/>
    <s v="Sales for Resale"/>
    <x v="2"/>
    <x v="4"/>
    <s v="Clatskanie PUD"/>
    <n v="-3692"/>
    <n v="1074"/>
    <n v="-1982.604"/>
  </r>
  <r>
    <x v="10"/>
    <s v="Sales for Resale"/>
    <x v="2"/>
    <x v="4"/>
    <s v="Conoco, Inc."/>
    <n v="-5200"/>
    <n v="1074"/>
    <n v="-2792.4"/>
  </r>
  <r>
    <x v="10"/>
    <s v="Purchases - Secondary"/>
    <x v="2"/>
    <x v="4"/>
    <s v="Constellation Power Source, Inc."/>
    <n v="-89"/>
    <n v="1074"/>
    <n v="-47.792999999999999"/>
  </r>
  <r>
    <x v="10"/>
    <s v="Sales for Resale"/>
    <x v="2"/>
    <x v="4"/>
    <s v="CP Energy Marketing (Epcor)"/>
    <n v="-902"/>
    <n v="1074"/>
    <n v="-484.37400000000002"/>
  </r>
  <r>
    <x v="10"/>
    <s v="Sales for Resale"/>
    <x v="2"/>
    <x v="4"/>
    <s v="Douglas County PUD #1"/>
    <n v="-2350"/>
    <n v="1074"/>
    <n v="-1261.95"/>
  </r>
  <r>
    <x v="10"/>
    <s v="Sales for Resale"/>
    <x v="2"/>
    <x v="4"/>
    <s v="EDF Trading NA LLC"/>
    <n v="-1158465"/>
    <n v="1074"/>
    <n v="-622095.70499999996"/>
  </r>
  <r>
    <x v="10"/>
    <s v="Sales for Resale"/>
    <x v="2"/>
    <x v="4"/>
    <s v="ENMAX Energy Marketing, Inc."/>
    <n v="-346"/>
    <n v="1074"/>
    <n v="-185.80199999999999"/>
  </r>
  <r>
    <x v="10"/>
    <s v="Sales for Resale"/>
    <x v="2"/>
    <x v="4"/>
    <s v="Eugene Water &amp; Electric"/>
    <n v="-22601"/>
    <n v="1074"/>
    <n v="-12136.736999999999"/>
  </r>
  <r>
    <x v="10"/>
    <s v="Sales for Resale"/>
    <x v="2"/>
    <x v="4"/>
    <s v="Exelon Generation Co LLC"/>
    <n v="-154413"/>
    <n v="1074"/>
    <n v="-82919.781000000003"/>
  </r>
  <r>
    <x v="10"/>
    <s v="Sales for Resale"/>
    <x v="2"/>
    <x v="4"/>
    <s v="Fortis BC"/>
    <n v="-13980"/>
    <n v="1074"/>
    <n v="-7507.26"/>
  </r>
  <r>
    <x v="10"/>
    <s v="Sales for Resale"/>
    <x v="2"/>
    <x v="4"/>
    <s v="Grant County PUD #2"/>
    <n v="-34904"/>
    <n v="1074"/>
    <n v="-18743.448"/>
  </r>
  <r>
    <x v="10"/>
    <s v="Sales for Resale"/>
    <x v="2"/>
    <x v="4"/>
    <s v="Iberdrola Renewables (PPM Energy)"/>
    <n v="-465716"/>
    <n v="1074"/>
    <n v="-250089.492"/>
  </r>
  <r>
    <x v="10"/>
    <s v="Sales for Resale"/>
    <x v="2"/>
    <x v="4"/>
    <s v="Idaho Power Company"/>
    <n v="-28166"/>
    <n v="1074"/>
    <n v="-15125.142"/>
  </r>
  <r>
    <x v="10"/>
    <s v="Sales for Resale"/>
    <x v="2"/>
    <x v="4"/>
    <s v="J. Aron &amp; Company"/>
    <n v="-10000"/>
    <n v="1074"/>
    <n v="-5370"/>
  </r>
  <r>
    <x v="10"/>
    <s v="Sales for Resale"/>
    <x v="2"/>
    <x v="4"/>
    <s v="JP Morgan Ventures Energy"/>
    <n v="-64335"/>
    <n v="1074"/>
    <n v="-34547.894999999997"/>
  </r>
  <r>
    <x v="10"/>
    <s v="Sales for Resale"/>
    <x v="2"/>
    <x v="4"/>
    <s v="Morgan Stanley CG"/>
    <n v="-799848"/>
    <n v="1074"/>
    <n v="-429518.37599999999"/>
  </r>
  <r>
    <x v="10"/>
    <s v="Sales for Resale"/>
    <x v="2"/>
    <x v="4"/>
    <s v="Natur Ener USA"/>
    <n v="-61"/>
    <n v="1074"/>
    <n v="-32.756999999999998"/>
  </r>
  <r>
    <x v="10"/>
    <s v="Sales for Resale"/>
    <x v="2"/>
    <x v="4"/>
    <s v="Nevada Power Company"/>
    <n v="-1267"/>
    <n v="1074"/>
    <n v="-680.37900000000002"/>
  </r>
  <r>
    <x v="10"/>
    <s v="Sales for Resale"/>
    <x v="2"/>
    <x v="4"/>
    <s v="NextEra Energy Power Marketing"/>
    <n v="-1748"/>
    <n v="1074"/>
    <n v="-938.67600000000004"/>
  </r>
  <r>
    <x v="10"/>
    <s v="Sales for Resale"/>
    <x v="2"/>
    <x v="4"/>
    <s v="NorthPoint Energy Solutions, Inc."/>
    <n v="-50"/>
    <n v="1074"/>
    <n v="-26.85"/>
  </r>
  <r>
    <x v="10"/>
    <s v="Sales for Resale"/>
    <x v="2"/>
    <x v="4"/>
    <s v="Northwestern Energy"/>
    <n v="-27585"/>
    <n v="1074"/>
    <n v="-14813.145"/>
  </r>
  <r>
    <x v="10"/>
    <s v="Sales for Resale"/>
    <x v="2"/>
    <x v="4"/>
    <s v="Okanogan PUD"/>
    <n v="-1425"/>
    <n v="1074"/>
    <n v="-765.22500000000002"/>
  </r>
  <r>
    <x v="10"/>
    <s v="Sales for Resale"/>
    <x v="2"/>
    <x v="4"/>
    <s v="Pacificorp"/>
    <n v="-270353"/>
    <n v="1074"/>
    <n v="-145179.56099999999"/>
  </r>
  <r>
    <x v="10"/>
    <s v="Sales for Resale"/>
    <x v="2"/>
    <x v="4"/>
    <s v="Portland General Electric"/>
    <n v="-154103"/>
    <n v="1074"/>
    <n v="-82753.311000000002"/>
  </r>
  <r>
    <x v="10"/>
    <s v="Sales for Resale"/>
    <x v="2"/>
    <x v="4"/>
    <s v="Powerex Corp."/>
    <n v="-165730"/>
    <n v="1074"/>
    <n v="-88997.01"/>
  </r>
  <r>
    <x v="10"/>
    <s v="Sales for Resale"/>
    <x v="2"/>
    <x v="4"/>
    <s v="Public Service of Colorado"/>
    <n v="-600"/>
    <n v="1074"/>
    <n v="-322.2"/>
  </r>
  <r>
    <x v="10"/>
    <s v="Sales for Resale"/>
    <x v="2"/>
    <x v="4"/>
    <s v="Rainbow Energy Marketing"/>
    <n v="-5067"/>
    <n v="1074"/>
    <n v="-2720.9789999999998"/>
  </r>
  <r>
    <x v="10"/>
    <s v="Sales for Resale"/>
    <x v="2"/>
    <x v="4"/>
    <s v="Sacramento Municipal"/>
    <n v="-15711"/>
    <n v="1074"/>
    <n v="-8436.8070000000007"/>
  </r>
  <r>
    <x v="10"/>
    <s v="Sales for Resale"/>
    <x v="2"/>
    <x v="4"/>
    <s v="Seattle City Light Marketing"/>
    <n v="-34982"/>
    <n v="1074"/>
    <n v="-18785.333999999999"/>
  </r>
  <r>
    <x v="10"/>
    <s v="Sales for Resale"/>
    <x v="2"/>
    <x v="4"/>
    <s v="Shell Energy (Coral Pwr)"/>
    <n v="-349844"/>
    <n v="1074"/>
    <n v="-187866.228"/>
  </r>
  <r>
    <x v="10"/>
    <s v="Sales for Resale"/>
    <x v="2"/>
    <x v="4"/>
    <s v="Snohomish County PUD #1"/>
    <n v="-7576"/>
    <n v="1074"/>
    <n v="-4068.3119999999999"/>
  </r>
  <r>
    <x v="10"/>
    <s v="Sales for Resale"/>
    <x v="2"/>
    <x v="4"/>
    <s v="Southern Cal - Edison"/>
    <n v="-200"/>
    <n v="1074"/>
    <n v="-107.4"/>
  </r>
  <r>
    <x v="10"/>
    <s v="Sales for Resale"/>
    <x v="2"/>
    <x v="4"/>
    <s v="Tacoma Power"/>
    <n v="-15061"/>
    <n v="1074"/>
    <n v="-8087.7569999999996"/>
  </r>
  <r>
    <x v="10"/>
    <s v="Sales for Resale"/>
    <x v="2"/>
    <x v="4"/>
    <s v="Talen Energy (PPL Energy Plus)"/>
    <n v="-70877"/>
    <n v="1074"/>
    <n v="-38060.949000000001"/>
  </r>
  <r>
    <x v="10"/>
    <s v="Sales for Resale"/>
    <x v="2"/>
    <x v="4"/>
    <s v="Tenaska Power Services Co."/>
    <n v="-828"/>
    <n v="1074"/>
    <n v="-444.63600000000002"/>
  </r>
  <r>
    <x v="10"/>
    <s v="Sales for Resale"/>
    <x v="2"/>
    <x v="4"/>
    <s v="The Energy Authority"/>
    <n v="-41339"/>
    <n v="1074"/>
    <n v="-22199.043000000001"/>
  </r>
  <r>
    <x v="10"/>
    <s v="Sales for Resale"/>
    <x v="2"/>
    <x v="4"/>
    <s v="TransAlta Energy Marketing"/>
    <n v="-637562"/>
    <n v="1074"/>
    <n v="-342370.79399999999"/>
  </r>
  <r>
    <x v="10"/>
    <s v="Sales for Resale"/>
    <x v="2"/>
    <x v="4"/>
    <s v="TransCanada Energy Sales Ltd"/>
    <n v="-7621"/>
    <n v="1074"/>
    <n v="-4092.4769999999999"/>
  </r>
  <r>
    <x v="10"/>
    <s v="Sales for Resale"/>
    <x v="2"/>
    <x v="4"/>
    <s v="Turlock Irrigation District"/>
    <n v="-208"/>
    <n v="1074"/>
    <n v="-111.696"/>
  </r>
  <r>
    <x v="10"/>
    <s v="Sales for Resale"/>
    <x v="2"/>
    <x v="4"/>
    <s v="Vitol Inc."/>
    <n v="-1812075"/>
    <n v="1074"/>
    <n v="-973084.27500000002"/>
  </r>
  <r>
    <x v="10"/>
    <s v="Sales for Resale"/>
    <x v="2"/>
    <x v="4"/>
    <s v="Western Area Power Association"/>
    <n v="-2"/>
    <n v="1074"/>
    <n v="-1.0740000000000001"/>
  </r>
  <r>
    <x v="11"/>
    <s v="Generation - Hydro"/>
    <x v="0"/>
    <x v="0"/>
    <s v="Lower Baker"/>
    <n v="358832.6"/>
    <n v="0"/>
    <n v="0"/>
  </r>
  <r>
    <x v="11"/>
    <s v="Generation - Hydro"/>
    <x v="0"/>
    <x v="0"/>
    <s v="Snoqualmie Falls #1"/>
    <n v="53046.2"/>
    <n v="0"/>
    <n v="0"/>
  </r>
  <r>
    <x v="11"/>
    <s v="Generation - Hydro"/>
    <x v="0"/>
    <x v="0"/>
    <s v="Snoqualmie Falls #2"/>
    <n v="152538"/>
    <n v="0"/>
    <n v="0"/>
  </r>
  <r>
    <x v="11"/>
    <s v="Generation - Hydro"/>
    <x v="0"/>
    <x v="0"/>
    <s v="Upper Baker"/>
    <n v="369104.94"/>
    <n v="0"/>
    <n v="0"/>
  </r>
  <r>
    <x v="11"/>
    <s v="Generation - Steam"/>
    <x v="0"/>
    <x v="1"/>
    <s v="Colstrip 1 &amp; 2"/>
    <n v="1958039"/>
    <n v="2336.8605017571153"/>
    <n v="2287832"/>
  </r>
  <r>
    <x v="11"/>
    <s v="Generation - Steam"/>
    <x v="0"/>
    <x v="1"/>
    <s v="Colstrip 3 &amp; 4"/>
    <n v="2571140"/>
    <n v="2171.5425842233408"/>
    <n v="2791670"/>
  </r>
  <r>
    <x v="11"/>
    <s v="Generation - Steam, Oil &amp; Gas"/>
    <x v="0"/>
    <x v="2"/>
    <s v="Encogen"/>
    <n v="212390.3"/>
    <n v="1075.436710157667"/>
    <n v="114206.16275069995"/>
  </r>
  <r>
    <x v="11"/>
    <s v="Generation - Steam, Oil &amp; Gas"/>
    <x v="0"/>
    <x v="2"/>
    <s v="Ferndale Co-Generation"/>
    <n v="741136.76800000004"/>
    <n v="1052.3786961958094"/>
    <n v="389978.27280530805"/>
  </r>
  <r>
    <x v="11"/>
    <s v="Generation - Steam, Oil &amp; Gas"/>
    <x v="0"/>
    <x v="2"/>
    <s v="Freddie #1"/>
    <n v="417524.85800000001"/>
    <n v="868.74358243637118"/>
    <n v="181361.02044757857"/>
  </r>
  <r>
    <x v="11"/>
    <s v="Generation - Steam, Oil &amp; Gas"/>
    <x v="0"/>
    <x v="2"/>
    <s v="Goldendale"/>
    <n v="1028475"/>
    <n v="825.04107853225662"/>
    <n v="424267.06162173132"/>
  </r>
  <r>
    <x v="11"/>
    <s v="Generation - Steam, Oil &amp; Gas"/>
    <x v="0"/>
    <x v="2"/>
    <s v="Mint Farm"/>
    <n v="1057946.8"/>
    <n v="902.32806474225731"/>
    <n v="477307.54432213202"/>
  </r>
  <r>
    <x v="11"/>
    <s v="Generation - Steam, Oil &amp; Gas"/>
    <x v="0"/>
    <x v="2"/>
    <s v="Sumas"/>
    <n v="394996.2"/>
    <n v="1073.7249160133433"/>
    <n v="212058.6308352949"/>
  </r>
  <r>
    <x v="11"/>
    <s v="Generation - Oil/Gas/Wind"/>
    <x v="0"/>
    <x v="8"/>
    <s v="Crystal Mountain"/>
    <n v="196.41"/>
    <n v="1732.2011450560933"/>
    <n v="170.11081345023362"/>
  </r>
  <r>
    <x v="11"/>
    <s v="Generation - Oil/Gas/Wind"/>
    <x v="0"/>
    <x v="2"/>
    <s v="Fredonia"/>
    <n v="108950.5"/>
    <n v="1751.4121464534605"/>
    <n v="95408.614531088868"/>
  </r>
  <r>
    <x v="11"/>
    <s v="Generation - Oil/Gas/Wind"/>
    <x v="0"/>
    <x v="2"/>
    <s v="Fredonia 3 &amp; 4"/>
    <n v="136862.6"/>
    <n v="1240.2361539035342"/>
    <n v="84870.972318618922"/>
  </r>
  <r>
    <x v="11"/>
    <s v="Generation - Oil/Gas/Wind"/>
    <x v="0"/>
    <x v="2"/>
    <s v="Fredrickson 1 &amp; 2"/>
    <n v="19942.310000000001"/>
    <n v="3345.749389215272"/>
    <n v="33360.985751020809"/>
  </r>
  <r>
    <x v="11"/>
    <s v="Generation - Oil/Gas/Wind"/>
    <x v="0"/>
    <x v="0"/>
    <s v="Hopkins Ridge (W184)"/>
    <n v="417242.31400000001"/>
    <n v="0"/>
    <n v="0"/>
  </r>
  <r>
    <x v="11"/>
    <s v="Generation - Oil/Gas/Wind"/>
    <x v="0"/>
    <x v="0"/>
    <s v="Lower Snake River"/>
    <n v="873260.06099999999"/>
    <n v="0"/>
    <n v="0"/>
  </r>
  <r>
    <x v="11"/>
    <s v="Generation - Oil/Gas/Wind"/>
    <x v="0"/>
    <x v="2"/>
    <s v="Whitehorn 2&amp;3"/>
    <n v="33783.050000000003"/>
    <n v="2930.2857219472094"/>
    <n v="49496.99452941434"/>
  </r>
  <r>
    <x v="11"/>
    <s v="Generation - Oil/Gas/Wind"/>
    <x v="0"/>
    <x v="0"/>
    <s v="Wild Horse (W183)"/>
    <n v="672199.75300000003"/>
    <n v="0"/>
    <n v="0"/>
  </r>
  <r>
    <x v="11"/>
    <s v="Purchases - Firm"/>
    <x v="1"/>
    <x v="0"/>
    <s v="3 Bar G Wind Turbine #3 LLC"/>
    <n v="147.732"/>
    <n v="0"/>
    <n v="0"/>
  </r>
  <r>
    <x v="11"/>
    <s v="Purchases - Firm"/>
    <x v="1"/>
    <x v="4"/>
    <s v="BC Hydro (Point Roberts)"/>
    <n v="19758.352999999999"/>
    <n v="895"/>
    <n v="8841.8629674999993"/>
  </r>
  <r>
    <x v="11"/>
    <s v="Purchases - Firm"/>
    <x v="1"/>
    <x v="0"/>
    <s v="Bio Energy Washington (BEW)"/>
    <n v="5.2510000000000003"/>
    <n v="0"/>
    <n v="0"/>
  </r>
  <r>
    <x v="11"/>
    <s v="Purchases - Firm"/>
    <x v="1"/>
    <x v="0"/>
    <s v="Black Creek Hydro Inc"/>
    <n v="12262.769"/>
    <n v="0"/>
    <n v="0"/>
  </r>
  <r>
    <x v="11"/>
    <s v="Purchases - Firm"/>
    <x v="1"/>
    <x v="7"/>
    <s v="Book Outs - EITF 03-11"/>
    <n v="0"/>
    <n v="0"/>
    <n v="0"/>
  </r>
  <r>
    <x v="11"/>
    <s v="Purchases - Firm"/>
    <x v="1"/>
    <x v="0"/>
    <s v="BPA"/>
    <n v="7084"/>
    <n v="0"/>
    <n v="0"/>
  </r>
  <r>
    <x v="11"/>
    <s v="Purchases - Firm"/>
    <x v="1"/>
    <x v="4"/>
    <s v="BPA Firm - WNP#3 Exchange"/>
    <n v="398392"/>
    <n v="895"/>
    <n v="178280.42"/>
  </r>
  <r>
    <x v="11"/>
    <s v="Purchases - Firm"/>
    <x v="1"/>
    <x v="0"/>
    <s v="CC Solar 1 and CC Solar 2"/>
    <n v="28.61"/>
    <n v="0"/>
    <n v="0"/>
  </r>
  <r>
    <x v="11"/>
    <s v="Purchases - Firm"/>
    <x v="1"/>
    <x v="0"/>
    <s v="Chelan PUD - RI &amp; RR"/>
    <n v="2313083"/>
    <n v="0"/>
    <n v="0"/>
  </r>
  <r>
    <x v="11"/>
    <s v="Purchases - Firm"/>
    <x v="1"/>
    <x v="0"/>
    <s v="Chelan PUD - Rock Island Syst #2"/>
    <n v="-39689"/>
    <n v="0"/>
    <n v="0"/>
  </r>
  <r>
    <x v="11"/>
    <s v="Purchases - Firm"/>
    <x v="1"/>
    <x v="0"/>
    <s v="Chelan PUD - Rocky Reach"/>
    <n v="-82394"/>
    <n v="0"/>
    <n v="0"/>
  </r>
  <r>
    <x v="11"/>
    <s v="Purchases - Firm"/>
    <x v="1"/>
    <x v="0"/>
    <s v="Douglas PUD - Wells Project"/>
    <n v="1120584"/>
    <n v="0"/>
    <n v="0"/>
  </r>
  <r>
    <x v="11"/>
    <s v="Purchases - Firm"/>
    <x v="1"/>
    <x v="0"/>
    <s v="Edaleen Dairy LLC"/>
    <n v="4644.826"/>
    <n v="0"/>
    <n v="0"/>
  </r>
  <r>
    <x v="11"/>
    <s v="Purchases - Firm"/>
    <x v="1"/>
    <x v="0"/>
    <s v="Farm Power Lynden LLC"/>
    <n v="4514.4679999999998"/>
    <n v="0"/>
    <n v="0"/>
  </r>
  <r>
    <x v="11"/>
    <s v="Purchases - Firm"/>
    <x v="1"/>
    <x v="0"/>
    <s v="Farm Power Rexville LLC"/>
    <n v="5137.9570000000003"/>
    <n v="0"/>
    <n v="0"/>
  </r>
  <r>
    <x v="11"/>
    <s v="Purchases - Firm"/>
    <x v="1"/>
    <x v="0"/>
    <s v="Grant PUD - Priest Rapids Project"/>
    <n v="60243"/>
    <n v="0"/>
    <n v="0"/>
  </r>
  <r>
    <x v="11"/>
    <s v="Purchases - Firm"/>
    <x v="1"/>
    <x v="0"/>
    <s v="Island Community Solar LLC"/>
    <n v="59.14"/>
    <n v="0"/>
    <n v="0"/>
  </r>
  <r>
    <x v="11"/>
    <s v="Purchases - Firm"/>
    <x v="1"/>
    <x v="2"/>
    <s v="Klamath Falls (Iberdrola)"/>
    <n v="200"/>
    <n v="807.0783351867201"/>
    <n v="80.707833518672004"/>
  </r>
  <r>
    <x v="11"/>
    <s v="Purchases - Firm"/>
    <x v="1"/>
    <x v="0"/>
    <s v="Klondike Wind Power III"/>
    <n v="126694"/>
    <n v="0"/>
    <n v="0"/>
  </r>
  <r>
    <x v="11"/>
    <s v="Purchases - Firm"/>
    <x v="1"/>
    <x v="0"/>
    <s v="Knudsen Wind Turbine #1"/>
    <n v="128.57599999999999"/>
    <n v="0"/>
    <n v="0"/>
  </r>
  <r>
    <x v="11"/>
    <s v="Purchases - Firm"/>
    <x v="1"/>
    <x v="0"/>
    <s v="Rainier Bio Gas"/>
    <n v="4372.0810000000001"/>
    <n v="0"/>
    <n v="0"/>
  </r>
  <r>
    <x v="11"/>
    <s v="Purchases - Firm"/>
    <x v="1"/>
    <x v="0"/>
    <s v="Skookumchuck Hydro"/>
    <n v="4450.1899999999996"/>
    <n v="0"/>
    <n v="0"/>
  </r>
  <r>
    <x v="11"/>
    <s v="Purchases - Firm"/>
    <x v="1"/>
    <x v="0"/>
    <s v="Smith Creek Hydro"/>
    <n v="193.251"/>
    <n v="0"/>
    <n v="0"/>
  </r>
  <r>
    <x v="11"/>
    <s v="Purchases - Firm"/>
    <x v="1"/>
    <x v="0"/>
    <s v="Swauk Wind"/>
    <n v="11177.98"/>
    <n v="0"/>
    <n v="0"/>
  </r>
  <r>
    <x v="11"/>
    <s v="Purchases - Firm"/>
    <x v="1"/>
    <x v="1"/>
    <s v="Transalta Centralia Generation LLC"/>
    <n v="1568805"/>
    <n v="2411.0775219632751"/>
    <n v="1891255.235921798"/>
  </r>
  <r>
    <x v="11"/>
    <s v="Purchases - Firm"/>
    <x v="1"/>
    <x v="0"/>
    <s v="Van Dyk - S Holsteins"/>
    <n v="3115.201"/>
    <n v="0"/>
    <n v="0"/>
  </r>
  <r>
    <x v="11"/>
    <s v="Purchases - Firm"/>
    <x v="1"/>
    <x v="0"/>
    <s v="VanderHaak Dairy Digester"/>
    <n v="3277.547"/>
    <n v="0"/>
    <n v="0"/>
  </r>
  <r>
    <x v="11"/>
    <s v="Purchases - PURPA"/>
    <x v="1"/>
    <x v="0"/>
    <s v="Electron Hydro, LLC"/>
    <n v="166693.777"/>
    <n v="0"/>
    <n v="0"/>
  </r>
  <r>
    <x v="11"/>
    <s v="Purchases - PURPA"/>
    <x v="1"/>
    <x v="0"/>
    <s v="Emerald City Renewables"/>
    <n v="36724.080999999998"/>
    <n v="0"/>
    <n v="0"/>
  </r>
  <r>
    <x v="11"/>
    <s v="Purchases - PURPA"/>
    <x v="1"/>
    <x v="0"/>
    <s v="Koma Kulshan Associates"/>
    <n v="46042.635999999999"/>
    <n v="0"/>
    <n v="0"/>
  </r>
  <r>
    <x v="11"/>
    <s v="Purchases - PURPA"/>
    <x v="1"/>
    <x v="0"/>
    <s v="Lake Washington -- Finn Hill"/>
    <n v="292.56"/>
    <n v="0"/>
    <n v="0"/>
  </r>
  <r>
    <x v="11"/>
    <s v="Purchases - PURPA"/>
    <x v="1"/>
    <x v="0"/>
    <s v="Nooksack"/>
    <n v="24374.06"/>
    <n v="0"/>
    <n v="0"/>
  </r>
  <r>
    <x v="11"/>
    <s v="Purchases - PURPA"/>
    <x v="1"/>
    <x v="0"/>
    <s v="Sygitowicz Creek"/>
    <n v="907.41"/>
    <n v="0"/>
    <n v="0"/>
  </r>
  <r>
    <x v="11"/>
    <s v="Purchases - PURPA"/>
    <x v="1"/>
    <x v="0"/>
    <s v="Twin Falls Hydro"/>
    <n v="79876.214000000007"/>
    <n v="0"/>
    <n v="0"/>
  </r>
  <r>
    <x v="11"/>
    <s v="Purchases - PURPA"/>
    <x v="1"/>
    <x v="0"/>
    <s v="Weeks Falls"/>
    <n v="11111.191000000001"/>
    <n v="0"/>
    <n v="0"/>
  </r>
  <r>
    <x v="11"/>
    <s v="Purchases - Firm"/>
    <x v="1"/>
    <x v="4"/>
    <s v="Transalta Centralia Generation LLC - Bookout Source Other Adjustment"/>
    <n v="965098"/>
    <n v="895"/>
    <n v="431881.35499999998"/>
  </r>
  <r>
    <x v="11"/>
    <s v="Net-by-Counterparty"/>
    <x v="2"/>
    <x v="4"/>
    <s v="Avista Corp. WWP Division"/>
    <n v="33590"/>
    <n v="895"/>
    <n v="15031.525"/>
  </r>
  <r>
    <x v="11"/>
    <s v="Net-by-Counterparty"/>
    <x v="2"/>
    <x v="4"/>
    <s v="Avista Nichols Pump"/>
    <n v="21796.48"/>
    <n v="895"/>
    <n v="9753.9247999999989"/>
  </r>
  <r>
    <x v="11"/>
    <s v="Net-by-Counterparty"/>
    <x v="2"/>
    <x v="4"/>
    <s v="Black Hills Power"/>
    <n v="201"/>
    <n v="895"/>
    <n v="89.947500000000005"/>
  </r>
  <r>
    <x v="11"/>
    <s v="Net-by-Counterparty"/>
    <x v="2"/>
    <x v="4"/>
    <s v="Book Outs - EITF 03-11"/>
    <n v="2580"/>
    <n v="895"/>
    <n v="1154.55"/>
  </r>
  <r>
    <x v="11"/>
    <s v="Net-by-Counterparty"/>
    <x v="2"/>
    <x v="4"/>
    <s v="BP Energy Co."/>
    <n v="215742"/>
    <n v="895"/>
    <n v="96544.544999999998"/>
  </r>
  <r>
    <x v="11"/>
    <s v="Net-by-Counterparty"/>
    <x v="2"/>
    <x v="4"/>
    <s v="BPA"/>
    <n v="258423"/>
    <n v="895"/>
    <n v="115644.2925"/>
  </r>
  <r>
    <x v="11"/>
    <s v="Net-by-Counterparty"/>
    <x v="2"/>
    <x v="4"/>
    <s v="BPA - CA Wind Integration"/>
    <n v="1952.7380000000001"/>
    <n v="895"/>
    <n v="873.85025500000006"/>
  </r>
  <r>
    <x v="11"/>
    <s v="Net-by-Counterparty"/>
    <x v="2"/>
    <x v="4"/>
    <s v="BPA - NWPP Reserve Sharing Energy"/>
    <n v="-159"/>
    <n v="1046.0391339805128"/>
    <n v="-83.160111151450764"/>
  </r>
  <r>
    <x v="11"/>
    <s v="Net-by-Counterparty"/>
    <x v="2"/>
    <x v="4"/>
    <s v="BPA - PTP Transactions"/>
    <n v="39252"/>
    <n v="895"/>
    <n v="17565.27"/>
  </r>
  <r>
    <x v="11"/>
    <s v="Net-by-Counterparty"/>
    <x v="2"/>
    <x v="4"/>
    <s v="BPA - Spin Reserv Requirement"/>
    <n v="5037220.18"/>
    <n v="895"/>
    <n v="2254156.0305499998"/>
  </r>
  <r>
    <x v="11"/>
    <s v="Net-by-Counterparty"/>
    <x v="2"/>
    <x v="4"/>
    <s v="BPA IS - Hourly Non-Firm"/>
    <n v="194"/>
    <n v="895"/>
    <n v="86.814999999999998"/>
  </r>
  <r>
    <x v="11"/>
    <s v="Net-by-Counterparty"/>
    <x v="2"/>
    <x v="4"/>
    <s v="British Columbia Transmission Corp"/>
    <n v="15"/>
    <n v="895"/>
    <n v="6.7125000000000004"/>
  </r>
  <r>
    <x v="11"/>
    <s v="Net-by-Counterparty"/>
    <x v="2"/>
    <x v="4"/>
    <s v="CAISO EESC Load Undistributed Costs"/>
    <n v="-39390.894"/>
    <n v="1046.0391339805128"/>
    <n v="-20602.208323239087"/>
  </r>
  <r>
    <x v="11"/>
    <s v="Net-by-Counterparty"/>
    <x v="2"/>
    <x v="4"/>
    <s v="CAISO PRSC Undistributed Costs"/>
    <n v="17560.87"/>
    <n v="895"/>
    <n v="7858.4893249999996"/>
  </r>
  <r>
    <x v="11"/>
    <s v="Net-by-Counterparty"/>
    <x v="2"/>
    <x v="4"/>
    <s v="California ISO"/>
    <n v="33095"/>
    <n v="895"/>
    <n v="14810.012500000001"/>
  </r>
  <r>
    <x v="11"/>
    <s v="Net-by-Counterparty"/>
    <x v="2"/>
    <x v="4"/>
    <s v="Calpine Energy Services"/>
    <n v="-29780"/>
    <n v="1046.0391339805128"/>
    <n v="-15575.522704969837"/>
  </r>
  <r>
    <x v="11"/>
    <s v="Net-by-Counterparty"/>
    <x v="2"/>
    <x v="4"/>
    <s v="Cargill Power Markets"/>
    <n v="470528"/>
    <n v="895"/>
    <n v="210561.28"/>
  </r>
  <r>
    <x v="11"/>
    <s v="Net-by-Counterparty"/>
    <x v="2"/>
    <x v="4"/>
    <s v="Chelan County PUD #1"/>
    <n v="62405"/>
    <n v="895"/>
    <n v="27926.237499999999"/>
  </r>
  <r>
    <x v="11"/>
    <s v="Net-by-Counterparty"/>
    <x v="2"/>
    <x v="4"/>
    <s v="Citigroup Energy Inc"/>
    <n v="122525"/>
    <n v="895"/>
    <n v="54829.9375"/>
  </r>
  <r>
    <x v="11"/>
    <s v="Net-by-Counterparty"/>
    <x v="2"/>
    <x v="4"/>
    <s v="Clark Public Utilities"/>
    <n v="157"/>
    <n v="895"/>
    <n v="70.257499999999993"/>
  </r>
  <r>
    <x v="11"/>
    <s v="Net-by-Counterparty"/>
    <x v="2"/>
    <x v="4"/>
    <s v="Clatskanie PUD"/>
    <n v="1009"/>
    <n v="895"/>
    <n v="451.52749999999997"/>
  </r>
  <r>
    <x v="11"/>
    <s v="Net-by-Counterparty"/>
    <x v="2"/>
    <x v="4"/>
    <s v="Colstrip - Energy Imbalance Market"/>
    <n v="-22440.600999999999"/>
    <n v="1046.0391339805128"/>
    <n v="-11736.873418021114"/>
  </r>
  <r>
    <x v="11"/>
    <s v="Net-by-Counterparty"/>
    <x v="2"/>
    <x v="4"/>
    <s v="Conoco, Inc."/>
    <n v="-3825"/>
    <n v="1046.0391339805128"/>
    <n v="-2000.5498437377307"/>
  </r>
  <r>
    <x v="11"/>
    <s v="Net-by-Counterparty"/>
    <x v="2"/>
    <x v="4"/>
    <s v="Constellation Power Source, Inc."/>
    <n v="-7"/>
    <n v="1046.0391339805128"/>
    <n v="-3.6611369689317947"/>
  </r>
  <r>
    <x v="11"/>
    <s v="Net-by-Counterparty"/>
    <x v="2"/>
    <x v="4"/>
    <s v="CP Energy Marketing (Epcor)"/>
    <n v="-1642"/>
    <n v="1046.0391339805128"/>
    <n v="-858.79812899800095"/>
  </r>
  <r>
    <x v="11"/>
    <s v="Net-by-Counterparty"/>
    <x v="2"/>
    <x v="4"/>
    <s v="Deviation"/>
    <n v="18141.771000000001"/>
    <n v="895"/>
    <n v="8118.4425224999995"/>
  </r>
  <r>
    <x v="11"/>
    <s v="Net-by-Counterparty"/>
    <x v="2"/>
    <x v="4"/>
    <s v="Douglas County PUD #1"/>
    <n v="279149"/>
    <n v="895"/>
    <n v="124919.17750000001"/>
  </r>
  <r>
    <x v="11"/>
    <s v="Net-by-Counterparty"/>
    <x v="2"/>
    <x v="4"/>
    <s v="EDF Trading NA LLC"/>
    <n v="-287573"/>
    <n v="1046.0391339805128"/>
    <n v="-150406.305938089"/>
  </r>
  <r>
    <x v="11"/>
    <s v="Net-by-Counterparty"/>
    <x v="2"/>
    <x v="4"/>
    <s v="Encogen"/>
    <n v="-321.65099999999984"/>
    <n v="1046.0391339805128"/>
    <n v="-168.2297667419829"/>
  </r>
  <r>
    <x v="11"/>
    <s v="Net-by-Counterparty"/>
    <x v="2"/>
    <x v="4"/>
    <s v="Eugene Water &amp; Electric"/>
    <n v="-42733"/>
    <n v="1046.0391339805128"/>
    <n v="-22350.195156194626"/>
  </r>
  <r>
    <x v="11"/>
    <s v="Net-by-Counterparty"/>
    <x v="2"/>
    <x v="4"/>
    <s v="Exelon Generation Co LLC"/>
    <n v="80290"/>
    <n v="895"/>
    <n v="35929.775000000001"/>
  </r>
  <r>
    <x v="11"/>
    <s v="Net-by-Counterparty"/>
    <x v="2"/>
    <x v="4"/>
    <s v="Ferndale Co-Generation"/>
    <n v="1025.3830000000016"/>
    <n v="895"/>
    <n v="458.85889250000071"/>
  </r>
  <r>
    <x v="11"/>
    <s v="Net-by-Counterparty"/>
    <x v="2"/>
    <x v="4"/>
    <s v="Freddie #1"/>
    <n v="-2196.0230000000001"/>
    <n v="1046.0391339805128"/>
    <n v="-1148.562998560644"/>
  </r>
  <r>
    <x v="11"/>
    <s v="Net-by-Counterparty"/>
    <x v="2"/>
    <x v="4"/>
    <s v="Fredonia - Energy Imbalance Market"/>
    <n v="1209.79"/>
    <n v="895"/>
    <n v="541.38102500000002"/>
  </r>
  <r>
    <x v="11"/>
    <s v="Net-by-Counterparty"/>
    <x v="2"/>
    <x v="4"/>
    <s v="Fredrickson 1 &amp; 2"/>
    <n v="690.89700000000005"/>
    <n v="895"/>
    <n v="309.17640750000004"/>
  </r>
  <r>
    <x v="11"/>
    <s v="Net-by-Counterparty"/>
    <x v="2"/>
    <x v="4"/>
    <s v="Goldendale"/>
    <n v="25209.396000000001"/>
    <n v="895"/>
    <n v="11281.204710000002"/>
  </r>
  <r>
    <x v="11"/>
    <s v="Net-by-Counterparty"/>
    <x v="2"/>
    <x v="4"/>
    <s v="Grant County PUD #2"/>
    <n v="20"/>
    <n v="895"/>
    <n v="8.9499999999999993"/>
  </r>
  <r>
    <x v="11"/>
    <s v="Net-by-Counterparty"/>
    <x v="2"/>
    <x v="4"/>
    <s v="GRIDFORCE ENERGY MANAGEMENT, LLC."/>
    <n v="-68"/>
    <n v="1046.0391339805128"/>
    <n v="-35.565330555337439"/>
  </r>
  <r>
    <x v="11"/>
    <s v="Net-by-Counterparty"/>
    <x v="2"/>
    <x v="4"/>
    <s v="Iberdrola Renewables (PPM Energy)"/>
    <n v="106424"/>
    <n v="895"/>
    <n v="47624.74"/>
  </r>
  <r>
    <x v="11"/>
    <s v="Net-by-Counterparty"/>
    <x v="2"/>
    <x v="4"/>
    <s v="Idaho Power Company"/>
    <n v="-338626"/>
    <n v="1046.0391339805128"/>
    <n v="-177108.02389164257"/>
  </r>
  <r>
    <x v="11"/>
    <s v="Net-by-Counterparty"/>
    <x v="2"/>
    <x v="4"/>
    <s v="Lower Baker"/>
    <n v="752.99099999999999"/>
    <n v="895"/>
    <n v="336.96347249999997"/>
  </r>
  <r>
    <x v="11"/>
    <s v="Net-by-Counterparty"/>
    <x v="2"/>
    <x v="4"/>
    <s v="MID-C for Energy Imbalance Market"/>
    <n v="5932.5579999999973"/>
    <n v="895"/>
    <n v="2654.8197049999985"/>
  </r>
  <r>
    <x v="11"/>
    <s v="Net-by-Counterparty"/>
    <x v="2"/>
    <x v="4"/>
    <s v="Mint Farm"/>
    <n v="1351.0280000000002"/>
    <n v="895"/>
    <n v="604.58503000000019"/>
  </r>
  <r>
    <x v="11"/>
    <s v="Net-by-Counterparty"/>
    <x v="2"/>
    <x v="4"/>
    <s v="Morgan Stanley CG"/>
    <n v="-1070455"/>
    <n v="1046.0391339805128"/>
    <n v="-559868.91058255499"/>
  </r>
  <r>
    <x v="11"/>
    <s v="Net-by-Counterparty"/>
    <x v="2"/>
    <x v="4"/>
    <s v="Natur Ener USA"/>
    <n v="-22"/>
    <n v="1046.0391339805128"/>
    <n v="-11.50643047378564"/>
  </r>
  <r>
    <x v="11"/>
    <s v="Net-by-Counterparty"/>
    <x v="2"/>
    <x v="4"/>
    <s v="Nevada Power Company"/>
    <n v="-116"/>
    <n v="1046.0391339805128"/>
    <n v="-60.670269770869744"/>
  </r>
  <r>
    <x v="11"/>
    <s v="Net-by-Counterparty"/>
    <x v="2"/>
    <x v="4"/>
    <s v="NextEra Energy Power Marketing"/>
    <n v="38701"/>
    <n v="895"/>
    <n v="17318.697499999998"/>
  </r>
  <r>
    <x v="11"/>
    <s v="Net-by-Counterparty"/>
    <x v="2"/>
    <x v="4"/>
    <s v="Noble Americas Gas &amp; Power"/>
    <n v="1200"/>
    <n v="895"/>
    <n v="537"/>
  </r>
  <r>
    <x v="11"/>
    <s v="Net-by-Counterparty"/>
    <x v="2"/>
    <x v="4"/>
    <s v="NorthPoint Energy Solutions, Inc."/>
    <n v="336"/>
    <n v="895"/>
    <n v="150.36000000000001"/>
  </r>
  <r>
    <x v="11"/>
    <s v="Net-by-Counterparty"/>
    <x v="2"/>
    <x v="4"/>
    <s v="Northwestern Energy"/>
    <n v="54623"/>
    <n v="895"/>
    <n v="24443.7925"/>
  </r>
  <r>
    <x v="11"/>
    <s v="Net-by-Counterparty"/>
    <x v="2"/>
    <x v="4"/>
    <s v="Okanogan PUD"/>
    <n v="6305"/>
    <n v="895"/>
    <n v="2821.4875000000002"/>
  </r>
  <r>
    <x v="11"/>
    <s v="Net-by-Counterparty"/>
    <x v="2"/>
    <x v="4"/>
    <s v="Pacific Gas &amp; Elec - Exchange"/>
    <n v="0"/>
    <n v="1046.0391339805128"/>
    <n v="0"/>
  </r>
  <r>
    <x v="11"/>
    <s v="Net-by-Counterparty"/>
    <x v="2"/>
    <x v="4"/>
    <s v="Pacificorp"/>
    <n v="-393958"/>
    <n v="1046.0391339805128"/>
    <n v="-206047.74257234743"/>
  </r>
  <r>
    <x v="11"/>
    <s v="Net-by-Counterparty"/>
    <x v="2"/>
    <x v="4"/>
    <s v="Portland General Electric"/>
    <n v="295929"/>
    <n v="895"/>
    <n v="132428.22750000001"/>
  </r>
  <r>
    <x v="11"/>
    <s v="Net-by-Counterparty"/>
    <x v="2"/>
    <x v="4"/>
    <s v="Powerex Corp."/>
    <n v="-1978155"/>
    <n v="1046.0391339805128"/>
    <n v="-1034613.7715396106"/>
  </r>
  <r>
    <x v="11"/>
    <s v="Net-by-Counterparty"/>
    <x v="2"/>
    <x v="4"/>
    <s v="Public Service of Colorado"/>
    <n v="-28595"/>
    <n v="1046.0391339805128"/>
    <n v="-14955.744518086382"/>
  </r>
  <r>
    <x v="11"/>
    <s v="Net-by-Counterparty"/>
    <x v="2"/>
    <x v="4"/>
    <s v="Rainbow Energy Marketing"/>
    <n v="-21688"/>
    <n v="1046.0391339805128"/>
    <n v="-11343.248368884681"/>
  </r>
  <r>
    <x v="11"/>
    <s v="Net-by-Counterparty"/>
    <x v="2"/>
    <x v="4"/>
    <s v="Sacramento Municipal"/>
    <n v="143"/>
    <n v="895"/>
    <n v="63.9925"/>
  </r>
  <r>
    <x v="11"/>
    <s v="Net-by-Counterparty"/>
    <x v="2"/>
    <x v="4"/>
    <s v="Seattle City Light Marketing"/>
    <n v="60520"/>
    <n v="895"/>
    <n v="27082.7"/>
  </r>
  <r>
    <x v="11"/>
    <s v="Net-by-Counterparty"/>
    <x v="2"/>
    <x v="4"/>
    <s v="Shell Energy (Coral Pwr)"/>
    <n v="83099"/>
    <n v="895"/>
    <n v="37186.802499999998"/>
  </r>
  <r>
    <x v="11"/>
    <s v="Net-by-Counterparty"/>
    <x v="2"/>
    <x v="4"/>
    <s v="Snohomish County PUD #1"/>
    <n v="19380"/>
    <n v="895"/>
    <n v="8672.5499999999993"/>
  </r>
  <r>
    <x v="11"/>
    <s v="Net-by-Counterparty"/>
    <x v="2"/>
    <x v="4"/>
    <s v="Snoqualmie-Energy Imbalance Market"/>
    <n v="3163.4"/>
    <n v="895"/>
    <n v="1415.6215"/>
  </r>
  <r>
    <x v="11"/>
    <s v="Net-by-Counterparty"/>
    <x v="2"/>
    <x v="4"/>
    <s v="Southern Cal - Edison"/>
    <n v="100"/>
    <n v="895"/>
    <n v="44.75"/>
  </r>
  <r>
    <x v="11"/>
    <s v="Net-by-Counterparty"/>
    <x v="2"/>
    <x v="4"/>
    <s v="Sumas"/>
    <n v="4619.1450000000004"/>
    <n v="895"/>
    <n v="2067.0673875000002"/>
  </r>
  <r>
    <x v="11"/>
    <s v="Net-by-Counterparty"/>
    <x v="2"/>
    <x v="4"/>
    <s v="Tacoma Power"/>
    <n v="25553"/>
    <n v="895"/>
    <n v="11434.967500000001"/>
  </r>
  <r>
    <x v="11"/>
    <s v="Net-by-Counterparty"/>
    <x v="2"/>
    <x v="4"/>
    <s v="Talen Energy (PPL Energy Plus)"/>
    <n v="165789"/>
    <n v="895"/>
    <n v="74190.577499999999"/>
  </r>
  <r>
    <x v="11"/>
    <s v="Net-by-Counterparty"/>
    <x v="2"/>
    <x v="4"/>
    <s v="Tenaska Power Services Co."/>
    <n v="958"/>
    <n v="895"/>
    <n v="428.70499999999998"/>
  </r>
  <r>
    <x v="11"/>
    <s v="Net-by-Counterparty"/>
    <x v="2"/>
    <x v="4"/>
    <s v="The Energy Authority"/>
    <n v="676328"/>
    <n v="895"/>
    <n v="302656.78000000003"/>
  </r>
  <r>
    <x v="11"/>
    <s v="Net-by-Counterparty"/>
    <x v="2"/>
    <x v="4"/>
    <s v="Transalta Centralia Generation LLC"/>
    <n v="-2206"/>
    <n v="1046.0391339805128"/>
    <n v="-1153.7811647805056"/>
  </r>
  <r>
    <x v="11"/>
    <s v="Net-by-Counterparty"/>
    <x v="2"/>
    <x v="4"/>
    <s v="TransAlta Energy Marketing"/>
    <n v="-39336"/>
    <n v="1046.0391339805128"/>
    <n v="-20573.497687128725"/>
  </r>
  <r>
    <x v="11"/>
    <s v="Net-by-Counterparty"/>
    <x v="2"/>
    <x v="4"/>
    <s v="TransCanada Energy Sales Ltd"/>
    <n v="-7308"/>
    <n v="1046.0391339805128"/>
    <n v="-3822.2269955647939"/>
  </r>
  <r>
    <x v="11"/>
    <s v="Net-by-Counterparty"/>
    <x v="2"/>
    <x v="4"/>
    <s v="Turlock Irrigation District"/>
    <n v="18516"/>
    <n v="895"/>
    <n v="8285.91"/>
  </r>
  <r>
    <x v="11"/>
    <s v="Net-by-Counterparty"/>
    <x v="2"/>
    <x v="4"/>
    <s v="Upper Baker"/>
    <n v="5749.4269999999997"/>
    <n v="895"/>
    <n v="2572.8685825000002"/>
  </r>
  <r>
    <x v="11"/>
    <s v="Net-by-Counterparty"/>
    <x v="2"/>
    <x v="4"/>
    <s v="Vitol Inc."/>
    <n v="192747"/>
    <n v="895"/>
    <n v="86254.282500000001"/>
  </r>
  <r>
    <x v="11"/>
    <s v="Net-by-Counterparty"/>
    <x v="2"/>
    <x v="4"/>
    <s v="Whitehorn 2&amp;3"/>
    <n v="342.471"/>
    <n v="895"/>
    <n v="153.25577249999998"/>
  </r>
  <r>
    <x v="11"/>
    <s v="Net-by-Counterparty"/>
    <x v="2"/>
    <x v="4"/>
    <s v="Wild Horse (W183)"/>
    <n v="-15814.602999999999"/>
    <n v="1046.0391339805128"/>
    <n v="-8271.3468131828085"/>
  </r>
  <r>
    <x v="12"/>
    <s v="Generation - Hydro"/>
    <x v="0"/>
    <x v="0"/>
    <s v="Lower Baker"/>
    <n v="313112.18"/>
    <n v="0"/>
    <n v="0"/>
  </r>
  <r>
    <x v="12"/>
    <s v="Generation - Hydro"/>
    <x v="0"/>
    <x v="0"/>
    <s v="Snoqualmie Falls #1"/>
    <n v="60898.3"/>
    <n v="0"/>
    <n v="0"/>
  </r>
  <r>
    <x v="12"/>
    <s v="Generation - Hydro"/>
    <x v="0"/>
    <x v="0"/>
    <s v="Snoqualmie Falls #2"/>
    <n v="135067"/>
    <n v="0"/>
    <n v="0"/>
  </r>
  <r>
    <x v="12"/>
    <s v="Generation - Hydro"/>
    <x v="0"/>
    <x v="0"/>
    <s v="Upper Baker"/>
    <n v="355743.79"/>
    <n v="0"/>
    <n v="0"/>
  </r>
  <r>
    <x v="12"/>
    <s v="Generation - Steam"/>
    <x v="0"/>
    <x v="1"/>
    <s v="Colstrip 1 &amp; 2"/>
    <n v="1908332"/>
    <n v="2441.8001503916635"/>
    <n v="2195144.1646753503"/>
  </r>
  <r>
    <x v="12"/>
    <s v="Generation - Steam"/>
    <x v="0"/>
    <x v="1"/>
    <s v="Colstrip 3 &amp; 4"/>
    <n v="2555373"/>
    <n v="2228.0063269695393"/>
    <n v="2712567.6528599248"/>
  </r>
  <r>
    <x v="12"/>
    <s v="Generation - Oil/Gas/Wind"/>
    <x v="0"/>
    <x v="3"/>
    <s v="Crystal Mountain"/>
    <n v="395.71"/>
    <n v="1858.9419679082521"/>
    <n v="367.80096306048716"/>
  </r>
  <r>
    <x v="12"/>
    <s v="Generation - Oil/Gas/Wind"/>
    <x v="0"/>
    <x v="2"/>
    <s v="Encogen 1"/>
    <n v="69341.556666666671"/>
    <n v="1046.0304012398562"/>
    <n v="36266.688171314781"/>
  </r>
  <r>
    <x v="12"/>
    <s v="Generation - Oil/Gas/Wind"/>
    <x v="0"/>
    <x v="2"/>
    <s v="Encogen 2"/>
    <n v="66479.666666666672"/>
    <n v="1056.8942446081085"/>
    <n v="35130.98854173276"/>
  </r>
  <r>
    <x v="12"/>
    <s v="Generation - Oil/Gas/Wind"/>
    <x v="0"/>
    <x v="2"/>
    <s v="Encogen 3"/>
    <n v="69377.666666666672"/>
    <n v="1063.9328111142227"/>
    <n v="36906.587962606085"/>
  </r>
  <r>
    <x v="12"/>
    <s v="Generation - Oil/Gas/Wind"/>
    <x v="0"/>
    <x v="2"/>
    <s v="Ferndale 1"/>
    <n v="383067.5"/>
    <n v="1005.315445437682"/>
    <n v="192551.83719759961"/>
  </r>
  <r>
    <x v="12"/>
    <s v="Generation - Oil/Gas/Wind"/>
    <x v="0"/>
    <x v="2"/>
    <s v="Ferndale 2"/>
    <n v="381872.5"/>
    <n v="1015.2165279087689"/>
    <n v="193841.63677692067"/>
  </r>
  <r>
    <x v="12"/>
    <s v="Generation - Oil/Gas/Wind"/>
    <x v="0"/>
    <x v="2"/>
    <s v="Frederickson 1"/>
    <n v="18492.38"/>
    <n v="2369.656927571215"/>
    <n v="21910.298187139695"/>
  </r>
  <r>
    <x v="12"/>
    <s v="Generation - Oil/Gas/Wind"/>
    <x v="0"/>
    <x v="2"/>
    <s v="Frederickson 2"/>
    <n v="11359.81"/>
    <n v="4743.6429433642934"/>
    <n v="26943.441272229567"/>
  </r>
  <r>
    <x v="12"/>
    <s v="Generation - Oil/Gas/Wind"/>
    <x v="0"/>
    <x v="2"/>
    <s v="Fredonia 1"/>
    <n v="44480.2"/>
    <n v="1892.6194969474604"/>
    <n v="42092.046874061212"/>
  </r>
  <r>
    <x v="12"/>
    <s v="Generation - Oil/Gas/Wind"/>
    <x v="0"/>
    <x v="2"/>
    <s v="Fredonia 2"/>
    <n v="45383.9"/>
    <n v="1926.9862676248074"/>
    <n v="43727.07603562875"/>
  </r>
  <r>
    <x v="12"/>
    <s v="Generation - Oil/Gas/Wind"/>
    <x v="0"/>
    <x v="2"/>
    <s v="Fredonia 3"/>
    <n v="16507.7"/>
    <n v="1244.4855006775231"/>
    <n v="10271.796649767173"/>
  </r>
  <r>
    <x v="12"/>
    <s v="Generation - Oil/Gas/Wind"/>
    <x v="0"/>
    <x v="2"/>
    <s v="Fredonia 4"/>
    <n v="17879.900000000001"/>
    <n v="1215.8677011308239"/>
    <n v="10869.79645472451"/>
  </r>
  <r>
    <x v="12"/>
    <s v="Generation - Oil/Gas/Wind"/>
    <x v="0"/>
    <x v="2"/>
    <s v="Frederickson Unit 1"/>
    <n v="464326.82799999998"/>
    <n v="833.28403394354575"/>
    <n v="193458.06615202545"/>
  </r>
  <r>
    <x v="12"/>
    <s v="Generation - Oil/Gas/Wind"/>
    <x v="0"/>
    <x v="2"/>
    <s v="Goldendale"/>
    <n v="1119821"/>
    <n v="816.33895224428784"/>
    <n v="457076.75092057534"/>
  </r>
  <r>
    <x v="12"/>
    <s v="Generation - Oil/Gas/Wind"/>
    <x v="0"/>
    <x v="2"/>
    <s v="Mint Farm"/>
    <n v="915875.39999999991"/>
    <n v="856.71319928697551"/>
    <n v="392321.27204111917"/>
  </r>
  <r>
    <x v="12"/>
    <s v="Generation - Oil/Gas/Wind"/>
    <x v="0"/>
    <x v="2"/>
    <s v="Sumas"/>
    <n v="266588.09999999998"/>
    <n v="1036.5703115415258"/>
    <n v="138168.65493513169"/>
  </r>
  <r>
    <x v="12"/>
    <s v="Generation - Oil/Gas/Wind"/>
    <x v="0"/>
    <x v="2"/>
    <s v="Whitehorn 2"/>
    <n v="7642.7"/>
    <n v="3936.5107163485673"/>
    <n v="15042.785225918597"/>
  </r>
  <r>
    <x v="12"/>
    <s v="Generation - Oil/Gas/Wind"/>
    <x v="0"/>
    <x v="2"/>
    <s v="Whitehorn 3"/>
    <n v="25400.9"/>
    <n v="4661.1800363612656"/>
    <n v="59199.083992804437"/>
  </r>
  <r>
    <x v="12"/>
    <s v="Generation - Oil/Gas/Wind"/>
    <x v="0"/>
    <x v="0"/>
    <s v="Hopkins Ridge (W184)"/>
    <n v="345425.18400000001"/>
    <n v="0"/>
    <n v="0"/>
  </r>
  <r>
    <x v="12"/>
    <s v="Generation - Oil/Gas/Wind"/>
    <x v="0"/>
    <x v="0"/>
    <s v="Lower Snake River"/>
    <n v="716381.07799999998"/>
    <n v="0"/>
    <n v="0"/>
  </r>
  <r>
    <x v="12"/>
    <s v="Generation - Oil/Gas/Wind"/>
    <x v="0"/>
    <x v="0"/>
    <s v="Wild Horse (W183)"/>
    <n v="612984.08900000004"/>
    <n v="0"/>
    <n v="0"/>
  </r>
  <r>
    <x v="12"/>
    <s v="Purchases - Firm"/>
    <x v="1"/>
    <x v="0"/>
    <s v="3 Bar G Wind Turbine #3 LLC"/>
    <n v="25.266999999999999"/>
    <n v="0"/>
    <n v="0"/>
  </r>
  <r>
    <x v="12"/>
    <s v="Purchases - Firm"/>
    <x v="1"/>
    <x v="4"/>
    <s v="BC Hydro (Point Roberts)"/>
    <n v="21209.738000000001"/>
    <n v="1004"/>
    <n v="10647.288476"/>
  </r>
  <r>
    <x v="12"/>
    <s v="Purchases - Firm"/>
    <x v="1"/>
    <x v="0"/>
    <s v="Bio Energy Washington (BEW)"/>
    <n v="4.5519999999999996"/>
    <n v="0"/>
    <n v="0"/>
  </r>
  <r>
    <x v="12"/>
    <s v="Purchases - Firm"/>
    <x v="1"/>
    <x v="0"/>
    <s v="Black Creek Hydro Inc"/>
    <n v="11718.129000000001"/>
    <n v="0"/>
    <n v="0"/>
  </r>
  <r>
    <x v="12"/>
    <s v="Purchases - Firm"/>
    <x v="1"/>
    <x v="0"/>
    <s v="Blocks Dairy Farm"/>
    <n v="1.3180000000000001"/>
    <n v="0"/>
    <n v="0"/>
  </r>
  <r>
    <x v="12"/>
    <s v="Purchases - Firm"/>
    <x v="1"/>
    <x v="4"/>
    <s v="BPA"/>
    <n v="7000"/>
    <n v="1004"/>
    <n v="3514"/>
  </r>
  <r>
    <x v="12"/>
    <s v="Purchases - Firm"/>
    <x v="1"/>
    <x v="4"/>
    <s v="BPA Firm - WNP#3 Exchange"/>
    <n v="241574"/>
    <n v="1004"/>
    <n v="121270.148"/>
  </r>
  <r>
    <x v="12"/>
    <s v="Purchases - Firm"/>
    <x v="1"/>
    <x v="0"/>
    <s v="CC Solar 1 and CC Solar 2"/>
    <n v="29.26"/>
    <n v="0"/>
    <n v="0"/>
  </r>
  <r>
    <x v="12"/>
    <s v="Purchases - Firm"/>
    <x v="1"/>
    <x v="0"/>
    <s v="Chelan PUD - RI &amp; RR"/>
    <n v="2315054"/>
    <n v="0"/>
    <n v="0"/>
  </r>
  <r>
    <x v="12"/>
    <s v="Purchases - Firm"/>
    <x v="1"/>
    <x v="0"/>
    <s v="Chelan PUD - Rock Island Syst #2"/>
    <n v="-39402"/>
    <n v="0"/>
    <n v="0"/>
  </r>
  <r>
    <x v="12"/>
    <s v="Purchases - Firm"/>
    <x v="1"/>
    <x v="0"/>
    <s v="Chelan PUD - Rocky Reach"/>
    <n v="-81794"/>
    <n v="0"/>
    <n v="0"/>
  </r>
  <r>
    <x v="12"/>
    <s v="Purchases - Firm"/>
    <x v="1"/>
    <x v="0"/>
    <s v="Douglas PUD - Wells Project"/>
    <n v="1111775"/>
    <n v="0"/>
    <n v="0"/>
  </r>
  <r>
    <x v="12"/>
    <s v="Purchases - Firm"/>
    <x v="1"/>
    <x v="0"/>
    <s v="Edaleen Dairy LLC"/>
    <n v="4820.6949999999997"/>
    <n v="0"/>
    <n v="0"/>
  </r>
  <r>
    <x v="12"/>
    <s v="Purchases - Firm"/>
    <x v="1"/>
    <x v="0"/>
    <s v="Farm Power Lynden LLC"/>
    <n v="4647.7740000000003"/>
    <n v="0"/>
    <n v="0"/>
  </r>
  <r>
    <x v="12"/>
    <s v="Purchases - Firm"/>
    <x v="1"/>
    <x v="0"/>
    <s v="Farm Power Rexville LLC"/>
    <n v="5378.7089999999998"/>
    <n v="0"/>
    <n v="0"/>
  </r>
  <r>
    <x v="12"/>
    <s v="Purchases - Firm"/>
    <x v="1"/>
    <x v="0"/>
    <s v="Grant PUD - Priest Rapids Project"/>
    <n v="49501"/>
    <n v="0"/>
    <n v="0"/>
  </r>
  <r>
    <x v="12"/>
    <s v="Purchases - Firm"/>
    <x v="1"/>
    <x v="0"/>
    <s v="Island Community Solar LLC"/>
    <n v="61.43"/>
    <n v="0"/>
    <n v="0"/>
  </r>
  <r>
    <x v="12"/>
    <s v="Purchases - Firm"/>
    <x v="1"/>
    <x v="0"/>
    <s v="Klondike Wind Power III"/>
    <n v="110067"/>
    <n v="0"/>
    <n v="0"/>
  </r>
  <r>
    <x v="12"/>
    <s v="Purchases - Firm"/>
    <x v="1"/>
    <x v="0"/>
    <s v="Knudsen Wind Turbine #1"/>
    <n v="92.218999999999994"/>
    <n v="0"/>
    <n v="0"/>
  </r>
  <r>
    <x v="12"/>
    <s v="Purchases - Firm"/>
    <x v="1"/>
    <x v="0"/>
    <s v="Rainier Bio Gas"/>
    <n v="4857.9250000000002"/>
    <n v="0"/>
    <n v="0"/>
  </r>
  <r>
    <x v="12"/>
    <s v="Purchases - Firm"/>
    <x v="1"/>
    <x v="0"/>
    <s v="Skookumchuck Hydro"/>
    <n v="6319.2089999999998"/>
    <n v="0"/>
    <n v="0"/>
  </r>
  <r>
    <x v="12"/>
    <s v="Purchases - Firm"/>
    <x v="1"/>
    <x v="0"/>
    <s v="Smith Creek Hydro"/>
    <n v="126.348"/>
    <n v="0"/>
    <n v="0"/>
  </r>
  <r>
    <x v="12"/>
    <s v="Purchases - Firm"/>
    <x v="1"/>
    <x v="0"/>
    <s v="Swauk Wind"/>
    <n v="9505.4670000000006"/>
    <n v="0"/>
    <n v="0"/>
  </r>
  <r>
    <x v="12"/>
    <s v="Purchases - Firm"/>
    <x v="1"/>
    <x v="1"/>
    <s v="Transalta Centralia Generation LLC"/>
    <n v="2070958"/>
    <n v="2365.2641402111894"/>
    <n v="2449181.3466417422"/>
  </r>
  <r>
    <x v="12"/>
    <s v="Purchases - Firm"/>
    <x v="1"/>
    <x v="4"/>
    <s v="Transalta Centralia Generation LLC - Bookout Source Other Adjustment"/>
    <n v="1256783"/>
    <n v="1004"/>
    <n v="630905.06599999999"/>
  </r>
  <r>
    <x v="12"/>
    <s v="Purchases - Firm"/>
    <x v="1"/>
    <x v="0"/>
    <s v="Van Dyk - S Holsteins"/>
    <n v="2344.8380000000002"/>
    <n v="0"/>
    <n v="0"/>
  </r>
  <r>
    <x v="12"/>
    <s v="Purchases - Firm"/>
    <x v="1"/>
    <x v="0"/>
    <s v="VanderHaak Dairy Digester"/>
    <n v="2323.34"/>
    <n v="0"/>
    <n v="0"/>
  </r>
  <r>
    <x v="12"/>
    <s v="Purchases - PURPA"/>
    <x v="1"/>
    <x v="0"/>
    <s v="Electron Hydro, LLC"/>
    <n v="128751.664"/>
    <n v="0"/>
    <n v="0"/>
  </r>
  <r>
    <x v="12"/>
    <s v="Purchases - PURPA"/>
    <x v="1"/>
    <x v="0"/>
    <s v="Emerald City Renewables"/>
    <n v="36228.803999999996"/>
    <n v="0"/>
    <n v="0"/>
  </r>
  <r>
    <x v="12"/>
    <s v="Purchases - PURPA"/>
    <x v="1"/>
    <x v="0"/>
    <s v="Ikea Solar"/>
    <n v="81.850999999999999"/>
    <n v="0"/>
    <n v="0"/>
  </r>
  <r>
    <x v="12"/>
    <s v="Purchases - PURPA"/>
    <x v="1"/>
    <x v="0"/>
    <s v="Koma Kulshan Associates"/>
    <n v="42816.692999999999"/>
    <n v="0"/>
    <n v="0"/>
  </r>
  <r>
    <x v="12"/>
    <s v="Purchases - PURPA"/>
    <x v="1"/>
    <x v="0"/>
    <s v="Lake Washington -- Finn Hill"/>
    <n v="309.72000000000003"/>
    <n v="0"/>
    <n v="0"/>
  </r>
  <r>
    <x v="12"/>
    <s v="Purchases - PURPA"/>
    <x v="1"/>
    <x v="0"/>
    <s v="Nooksack"/>
    <n v="21012.012999999999"/>
    <n v="0"/>
    <n v="0"/>
  </r>
  <r>
    <x v="12"/>
    <s v="Purchases - PURPA"/>
    <x v="1"/>
    <x v="0"/>
    <s v="Sygitowicz Creek"/>
    <n v="985.77700000000004"/>
    <n v="0"/>
    <n v="0"/>
  </r>
  <r>
    <x v="12"/>
    <s v="Purchases - PURPA"/>
    <x v="1"/>
    <x v="0"/>
    <s v="Twin Falls Hydro"/>
    <n v="77848.698999999993"/>
    <n v="0"/>
    <n v="0"/>
  </r>
  <r>
    <x v="12"/>
    <s v="Purchases - PURPA"/>
    <x v="1"/>
    <x v="0"/>
    <s v="Weeks Falls"/>
    <n v="13647.43"/>
    <n v="0"/>
    <n v="0"/>
  </r>
  <r>
    <x v="12"/>
    <s v="Net-by-Counterparty"/>
    <x v="2"/>
    <x v="4"/>
    <s v="Avista Corp. WWP Division"/>
    <n v="55283"/>
    <n v="1004"/>
    <n v="27752.065999999999"/>
  </r>
  <r>
    <x v="12"/>
    <s v="Net-by-Counterparty"/>
    <x v="2"/>
    <x v="4"/>
    <s v="Avista Nichols Pump"/>
    <n v="21064.639999999999"/>
    <n v="1004"/>
    <n v="10574.449279999999"/>
  </r>
  <r>
    <x v="12"/>
    <s v="Net-by-Counterparty"/>
    <x v="2"/>
    <x v="4"/>
    <s v="Black Hills Power"/>
    <n v="-2600"/>
    <n v="1092.2703265173072"/>
    <n v="-1419.9514244724994"/>
  </r>
  <r>
    <x v="12"/>
    <s v="Net-by-Counterparty"/>
    <x v="2"/>
    <x v="4"/>
    <s v="BP Energy Co."/>
    <n v="217861"/>
    <n v="1004"/>
    <n v="109366.22199999999"/>
  </r>
  <r>
    <x v="12"/>
    <s v="Net-by-Counterparty"/>
    <x v="2"/>
    <x v="4"/>
    <s v="BPA"/>
    <n v="98054"/>
    <n v="1004"/>
    <n v="49223.108"/>
  </r>
  <r>
    <x v="12"/>
    <s v="Net-by-Counterparty"/>
    <x v="2"/>
    <x v="4"/>
    <s v="BPA - CA Wind Integration"/>
    <n v="22036.59"/>
    <n v="1004"/>
    <n v="11062.368179999999"/>
  </r>
  <r>
    <x v="12"/>
    <s v="Net-by-Counterparty"/>
    <x v="2"/>
    <x v="4"/>
    <s v="BPA - NWPP Reserve Sharing Energy"/>
    <n v="159"/>
    <n v="1004"/>
    <n v="79.817999999999998"/>
  </r>
  <r>
    <x v="12"/>
    <s v="Net-by-Counterparty"/>
    <x v="2"/>
    <x v="4"/>
    <s v="BPA - PTP Transactions"/>
    <n v="86309"/>
    <n v="1004"/>
    <n v="43327.118000000002"/>
  </r>
  <r>
    <x v="12"/>
    <s v="Net-by-Counterparty"/>
    <x v="2"/>
    <x v="4"/>
    <s v="BPA - SCD Hourly NF"/>
    <n v="17365"/>
    <n v="1004"/>
    <n v="8717.23"/>
  </r>
  <r>
    <x v="12"/>
    <s v="Net-by-Counterparty"/>
    <x v="2"/>
    <x v="4"/>
    <s v="BPA - Spin Reserv Requirement"/>
    <n v="38848.949999999997"/>
    <n v="1004"/>
    <n v="19502.172899999998"/>
  </r>
  <r>
    <x v="12"/>
    <s v="Net-by-Counterparty"/>
    <x v="2"/>
    <x v="4"/>
    <s v="BPA IS - Hourly Non-Firm"/>
    <n v="8707"/>
    <n v="1004"/>
    <n v="4370.9139999999998"/>
  </r>
  <r>
    <x v="12"/>
    <s v="Net-by-Counterparty"/>
    <x v="2"/>
    <x v="4"/>
    <s v="British Columbia Transmission Corp"/>
    <n v="409"/>
    <n v="1004"/>
    <n v="205.31800000000001"/>
  </r>
  <r>
    <x v="12"/>
    <s v="Net-by-Counterparty"/>
    <x v="2"/>
    <x v="4"/>
    <s v="CAISO EESC Load Undistributed Costs"/>
    <n v="33124.885999999999"/>
    <n v="1004"/>
    <n v="16628.692771999999"/>
  </r>
  <r>
    <x v="12"/>
    <s v="Net-by-Counterparty"/>
    <x v="2"/>
    <x v="4"/>
    <s v="CAISO PRSC Undistributed Costs"/>
    <n v="-8712.773000000001"/>
    <n v="1092.2703265173072"/>
    <n v="-4758.3517047905898"/>
  </r>
  <r>
    <x v="12"/>
    <s v="Net-by-Counterparty"/>
    <x v="2"/>
    <x v="4"/>
    <s v="California ISO"/>
    <n v="23659"/>
    <n v="1004"/>
    <n v="11876.817999999999"/>
  </r>
  <r>
    <x v="12"/>
    <s v="Net-by-Counterparty"/>
    <x v="2"/>
    <x v="4"/>
    <s v="Calpine Energy Services"/>
    <n v="-252611"/>
    <n v="1092.2703265173072"/>
    <n v="-137959.74972593176"/>
  </r>
  <r>
    <x v="12"/>
    <s v="Net-by-Counterparty"/>
    <x v="2"/>
    <x v="4"/>
    <s v="Cargill Power Markets"/>
    <n v="157955"/>
    <n v="1004"/>
    <n v="79293.41"/>
  </r>
  <r>
    <x v="12"/>
    <s v="Net-by-Counterparty"/>
    <x v="2"/>
    <x v="4"/>
    <s v="Chelan County PUD #1"/>
    <n v="-52667"/>
    <n v="1092.2703265173072"/>
    <n v="-28763.300643343511"/>
  </r>
  <r>
    <x v="12"/>
    <s v="Net-by-Counterparty"/>
    <x v="2"/>
    <x v="4"/>
    <s v="Citigroup Energy Inc"/>
    <n v="312832"/>
    <n v="1004"/>
    <n v="157041.66399999999"/>
  </r>
  <r>
    <x v="12"/>
    <s v="Net-by-Counterparty"/>
    <x v="2"/>
    <x v="4"/>
    <s v="Clark Public Utilities"/>
    <n v="-2830"/>
    <n v="1092.2703265173072"/>
    <n v="-1545.5625120219897"/>
  </r>
  <r>
    <x v="12"/>
    <s v="Net-by-Counterparty"/>
    <x v="2"/>
    <x v="4"/>
    <s v="Clatskanie PUD"/>
    <n v="-7310"/>
    <n v="1092.2703265173072"/>
    <n v="-3992.2480434207582"/>
  </r>
  <r>
    <x v="12"/>
    <s v="Net-by-Counterparty"/>
    <x v="2"/>
    <x v="4"/>
    <s v="Colstrip - Energy Imbalance Market"/>
    <n v="105630.905"/>
    <n v="1004"/>
    <n v="53026.714310000003"/>
  </r>
  <r>
    <x v="12"/>
    <s v="Net-by-Counterparty"/>
    <x v="2"/>
    <x v="4"/>
    <s v="Conoco, Inc."/>
    <n v="-8000"/>
    <n v="1092.2703265173072"/>
    <n v="-4369.081306069229"/>
  </r>
  <r>
    <x v="12"/>
    <s v="Net-by-Counterparty"/>
    <x v="2"/>
    <x v="4"/>
    <s v="Deviation"/>
    <n v="-25311.027999999998"/>
    <n v="1092.2703265173072"/>
    <n v="-13823.242409024353"/>
  </r>
  <r>
    <x v="12"/>
    <s v="Net-by-Counterparty"/>
    <x v="2"/>
    <x v="4"/>
    <s v="Douglas County PUD #1"/>
    <n v="212117"/>
    <n v="1004"/>
    <n v="106482.734"/>
  </r>
  <r>
    <x v="12"/>
    <s v="Net-by-Counterparty"/>
    <x v="2"/>
    <x v="4"/>
    <s v="Douglas PUD - Wells Project"/>
    <n v="20574.114999999991"/>
    <n v="1004"/>
    <n v="10328.205729999994"/>
  </r>
  <r>
    <x v="12"/>
    <s v="Net-by-Counterparty"/>
    <x v="2"/>
    <x v="4"/>
    <s v="EDF Trading NA LLC"/>
    <n v="475784"/>
    <n v="1004"/>
    <n v="238843.568"/>
  </r>
  <r>
    <x v="12"/>
    <s v="Net-by-Counterparty"/>
    <x v="2"/>
    <x v="4"/>
    <s v="Encogen"/>
    <n v="1723.08"/>
    <n v="1004"/>
    <n v="864.98615999999993"/>
  </r>
  <r>
    <x v="12"/>
    <s v="Net-by-Counterparty"/>
    <x v="2"/>
    <x v="4"/>
    <s v="Energy Keepers Inc."/>
    <n v="60"/>
    <n v="1004"/>
    <n v="30.12"/>
  </r>
  <r>
    <x v="12"/>
    <s v="Net-by-Counterparty"/>
    <x v="2"/>
    <x v="4"/>
    <s v="ENMAX Energy Marketing, Inc."/>
    <n v="-296"/>
    <n v="1092.2703265173072"/>
    <n v="-161.65600832456147"/>
  </r>
  <r>
    <x v="12"/>
    <s v="Net-by-Counterparty"/>
    <x v="2"/>
    <x v="4"/>
    <s v="Eugene Water &amp; Electric"/>
    <n v="-63712"/>
    <n v="1092.2703265173072"/>
    <n v="-34795.363521535335"/>
  </r>
  <r>
    <x v="12"/>
    <s v="Net-by-Counterparty"/>
    <x v="2"/>
    <x v="4"/>
    <s v="Exelon Generation Co LLC"/>
    <n v="149950"/>
    <n v="1004"/>
    <n v="75274.899999999994"/>
  </r>
  <r>
    <x v="12"/>
    <s v="Net-by-Counterparty"/>
    <x v="2"/>
    <x v="4"/>
    <s v="Ferndale Co-Generation"/>
    <n v="70220.598999999987"/>
    <n v="1004"/>
    <n v="35250.740697999994"/>
  </r>
  <r>
    <x v="12"/>
    <s v="Net-by-Counterparty"/>
    <x v="2"/>
    <x v="4"/>
    <s v="Freddie #1"/>
    <n v="214.42699999999999"/>
    <n v="1004"/>
    <n v="107.642354"/>
  </r>
  <r>
    <x v="12"/>
    <s v="Net-by-Counterparty"/>
    <x v="2"/>
    <x v="4"/>
    <s v="Fredonia - Energy Imbalance Market"/>
    <n v="8211.0470000000023"/>
    <n v="1004"/>
    <n v="4121.9455940000007"/>
  </r>
  <r>
    <x v="12"/>
    <s v="Net-by-Counterparty"/>
    <x v="2"/>
    <x v="4"/>
    <s v="Fredrickson 1 &amp; 2"/>
    <n v="6813.1130000000003"/>
    <n v="1004"/>
    <n v="3420.1827260000005"/>
  </r>
  <r>
    <x v="12"/>
    <s v="Net-by-Counterparty"/>
    <x v="2"/>
    <x v="4"/>
    <s v="Goldendale"/>
    <n v="-40989.185000000005"/>
    <n v="0"/>
    <n v="0"/>
  </r>
  <r>
    <x v="12"/>
    <s v="Net-by-Counterparty"/>
    <x v="2"/>
    <x v="4"/>
    <s v="Grant County PUD #2"/>
    <n v="-4"/>
    <n v="1092.2703265173072"/>
    <n v="-2.1845406530346145"/>
  </r>
  <r>
    <x v="12"/>
    <s v="Net-by-Counterparty"/>
    <x v="2"/>
    <x v="4"/>
    <s v="GRIDFORCE ENERGY MANAGEMENT, LLC."/>
    <n v="-202"/>
    <n v="1092.2703265173072"/>
    <n v="-110.31930297824803"/>
  </r>
  <r>
    <x v="12"/>
    <s v="Net-by-Counterparty"/>
    <x v="2"/>
    <x v="4"/>
    <s v="Iberdrola Renewables (PPM Energy)"/>
    <n v="731570"/>
    <n v="1004"/>
    <n v="367248.14"/>
  </r>
  <r>
    <x v="12"/>
    <s v="Net-by-Counterparty"/>
    <x v="2"/>
    <x v="4"/>
    <s v="Idaho Power Company"/>
    <n v="-40797"/>
    <n v="1092.2703265173072"/>
    <n v="-22280.676255463291"/>
  </r>
  <r>
    <x v="12"/>
    <s v="Net-by-Counterparty"/>
    <x v="2"/>
    <x v="4"/>
    <s v="J. Aron &amp; Company"/>
    <n v="30000"/>
    <n v="1004"/>
    <n v="15060"/>
  </r>
  <r>
    <x v="12"/>
    <s v="Net-by-Counterparty"/>
    <x v="2"/>
    <x v="4"/>
    <s v="Lower Baker"/>
    <n v="2625.971"/>
    <n v="1004"/>
    <n v="1318.2374420000001"/>
  </r>
  <r>
    <x v="12"/>
    <s v="Net-by-Counterparty"/>
    <x v="2"/>
    <x v="4"/>
    <s v="MID-C for Energy Imbalance Market"/>
    <n v="110530.56299999999"/>
    <n v="1004"/>
    <n v="55486.342625999998"/>
  </r>
  <r>
    <x v="12"/>
    <s v="Net-by-Counterparty"/>
    <x v="2"/>
    <x v="4"/>
    <s v="Mint Farm"/>
    <n v="-16758.375999999997"/>
    <n v="0"/>
    <n v="0"/>
  </r>
  <r>
    <x v="12"/>
    <s v="Net-by-Counterparty"/>
    <x v="2"/>
    <x v="4"/>
    <s v="Morgan Stanley CG"/>
    <n v="513602"/>
    <n v="1004"/>
    <n v="257828.204"/>
  </r>
  <r>
    <x v="12"/>
    <s v="Net-by-Counterparty"/>
    <x v="2"/>
    <x v="4"/>
    <s v="Natur Ener USA"/>
    <n v="-211"/>
    <n v="1092.2703265173072"/>
    <n v="-115.23451944757592"/>
  </r>
  <r>
    <x v="12"/>
    <s v="Net-by-Counterparty"/>
    <x v="2"/>
    <x v="4"/>
    <s v="Nevada Power Company"/>
    <n v="-16"/>
    <n v="1092.2703265173072"/>
    <n v="-8.7381626121384581"/>
  </r>
  <r>
    <x v="12"/>
    <s v="Net-by-Counterparty"/>
    <x v="2"/>
    <x v="4"/>
    <s v="NextEra Energy Power Marketing"/>
    <n v="4000"/>
    <n v="1004"/>
    <n v="2008"/>
  </r>
  <r>
    <x v="12"/>
    <s v="Net-by-Counterparty"/>
    <x v="2"/>
    <x v="4"/>
    <s v="Northwestern Energy"/>
    <n v="-15807"/>
    <n v="1092.2703265173072"/>
    <n v="-8632.758525629537"/>
  </r>
  <r>
    <x v="12"/>
    <s v="Net-by-Counterparty"/>
    <x v="2"/>
    <x v="4"/>
    <s v="Okanogan PUD"/>
    <n v="26026"/>
    <n v="1004"/>
    <n v="13065.052"/>
  </r>
  <r>
    <x v="12"/>
    <s v="Net-by-Counterparty"/>
    <x v="2"/>
    <x v="4"/>
    <s v="Pacific Gas &amp; Elec - Exchange"/>
    <n v="0"/>
    <n v="1092.2703265173072"/>
    <n v="0"/>
  </r>
  <r>
    <x v="12"/>
    <s v="Net-by-Counterparty"/>
    <x v="2"/>
    <x v="4"/>
    <s v="Pacificorp"/>
    <n v="-237749"/>
    <n v="1092.2703265173072"/>
    <n v="-129843.08892958165"/>
  </r>
  <r>
    <x v="12"/>
    <s v="Net-by-Counterparty"/>
    <x v="2"/>
    <x v="4"/>
    <s v="Portland General Electric"/>
    <n v="-133050"/>
    <n v="1092.2703265173072"/>
    <n v="-72663.28347156386"/>
  </r>
  <r>
    <x v="12"/>
    <s v="Net-by-Counterparty"/>
    <x v="2"/>
    <x v="4"/>
    <s v="Powerex Corp."/>
    <n v="-1371536"/>
    <n v="1092.2703265173072"/>
    <n v="-749044.03727512073"/>
  </r>
  <r>
    <x v="12"/>
    <s v="Net-by-Counterparty"/>
    <x v="2"/>
    <x v="4"/>
    <s v="Public Service of Colorado"/>
    <n v="130513"/>
    <n v="1004"/>
    <n v="65517.525999999998"/>
  </r>
  <r>
    <x v="12"/>
    <s v="Net-by-Counterparty"/>
    <x v="2"/>
    <x v="4"/>
    <s v="Rainbow Energy Marketing"/>
    <n v="-2638"/>
    <n v="1092.2703265173072"/>
    <n v="-1440.7045606763281"/>
  </r>
  <r>
    <x v="12"/>
    <s v="Net-by-Counterparty"/>
    <x v="2"/>
    <x v="4"/>
    <s v="Sacramento Municipal"/>
    <n v="139"/>
    <n v="1004"/>
    <n v="69.778000000000006"/>
  </r>
  <r>
    <x v="12"/>
    <s v="Net-by-Counterparty"/>
    <x v="2"/>
    <x v="4"/>
    <s v="Seattle City Light Marketing"/>
    <n v="132196"/>
    <n v="1004"/>
    <n v="66362.392000000007"/>
  </r>
  <r>
    <x v="12"/>
    <s v="Net-by-Counterparty"/>
    <x v="2"/>
    <x v="4"/>
    <s v="Shell Energy (Coral Pwr)"/>
    <n v="-73192"/>
    <n v="1092.2703265173072"/>
    <n v="-39972.724869227372"/>
  </r>
  <r>
    <x v="12"/>
    <s v="Net-by-Counterparty"/>
    <x v="2"/>
    <x v="4"/>
    <s v="Snohomish County PUD #1"/>
    <n v="12341"/>
    <n v="1004"/>
    <n v="6195.1819999999998"/>
  </r>
  <r>
    <x v="12"/>
    <s v="Net-by-Counterparty"/>
    <x v="2"/>
    <x v="4"/>
    <s v="Snoqualmie-Energy Imbalance Market"/>
    <n v="1788.0920000000001"/>
    <n v="1004"/>
    <n v="897.62218400000006"/>
  </r>
  <r>
    <x v="12"/>
    <s v="Net-by-Counterparty"/>
    <x v="2"/>
    <x v="4"/>
    <s v="Sumas"/>
    <n v="24528.660000000003"/>
    <n v="1004"/>
    <n v="12313.387320000002"/>
  </r>
  <r>
    <x v="12"/>
    <s v="Net-by-Counterparty"/>
    <x v="2"/>
    <x v="4"/>
    <s v="Tacoma Power"/>
    <n v="30313"/>
    <n v="1004"/>
    <n v="15217.126"/>
  </r>
  <r>
    <x v="12"/>
    <s v="Net-by-Counterparty"/>
    <x v="2"/>
    <x v="4"/>
    <s v="Talen Energy (PPL Energy Plus)"/>
    <n v="221765"/>
    <n v="1004"/>
    <n v="111326.03"/>
  </r>
  <r>
    <x v="12"/>
    <s v="Net-by-Counterparty"/>
    <x v="2"/>
    <x v="4"/>
    <s v="Tenaska Power Services Co."/>
    <n v="-3000"/>
    <n v="1092.2703265173072"/>
    <n v="-1638.4054897759609"/>
  </r>
  <r>
    <x v="12"/>
    <s v="Net-by-Counterparty"/>
    <x v="2"/>
    <x v="4"/>
    <s v="The Energy Authority"/>
    <n v="788491"/>
    <n v="1004"/>
    <n v="395822.48200000002"/>
  </r>
  <r>
    <x v="12"/>
    <s v="Net-by-Counterparty"/>
    <x v="2"/>
    <x v="4"/>
    <s v="TransAlta Energy Marketing"/>
    <n v="-271727"/>
    <n v="1092.2703265173072"/>
    <n v="-148399.66950678418"/>
  </r>
  <r>
    <x v="12"/>
    <s v="Net-by-Counterparty"/>
    <x v="2"/>
    <x v="4"/>
    <s v="TransCanada Energy Sales Ltd"/>
    <n v="-46100"/>
    <n v="1092.2703265173072"/>
    <n v="-25176.831026223932"/>
  </r>
  <r>
    <x v="12"/>
    <s v="Net-by-Counterparty"/>
    <x v="2"/>
    <x v="4"/>
    <s v="Turlock Irrigation District"/>
    <n v="8325"/>
    <n v="1004"/>
    <n v="4179.1499999999996"/>
  </r>
  <r>
    <x v="12"/>
    <s v="Net-by-Counterparty"/>
    <x v="2"/>
    <x v="4"/>
    <s v="Upper Baker"/>
    <n v="68798.140999999989"/>
    <n v="1004"/>
    <n v="34536.666782"/>
  </r>
  <r>
    <x v="12"/>
    <s v="Net-by-Counterparty"/>
    <x v="2"/>
    <x v="4"/>
    <s v="Vitol Inc."/>
    <n v="226338"/>
    <n v="1004"/>
    <n v="113621.67600000001"/>
  </r>
  <r>
    <x v="12"/>
    <s v="Net-by-Counterparty"/>
    <x v="2"/>
    <x v="4"/>
    <s v="Whitehorn 2&amp;3"/>
    <n v="13715.259000000002"/>
    <n v="1004"/>
    <n v="6885.060018000001"/>
  </r>
  <r>
    <x v="12"/>
    <s v="Net-by-Counterparty"/>
    <x v="2"/>
    <x v="4"/>
    <s v="Wild Horse (W183)"/>
    <n v="-6494.7579999999944"/>
    <n v="0"/>
    <n v="0"/>
  </r>
  <r>
    <x v="12"/>
    <s v="Net-by-Counterparty"/>
    <x v="2"/>
    <x v="4"/>
    <s v="Williams Power Company"/>
    <n v="-3928"/>
    <n v="1092.2703265173072"/>
    <n v="-2145.2189212799917"/>
  </r>
  <r>
    <x v="13"/>
    <m/>
    <x v="3"/>
    <x v="9"/>
    <m/>
    <m/>
    <m/>
    <m/>
  </r>
</pivotCacheRecords>
</file>

<file path=xl/pivotCache/pivotCacheRecords3.xml><?xml version="1.0" encoding="utf-8"?>
<pivotCacheRecords xmlns="http://schemas.openxmlformats.org/spreadsheetml/2006/main" xmlns:r="http://schemas.openxmlformats.org/officeDocument/2006/relationships" count="2192">
  <r>
    <x v="0"/>
    <s v="Generation - Hydro"/>
    <x v="0"/>
    <x v="0"/>
    <s v="Electron"/>
    <n v="96719.5"/>
    <n v="0"/>
    <n v="0"/>
  </r>
  <r>
    <x v="0"/>
    <s v="Generation - Hydro"/>
    <x v="0"/>
    <x v="0"/>
    <s v="Lower Baker"/>
    <n v="296318.98"/>
    <n v="0"/>
    <n v="0"/>
  </r>
  <r>
    <x v="0"/>
    <s v="Generation - Hydro"/>
    <x v="0"/>
    <x v="0"/>
    <s v="Snoqualmie Falls #1"/>
    <n v="51530.6"/>
    <n v="0"/>
    <n v="0"/>
  </r>
  <r>
    <x v="0"/>
    <s v="Generation - Hydro"/>
    <x v="0"/>
    <x v="0"/>
    <s v="Snoqualmie Falls #2"/>
    <n v="139699"/>
    <n v="0"/>
    <n v="0"/>
  </r>
  <r>
    <x v="0"/>
    <s v="Generation - Hydro"/>
    <x v="0"/>
    <x v="0"/>
    <s v="Upper Baker"/>
    <n v="295224.46999999997"/>
    <n v="0"/>
    <n v="0"/>
  </r>
  <r>
    <x v="0"/>
    <s v="Generation - Steam"/>
    <x v="0"/>
    <x v="1"/>
    <s v="Colstrip 1 &amp; 2"/>
    <n v="2241315"/>
    <n v="2524.3397737488931"/>
    <n v="2828920.3"/>
  </r>
  <r>
    <x v="0"/>
    <s v="Generation - Steam"/>
    <x v="0"/>
    <x v="1"/>
    <s v="Colstrip 3 &amp; 4"/>
    <n v="2934484"/>
    <n v="2310.6620278045475"/>
    <n v="3390300.375"/>
  </r>
  <r>
    <x v="0"/>
    <s v="Generation - Steam"/>
    <x v="0"/>
    <x v="2"/>
    <s v="Encogen"/>
    <n v="459081.82"/>
    <n v="1031.6341819212798"/>
    <n v="236802.24890531611"/>
  </r>
  <r>
    <x v="0"/>
    <s v="Generation - Oil/Gas/Wind"/>
    <x v="0"/>
    <x v="3"/>
    <s v="Crystal Mountain"/>
    <n v="59.29"/>
    <n v="2020.7866419294992"/>
    <n v="59.906220000000005"/>
  </r>
  <r>
    <x v="0"/>
    <s v="Generation - Oil/Gas/Wind"/>
    <x v="0"/>
    <x v="2"/>
    <s v="Freddie #1"/>
    <n v="338805"/>
    <n v="654.2795507080267"/>
    <n v="110836.59158881649"/>
  </r>
  <r>
    <x v="0"/>
    <s v="Generation - Oil/Gas/Wind"/>
    <x v="0"/>
    <x v="2"/>
    <s v="Fredonia"/>
    <n v="12655"/>
    <n v="1064.3026985697352"/>
    <n v="6734.3753251999997"/>
  </r>
  <r>
    <x v="0"/>
    <s v="Generation - Oil/Gas/Wind"/>
    <x v="0"/>
    <x v="2"/>
    <s v="Fredrickson 1 &amp; 2"/>
    <n v="1421.5"/>
    <n v="1692.1277762926486"/>
    <n v="1202.679817"/>
  </r>
  <r>
    <x v="0"/>
    <s v="Generation - Oil/Gas/Wind"/>
    <x v="0"/>
    <x v="0"/>
    <s v="Hopkins Ridge (W184)"/>
    <n v="33670.17"/>
    <n v="0"/>
    <n v="0"/>
  </r>
  <r>
    <x v="0"/>
    <s v="Generation - Oil/Gas/Wind"/>
    <x v="0"/>
    <x v="2"/>
    <s v="Whitehorn 2&amp;3"/>
    <n v="1054.7"/>
    <n v="1564.08208400493"/>
    <n v="824.81868699999995"/>
  </r>
  <r>
    <x v="0"/>
    <s v="Purchases - Firm"/>
    <x v="1"/>
    <x v="4"/>
    <s v="BC Hydro (Point Roberts)"/>
    <n v="21622.68"/>
    <n v="1009.3086315923503"/>
    <n v="10911.978781079641"/>
  </r>
  <r>
    <x v="0"/>
    <s v="Purchases - Firm"/>
    <x v="1"/>
    <x v="0"/>
    <s v="BPA"/>
    <n v="7000"/>
    <n v="0"/>
    <n v="0"/>
  </r>
  <r>
    <x v="0"/>
    <s v="Purchases - Firm"/>
    <x v="1"/>
    <x v="4"/>
    <s v="BPA Firm - WNP#3 Exchange"/>
    <n v="407654"/>
    <n v="1009.3086315923503"/>
    <n v="205724.35045157396"/>
  </r>
  <r>
    <x v="0"/>
    <s v="Purchases - Firm"/>
    <x v="1"/>
    <x v="0"/>
    <s v="Chelan PUD - Rock Island Syst #2"/>
    <n v="1374698"/>
    <n v="0"/>
    <n v="0"/>
  </r>
  <r>
    <x v="0"/>
    <s v="Purchases - Firm"/>
    <x v="1"/>
    <x v="0"/>
    <s v="Chelan PUD - Rocky Reach"/>
    <n v="2144283"/>
    <n v="0"/>
    <n v="0"/>
  </r>
  <r>
    <x v="0"/>
    <s v="Purchases - Firm"/>
    <x v="1"/>
    <x v="0"/>
    <s v="Douglas PUD - Wells Project"/>
    <n v="1057504"/>
    <n v="0"/>
    <n v="0"/>
  </r>
  <r>
    <x v="0"/>
    <s v="Purchases - Firm"/>
    <x v="1"/>
    <x v="0"/>
    <s v="Grant PUD - Priest Rapids"/>
    <n v="386705"/>
    <n v="0"/>
    <n v="0"/>
  </r>
  <r>
    <x v="0"/>
    <s v="Purchases - Firm"/>
    <x v="1"/>
    <x v="0"/>
    <s v="Grant PUD - Wanapum"/>
    <n v="434635"/>
    <n v="0"/>
    <n v="0"/>
  </r>
  <r>
    <x v="0"/>
    <s v="Purchases - Firm"/>
    <x v="1"/>
    <x v="1"/>
    <s v="NWestern Energy(MPC) Firm Contract"/>
    <n v="801043"/>
    <n v="2204.67384728877"/>
    <n v="883019.27632686915"/>
  </r>
  <r>
    <x v="0"/>
    <s v="Purchases - Firm"/>
    <x v="1"/>
    <x v="4"/>
    <s v="Snohomish PUD Conservation"/>
    <n v="89728"/>
    <n v="1009.3086315923503"/>
    <n v="45281.622447759204"/>
  </r>
  <r>
    <x v="0"/>
    <s v="Purchases - Firm"/>
    <x v="1"/>
    <x v="0"/>
    <s v="VanderHaak Dairy Digester"/>
    <n v="1790.16"/>
    <n v="0"/>
    <n v="0"/>
  </r>
  <r>
    <x v="0"/>
    <s v="Purchases - Firm"/>
    <x v="1"/>
    <x v="0"/>
    <s v="WASCO Hydro"/>
    <n v="41804"/>
    <n v="0"/>
    <n v="0"/>
  </r>
  <r>
    <x v="0"/>
    <s v="Purchases - PURPA"/>
    <x v="1"/>
    <x v="0"/>
    <s v="Hutchinson Creek"/>
    <n v="2364"/>
    <n v="0"/>
    <n v="0"/>
  </r>
  <r>
    <x v="0"/>
    <s v="Purchases - PURPA"/>
    <x v="1"/>
    <x v="0"/>
    <s v="Koma Kulshan Associates"/>
    <n v="31836"/>
    <n v="0"/>
    <n v="0"/>
  </r>
  <r>
    <x v="0"/>
    <s v="Purchases - PURPA"/>
    <x v="1"/>
    <x v="2"/>
    <s v="March Point Cogen. - 1 &amp; 2"/>
    <n v="1016806.3799999999"/>
    <n v="726.8007471056178"/>
    <n v="369507.81832287932"/>
  </r>
  <r>
    <x v="0"/>
    <s v="Purchases - PURPA"/>
    <x v="1"/>
    <x v="0"/>
    <s v="Nooksack"/>
    <n v="18809.374"/>
    <n v="0"/>
    <n v="0"/>
  </r>
  <r>
    <x v="0"/>
    <s v="Purchases - PURPA"/>
    <x v="1"/>
    <x v="5"/>
    <s v="Port Townsend Paper Co."/>
    <n v="2498.48"/>
    <n v="985.78559425261631"/>
    <n v="1231.4827957641385"/>
  </r>
  <r>
    <x v="0"/>
    <s v="Purchases - PURPA"/>
    <x v="1"/>
    <x v="0"/>
    <s v="Puyallup Energy Recovery Company"/>
    <n v="6483.9880000000003"/>
    <n v="0"/>
    <n v="0"/>
  </r>
  <r>
    <x v="0"/>
    <s v="Purchases - PURPA"/>
    <x v="1"/>
    <x v="6"/>
    <s v="Spokane MSW"/>
    <n v="147314"/>
    <n v="4414.956753741686"/>
    <n v="325192.46961035137"/>
  </r>
  <r>
    <x v="0"/>
    <s v="Purchases - PURPA"/>
    <x v="1"/>
    <x v="2"/>
    <s v="Sumas Cogeneration"/>
    <n v="1032316.53"/>
    <n v="927.49481162721986"/>
    <n v="478734.11276600766"/>
  </r>
  <r>
    <x v="0"/>
    <s v="Purchases - PURPA"/>
    <x v="1"/>
    <x v="0"/>
    <s v="Sygitowicz Creek"/>
    <n v="4.6399999999999997"/>
    <n v="0"/>
    <n v="0"/>
  </r>
  <r>
    <x v="0"/>
    <s v="Purchases - PURPA"/>
    <x v="1"/>
    <x v="2"/>
    <s v="Tenaska"/>
    <n v="523309.64"/>
    <n v="885.49544452606233"/>
    <n v="231694.15114828682"/>
  </r>
  <r>
    <x v="0"/>
    <s v="Purchases - PURPA"/>
    <x v="1"/>
    <x v="0"/>
    <s v="Twin Falls Hydro"/>
    <n v="48463"/>
    <n v="0"/>
    <n v="0"/>
  </r>
  <r>
    <x v="0"/>
    <s v="Purchases - PURPA"/>
    <x v="1"/>
    <x v="0"/>
    <s v="Weeks Falls"/>
    <n v="8206.7999999999993"/>
    <n v="0"/>
    <n v="0"/>
  </r>
  <r>
    <x v="0"/>
    <s v="Purchases - Secondary"/>
    <x v="2"/>
    <x v="4"/>
    <s v="Arizona Public Service"/>
    <n v="308755"/>
    <n v="1009.3086315923503"/>
    <n v="155814.54327364804"/>
  </r>
  <r>
    <x v="0"/>
    <s v="Purchases - Secondary"/>
    <x v="2"/>
    <x v="4"/>
    <s v="ATCO Power Canada"/>
    <n v="1589"/>
    <n v="1009.3086315923503"/>
    <n v="801.8957078001223"/>
  </r>
  <r>
    <x v="0"/>
    <s v="Purchases - Secondary"/>
    <x v="2"/>
    <x v="4"/>
    <s v="Avista Corp. WWP Division"/>
    <n v="61319.42"/>
    <n v="1009.3086315923503"/>
    <n v="30945.109945118296"/>
  </r>
  <r>
    <x v="0"/>
    <s v="Purchases - Secondary"/>
    <x v="2"/>
    <x v="4"/>
    <s v="Avista Energy"/>
    <n v="764907"/>
    <n v="1009.3086315923503"/>
    <n v="386013.61873270496"/>
  </r>
  <r>
    <x v="0"/>
    <s v="Purchases - Secondary"/>
    <x v="2"/>
    <x v="4"/>
    <s v="Benton County PUD"/>
    <n v="15549"/>
    <n v="1009.3086315923503"/>
    <n v="7846.8699563147266"/>
  </r>
  <r>
    <x v="0"/>
    <s v="Purchases - Secondary"/>
    <x v="2"/>
    <x v="4"/>
    <s v="Black Hills Power"/>
    <n v="19825"/>
    <n v="1009.3086315923503"/>
    <n v="10004.771810659173"/>
  </r>
  <r>
    <x v="0"/>
    <s v="Purchases - Secondary"/>
    <x v="2"/>
    <x v="4"/>
    <s v="Book Outs - EITF 03-11"/>
    <n v="-1263279"/>
    <n v="1009.3086315923503"/>
    <n v="-637519.19940467633"/>
  </r>
  <r>
    <x v="0"/>
    <s v="Purchases - Secondary"/>
    <x v="2"/>
    <x v="4"/>
    <s v="BP Energy Co."/>
    <n v="121032"/>
    <n v="1009.3086315923503"/>
    <n v="61079.321149442665"/>
  </r>
  <r>
    <x v="0"/>
    <s v="Purchases - Secondary"/>
    <x v="2"/>
    <x v="4"/>
    <s v="BPA"/>
    <n v="617085"/>
    <n v="1009.3086315923503"/>
    <n v="311414.60846308275"/>
  </r>
  <r>
    <x v="0"/>
    <s v="Purchases - Secondary"/>
    <x v="2"/>
    <x v="4"/>
    <s v="Burbank, City of"/>
    <n v="6019"/>
    <n v="1009.3086315923503"/>
    <n v="3037.5143267771778"/>
  </r>
  <r>
    <x v="0"/>
    <s v="Purchases - Secondary"/>
    <x v="2"/>
    <x v="4"/>
    <s v="Calpine Energy Management"/>
    <n v="116791"/>
    <n v="1009.3086315923503"/>
    <n v="58939.082196151096"/>
  </r>
  <r>
    <x v="0"/>
    <s v="Purchases - Secondary"/>
    <x v="2"/>
    <x v="4"/>
    <s v="Calpine Energy Services"/>
    <n v="111066"/>
    <n v="1009.3086315923503"/>
    <n v="56049.93623821799"/>
  </r>
  <r>
    <x v="0"/>
    <s v="Purchases - Secondary"/>
    <x v="2"/>
    <x v="4"/>
    <s v="Cargill Power Markets"/>
    <n v="62417"/>
    <n v="1009.3086315923503"/>
    <n v="31499.008429049863"/>
  </r>
  <r>
    <x v="0"/>
    <s v="Purchases - Secondary"/>
    <x v="2"/>
    <x v="4"/>
    <s v="Chelan County PUD #1"/>
    <n v="86002"/>
    <n v="1009.3086315923503"/>
    <n v="43401.280467102653"/>
  </r>
  <r>
    <x v="0"/>
    <s v="Purchases - Secondary"/>
    <x v="2"/>
    <x v="4"/>
    <s v="Citigroup Energy Inc"/>
    <n v="5000"/>
    <n v="1009.3086315923503"/>
    <n v="2523.2715789808758"/>
  </r>
  <r>
    <x v="0"/>
    <s v="Purchases - Secondary"/>
    <x v="2"/>
    <x v="4"/>
    <s v="Clatskanie PUD"/>
    <n v="11269"/>
    <n v="1009.3086315923503"/>
    <n v="5686.9494847070973"/>
  </r>
  <r>
    <x v="0"/>
    <s v="Purchases - Secondary"/>
    <x v="2"/>
    <x v="4"/>
    <s v="Conoco, Inc."/>
    <n v="21703"/>
    <n v="1009.3086315923503"/>
    <n v="10952.512615724389"/>
  </r>
  <r>
    <x v="0"/>
    <s v="Purchases - Secondary"/>
    <x v="2"/>
    <x v="4"/>
    <s v="Constellation Power Source, Inc."/>
    <n v="505863"/>
    <n v="1009.3086315923503"/>
    <n v="255285.94615160054"/>
  </r>
  <r>
    <x v="0"/>
    <s v="Purchases - Secondary"/>
    <x v="2"/>
    <x v="4"/>
    <s v="Douglas County PUD #1"/>
    <n v="283186"/>
    <n v="1009.3086315923503"/>
    <n v="142911.03707305566"/>
  </r>
  <r>
    <x v="0"/>
    <s v="Purchases - Secondary"/>
    <x v="2"/>
    <x v="4"/>
    <s v="ENMAX Energy Marketing, Inc."/>
    <n v="4290"/>
    <n v="1009.3086315923503"/>
    <n v="2164.9670147655916"/>
  </r>
  <r>
    <x v="0"/>
    <s v="Purchases - Secondary"/>
    <x v="2"/>
    <x v="4"/>
    <s v="Epcor Merchant &amp; Capital"/>
    <n v="135120"/>
    <n v="1009.3086315923503"/>
    <n v="68188.891150379175"/>
  </r>
  <r>
    <x v="0"/>
    <s v="Purchases - Secondary"/>
    <x v="2"/>
    <x v="4"/>
    <s v="Eugene Water &amp; Electric"/>
    <n v="41301"/>
    <n v="1009.3086315923503"/>
    <n v="20842.72789669783"/>
  </r>
  <r>
    <x v="0"/>
    <s v="Purchases - Secondary"/>
    <x v="2"/>
    <x v="4"/>
    <s v="Franklin County PUD #1"/>
    <n v="7145"/>
    <n v="1009.3086315923503"/>
    <n v="3605.7550863636711"/>
  </r>
  <r>
    <x v="0"/>
    <s v="Purchases - Secondary"/>
    <x v="2"/>
    <x v="4"/>
    <s v="Grant County PUD #2"/>
    <n v="40585"/>
    <n v="1009.3086315923503"/>
    <n v="20481.39540658777"/>
  </r>
  <r>
    <x v="0"/>
    <s v="Purchases - Secondary"/>
    <x v="2"/>
    <x v="4"/>
    <s v="Grays Harbor PUD #1"/>
    <n v="13983"/>
    <n v="1009.3086315923503"/>
    <n v="7056.5812977779169"/>
  </r>
  <r>
    <x v="0"/>
    <s v="Purchases - Secondary"/>
    <x v="2"/>
    <x v="4"/>
    <s v="Iberdrola Renewables (PPM Energy)"/>
    <n v="456966"/>
    <n v="1009.3086315923503"/>
    <n v="230609.86407211499"/>
  </r>
  <r>
    <x v="0"/>
    <s v="Purchases - Secondary"/>
    <x v="2"/>
    <x v="4"/>
    <s v="Idaho Falls Power"/>
    <n v="21760"/>
    <n v="1009.3086315923503"/>
    <n v="10981.27791172477"/>
  </r>
  <r>
    <x v="0"/>
    <s v="Purchases - Secondary"/>
    <x v="2"/>
    <x v="4"/>
    <s v="Idaho Power Company"/>
    <n v="25318"/>
    <n v="1009.3086315923503"/>
    <n v="12776.837967327561"/>
  </r>
  <r>
    <x v="0"/>
    <s v="Purchases - Secondary"/>
    <x v="2"/>
    <x v="4"/>
    <s v="J. Aron &amp; Company"/>
    <n v="12800"/>
    <n v="1009.3086315923503"/>
    <n v="6459.575242191042"/>
  </r>
  <r>
    <x v="0"/>
    <s v="Purchases - Secondary"/>
    <x v="2"/>
    <x v="4"/>
    <s v="Klamath Falls, City of"/>
    <n v="19175"/>
    <n v="1009.3086315923503"/>
    <n v="9676.7465053916567"/>
  </r>
  <r>
    <x v="0"/>
    <s v="Purchases - Secondary"/>
    <x v="2"/>
    <x v="4"/>
    <s v="Los Angeles Dept. Water &amp; Power"/>
    <n v="6008"/>
    <n v="1009.3086315923503"/>
    <n v="3031.9631293034199"/>
  </r>
  <r>
    <x v="0"/>
    <s v="Purchases - Secondary"/>
    <x v="2"/>
    <x v="4"/>
    <s v="Macquarie Energy LLC"/>
    <n v="243625"/>
    <n v="1009.3086315923503"/>
    <n v="122946.40768584317"/>
  </r>
  <r>
    <x v="0"/>
    <s v="Purchases - Secondary"/>
    <x v="2"/>
    <x v="4"/>
    <s v="Merrill Lynch Commodities"/>
    <n v="22000"/>
    <n v="1009.3086315923503"/>
    <n v="11102.394947515853"/>
  </r>
  <r>
    <x v="0"/>
    <s v="Purchases - Secondary"/>
    <x v="2"/>
    <x v="4"/>
    <s v="Modesto Irrigation District"/>
    <n v="731"/>
    <n v="1009.3086315923503"/>
    <n v="368.90230484700402"/>
  </r>
  <r>
    <x v="0"/>
    <s v="Purchases - Secondary"/>
    <x v="2"/>
    <x v="4"/>
    <s v="Morgan Stanley CG"/>
    <n v="78183"/>
    <n v="1009.3086315923503"/>
    <n v="39455.388371892361"/>
  </r>
  <r>
    <x v="0"/>
    <s v="Purchases - Secondary"/>
    <x v="2"/>
    <x v="4"/>
    <s v="N. California Power Agency"/>
    <n v="9220"/>
    <n v="1009.3086315923503"/>
    <n v="4652.9127916407342"/>
  </r>
  <r>
    <x v="0"/>
    <s v="Purchases - Secondary"/>
    <x v="2"/>
    <x v="4"/>
    <s v="Noble Americas Energy Solutions"/>
    <n v="9400"/>
    <n v="1009.3086315923503"/>
    <n v="4743.7505684840462"/>
  </r>
  <r>
    <x v="0"/>
    <s v="Purchases - Secondary"/>
    <x v="2"/>
    <x v="4"/>
    <s v="NorthPoint Energy Solutions, Inc."/>
    <n v="1069"/>
    <n v="1009.3086315923503"/>
    <n v="539.47546358611123"/>
  </r>
  <r>
    <x v="0"/>
    <s v="Purchases - Secondary"/>
    <x v="2"/>
    <x v="4"/>
    <s v="Northwestern Energy"/>
    <n v="13643"/>
    <n v="1009.3086315923503"/>
    <n v="6884.9988304072167"/>
  </r>
  <r>
    <x v="0"/>
    <s v="Purchases - Secondary"/>
    <x v="2"/>
    <x v="4"/>
    <s v="Okanogan PUD"/>
    <n v="1922"/>
    <n v="1009.3086315923503"/>
    <n v="969.94559496024851"/>
  </r>
  <r>
    <x v="0"/>
    <s v="Purchases - Secondary"/>
    <x v="2"/>
    <x v="4"/>
    <s v="Pacific Northwest Generatin Coop."/>
    <n v="117381"/>
    <n v="1009.3086315923503"/>
    <n v="59236.82824247083"/>
  </r>
  <r>
    <x v="0"/>
    <s v="Purchases - Secondary"/>
    <x v="2"/>
    <x v="4"/>
    <s v="Pacificorp"/>
    <n v="202512"/>
    <n v="1009.3086315923503"/>
    <n v="102198.554800515"/>
  </r>
  <r>
    <x v="0"/>
    <s v="Purchases - Secondary"/>
    <x v="2"/>
    <x v="4"/>
    <s v="Pinnacle West Capital Corp"/>
    <n v="462826"/>
    <n v="1009.3086315923503"/>
    <n v="233567.13836268056"/>
  </r>
  <r>
    <x v="0"/>
    <s v="Purchases - Secondary"/>
    <x v="2"/>
    <x v="4"/>
    <s v="Portland General Electric"/>
    <n v="156352"/>
    <n v="1009.3086315923503"/>
    <n v="78903.711583363576"/>
  </r>
  <r>
    <x v="0"/>
    <s v="Purchases - Secondary"/>
    <x v="2"/>
    <x v="4"/>
    <s v="Powerex Corp."/>
    <n v="636760"/>
    <n v="1009.3086315923503"/>
    <n v="321343.68212637247"/>
  </r>
  <r>
    <x v="0"/>
    <s v="Purchases - Secondary"/>
    <x v="2"/>
    <x v="4"/>
    <s v="PP&amp;L Montana, LLC."/>
    <n v="47005"/>
    <n v="1009.3086315923503"/>
    <n v="23721.276113999211"/>
  </r>
  <r>
    <x v="0"/>
    <s v="Purchases - Secondary"/>
    <x v="2"/>
    <x v="4"/>
    <s v="Public Service of Colorado"/>
    <n v="82800"/>
    <n v="1009.3086315923503"/>
    <n v="41785.377347923299"/>
  </r>
  <r>
    <x v="0"/>
    <s v="Purchases - Secondary"/>
    <x v="2"/>
    <x v="4"/>
    <s v="Rainbow Energy Marketing"/>
    <n v="84193"/>
    <n v="1009.3086315923503"/>
    <n v="42488.360809827369"/>
  </r>
  <r>
    <x v="0"/>
    <s v="Purchases - Secondary"/>
    <x v="2"/>
    <x v="4"/>
    <s v="Redding, City of"/>
    <n v="2052"/>
    <n v="1009.3086315923503"/>
    <n v="1035.5506560137514"/>
  </r>
  <r>
    <x v="0"/>
    <s v="Purchases - Secondary"/>
    <x v="2"/>
    <x v="4"/>
    <s v="Sacramento Municipal"/>
    <n v="2718"/>
    <n v="1009.3086315923503"/>
    <n v="1371.6504303340041"/>
  </r>
  <r>
    <x v="0"/>
    <s v="Purchases - Secondary"/>
    <x v="2"/>
    <x v="4"/>
    <s v="San Diego Gas &amp; Electric"/>
    <n v="1285"/>
    <n v="1009.3086315923503"/>
    <n v="648.48079579808507"/>
  </r>
  <r>
    <x v="0"/>
    <s v="Purchases - Secondary"/>
    <x v="2"/>
    <x v="4"/>
    <s v="Seattle City Light Marketing"/>
    <n v="82827"/>
    <n v="1009.3086315923503"/>
    <n v="41799.003014449794"/>
  </r>
  <r>
    <x v="0"/>
    <s v="Purchases - Secondary"/>
    <x v="2"/>
    <x v="4"/>
    <s v="Sempra Energy Trading"/>
    <n v="519878"/>
    <n v="1009.3086315923503"/>
    <n v="262358.67638748395"/>
  </r>
  <r>
    <x v="0"/>
    <s v="Purchases - Secondary"/>
    <x v="2"/>
    <x v="4"/>
    <s v="Shell Energy (Coral Pwr)"/>
    <n v="552827"/>
    <n v="1009.3086315923503"/>
    <n v="278986.53143865208"/>
  </r>
  <r>
    <x v="0"/>
    <s v="Purchases - Secondary"/>
    <x v="2"/>
    <x v="4"/>
    <s v="Sierra Pacific Power"/>
    <n v="2257"/>
    <n v="1009.3086315923503"/>
    <n v="1139.0047907519674"/>
  </r>
  <r>
    <x v="0"/>
    <s v="Purchases - Secondary"/>
    <x v="2"/>
    <x v="4"/>
    <s v="Silicon Valley Pwr - Santa Clara"/>
    <n v="2396"/>
    <n v="1009.3086315923503"/>
    <n v="1209.1517406476357"/>
  </r>
  <r>
    <x v="0"/>
    <s v="Purchases - Secondary"/>
    <x v="2"/>
    <x v="4"/>
    <s v="Snohomish County PUD #1"/>
    <n v="31194"/>
    <n v="1009.3086315923503"/>
    <n v="15742.186726945887"/>
  </r>
  <r>
    <x v="0"/>
    <s v="Purchases - Secondary"/>
    <x v="2"/>
    <x v="4"/>
    <s v="Southern Cal - Edison"/>
    <n v="69229"/>
    <n v="1009.3086315923503"/>
    <n v="34936.713628253405"/>
  </r>
  <r>
    <x v="0"/>
    <s v="Purchases - Secondary"/>
    <x v="2"/>
    <x v="4"/>
    <s v="SUEZ Energy Marketing (Tractebel)"/>
    <n v="155175"/>
    <n v="1009.3086315923503"/>
    <n v="78309.733453671477"/>
  </r>
  <r>
    <x v="0"/>
    <s v="Purchases - Secondary"/>
    <x v="2"/>
    <x v="4"/>
    <s v="Tacoma Power"/>
    <n v="73331"/>
    <n v="1009.3086315923503"/>
    <n v="37006.805631649317"/>
  </r>
  <r>
    <x v="0"/>
    <s v="Purchases - Secondary"/>
    <x v="2"/>
    <x v="4"/>
    <s v="Tenaska"/>
    <n v="526"/>
    <n v="1009.3086315923503"/>
    <n v="265.44817010878813"/>
  </r>
  <r>
    <x v="0"/>
    <s v="Purchases - Secondary"/>
    <x v="2"/>
    <x v="4"/>
    <s v="TransAlta Energy Marketing"/>
    <n v="952384"/>
    <n v="1009.3086315923503"/>
    <n v="480624.69589522446"/>
  </r>
  <r>
    <x v="0"/>
    <s v="Purchases - Secondary"/>
    <x v="2"/>
    <x v="4"/>
    <s v="TransCanada Power Corp."/>
    <n v="2211"/>
    <n v="1009.3086315923503"/>
    <n v="1115.7906922253433"/>
  </r>
  <r>
    <x v="0"/>
    <s v="Purchases - Secondary"/>
    <x v="2"/>
    <x v="4"/>
    <s v="Turlock Irrigation District"/>
    <n v="54814"/>
    <n v="1009.3086315923503"/>
    <n v="27662.121666051546"/>
  </r>
  <r>
    <x v="0"/>
    <s v="Purchases - Secondary"/>
    <x v="2"/>
    <x v="4"/>
    <s v="UBS AG"/>
    <n v="9670"/>
    <n v="1009.3086315923503"/>
    <n v="4880.0072337490137"/>
  </r>
  <r>
    <x v="0"/>
    <s v="Purchases - Secondary"/>
    <x v="2"/>
    <x v="4"/>
    <s v="Western Area Power Association"/>
    <n v="60"/>
    <n v="1009.3086315923503"/>
    <n v="30.279258947770508"/>
  </r>
  <r>
    <x v="0"/>
    <s v="Interchange - In"/>
    <x v="2"/>
    <x v="4"/>
    <s v="Black Creek Hydro"/>
    <n v="3735"/>
    <n v="1009.3086315923503"/>
    <n v="1884.8838694987141"/>
  </r>
  <r>
    <x v="0"/>
    <s v="Interchange - In"/>
    <x v="2"/>
    <x v="4"/>
    <s v="BPA"/>
    <n v="59275"/>
    <n v="1009.3086315923503"/>
    <n v="29913.384568818281"/>
  </r>
  <r>
    <x v="0"/>
    <s v="Interchange - In"/>
    <x v="2"/>
    <x v="4"/>
    <s v="Franklin County PUD #1"/>
    <n v="2520"/>
    <n v="1009.3086315923503"/>
    <n v="1271.7288758063612"/>
  </r>
  <r>
    <x v="0"/>
    <s v="Interchange - In"/>
    <x v="2"/>
    <x v="4"/>
    <s v="Pacific Gas &amp; Elec - Exchange"/>
    <n v="413000"/>
    <n v="1009.3086315923503"/>
    <n v="208422.23242382033"/>
  </r>
  <r>
    <x v="0"/>
    <s v="Interchange - In"/>
    <x v="2"/>
    <x v="4"/>
    <s v="Powerex - Exchange"/>
    <n v="745956"/>
    <n v="1009.3086315923503"/>
    <n v="376449.91479405161"/>
  </r>
  <r>
    <x v="0"/>
    <s v="Interchange - In"/>
    <x v="2"/>
    <x v="4"/>
    <s v="Powerex Corp."/>
    <n v="76800"/>
    <n v="1009.3086315923503"/>
    <n v="38757.451453146248"/>
  </r>
  <r>
    <x v="0"/>
    <s v="Interchange - In"/>
    <x v="2"/>
    <x v="4"/>
    <s v="Seattle City Light Marketing"/>
    <n v="659600"/>
    <n v="1009.3086315923503"/>
    <n v="332869.9866991571"/>
  </r>
  <r>
    <x v="0"/>
    <s v="Interchange - In"/>
    <x v="2"/>
    <x v="4"/>
    <s v="TransAlta Energy Marketing"/>
    <n v="1708150"/>
    <n v="1009.3086315923503"/>
    <n v="862025.26952723658"/>
  </r>
  <r>
    <x v="0"/>
    <s v="Interchange - Out"/>
    <x v="2"/>
    <x v="4"/>
    <s v="Black Creek Hydro"/>
    <n v="-3839"/>
    <n v="1009.3086315923503"/>
    <n v="-1937.3679183415163"/>
  </r>
  <r>
    <x v="0"/>
    <s v="Interchange - Out"/>
    <x v="2"/>
    <x v="4"/>
    <s v="BPA"/>
    <n v="-59925"/>
    <n v="1009.3086315923503"/>
    <n v="-30241.409874085795"/>
  </r>
  <r>
    <x v="0"/>
    <s v="Interchange - Out"/>
    <x v="2"/>
    <x v="4"/>
    <s v="Deviation"/>
    <n v="-25112.42"/>
    <n v="1009.3086315923503"/>
    <n v="-12673.091133086184"/>
  </r>
  <r>
    <x v="0"/>
    <s v="Interchange - Out"/>
    <x v="2"/>
    <x v="4"/>
    <s v="Franklin County PUD #1"/>
    <n v="-2520"/>
    <n v="1009.3086315923503"/>
    <n v="-1271.7288758063612"/>
  </r>
  <r>
    <x v="0"/>
    <s v="Interchange - Out"/>
    <x v="2"/>
    <x v="4"/>
    <s v="Pacific Gas &amp; Elec - Exchange"/>
    <n v="-413000"/>
    <n v="1009.3086315923503"/>
    <n v="-208422.23242382033"/>
  </r>
  <r>
    <x v="0"/>
    <s v="Interchange - Out"/>
    <x v="2"/>
    <x v="4"/>
    <s v="Powerex - Exchange"/>
    <n v="-745956"/>
    <n v="1009.3086315923503"/>
    <n v="-376449.91479405161"/>
  </r>
  <r>
    <x v="0"/>
    <s v="Interchange - Out"/>
    <x v="2"/>
    <x v="4"/>
    <s v="Powerex Corp."/>
    <n v="-76800"/>
    <n v="1009.3086315923503"/>
    <n v="-38757.451453146248"/>
  </r>
  <r>
    <x v="0"/>
    <s v="Interchange - Out"/>
    <x v="2"/>
    <x v="4"/>
    <s v="Seattle City Light Marketing"/>
    <n v="-659600"/>
    <n v="1009.3086315923503"/>
    <n v="-332869.9866991571"/>
  </r>
  <r>
    <x v="0"/>
    <s v="Interchange - Out"/>
    <x v="2"/>
    <x v="4"/>
    <s v="TransAlta Energy Marketing"/>
    <n v="-1708150"/>
    <n v="1009.3086315923503"/>
    <n v="-862025.26952723658"/>
  </r>
  <r>
    <x v="0"/>
    <s v="Sales for Resale"/>
    <x v="2"/>
    <x v="4"/>
    <s v="Arizona Public Service"/>
    <n v="-1600"/>
    <n v="1009.3086315923503"/>
    <n v="-807.44690527388025"/>
  </r>
  <r>
    <x v="0"/>
    <s v="Sales for Resale"/>
    <x v="2"/>
    <x v="4"/>
    <s v="Avista Corp. WWP Division"/>
    <n v="-52058"/>
    <n v="1009.3086315923503"/>
    <n v="-26271.294371717286"/>
  </r>
  <r>
    <x v="0"/>
    <s v="Sales for Resale"/>
    <x v="2"/>
    <x v="4"/>
    <s v="Avista Energy"/>
    <n v="-279013"/>
    <n v="1009.3086315923503"/>
    <n v="-140805.11461323823"/>
  </r>
  <r>
    <x v="0"/>
    <s v="Sales for Resale"/>
    <x v="2"/>
    <x v="4"/>
    <s v="Benton County PUD"/>
    <n v="-5815"/>
    <n v="1009.3086315923503"/>
    <n v="-2934.5648463547582"/>
  </r>
  <r>
    <x v="0"/>
    <s v="Sales for Resale"/>
    <x v="2"/>
    <x v="4"/>
    <s v="Black Hills Power"/>
    <n v="-1362"/>
    <n v="1009.3086315923503"/>
    <n v="-687.33917811439051"/>
  </r>
  <r>
    <x v="0"/>
    <s v="Sales for Resale"/>
    <x v="2"/>
    <x v="4"/>
    <s v="Book Outs - EITF 03-11"/>
    <n v="1263279"/>
    <n v="1009.3086315923503"/>
    <n v="637519.19940467633"/>
  </r>
  <r>
    <x v="0"/>
    <s v="Sales for Resale"/>
    <x v="2"/>
    <x v="4"/>
    <s v="BP Energy Co."/>
    <n v="-53482"/>
    <n v="1009.3086315923503"/>
    <n v="-26989.922117411039"/>
  </r>
  <r>
    <x v="0"/>
    <s v="Sales for Resale"/>
    <x v="2"/>
    <x v="4"/>
    <s v="BPA"/>
    <n v="-62440"/>
    <n v="1009.3086315923503"/>
    <n v="-31510.615478313175"/>
  </r>
  <r>
    <x v="0"/>
    <s v="Sales for Resale"/>
    <x v="2"/>
    <x v="4"/>
    <s v="Burbank, City of"/>
    <n v="-2500"/>
    <n v="1009.3086315923503"/>
    <n v="-1261.6357894904379"/>
  </r>
  <r>
    <x v="0"/>
    <s v="Sales for Resale"/>
    <x v="2"/>
    <x v="4"/>
    <s v="Calpine Energy Management"/>
    <n v="-53467"/>
    <n v="1009.3086315923503"/>
    <n v="-26982.352302674095"/>
  </r>
  <r>
    <x v="0"/>
    <s v="Sales for Resale"/>
    <x v="2"/>
    <x v="4"/>
    <s v="Calpine Energy Services"/>
    <n v="-469"/>
    <n v="1009.3086315923503"/>
    <n v="-236.68287410840614"/>
  </r>
  <r>
    <x v="0"/>
    <s v="Sales for Resale"/>
    <x v="2"/>
    <x v="4"/>
    <s v="Cargill Power Markets"/>
    <n v="-75465"/>
    <n v="1009.3086315923503"/>
    <n v="-38083.737941558356"/>
  </r>
  <r>
    <x v="0"/>
    <s v="Sales for Resale"/>
    <x v="2"/>
    <x v="4"/>
    <s v="Chelan County PUD #1"/>
    <n v="-3000"/>
    <n v="1009.3086315923503"/>
    <n v="-1513.9629473885254"/>
  </r>
  <r>
    <x v="0"/>
    <s v="Sales for Resale"/>
    <x v="2"/>
    <x v="4"/>
    <s v="Citigroup Energy Inc"/>
    <n v="-14400"/>
    <n v="1009.3086315923503"/>
    <n v="-7267.0221474649215"/>
  </r>
  <r>
    <x v="0"/>
    <s v="Sales for Resale"/>
    <x v="2"/>
    <x v="4"/>
    <s v="Clatskanie PUD"/>
    <n v="-3681"/>
    <n v="1009.3086315923503"/>
    <n v="-1857.6325364457207"/>
  </r>
  <r>
    <x v="0"/>
    <s v="Sales for Resale"/>
    <x v="2"/>
    <x v="4"/>
    <s v="Conoco, Inc."/>
    <n v="-18450"/>
    <n v="1009.3086315923503"/>
    <n v="-9310.8721264394317"/>
  </r>
  <r>
    <x v="0"/>
    <s v="Sales for Resale"/>
    <x v="2"/>
    <x v="4"/>
    <s v="Constellation Power Source, Inc."/>
    <n v="-72439"/>
    <n v="1009.3086315923503"/>
    <n v="-36556.653981959127"/>
  </r>
  <r>
    <x v="0"/>
    <s v="Sales for Resale"/>
    <x v="2"/>
    <x v="4"/>
    <s v="ENMAX Energy Marketing, Inc."/>
    <n v="-13763"/>
    <n v="1009.3086315923503"/>
    <n v="-6945.5573483027583"/>
  </r>
  <r>
    <x v="0"/>
    <s v="Sales for Resale"/>
    <x v="2"/>
    <x v="4"/>
    <s v="Epcor Merchant &amp; Capital"/>
    <n v="-47080"/>
    <n v="1009.3086315923503"/>
    <n v="-23759.125187683923"/>
  </r>
  <r>
    <x v="0"/>
    <s v="Sales for Resale"/>
    <x v="2"/>
    <x v="4"/>
    <s v="Eugene Water &amp; Electric"/>
    <n v="-13400"/>
    <n v="1009.3086315923503"/>
    <n v="-6762.3678316687465"/>
  </r>
  <r>
    <x v="0"/>
    <s v="Sales for Resale"/>
    <x v="2"/>
    <x v="4"/>
    <s v="Franklin County PUD #1"/>
    <n v="-2610"/>
    <n v="1009.3086315923503"/>
    <n v="-1317.147764228017"/>
  </r>
  <r>
    <x v="0"/>
    <s v="Sales for Resale"/>
    <x v="2"/>
    <x v="4"/>
    <s v="Grant County PUD #2"/>
    <n v="-5050"/>
    <n v="1009.3086315923503"/>
    <n v="-2548.5042947706847"/>
  </r>
  <r>
    <x v="0"/>
    <s v="Sales for Resale"/>
    <x v="2"/>
    <x v="4"/>
    <s v="Grays Harbor PUD #1"/>
    <n v="-3395"/>
    <n v="1009.3086315923503"/>
    <n v="-1713.3014021280144"/>
  </r>
  <r>
    <x v="0"/>
    <s v="Sales for Resale"/>
    <x v="2"/>
    <x v="4"/>
    <s v="Hinson Power Company"/>
    <n v="-400"/>
    <n v="1009.3086315923503"/>
    <n v="-201.86172631847006"/>
  </r>
  <r>
    <x v="0"/>
    <s v="Sales for Resale"/>
    <x v="2"/>
    <x v="4"/>
    <s v="Iberdrola Renewables (PPM Energy)"/>
    <n v="-201269"/>
    <n v="1009.3086315923503"/>
    <n v="-101571.26948598037"/>
  </r>
  <r>
    <x v="0"/>
    <s v="Sales for Resale"/>
    <x v="2"/>
    <x v="4"/>
    <s v="Idaho Power Company"/>
    <n v="-13645"/>
    <n v="1009.3086315923503"/>
    <n v="-6886.0081390388095"/>
  </r>
  <r>
    <x v="0"/>
    <s v="Sales for Resale"/>
    <x v="2"/>
    <x v="4"/>
    <s v="J. Aron &amp; Company"/>
    <n v="-17344"/>
    <n v="1009.3086315923503"/>
    <n v="-8752.7244531688611"/>
  </r>
  <r>
    <x v="0"/>
    <s v="Sales for Resale"/>
    <x v="2"/>
    <x v="4"/>
    <s v="Klamath Falls, City of"/>
    <n v="-3100"/>
    <n v="1009.3086315923503"/>
    <n v="-1564.4283789681429"/>
  </r>
  <r>
    <x v="0"/>
    <s v="Sales for Resale"/>
    <x v="2"/>
    <x v="4"/>
    <s v="Los Angeles Dept. Water &amp; Power"/>
    <n v="-9336"/>
    <n v="1009.3086315923503"/>
    <n v="-4711.4526922730902"/>
  </r>
  <r>
    <x v="0"/>
    <s v="Sales for Resale"/>
    <x v="2"/>
    <x v="4"/>
    <s v="Macquarie Energy LLC"/>
    <n v="-67600"/>
    <n v="1009.3086315923503"/>
    <n v="-34114.631747821433"/>
  </r>
  <r>
    <x v="0"/>
    <s v="Sales for Resale"/>
    <x v="2"/>
    <x v="4"/>
    <s v="Merrill Lynch Commodities"/>
    <n v="-13210"/>
    <n v="1009.3086315923503"/>
    <n v="-6666.4835116674731"/>
  </r>
  <r>
    <x v="0"/>
    <s v="Sales for Resale"/>
    <x v="2"/>
    <x v="4"/>
    <s v="Modesto Irrigation District"/>
    <n v="-4485"/>
    <n v="1009.3086315923503"/>
    <n v="-2263.3746063458452"/>
  </r>
  <r>
    <x v="0"/>
    <s v="Sales for Resale"/>
    <x v="2"/>
    <x v="4"/>
    <s v="Morgan Stanley CG"/>
    <n v="-116067"/>
    <n v="1009.3086315923503"/>
    <n v="-58573.712471514656"/>
  </r>
  <r>
    <x v="0"/>
    <s v="Sales for Resale"/>
    <x v="2"/>
    <x v="4"/>
    <s v="N. California Power Agency"/>
    <n v="-5064"/>
    <n v="1009.3086315923503"/>
    <n v="-2555.5694551918305"/>
  </r>
  <r>
    <x v="0"/>
    <s v="Sales for Resale"/>
    <x v="2"/>
    <x v="4"/>
    <s v="Noble Americas Energy Solutions"/>
    <n v="-12200"/>
    <n v="1009.3086315923503"/>
    <n v="-6156.7826527133366"/>
  </r>
  <r>
    <x v="0"/>
    <s v="Sales for Resale"/>
    <x v="2"/>
    <x v="4"/>
    <s v="NorthPoint Energy Solutions, Inc."/>
    <n v="-7173"/>
    <n v="1009.3086315923503"/>
    <n v="-3619.8854072059639"/>
  </r>
  <r>
    <x v="0"/>
    <s v="Sales for Resale"/>
    <x v="2"/>
    <x v="4"/>
    <s v="Northwestern Energy"/>
    <n v="-12875"/>
    <n v="1009.3086315923503"/>
    <n v="-6497.4243158757545"/>
  </r>
  <r>
    <x v="0"/>
    <s v="Sales for Resale"/>
    <x v="2"/>
    <x v="4"/>
    <s v="Okanogan PUD"/>
    <n v="-90"/>
    <n v="1009.3086315923503"/>
    <n v="-45.418888421655765"/>
  </r>
  <r>
    <x v="0"/>
    <s v="Sales for Resale"/>
    <x v="2"/>
    <x v="4"/>
    <s v="Pacific Northwest Generatin Coop."/>
    <n v="-13771"/>
    <n v="1009.3086315923503"/>
    <n v="-6949.5945828291278"/>
  </r>
  <r>
    <x v="0"/>
    <s v="Sales for Resale"/>
    <x v="2"/>
    <x v="4"/>
    <s v="Pacificorp"/>
    <n v="-293074"/>
    <n v="1009.3086315923503"/>
    <n v="-147901.05894764821"/>
  </r>
  <r>
    <x v="0"/>
    <s v="Sales for Resale"/>
    <x v="2"/>
    <x v="4"/>
    <s v="Pinnacle West Capital Corp"/>
    <n v="-11600"/>
    <n v="1009.3086315923503"/>
    <n v="-5853.9900632356312"/>
  </r>
  <r>
    <x v="0"/>
    <s v="Sales for Resale"/>
    <x v="2"/>
    <x v="4"/>
    <s v="Portland General Electric"/>
    <n v="-125698"/>
    <n v="1009.3086315923503"/>
    <n v="-63434.038186947619"/>
  </r>
  <r>
    <x v="0"/>
    <s v="Sales for Resale"/>
    <x v="2"/>
    <x v="4"/>
    <s v="Powerex Corp."/>
    <n v="-264088"/>
    <n v="1009.3086315923503"/>
    <n v="-133273.1489499803"/>
  </r>
  <r>
    <x v="0"/>
    <s v="Sales for Resale"/>
    <x v="2"/>
    <x v="4"/>
    <s v="PP&amp;L Montana, LLC."/>
    <n v="-51102"/>
    <n v="1009.3086315923503"/>
    <n v="-25788.844845816144"/>
  </r>
  <r>
    <x v="0"/>
    <s v="Sales for Resale"/>
    <x v="2"/>
    <x v="4"/>
    <s v="Public Service of Colorado"/>
    <n v="-50870"/>
    <n v="1009.3086315923503"/>
    <n v="-25671.76504455143"/>
  </r>
  <r>
    <x v="0"/>
    <s v="Sales for Resale"/>
    <x v="2"/>
    <x v="4"/>
    <s v="Rainbow Energy Marketing"/>
    <n v="-77986"/>
    <n v="1009.3086315923503"/>
    <n v="-39355.971471680517"/>
  </r>
  <r>
    <x v="0"/>
    <s v="Sales for Resale"/>
    <x v="2"/>
    <x v="4"/>
    <s v="Redding, City of"/>
    <n v="-2812"/>
    <n v="1009.3086315923503"/>
    <n v="-1419.0879360188444"/>
  </r>
  <r>
    <x v="0"/>
    <s v="Sales for Resale"/>
    <x v="2"/>
    <x v="4"/>
    <s v="Sacramento Municipal"/>
    <n v="-13526"/>
    <n v="1009.3086315923503"/>
    <n v="-6825.9542754590648"/>
  </r>
  <r>
    <x v="0"/>
    <s v="Sales for Resale"/>
    <x v="2"/>
    <x v="4"/>
    <s v="San Diego Gas &amp; Electric"/>
    <n v="-1262"/>
    <n v="1009.3086315923503"/>
    <n v="-636.87374653477298"/>
  </r>
  <r>
    <x v="0"/>
    <s v="Sales for Resale"/>
    <x v="2"/>
    <x v="4"/>
    <s v="Seattle City Light Marketing"/>
    <n v="-25005"/>
    <n v="1009.3086315923503"/>
    <n v="-12618.881166483359"/>
  </r>
  <r>
    <x v="0"/>
    <s v="Sales for Resale"/>
    <x v="2"/>
    <x v="4"/>
    <s v="Sempra Energy Trading"/>
    <n v="-99153"/>
    <n v="1009.3086315923503"/>
    <n v="-50037.989374138153"/>
  </r>
  <r>
    <x v="0"/>
    <s v="Sales for Resale"/>
    <x v="2"/>
    <x v="4"/>
    <s v="Shell Energy (Coral Pwr)"/>
    <n v="-66693"/>
    <n v="1009.3086315923503"/>
    <n v="-33656.910283394303"/>
  </r>
  <r>
    <x v="0"/>
    <s v="Sales for Resale"/>
    <x v="2"/>
    <x v="4"/>
    <s v="Sierra Pacific Power"/>
    <n v="-1819"/>
    <n v="1009.3086315923503"/>
    <n v="-917.96620043324265"/>
  </r>
  <r>
    <x v="0"/>
    <s v="Sales for Resale"/>
    <x v="2"/>
    <x v="4"/>
    <s v="Silicon Valley Pwr - Santa Clara"/>
    <n v="-3354"/>
    <n v="1009.3086315923503"/>
    <n v="-1692.6105751803714"/>
  </r>
  <r>
    <x v="0"/>
    <s v="Sales for Resale"/>
    <x v="2"/>
    <x v="4"/>
    <s v="Snohomish County PUD #1"/>
    <n v="-23113"/>
    <n v="1009.3086315923503"/>
    <n v="-11664.075200996995"/>
  </r>
  <r>
    <x v="0"/>
    <s v="Sales for Resale"/>
    <x v="2"/>
    <x v="4"/>
    <s v="Southern Cal - Edison"/>
    <n v="-10104"/>
    <n v="1009.3086315923503"/>
    <n v="-5099.0272068045533"/>
  </r>
  <r>
    <x v="0"/>
    <s v="Sales for Resale"/>
    <x v="2"/>
    <x v="4"/>
    <s v="SUEZ Energy Marketing (Tractebel)"/>
    <n v="-242108"/>
    <n v="1009.3086315923503"/>
    <n v="-122180.84708878037"/>
  </r>
  <r>
    <x v="0"/>
    <s v="Sales for Resale"/>
    <x v="2"/>
    <x v="4"/>
    <s v="Tacoma Power"/>
    <n v="-3807"/>
    <n v="1009.3086315923503"/>
    <n v="-1921.2189802360388"/>
  </r>
  <r>
    <x v="0"/>
    <s v="Sales for Resale"/>
    <x v="2"/>
    <x v="4"/>
    <s v="TransAlta Energy Marketing"/>
    <n v="-468655"/>
    <n v="1009.3086315923503"/>
    <n v="-236508.76836945643"/>
  </r>
  <r>
    <x v="0"/>
    <s v="Sales for Resale"/>
    <x v="2"/>
    <x v="4"/>
    <s v="TransCanada Power Corp."/>
    <n v="-17924"/>
    <n v="1009.3086315923503"/>
    <n v="-9045.4239563306419"/>
  </r>
  <r>
    <x v="0"/>
    <s v="Sales for Resale"/>
    <x v="2"/>
    <x v="4"/>
    <s v="Turlock Irrigation District"/>
    <n v="-3885"/>
    <n v="1009.3086315923503"/>
    <n v="-1960.5820168681403"/>
  </r>
  <r>
    <x v="0"/>
    <s v="Sales for Resale"/>
    <x v="2"/>
    <x v="4"/>
    <s v="UBS AG"/>
    <n v="-9880"/>
    <n v="1009.3086315923503"/>
    <n v="-4985.98464006621"/>
  </r>
  <r>
    <x v="0"/>
    <s v="Sales for Resale"/>
    <x v="2"/>
    <x v="4"/>
    <s v="Western Area Power Association"/>
    <n v="-200"/>
    <n v="1009.3086315923503"/>
    <n v="-100.93086315923503"/>
  </r>
  <r>
    <x v="1"/>
    <s v="Generation - Hydro"/>
    <x v="0"/>
    <x v="0"/>
    <s v="Electron"/>
    <n v="67270.350000000006"/>
    <n v="0"/>
    <n v="0"/>
  </r>
  <r>
    <x v="1"/>
    <s v="Generation - Hydro"/>
    <x v="0"/>
    <x v="0"/>
    <s v="Lower Baker"/>
    <n v="334144.53999999998"/>
    <n v="0"/>
    <n v="0"/>
  </r>
  <r>
    <x v="1"/>
    <s v="Generation - Hydro"/>
    <x v="0"/>
    <x v="0"/>
    <s v="Snoqualmie Falls #1"/>
    <n v="47557.4"/>
    <n v="0"/>
    <n v="0"/>
  </r>
  <r>
    <x v="1"/>
    <s v="Generation - Hydro"/>
    <x v="0"/>
    <x v="0"/>
    <s v="Snoqualmie Falls #2"/>
    <n v="161751.4"/>
    <n v="0"/>
    <n v="0"/>
  </r>
  <r>
    <x v="1"/>
    <s v="Generation - Hydro"/>
    <x v="0"/>
    <x v="0"/>
    <s v="Upper Baker"/>
    <n v="338552.67"/>
    <n v="0"/>
    <n v="0"/>
  </r>
  <r>
    <x v="1"/>
    <s v="Generation - Steam"/>
    <x v="0"/>
    <x v="1"/>
    <s v="Colstrip 1 &amp; 2"/>
    <n v="2180745"/>
    <n v="2483.2378843010079"/>
    <n v="2707654.3000000003"/>
  </r>
  <r>
    <x v="1"/>
    <s v="Generation - Steam"/>
    <x v="0"/>
    <x v="1"/>
    <s v="Colstrip 3 &amp; 4"/>
    <n v="2619283"/>
    <n v="2451.1025727269639"/>
    <n v="3210065.65"/>
  </r>
  <r>
    <x v="1"/>
    <s v="Generation - Steam"/>
    <x v="0"/>
    <x v="2"/>
    <s v="Encogen"/>
    <n v="259963.15"/>
    <n v="1062.5147451436867"/>
    <n v="138107.3400345"/>
  </r>
  <r>
    <x v="1"/>
    <s v="Generation - Oil/Gas/Wind"/>
    <x v="0"/>
    <x v="3"/>
    <s v="Crystal Mountain"/>
    <n v="1060.42"/>
    <n v="1719.1841723090849"/>
    <n v="911.52864"/>
  </r>
  <r>
    <x v="1"/>
    <s v="Generation - Oil/Gas/Wind"/>
    <x v="0"/>
    <x v="2"/>
    <s v="Freddie #1"/>
    <n v="393030"/>
    <n v="765.38453586062133"/>
    <n v="150409.54206465001"/>
  </r>
  <r>
    <x v="1"/>
    <s v="Generation - Oil/Gas/Wind"/>
    <x v="0"/>
    <x v="2"/>
    <s v="Fredonia"/>
    <n v="42874.400000000001"/>
    <n v="1279.4831823559045"/>
    <n v="27428.536876799997"/>
  </r>
  <r>
    <x v="1"/>
    <s v="Generation - Oil/Gas/Wind"/>
    <x v="0"/>
    <x v="2"/>
    <s v="Fredrickson 1 &amp; 2"/>
    <n v="12684.3"/>
    <n v="1724.8897433047155"/>
    <n v="10939.509485500001"/>
  </r>
  <r>
    <x v="1"/>
    <s v="Generation - Oil/Gas/Wind"/>
    <x v="0"/>
    <x v="0"/>
    <s v="Hopkins Ridge (W184)"/>
    <n v="361586.57799999998"/>
    <n v="0"/>
    <n v="0"/>
  </r>
  <r>
    <x v="1"/>
    <s v="Generation - Oil/Gas/Wind"/>
    <x v="0"/>
    <x v="2"/>
    <s v="Whitehorn 2&amp;3"/>
    <n v="13578"/>
    <n v="1596.4305845485346"/>
    <n v="10838.1672385"/>
  </r>
  <r>
    <x v="1"/>
    <s v="Generation - Oil/Gas/Wind"/>
    <x v="0"/>
    <x v="0"/>
    <s v="Wild Horse (W183)"/>
    <n v="11241.772000000001"/>
    <n v="0"/>
    <n v="0"/>
  </r>
  <r>
    <x v="1"/>
    <s v="Purchases - Firm"/>
    <x v="1"/>
    <x v="4"/>
    <s v="BC Hydro (Point Roberts)"/>
    <n v="22242.52"/>
    <n v="1013.8429781871461"/>
    <n v="11275.211359593579"/>
  </r>
  <r>
    <x v="1"/>
    <s v="Purchases - Firm"/>
    <x v="1"/>
    <x v="0"/>
    <s v="BPA"/>
    <n v="7077"/>
    <n v="0"/>
    <n v="0"/>
  </r>
  <r>
    <x v="1"/>
    <s v="Purchases - Firm"/>
    <x v="1"/>
    <x v="4"/>
    <s v="BPA Firm - WNP#3 Exchange"/>
    <n v="362075"/>
    <n v="1013.8429781871461"/>
    <n v="183543.59816355543"/>
  </r>
  <r>
    <x v="1"/>
    <s v="Purchases - Firm"/>
    <x v="1"/>
    <x v="0"/>
    <s v="Chelan PUD - Rock Island Syst #2"/>
    <n v="1294355"/>
    <n v="0"/>
    <n v="0"/>
  </r>
  <r>
    <x v="1"/>
    <s v="Purchases - Firm"/>
    <x v="1"/>
    <x v="0"/>
    <s v="Chelan PUD - Rocky Reach"/>
    <n v="2365522"/>
    <n v="0"/>
    <n v="0"/>
  </r>
  <r>
    <x v="1"/>
    <s v="Purchases - Firm"/>
    <x v="1"/>
    <x v="0"/>
    <s v="Douglas PUD - Wells Project"/>
    <n v="1133871"/>
    <n v="0"/>
    <n v="0"/>
  </r>
  <r>
    <x v="1"/>
    <s v="Purchases - Firm"/>
    <x v="1"/>
    <x v="0"/>
    <s v="Grant PUD - Priest Rapids"/>
    <n v="443113"/>
    <n v="0"/>
    <n v="0"/>
  </r>
  <r>
    <x v="1"/>
    <s v="Purchases - Firm"/>
    <x v="1"/>
    <x v="0"/>
    <s v="Grant PUD - Wanapum"/>
    <n v="455505"/>
    <n v="0"/>
    <n v="0"/>
  </r>
  <r>
    <x v="1"/>
    <s v="Purchases - Firm"/>
    <x v="1"/>
    <x v="1"/>
    <s v="NWestern Energy(MPC) Firm Contract"/>
    <n v="723917"/>
    <n v="2465.7022625701302"/>
    <n v="892481.8924064904"/>
  </r>
  <r>
    <x v="1"/>
    <s v="Purchases - Firm"/>
    <x v="1"/>
    <x v="4"/>
    <s v="Snohomish PUD Conservation"/>
    <n v="89664"/>
    <n v="1013.8429781871461"/>
    <n v="45452.608398086129"/>
  </r>
  <r>
    <x v="1"/>
    <s v="Purchases - Firm"/>
    <x v="1"/>
    <x v="0"/>
    <s v="VanderHaak Dairy Digester"/>
    <n v="1823.28"/>
    <n v="0"/>
    <n v="0"/>
  </r>
  <r>
    <x v="1"/>
    <s v="Purchases - Firm"/>
    <x v="1"/>
    <x v="0"/>
    <s v="WASCO Hydro"/>
    <n v="36732"/>
    <n v="0"/>
    <n v="0"/>
  </r>
  <r>
    <x v="1"/>
    <s v="Purchases - PURPA"/>
    <x v="1"/>
    <x v="0"/>
    <s v="Hutchinson Creek"/>
    <n v="2171.36"/>
    <n v="0"/>
    <n v="0"/>
  </r>
  <r>
    <x v="1"/>
    <s v="Purchases - PURPA"/>
    <x v="1"/>
    <x v="0"/>
    <s v="Koma Kulshan Associates"/>
    <n v="33468"/>
    <n v="0"/>
    <n v="0"/>
  </r>
  <r>
    <x v="1"/>
    <s v="Purchases - PURPA"/>
    <x v="1"/>
    <x v="2"/>
    <s v="March Point Cogen. - 1 &amp; 2"/>
    <n v="983695.89"/>
    <n v="726.80073847423307"/>
    <n v="357475.44964303396"/>
  </r>
  <r>
    <x v="1"/>
    <s v="Purchases - PURPA"/>
    <x v="1"/>
    <x v="0"/>
    <s v="Nooksack"/>
    <n v="17652.95"/>
    <n v="0"/>
    <n v="0"/>
  </r>
  <r>
    <x v="1"/>
    <s v="Purchases - PURPA"/>
    <x v="1"/>
    <x v="5"/>
    <s v="Port Townsend Paper Co."/>
    <n v="1847.0640000000001"/>
    <n v="1056.3533228240403"/>
    <n v="975.57609693433164"/>
  </r>
  <r>
    <x v="1"/>
    <s v="Purchases - PURPA"/>
    <x v="1"/>
    <x v="0"/>
    <s v="Puyallup Energy Recovery Company"/>
    <n v="4828.6099999999997"/>
    <n v="0"/>
    <n v="0"/>
  </r>
  <r>
    <x v="1"/>
    <s v="Purchases - PURPA"/>
    <x v="1"/>
    <x v="6"/>
    <s v="Spokane MSW"/>
    <n v="141325"/>
    <n v="4573.6816773508808"/>
    <n v="323187.78152580658"/>
  </r>
  <r>
    <x v="1"/>
    <s v="Purchases - PURPA"/>
    <x v="1"/>
    <x v="2"/>
    <s v="Sumas Cogeneration"/>
    <n v="579513.65"/>
    <n v="927.49481118458982"/>
    <n v="268747.95169282128"/>
  </r>
  <r>
    <x v="1"/>
    <s v="Purchases - PURPA"/>
    <x v="1"/>
    <x v="0"/>
    <s v="Sygitowicz Creek"/>
    <n v="585.6"/>
    <n v="0"/>
    <n v="0"/>
  </r>
  <r>
    <x v="1"/>
    <s v="Purchases - PURPA"/>
    <x v="1"/>
    <x v="2"/>
    <s v="Tenaska"/>
    <n v="844472.04"/>
    <n v="861.38534731103448"/>
    <n v="363707.92073492892"/>
  </r>
  <r>
    <x v="1"/>
    <s v="Purchases - PURPA"/>
    <x v="1"/>
    <x v="0"/>
    <s v="Twin Falls Hydro"/>
    <n v="67233"/>
    <n v="0"/>
    <n v="0"/>
  </r>
  <r>
    <x v="1"/>
    <s v="Purchases - PURPA"/>
    <x v="1"/>
    <x v="0"/>
    <s v="Weeks Falls"/>
    <n v="12691"/>
    <n v="0"/>
    <n v="0"/>
  </r>
  <r>
    <x v="1"/>
    <s v="Purchases - Secondary"/>
    <x v="2"/>
    <x v="4"/>
    <s v="Arizona Public Service"/>
    <n v="2000"/>
    <n v="1013.8429781871461"/>
    <n v="1013.8429781871461"/>
  </r>
  <r>
    <x v="1"/>
    <s v="Purchases - Secondary"/>
    <x v="2"/>
    <x v="4"/>
    <s v="ATCO Power Canada"/>
    <n v="820"/>
    <n v="1013.8429781871461"/>
    <n v="415.67562105672988"/>
  </r>
  <r>
    <x v="1"/>
    <s v="Purchases - Secondary"/>
    <x v="2"/>
    <x v="4"/>
    <s v="Avista Corp. WWP Division"/>
    <n v="102666.8"/>
    <n v="1013.8429781871461"/>
    <n v="52044.00713647205"/>
  </r>
  <r>
    <x v="1"/>
    <s v="Purchases - Secondary"/>
    <x v="2"/>
    <x v="4"/>
    <s v="Avista Energy"/>
    <n v="713907"/>
    <n v="1013.8429781871461"/>
    <n v="361894.79951432545"/>
  </r>
  <r>
    <x v="1"/>
    <s v="Purchases - Secondary"/>
    <x v="2"/>
    <x v="4"/>
    <s v="Barclays Bank Plc"/>
    <n v="7600"/>
    <n v="1013.8429781871461"/>
    <n v="3852.6033171111549"/>
  </r>
  <r>
    <x v="1"/>
    <s v="Purchases - Secondary"/>
    <x v="2"/>
    <x v="4"/>
    <s v="Bear Energy LP"/>
    <n v="48"/>
    <n v="1013.8429781871461"/>
    <n v="24.332231476491508"/>
  </r>
  <r>
    <x v="1"/>
    <s v="Purchases - Secondary"/>
    <x v="2"/>
    <x v="4"/>
    <s v="Benton County PUD"/>
    <n v="22518"/>
    <n v="1013.8429781871461"/>
    <n v="11414.858091409078"/>
  </r>
  <r>
    <x v="1"/>
    <s v="Purchases - Secondary"/>
    <x v="2"/>
    <x v="4"/>
    <s v="Black Hills Power"/>
    <n v="12360"/>
    <n v="1013.8429781871461"/>
    <n v="6265.5496051965629"/>
  </r>
  <r>
    <x v="1"/>
    <s v="Purchases - Secondary"/>
    <x v="2"/>
    <x v="4"/>
    <s v="Book Outs - EITF 03-11"/>
    <n v="-2421278"/>
    <n v="1013.8429781871461"/>
    <n v="-1227397.8492695084"/>
  </r>
  <r>
    <x v="1"/>
    <s v="Purchases - Secondary"/>
    <x v="2"/>
    <x v="4"/>
    <s v="BP Energy Co."/>
    <n v="181121"/>
    <n v="1013.8429781871461"/>
    <n v="91814.127026117043"/>
  </r>
  <r>
    <x v="1"/>
    <s v="Purchases - Secondary"/>
    <x v="2"/>
    <x v="4"/>
    <s v="BPA"/>
    <n v="739012"/>
    <n v="1013.8429781871461"/>
    <n v="374621.06349801959"/>
  </r>
  <r>
    <x v="1"/>
    <s v="Purchases - Secondary"/>
    <x v="2"/>
    <x v="4"/>
    <s v="Burbank, City of"/>
    <n v="4195"/>
    <n v="1013.8429781871461"/>
    <n v="2126.535646747539"/>
  </r>
  <r>
    <x v="1"/>
    <s v="Purchases - Secondary"/>
    <x v="2"/>
    <x v="4"/>
    <s v="Cargill Power Markets"/>
    <n v="48374"/>
    <n v="1013.8429781871461"/>
    <n v="24521.820113412505"/>
  </r>
  <r>
    <x v="1"/>
    <s v="Purchases - Secondary"/>
    <x v="2"/>
    <x v="4"/>
    <s v="Chelan County PUD #1"/>
    <n v="40907"/>
    <n v="1013.8429781871461"/>
    <n v="20736.637354350791"/>
  </r>
  <r>
    <x v="1"/>
    <s v="Purchases - Secondary"/>
    <x v="2"/>
    <x v="4"/>
    <s v="Cincinnati Gas &amp; Electric Co"/>
    <n v="7400"/>
    <n v="1013.8429781871461"/>
    <n v="3751.2190192924404"/>
  </r>
  <r>
    <x v="1"/>
    <s v="Purchases - Secondary"/>
    <x v="2"/>
    <x v="4"/>
    <s v="Cinergy Services"/>
    <n v="21330"/>
    <n v="1013.8429781871461"/>
    <n v="10812.635362365912"/>
  </r>
  <r>
    <x v="1"/>
    <s v="Purchases - Secondary"/>
    <x v="2"/>
    <x v="4"/>
    <s v="Citigroup Energy Inc"/>
    <n v="117050"/>
    <n v="1013.8429781871461"/>
    <n v="59335.160298402727"/>
  </r>
  <r>
    <x v="1"/>
    <s v="Purchases - Secondary"/>
    <x v="2"/>
    <x v="4"/>
    <s v="Clatskanie PUD"/>
    <n v="9785"/>
    <n v="1013.8429781871461"/>
    <n v="4960.2267707806113"/>
  </r>
  <r>
    <x v="1"/>
    <s v="Purchases - Secondary"/>
    <x v="2"/>
    <x v="4"/>
    <s v="Conoco, Inc."/>
    <n v="17475"/>
    <n v="1013.8429781871461"/>
    <n v="8858.4530219101889"/>
  </r>
  <r>
    <x v="1"/>
    <s v="Purchases - Secondary"/>
    <x v="2"/>
    <x v="4"/>
    <s v="Constellation Power Source, Inc."/>
    <n v="320060"/>
    <n v="1013.8429781871461"/>
    <n v="162245.291799289"/>
  </r>
  <r>
    <x v="1"/>
    <s v="Purchases - Secondary"/>
    <x v="2"/>
    <x v="4"/>
    <s v="DB Energy Trading LLC"/>
    <n v="27200"/>
    <n v="1013.8429781871461"/>
    <n v="13788.264503345186"/>
  </r>
  <r>
    <x v="1"/>
    <s v="Purchases - Secondary"/>
    <x v="2"/>
    <x v="4"/>
    <s v="Douglas County PUD #1"/>
    <n v="292497"/>
    <n v="1013.8429781871461"/>
    <n v="148273.01479540282"/>
  </r>
  <r>
    <x v="1"/>
    <s v="Purchases - Secondary"/>
    <x v="2"/>
    <x v="4"/>
    <s v="ENMAX Energy Marketing, Inc."/>
    <n v="175"/>
    <n v="1013.8429781871461"/>
    <n v="88.711260591375279"/>
  </r>
  <r>
    <x v="1"/>
    <s v="Purchases - Secondary"/>
    <x v="2"/>
    <x v="4"/>
    <s v="Epcor Merchant &amp; Capital"/>
    <n v="63703"/>
    <n v="1013.8429781871461"/>
    <n v="32292.419619727883"/>
  </r>
  <r>
    <x v="1"/>
    <s v="Purchases - Secondary"/>
    <x v="2"/>
    <x v="4"/>
    <s v="Eugene Water &amp; Electric"/>
    <n v="63650"/>
    <n v="1013.8429781871461"/>
    <n v="32265.552780805923"/>
  </r>
  <r>
    <x v="1"/>
    <s v="Purchases - Secondary"/>
    <x v="2"/>
    <x v="4"/>
    <s v="Fortis Energy Marketing &amp; Trading"/>
    <n v="16400"/>
    <n v="1013.8429781871461"/>
    <n v="8313.5124211345974"/>
  </r>
  <r>
    <x v="1"/>
    <s v="Purchases - Secondary"/>
    <x v="2"/>
    <x v="4"/>
    <s v="Franklin County PUD #1"/>
    <n v="15035"/>
    <n v="1013.8429781871461"/>
    <n v="7621.564588521871"/>
  </r>
  <r>
    <x v="1"/>
    <s v="Purchases - Secondary"/>
    <x v="2"/>
    <x v="4"/>
    <s v="Grant County PUD #2"/>
    <n v="89108"/>
    <n v="1013.8429781871461"/>
    <n v="45170.760050150107"/>
  </r>
  <r>
    <x v="1"/>
    <s v="Purchases - Secondary"/>
    <x v="2"/>
    <x v="4"/>
    <s v="Grays Harbor PUD #1"/>
    <n v="21400"/>
    <n v="1013.8429781871461"/>
    <n v="10848.119866602463"/>
  </r>
  <r>
    <x v="1"/>
    <s v="Purchases - Secondary"/>
    <x v="2"/>
    <x v="4"/>
    <s v="Iberdrola Renewables (PPM Energy)"/>
    <n v="400182"/>
    <n v="1013.8429781871461"/>
    <n v="202860.85534844425"/>
  </r>
  <r>
    <x v="1"/>
    <s v="Purchases - Secondary"/>
    <x v="2"/>
    <x v="4"/>
    <s v="Idaho Falls Power"/>
    <n v="84230"/>
    <n v="1013.8429781871461"/>
    <n v="42697.997026351652"/>
  </r>
  <r>
    <x v="1"/>
    <s v="Purchases - Secondary"/>
    <x v="2"/>
    <x v="4"/>
    <s v="Idaho Power Company"/>
    <n v="99558"/>
    <n v="1013.8429781871461"/>
    <n v="50468.089611177944"/>
  </r>
  <r>
    <x v="1"/>
    <s v="Purchases - Secondary"/>
    <x v="2"/>
    <x v="4"/>
    <s v="J. Aron &amp; Company"/>
    <n v="20000"/>
    <n v="1013.8429781871461"/>
    <n v="10138.42978187146"/>
  </r>
  <r>
    <x v="1"/>
    <s v="Purchases - Secondary"/>
    <x v="2"/>
    <x v="4"/>
    <s v="JP Morgan Ventures Energy"/>
    <n v="10000"/>
    <n v="1013.8429781871461"/>
    <n v="5069.2148909357302"/>
  </r>
  <r>
    <x v="1"/>
    <s v="Purchases - Secondary"/>
    <x v="2"/>
    <x v="4"/>
    <s v="King County"/>
    <n v="39.591999999999999"/>
    <n v="1013.8429781871461"/>
    <n v="20.070035596192742"/>
  </r>
  <r>
    <x v="1"/>
    <s v="Purchases - Secondary"/>
    <x v="2"/>
    <x v="4"/>
    <s v="Klamath Falls, City of"/>
    <n v="31207"/>
    <n v="1013.8429781871461"/>
    <n v="15819.498910143133"/>
  </r>
  <r>
    <x v="1"/>
    <s v="Purchases - Secondary"/>
    <x v="2"/>
    <x v="4"/>
    <s v="Lehman Bros Commodity Services"/>
    <n v="7800"/>
    <n v="1013.8429781871461"/>
    <n v="3953.9876149298698"/>
  </r>
  <r>
    <x v="1"/>
    <s v="Purchases - Secondary"/>
    <x v="2"/>
    <x v="4"/>
    <s v="Los Angeles Dept. Water &amp; Power"/>
    <n v="1275"/>
    <n v="1013.8429781871461"/>
    <n v="646.32489859430564"/>
  </r>
  <r>
    <x v="1"/>
    <s v="Purchases - Secondary"/>
    <x v="2"/>
    <x v="4"/>
    <s v="Macquarie Energy LLC"/>
    <n v="83200"/>
    <n v="1013.8429781871461"/>
    <n v="42175.86789258528"/>
  </r>
  <r>
    <x v="1"/>
    <s v="Purchases - Secondary"/>
    <x v="2"/>
    <x v="4"/>
    <s v="Merrill Lynch Commodities"/>
    <n v="24400"/>
    <n v="1013.8429781871461"/>
    <n v="12368.884333883181"/>
  </r>
  <r>
    <x v="1"/>
    <s v="Purchases - Secondary"/>
    <x v="2"/>
    <x v="4"/>
    <s v="Modesto Irrigation District"/>
    <n v="852"/>
    <n v="1013.8429781871461"/>
    <n v="431.89710870772421"/>
  </r>
  <r>
    <x v="1"/>
    <s v="Purchases - Secondary"/>
    <x v="2"/>
    <x v="4"/>
    <s v="Morgan Stanley CG"/>
    <n v="276663"/>
    <n v="1013.8429781871461"/>
    <n v="140246.4199370952"/>
  </r>
  <r>
    <x v="1"/>
    <s v="Purchases - Secondary"/>
    <x v="2"/>
    <x v="4"/>
    <s v="N. California Power Agency"/>
    <n v="1315"/>
    <n v="1013.8429781871461"/>
    <n v="666.60175815804848"/>
  </r>
  <r>
    <x v="1"/>
    <s v="Purchases - Secondary"/>
    <x v="2"/>
    <x v="4"/>
    <s v="New Mexico, Public Service Company"/>
    <n v="3200"/>
    <n v="1013.8429781871461"/>
    <n v="1622.1487650994336"/>
  </r>
  <r>
    <x v="1"/>
    <s v="Purchases - Secondary"/>
    <x v="2"/>
    <x v="4"/>
    <s v="Noble Americas Energy Solutions"/>
    <n v="29225"/>
    <n v="1013.8429781871461"/>
    <n v="14814.780518759671"/>
  </r>
  <r>
    <x v="1"/>
    <s v="Purchases - Secondary"/>
    <x v="2"/>
    <x v="4"/>
    <s v="NorthPoint Energy Solutions, Inc."/>
    <n v="1342"/>
    <n v="1013.8429781871461"/>
    <n v="680.28863836357493"/>
  </r>
  <r>
    <x v="1"/>
    <s v="Purchases - Secondary"/>
    <x v="2"/>
    <x v="4"/>
    <s v="Northwestern Energy"/>
    <n v="9629"/>
    <n v="1013.8429781871461"/>
    <n v="4881.1470184820146"/>
  </r>
  <r>
    <x v="1"/>
    <s v="Purchases - Secondary"/>
    <x v="2"/>
    <x v="4"/>
    <s v="Occidental Power Services"/>
    <n v="1064"/>
    <n v="1013.8429781871461"/>
    <n v="539.36446439556175"/>
  </r>
  <r>
    <x v="1"/>
    <s v="Purchases - Secondary"/>
    <x v="2"/>
    <x v="4"/>
    <s v="Okanogan PUD"/>
    <n v="3761"/>
    <n v="1013.8429781871461"/>
    <n v="1906.5317204809282"/>
  </r>
  <r>
    <x v="1"/>
    <s v="Purchases - Secondary"/>
    <x v="2"/>
    <x v="4"/>
    <s v="Pacific Northwest Generatin Coop."/>
    <n v="181909"/>
    <n v="1013.8429781871461"/>
    <n v="92213.581159522771"/>
  </r>
  <r>
    <x v="1"/>
    <s v="Purchases - Secondary"/>
    <x v="2"/>
    <x v="4"/>
    <s v="Pacificorp"/>
    <n v="352506"/>
    <n v="1013.8429781871461"/>
    <n v="178692.86643441906"/>
  </r>
  <r>
    <x v="1"/>
    <s v="Purchases - Secondary"/>
    <x v="2"/>
    <x v="4"/>
    <s v="PG&amp;E Energy Trading"/>
    <n v="24945"/>
    <n v="1013.8429781871461"/>
    <n v="12645.15654543918"/>
  </r>
  <r>
    <x v="1"/>
    <s v="Purchases - Secondary"/>
    <x v="2"/>
    <x v="4"/>
    <s v="Pinnacle West Capital Corp"/>
    <n v="889475"/>
    <n v="1013.8429781871461"/>
    <n v="450893.99151150585"/>
  </r>
  <r>
    <x v="1"/>
    <s v="Purchases - Secondary"/>
    <x v="2"/>
    <x v="4"/>
    <s v="Portland General Electric"/>
    <n v="500872"/>
    <n v="1013.8429781871461"/>
    <n v="253902.78008527608"/>
  </r>
  <r>
    <x v="1"/>
    <s v="Purchases - Secondary"/>
    <x v="2"/>
    <x v="4"/>
    <s v="Powerex Corp."/>
    <n v="504275"/>
    <n v="1013.8429781871461"/>
    <n v="255627.83391266156"/>
  </r>
  <r>
    <x v="1"/>
    <s v="Purchases - Secondary"/>
    <x v="2"/>
    <x v="4"/>
    <s v="PP&amp;L Montana, LLC."/>
    <n v="41793"/>
    <n v="1013.8429781871461"/>
    <n v="21185.769793687698"/>
  </r>
  <r>
    <x v="1"/>
    <s v="Purchases - Secondary"/>
    <x v="2"/>
    <x v="4"/>
    <s v="Public Service of Colorado"/>
    <n v="19800"/>
    <n v="1013.8429781871461"/>
    <n v="10037.045484052745"/>
  </r>
  <r>
    <x v="1"/>
    <s v="Purchases - Secondary"/>
    <x v="2"/>
    <x v="4"/>
    <s v="Rainbow Energy Marketing"/>
    <n v="121336"/>
    <n v="1013.8429781871461"/>
    <n v="61507.825800657782"/>
  </r>
  <r>
    <x v="1"/>
    <s v="Purchases - Secondary"/>
    <x v="2"/>
    <x v="4"/>
    <s v="Redding, City of"/>
    <n v="2903"/>
    <n v="1013.8429781871461"/>
    <n v="1471.5930828386424"/>
  </r>
  <r>
    <x v="1"/>
    <s v="Purchases - Secondary"/>
    <x v="2"/>
    <x v="4"/>
    <s v="Sacramento Municipal"/>
    <n v="5025"/>
    <n v="1013.8429781871461"/>
    <n v="2547.2804826952047"/>
  </r>
  <r>
    <x v="1"/>
    <s v="Purchases - Secondary"/>
    <x v="2"/>
    <x v="4"/>
    <s v="San Diego Gas &amp; Electric"/>
    <n v="6904"/>
    <n v="1013.8429781871461"/>
    <n v="3499.7859607020282"/>
  </r>
  <r>
    <x v="1"/>
    <s v="Purchases - Secondary"/>
    <x v="2"/>
    <x v="4"/>
    <s v="Seattle City Light Marketing"/>
    <n v="172078"/>
    <n v="1013.8429781871461"/>
    <n v="87230.036000243854"/>
  </r>
  <r>
    <x v="1"/>
    <s v="Purchases - Secondary"/>
    <x v="2"/>
    <x v="4"/>
    <s v="Sempra Energy Trading"/>
    <n v="1226010"/>
    <n v="1013.8429781871461"/>
    <n v="621490.81484361144"/>
  </r>
  <r>
    <x v="1"/>
    <s v="Purchases - Secondary"/>
    <x v="2"/>
    <x v="4"/>
    <s v="Shell Energy (Coral Pwr)"/>
    <n v="730645"/>
    <n v="1013.8429781871461"/>
    <n v="370379.65139877365"/>
  </r>
  <r>
    <x v="1"/>
    <s v="Purchases - Secondary"/>
    <x v="2"/>
    <x v="4"/>
    <s v="Sierra Pacific Power"/>
    <n v="26329"/>
    <n v="1013.8429781871461"/>
    <n v="13346.735886344684"/>
  </r>
  <r>
    <x v="1"/>
    <s v="Purchases - Secondary"/>
    <x v="2"/>
    <x v="4"/>
    <s v="Silicon Valley Pwr - Santa Clara"/>
    <n v="448"/>
    <n v="1013.8429781871461"/>
    <n v="227.1008271139207"/>
  </r>
  <r>
    <x v="1"/>
    <s v="Purchases - Secondary"/>
    <x v="2"/>
    <x v="4"/>
    <s v="Snohomish County PUD #1"/>
    <n v="80505"/>
    <n v="1013.8429781871461"/>
    <n v="40809.714479478098"/>
  </r>
  <r>
    <x v="1"/>
    <s v="Purchases - Secondary"/>
    <x v="2"/>
    <x v="4"/>
    <s v="Southern Cal - Edison"/>
    <n v="29334"/>
    <n v="1013.8429781871461"/>
    <n v="14870.034961070871"/>
  </r>
  <r>
    <x v="1"/>
    <s v="Purchases - Secondary"/>
    <x v="2"/>
    <x v="4"/>
    <s v="SUEZ Energy Marketing (Tractebel)"/>
    <n v="116640"/>
    <n v="1013.8429781871461"/>
    <n v="59127.322487874357"/>
  </r>
  <r>
    <x v="1"/>
    <s v="Purchases - Secondary"/>
    <x v="2"/>
    <x v="4"/>
    <s v="Sumas Cogeneration"/>
    <n v="21787.52"/>
    <n v="1013.8429781871461"/>
    <n v="11044.562082056005"/>
  </r>
  <r>
    <x v="1"/>
    <s v="Purchases - Secondary"/>
    <x v="2"/>
    <x v="4"/>
    <s v="Tacoma Power"/>
    <n v="107444"/>
    <n v="1013.8429781871461"/>
    <n v="54465.672474169856"/>
  </r>
  <r>
    <x v="1"/>
    <s v="Purchases - Secondary"/>
    <x v="2"/>
    <x v="4"/>
    <s v="Tenaska"/>
    <n v="1537"/>
    <n v="1013.8429781871461"/>
    <n v="779.13832873682179"/>
  </r>
  <r>
    <x v="1"/>
    <s v="Purchases - Secondary"/>
    <x v="2"/>
    <x v="4"/>
    <s v="TransAlta Energy Marketing"/>
    <n v="1162941"/>
    <n v="1013.8429781871461"/>
    <n v="589519.78344796901"/>
  </r>
  <r>
    <x v="1"/>
    <s v="Purchases - Secondary"/>
    <x v="2"/>
    <x v="4"/>
    <s v="TransCanada Power Corp."/>
    <n v="3828"/>
    <n v="1013.8429781871461"/>
    <n v="1940.4954602501975"/>
  </r>
  <r>
    <x v="1"/>
    <s v="Purchases - Secondary"/>
    <x v="2"/>
    <x v="4"/>
    <s v="Turlock Irrigation District"/>
    <n v="13371"/>
    <n v="1013.8429781871461"/>
    <n v="6778.0472306701649"/>
  </r>
  <r>
    <x v="1"/>
    <s v="Purchases - Secondary"/>
    <x v="2"/>
    <x v="4"/>
    <s v="UBS AG"/>
    <n v="100496"/>
    <n v="1013.8429781871461"/>
    <n v="50943.581967947714"/>
  </r>
  <r>
    <x v="1"/>
    <s v="Purchases - Secondary"/>
    <x v="2"/>
    <x v="4"/>
    <s v="Western Area Power Association"/>
    <n v="473"/>
    <n v="1013.8429781871461"/>
    <n v="239.77386434126004"/>
  </r>
  <r>
    <x v="1"/>
    <s v="Purchases - Secondary"/>
    <x v="2"/>
    <x v="4"/>
    <s v="Wild Horse Test Power"/>
    <n v="144854"/>
    <n v="1013.8429781871461"/>
    <n v="73429.605381160422"/>
  </r>
  <r>
    <x v="1"/>
    <s v="Purchases - Secondary"/>
    <x v="2"/>
    <x v="4"/>
    <s v="Williams Power Company"/>
    <n v="425"/>
    <n v="1013.8429781871461"/>
    <n v="215.44163286476854"/>
  </r>
  <r>
    <x v="1"/>
    <s v="Interchange - In"/>
    <x v="2"/>
    <x v="4"/>
    <s v="Avista Energy"/>
    <n v="305656"/>
    <n v="1013.8429781871461"/>
    <n v="154943.59467038515"/>
  </r>
  <r>
    <x v="1"/>
    <s v="Interchange - In"/>
    <x v="2"/>
    <x v="4"/>
    <s v="Black Creek Hydro"/>
    <n v="2816"/>
    <n v="1013.8429781871461"/>
    <n v="1427.4909132875016"/>
  </r>
  <r>
    <x v="1"/>
    <s v="Interchange - In"/>
    <x v="2"/>
    <x v="4"/>
    <s v="BPA"/>
    <n v="102038"/>
    <n v="1013.8429781871461"/>
    <n v="51725.254904130001"/>
  </r>
  <r>
    <x v="1"/>
    <s v="Interchange - In"/>
    <x v="2"/>
    <x v="4"/>
    <s v="Cargill Power Markets"/>
    <n v="30396"/>
    <n v="1013.8429781871461"/>
    <n v="15408.385582488247"/>
  </r>
  <r>
    <x v="1"/>
    <s v="Interchange - In"/>
    <x v="2"/>
    <x v="4"/>
    <s v="Deviation"/>
    <n v="-24937.741999999998"/>
    <n v="1013.8429781871461"/>
    <n v="-12641.477309271337"/>
  </r>
  <r>
    <x v="1"/>
    <s v="Interchange - In"/>
    <x v="2"/>
    <x v="4"/>
    <s v="Douglas County PUD #1"/>
    <n v="75"/>
    <n v="1013.8429781871461"/>
    <n v="38.019111682017972"/>
  </r>
  <r>
    <x v="1"/>
    <s v="Interchange - In"/>
    <x v="2"/>
    <x v="4"/>
    <s v="Pacific Gas &amp; Elec - Exchange"/>
    <n v="412904"/>
    <n v="1013.8429781871461"/>
    <n v="209309.91053269268"/>
  </r>
  <r>
    <x v="1"/>
    <s v="Interchange - In"/>
    <x v="2"/>
    <x v="4"/>
    <s v="Powerex - Exchange"/>
    <n v="610192"/>
    <n v="1013.8429781871461"/>
    <n v="309319.43727298552"/>
  </r>
  <r>
    <x v="1"/>
    <s v="Interchange - In"/>
    <x v="2"/>
    <x v="4"/>
    <s v="Seattle City Light Marketing"/>
    <n v="78400"/>
    <n v="1013.8429781871461"/>
    <n v="39742.644744936122"/>
  </r>
  <r>
    <x v="1"/>
    <s v="Interchange - In"/>
    <x v="2"/>
    <x v="4"/>
    <s v="Tacoma Power"/>
    <n v="24876"/>
    <n v="1013.8429781871461"/>
    <n v="12610.178962691722"/>
  </r>
  <r>
    <x v="1"/>
    <s v="Interchange - In"/>
    <x v="2"/>
    <x v="4"/>
    <s v="Tacoma, City of"/>
    <n v="210"/>
    <n v="1013.8429781871461"/>
    <n v="106.45351270965034"/>
  </r>
  <r>
    <x v="1"/>
    <s v="Interchange - In"/>
    <x v="2"/>
    <x v="4"/>
    <s v="TransAlta Energy Marketing"/>
    <n v="895958"/>
    <n v="1013.8429781871461"/>
    <n v="454180.36352529947"/>
  </r>
  <r>
    <x v="1"/>
    <s v="Interchange - Out"/>
    <x v="2"/>
    <x v="4"/>
    <s v="Avista Energy"/>
    <n v="-309216"/>
    <n v="1013.8429781871461"/>
    <n v="-156748.23517155828"/>
  </r>
  <r>
    <x v="1"/>
    <s v="Interchange - Out"/>
    <x v="2"/>
    <x v="4"/>
    <s v="Black Creek Hydro"/>
    <n v="-3057"/>
    <n v="1013.8429781871461"/>
    <n v="-1549.6589921590528"/>
  </r>
  <r>
    <x v="1"/>
    <s v="Interchange - Out"/>
    <x v="2"/>
    <x v="4"/>
    <s v="BPA"/>
    <n v="-103655"/>
    <n v="1013.8429781871461"/>
    <n v="-52544.946951994316"/>
  </r>
  <r>
    <x v="1"/>
    <s v="Interchange - Out"/>
    <x v="2"/>
    <x v="4"/>
    <s v="Cargill Power Markets"/>
    <n v="-31096"/>
    <n v="1013.8429781871461"/>
    <n v="-15763.230624853746"/>
  </r>
  <r>
    <x v="1"/>
    <s v="Interchange - Out"/>
    <x v="2"/>
    <x v="4"/>
    <s v="Douglas County PUD #1"/>
    <n v="-75"/>
    <n v="1013.8429781871461"/>
    <n v="-38.019111682017972"/>
  </r>
  <r>
    <x v="1"/>
    <s v="Interchange - Out"/>
    <x v="2"/>
    <x v="4"/>
    <s v="Pacific Gas &amp; Elec - Exchange"/>
    <n v="-413000"/>
    <n v="1013.8429781871461"/>
    <n v="-209358.57499564567"/>
  </r>
  <r>
    <x v="1"/>
    <s v="Interchange - Out"/>
    <x v="2"/>
    <x v="4"/>
    <s v="Powerex - Exchange"/>
    <n v="-610192"/>
    <n v="1013.8429781871461"/>
    <n v="-309319.43727298552"/>
  </r>
  <r>
    <x v="1"/>
    <s v="Interchange - Out"/>
    <x v="2"/>
    <x v="4"/>
    <s v="Seattle City Light Marketing"/>
    <n v="-78400"/>
    <n v="1013.8429781871461"/>
    <n v="-39742.644744936122"/>
  </r>
  <r>
    <x v="1"/>
    <s v="Interchange - Out"/>
    <x v="2"/>
    <x v="4"/>
    <s v="Storage/Interchange - Out"/>
    <n v="-21"/>
    <n v="1013.8429781871461"/>
    <n v="-10.645351270965033"/>
  </r>
  <r>
    <x v="1"/>
    <s v="Interchange - Out"/>
    <x v="2"/>
    <x v="4"/>
    <s v="Tacoma Power"/>
    <n v="-25065"/>
    <n v="1013.8429781871461"/>
    <n v="-12705.987124130408"/>
  </r>
  <r>
    <x v="1"/>
    <s v="Interchange - Out"/>
    <x v="2"/>
    <x v="4"/>
    <s v="TransAlta Energy Marketing"/>
    <n v="-895958"/>
    <n v="1013.8429781871461"/>
    <n v="-454180.36352529947"/>
  </r>
  <r>
    <x v="1"/>
    <s v="Sales for Resale"/>
    <x v="2"/>
    <x v="4"/>
    <s v="Arizona Public Service"/>
    <n v="-3400"/>
    <n v="1013.8429781871461"/>
    <n v="-1723.5330629181483"/>
  </r>
  <r>
    <x v="1"/>
    <s v="Sales for Resale"/>
    <x v="2"/>
    <x v="4"/>
    <s v="Avista Corp. WWP Division"/>
    <n v="-41478"/>
    <n v="1013.8429781871461"/>
    <n v="-21026.089524623221"/>
  </r>
  <r>
    <x v="1"/>
    <s v="Sales for Resale"/>
    <x v="2"/>
    <x v="4"/>
    <s v="Avista Energy"/>
    <n v="-307922"/>
    <n v="1013.8429781871461"/>
    <n v="-156092.27876467121"/>
  </r>
  <r>
    <x v="1"/>
    <s v="Sales for Resale"/>
    <x v="2"/>
    <x v="4"/>
    <s v="Barclays Bank Plc"/>
    <n v="-6000"/>
    <n v="1013.8429781871461"/>
    <n v="-3041.5289345614383"/>
  </r>
  <r>
    <x v="1"/>
    <s v="Sales for Resale"/>
    <x v="2"/>
    <x v="4"/>
    <s v="Bear Energy LP"/>
    <n v="-3298"/>
    <n v="1013.8429781871461"/>
    <n v="-1671.827071030604"/>
  </r>
  <r>
    <x v="1"/>
    <s v="Sales for Resale"/>
    <x v="2"/>
    <x v="4"/>
    <s v="Benton County PUD"/>
    <n v="-4433"/>
    <n v="1013.8429781871461"/>
    <n v="-2247.1829611518096"/>
  </r>
  <r>
    <x v="1"/>
    <s v="Sales for Resale"/>
    <x v="2"/>
    <x v="4"/>
    <s v="Black Hills Power"/>
    <n v="-650"/>
    <n v="1013.8429781871461"/>
    <n v="-329.4989679108225"/>
  </r>
  <r>
    <x v="1"/>
    <s v="Sales for Resale"/>
    <x v="2"/>
    <x v="4"/>
    <s v="Book Outs - EITF 03-11"/>
    <n v="2421278"/>
    <n v="1013.8429781871461"/>
    <n v="1227397.8492695084"/>
  </r>
  <r>
    <x v="1"/>
    <s v="Sales for Resale"/>
    <x v="2"/>
    <x v="4"/>
    <s v="BP Energy Co."/>
    <n v="-95783"/>
    <n v="1013.8429781871461"/>
    <n v="-48554.460989849707"/>
  </r>
  <r>
    <x v="1"/>
    <s v="Sales for Resale"/>
    <x v="2"/>
    <x v="4"/>
    <s v="BPA"/>
    <n v="-141345"/>
    <n v="1013.8429781871461"/>
    <n v="-71650.817875931083"/>
  </r>
  <r>
    <x v="1"/>
    <s v="Sales for Resale"/>
    <x v="2"/>
    <x v="4"/>
    <s v="British Columbia Transmission Corp"/>
    <n v="-23"/>
    <n v="1013.8429781871461"/>
    <n v="-11.659194249152181"/>
  </r>
  <r>
    <x v="1"/>
    <s v="Sales for Resale"/>
    <x v="2"/>
    <x v="4"/>
    <s v="Burbank, City of"/>
    <n v="-3121"/>
    <n v="1013.8429781871461"/>
    <n v="-1582.1019674610413"/>
  </r>
  <r>
    <x v="1"/>
    <s v="Sales for Resale"/>
    <x v="2"/>
    <x v="4"/>
    <s v="Cargill Power Markets"/>
    <n v="-84873"/>
    <n v="1013.8429781871461"/>
    <n v="-43023.947543838818"/>
  </r>
  <r>
    <x v="1"/>
    <s v="Sales for Resale"/>
    <x v="2"/>
    <x v="4"/>
    <s v="Chelan County PUD #1"/>
    <n v="-1200"/>
    <n v="1013.8429781871461"/>
    <n v="-608.30578691228754"/>
  </r>
  <r>
    <x v="1"/>
    <s v="Sales for Resale"/>
    <x v="2"/>
    <x v="4"/>
    <s v="Cincinnati Gas &amp; Electric Co"/>
    <n v="-13200"/>
    <n v="1013.8429781871461"/>
    <n v="-6691.3636560351642"/>
  </r>
  <r>
    <x v="1"/>
    <s v="Sales for Resale"/>
    <x v="2"/>
    <x v="4"/>
    <s v="Cinergy Services"/>
    <n v="-24697"/>
    <n v="1013.8429781871461"/>
    <n v="-12519.440016143973"/>
  </r>
  <r>
    <x v="1"/>
    <s v="Sales for Resale"/>
    <x v="2"/>
    <x v="4"/>
    <s v="Citigroup Energy Inc"/>
    <n v="-88920"/>
    <n v="1013.8429781871461"/>
    <n v="-45075.458810200515"/>
  </r>
  <r>
    <x v="1"/>
    <s v="Sales for Resale"/>
    <x v="2"/>
    <x v="4"/>
    <s v="Clatskanie PUD"/>
    <n v="-4691"/>
    <n v="1013.8429781871461"/>
    <n v="-2377.9687053379512"/>
  </r>
  <r>
    <x v="1"/>
    <s v="Sales for Resale"/>
    <x v="2"/>
    <x v="4"/>
    <s v="Conoco, Inc."/>
    <n v="-44413"/>
    <n v="1013.8429781871461"/>
    <n v="-22513.904095112859"/>
  </r>
  <r>
    <x v="1"/>
    <s v="Sales for Resale"/>
    <x v="2"/>
    <x v="4"/>
    <s v="Constellation Power Source, Inc."/>
    <n v="-80970"/>
    <n v="1013.8429781871461"/>
    <n v="-41045.432971906608"/>
  </r>
  <r>
    <x v="1"/>
    <s v="Sales for Resale"/>
    <x v="2"/>
    <x v="4"/>
    <s v="DB Energy Trading LLC"/>
    <n v="-30000"/>
    <n v="1013.8429781871461"/>
    <n v="-15207.644672807191"/>
  </r>
  <r>
    <x v="1"/>
    <s v="Sales for Resale"/>
    <x v="2"/>
    <x v="4"/>
    <s v="Douglas County PUD #1"/>
    <n v="-980"/>
    <n v="1013.8429781871461"/>
    <n v="-496.78305931170155"/>
  </r>
  <r>
    <x v="1"/>
    <s v="Sales for Resale"/>
    <x v="2"/>
    <x v="4"/>
    <s v="ENMAX Energy Marketing, Inc."/>
    <n v="-6322"/>
    <n v="1013.8429781871461"/>
    <n v="-3204.7576540495688"/>
  </r>
  <r>
    <x v="1"/>
    <s v="Sales for Resale"/>
    <x v="2"/>
    <x v="4"/>
    <s v="Epcor Merchant &amp; Capital"/>
    <n v="-21189"/>
    <n v="1013.8429781871461"/>
    <n v="-10741.15943240372"/>
  </r>
  <r>
    <x v="1"/>
    <s v="Sales for Resale"/>
    <x v="2"/>
    <x v="4"/>
    <s v="Eugene Water &amp; Electric"/>
    <n v="-16203"/>
    <n v="1013.8429781871461"/>
    <n v="-8213.6488877831634"/>
  </r>
  <r>
    <x v="1"/>
    <s v="Sales for Resale"/>
    <x v="2"/>
    <x v="4"/>
    <s v="Fortis Energy Marketing &amp; Trading"/>
    <n v="-45575"/>
    <n v="1013.8429781871461"/>
    <n v="-23102.94686543959"/>
  </r>
  <r>
    <x v="1"/>
    <s v="Sales for Resale"/>
    <x v="2"/>
    <x v="4"/>
    <s v="Franklin County PUD #1"/>
    <n v="-1725"/>
    <n v="1013.8429781871461"/>
    <n v="-874.43956868641351"/>
  </r>
  <r>
    <x v="1"/>
    <s v="Sales for Resale"/>
    <x v="2"/>
    <x v="4"/>
    <s v="Grant County PUD #2"/>
    <n v="-16830"/>
    <n v="1013.8429781871461"/>
    <n v="-8531.4886614448333"/>
  </r>
  <r>
    <x v="1"/>
    <s v="Sales for Resale"/>
    <x v="2"/>
    <x v="4"/>
    <s v="Grays Harbor PUD #1"/>
    <n v="-4477"/>
    <n v="1013.8429781871461"/>
    <n v="-2269.4875066719264"/>
  </r>
  <r>
    <x v="1"/>
    <s v="Sales for Resale"/>
    <x v="2"/>
    <x v="4"/>
    <s v="Hinson Power Company"/>
    <n v="-3200"/>
    <n v="1013.8429781871461"/>
    <n v="-1622.1487650994336"/>
  </r>
  <r>
    <x v="1"/>
    <s v="Sales for Resale"/>
    <x v="2"/>
    <x v="4"/>
    <s v="Iberdrola Renewables (PPM Energy)"/>
    <n v="-183683"/>
    <n v="1013.8429781871461"/>
    <n v="-93112.85988117478"/>
  </r>
  <r>
    <x v="1"/>
    <s v="Sales for Resale"/>
    <x v="2"/>
    <x v="4"/>
    <s v="Idaho Power Company"/>
    <n v="-77637"/>
    <n v="1013.8429781871461"/>
    <n v="-39355.863648757724"/>
  </r>
  <r>
    <x v="1"/>
    <s v="Sales for Resale"/>
    <x v="2"/>
    <x v="4"/>
    <s v="J. Aron &amp; Company"/>
    <n v="-13600"/>
    <n v="1013.8429781871461"/>
    <n v="-6894.1322516725932"/>
  </r>
  <r>
    <x v="1"/>
    <s v="Sales for Resale"/>
    <x v="2"/>
    <x v="4"/>
    <s v="JP Morgan Ventures Energy"/>
    <n v="-20000"/>
    <n v="1013.8429781871461"/>
    <n v="-10138.42978187146"/>
  </r>
  <r>
    <x v="1"/>
    <s v="Sales for Resale"/>
    <x v="2"/>
    <x v="4"/>
    <s v="Klamath Falls, City of"/>
    <n v="-9281"/>
    <n v="1013.8429781871461"/>
    <n v="-4704.7383402774512"/>
  </r>
  <r>
    <x v="1"/>
    <s v="Sales for Resale"/>
    <x v="2"/>
    <x v="4"/>
    <s v="Lehman Bros Commodity Services"/>
    <n v="-49275"/>
    <n v="1013.8429781871461"/>
    <n v="-24978.556375085813"/>
  </r>
  <r>
    <x v="1"/>
    <s v="Sales for Resale"/>
    <x v="2"/>
    <x v="4"/>
    <s v="Los Angeles Dept. Water &amp; Power"/>
    <n v="-3215"/>
    <n v="1013.8429781871461"/>
    <n v="-1629.7525874358373"/>
  </r>
  <r>
    <x v="1"/>
    <s v="Sales for Resale"/>
    <x v="2"/>
    <x v="4"/>
    <s v="Macquarie Energy LLC"/>
    <n v="-77000"/>
    <n v="1013.8429781871461"/>
    <n v="-39032.954660205127"/>
  </r>
  <r>
    <x v="1"/>
    <s v="Sales for Resale"/>
    <x v="2"/>
    <x v="4"/>
    <s v="Merrill Lynch Commodities"/>
    <n v="-40881"/>
    <n v="1013.8429781871461"/>
    <n v="-20723.457395634359"/>
  </r>
  <r>
    <x v="1"/>
    <s v="Sales for Resale"/>
    <x v="2"/>
    <x v="4"/>
    <s v="Modesto Irrigation District"/>
    <n v="-8394"/>
    <n v="1013.8429781871461"/>
    <n v="-4255.0989794514526"/>
  </r>
  <r>
    <x v="1"/>
    <s v="Sales for Resale"/>
    <x v="2"/>
    <x v="4"/>
    <s v="Morgan Stanley CG"/>
    <n v="-252602"/>
    <n v="1013.8429781871461"/>
    <n v="-128049.38198801473"/>
  </r>
  <r>
    <x v="1"/>
    <s v="Sales for Resale"/>
    <x v="2"/>
    <x v="4"/>
    <s v="N. California Power Agency"/>
    <n v="-3417"/>
    <n v="1013.8429781871461"/>
    <n v="-1732.1507282327391"/>
  </r>
  <r>
    <x v="1"/>
    <s v="Sales for Resale"/>
    <x v="2"/>
    <x v="4"/>
    <s v="Noble Americas Energy Solutions"/>
    <n v="-2072"/>
    <n v="1013.8429781871461"/>
    <n v="-1050.3413254018833"/>
  </r>
  <r>
    <x v="1"/>
    <s v="Sales for Resale"/>
    <x v="2"/>
    <x v="4"/>
    <s v="NorthPoint Energy Solutions, Inc."/>
    <n v="-17324"/>
    <n v="1013.8429781871461"/>
    <n v="-8781.9078770570595"/>
  </r>
  <r>
    <x v="1"/>
    <s v="Sales for Resale"/>
    <x v="2"/>
    <x v="4"/>
    <s v="Northwestern Energy"/>
    <n v="-25569"/>
    <n v="1013.8429781871461"/>
    <n v="-12961.475554633569"/>
  </r>
  <r>
    <x v="1"/>
    <s v="Sales for Resale"/>
    <x v="2"/>
    <x v="4"/>
    <s v="Occidental Power Services"/>
    <n v="-5300"/>
    <n v="1013.8429781871461"/>
    <n v="-2686.683892195937"/>
  </r>
  <r>
    <x v="1"/>
    <s v="Sales for Resale"/>
    <x v="2"/>
    <x v="4"/>
    <s v="Okanogan PUD"/>
    <n v="-260"/>
    <n v="1013.8429781871461"/>
    <n v="-131.79958716432898"/>
  </r>
  <r>
    <x v="1"/>
    <s v="Sales for Resale"/>
    <x v="2"/>
    <x v="4"/>
    <s v="Pacific Northwest Generatin Coop."/>
    <n v="-7665"/>
    <n v="1013.8429781871461"/>
    <n v="-3885.5532139022375"/>
  </r>
  <r>
    <x v="1"/>
    <s v="Sales for Resale"/>
    <x v="2"/>
    <x v="4"/>
    <s v="Pacificorp"/>
    <n v="-299493"/>
    <n v="1013.8429781871461"/>
    <n v="-151819.43753310147"/>
  </r>
  <r>
    <x v="1"/>
    <s v="Sales for Resale"/>
    <x v="2"/>
    <x v="4"/>
    <s v="PG&amp;E Energy Trading"/>
    <n v="-10225"/>
    <n v="1013.8429781871461"/>
    <n v="-5183.2722259817838"/>
  </r>
  <r>
    <x v="1"/>
    <s v="Sales for Resale"/>
    <x v="2"/>
    <x v="4"/>
    <s v="Pinnacle West Capital Corp"/>
    <n v="-11000"/>
    <n v="1013.8429781871461"/>
    <n v="-5576.1363800293029"/>
  </r>
  <r>
    <x v="1"/>
    <s v="Sales for Resale"/>
    <x v="2"/>
    <x v="4"/>
    <s v="Portland General Electric"/>
    <n v="-84922"/>
    <n v="1013.8429781871461"/>
    <n v="-43048.786696804411"/>
  </r>
  <r>
    <x v="1"/>
    <s v="Sales for Resale"/>
    <x v="2"/>
    <x v="4"/>
    <s v="Powerex Corp."/>
    <n v="-546974"/>
    <n v="1013.8429781871461"/>
    <n v="-277272.87457546801"/>
  </r>
  <r>
    <x v="1"/>
    <s v="Sales for Resale"/>
    <x v="2"/>
    <x v="4"/>
    <s v="PP&amp;L Montana, LLC."/>
    <n v="-54840"/>
    <n v="1013.8429781871461"/>
    <n v="-27799.574461891541"/>
  </r>
  <r>
    <x v="1"/>
    <s v="Sales for Resale"/>
    <x v="2"/>
    <x v="4"/>
    <s v="Public Service of Colorado"/>
    <n v="-12930"/>
    <n v="1013.8429781871461"/>
    <n v="-6554.4948539798997"/>
  </r>
  <r>
    <x v="1"/>
    <s v="Sales for Resale"/>
    <x v="2"/>
    <x v="4"/>
    <s v="Rainbow Energy Marketing"/>
    <n v="-182633"/>
    <n v="1013.8429781871461"/>
    <n v="-92580.592317626521"/>
  </r>
  <r>
    <x v="1"/>
    <s v="Sales for Resale"/>
    <x v="2"/>
    <x v="4"/>
    <s v="Redding, City of"/>
    <n v="-2030"/>
    <n v="1013.8429781871461"/>
    <n v="-1029.0506228599531"/>
  </r>
  <r>
    <x v="1"/>
    <s v="Sales for Resale"/>
    <x v="2"/>
    <x v="4"/>
    <s v="Sacramento Municipal"/>
    <n v="-9398"/>
    <n v="1013.8429781871461"/>
    <n v="-4764.048154501399"/>
  </r>
  <r>
    <x v="1"/>
    <s v="Sales for Resale"/>
    <x v="2"/>
    <x v="4"/>
    <s v="San Diego Gas &amp; Electric"/>
    <n v="-11112"/>
    <n v="1013.8429781871461"/>
    <n v="-5632.9115868077834"/>
  </r>
  <r>
    <x v="1"/>
    <s v="Sales for Resale"/>
    <x v="2"/>
    <x v="4"/>
    <s v="Seattle City Light Marketing"/>
    <n v="-43046"/>
    <n v="1013.8429781871461"/>
    <n v="-21820.942419521947"/>
  </r>
  <r>
    <x v="1"/>
    <s v="Sales for Resale"/>
    <x v="2"/>
    <x v="4"/>
    <s v="Sempra Energy Trading"/>
    <n v="-186355"/>
    <n v="1013.8429781871461"/>
    <n v="-94467.354100032811"/>
  </r>
  <r>
    <x v="1"/>
    <s v="Sales for Resale"/>
    <x v="2"/>
    <x v="4"/>
    <s v="Shell Energy (Coral Pwr)"/>
    <n v="-215517"/>
    <n v="1013.8429781871461"/>
    <n v="-109250.19856497958"/>
  </r>
  <r>
    <x v="1"/>
    <s v="Sales for Resale"/>
    <x v="2"/>
    <x v="4"/>
    <s v="Sierra Pacific Power"/>
    <n v="-23099"/>
    <n v="1013.8429781871461"/>
    <n v="-11709.379476572443"/>
  </r>
  <r>
    <x v="1"/>
    <s v="Sales for Resale"/>
    <x v="2"/>
    <x v="4"/>
    <s v="Silicon Valley Pwr - Santa Clara"/>
    <n v="-16202"/>
    <n v="1013.8429781871461"/>
    <n v="-8213.1419662940698"/>
  </r>
  <r>
    <x v="1"/>
    <s v="Sales for Resale"/>
    <x v="2"/>
    <x v="4"/>
    <s v="Snohomish County PUD #1"/>
    <n v="-29170"/>
    <n v="1013.8429781871461"/>
    <n v="-14786.899836859526"/>
  </r>
  <r>
    <x v="1"/>
    <s v="Sales for Resale"/>
    <x v="2"/>
    <x v="4"/>
    <s v="Southern Cal - Edison"/>
    <n v="-18966"/>
    <n v="1013.8429781871461"/>
    <n v="-9614.2729621487051"/>
  </r>
  <r>
    <x v="1"/>
    <s v="Sales for Resale"/>
    <x v="2"/>
    <x v="4"/>
    <s v="SUEZ Energy Marketing (Tractebel)"/>
    <n v="-115860"/>
    <n v="1013.8429781871461"/>
    <n v="-58731.92372638137"/>
  </r>
  <r>
    <x v="1"/>
    <s v="Sales for Resale"/>
    <x v="2"/>
    <x v="4"/>
    <s v="Tacoma Power"/>
    <n v="-9162"/>
    <n v="1013.8429781871461"/>
    <n v="-4644.4146830753161"/>
  </r>
  <r>
    <x v="1"/>
    <s v="Sales for Resale"/>
    <x v="2"/>
    <x v="4"/>
    <s v="TransAlta Energy Marketing"/>
    <n v="-618699"/>
    <n v="1013.8429781871461"/>
    <n v="-313631.8183807045"/>
  </r>
  <r>
    <x v="1"/>
    <s v="Sales for Resale"/>
    <x v="2"/>
    <x v="4"/>
    <s v="TransCanada Power Corp."/>
    <n v="-15432"/>
    <n v="1013.8429781871461"/>
    <n v="-7822.8124196920189"/>
  </r>
  <r>
    <x v="1"/>
    <s v="Sales for Resale"/>
    <x v="2"/>
    <x v="4"/>
    <s v="Turlock Irrigation District"/>
    <n v="-2765"/>
    <n v="1013.8429781871461"/>
    <n v="-1401.6379173437294"/>
  </r>
  <r>
    <x v="1"/>
    <s v="Sales for Resale"/>
    <x v="2"/>
    <x v="4"/>
    <s v="UBS AG"/>
    <n v="-74264"/>
    <n v="1013.8429781871461"/>
    <n v="-37646.017466045101"/>
  </r>
  <r>
    <x v="1"/>
    <s v="Sales for Resale"/>
    <x v="2"/>
    <x v="4"/>
    <s v="Western Area Power Association"/>
    <n v="-515"/>
    <n v="1013.8429781871461"/>
    <n v="-261.06456688319008"/>
  </r>
  <r>
    <x v="1"/>
    <s v="Sales for Resale"/>
    <x v="2"/>
    <x v="4"/>
    <s v="Williams Power Company"/>
    <n v="-425"/>
    <n v="1013.8429781871461"/>
    <n v="-215.44163286476854"/>
  </r>
  <r>
    <x v="2"/>
    <s v="Generation - Hydro"/>
    <x v="0"/>
    <x v="0"/>
    <s v="Electron"/>
    <n v="88728.5"/>
    <n v="0"/>
    <n v="0"/>
  </r>
  <r>
    <x v="2"/>
    <s v="Generation - Hydro"/>
    <x v="0"/>
    <x v="0"/>
    <s v="Lower Baker"/>
    <n v="436208.3"/>
    <n v="0"/>
    <n v="0"/>
  </r>
  <r>
    <x v="2"/>
    <s v="Generation - Hydro"/>
    <x v="0"/>
    <x v="0"/>
    <s v="Snoqualmie Falls #1"/>
    <n v="52146.400000000001"/>
    <n v="0"/>
    <n v="0"/>
  </r>
  <r>
    <x v="2"/>
    <s v="Generation - Hydro"/>
    <x v="0"/>
    <x v="0"/>
    <s v="Snoqualmie Falls #2"/>
    <n v="176100.2"/>
    <n v="0"/>
    <n v="0"/>
  </r>
  <r>
    <x v="2"/>
    <s v="Generation - Hydro"/>
    <x v="0"/>
    <x v="0"/>
    <s v="Upper Baker"/>
    <n v="401050.43"/>
    <n v="0"/>
    <n v="0"/>
  </r>
  <r>
    <x v="2"/>
    <s v="Generation - Steam"/>
    <x v="0"/>
    <x v="1"/>
    <s v="Colstrip 1 &amp; 2"/>
    <n v="2366043"/>
    <n v="2509.6325806420255"/>
    <n v="2968949.3"/>
  </r>
  <r>
    <x v="2"/>
    <s v="Generation - Steam"/>
    <x v="0"/>
    <x v="1"/>
    <s v="Colstrip 3 &amp; 4"/>
    <n v="2776869"/>
    <n v="2420.5408501445331"/>
    <n v="3360762.4249999998"/>
  </r>
  <r>
    <x v="2"/>
    <s v="Generation - Steam"/>
    <x v="0"/>
    <x v="2"/>
    <s v="Encogen"/>
    <n v="182970"/>
    <n v="1127.5436203061972"/>
    <n v="103153.32810371245"/>
  </r>
  <r>
    <x v="2"/>
    <s v="Generation - Steam"/>
    <x v="0"/>
    <x v="2"/>
    <s v="Goldendale"/>
    <n v="636737.19999999995"/>
    <n v="783.94989064411186"/>
    <n v="249585.02915451897"/>
  </r>
  <r>
    <x v="2"/>
    <s v="Generation - Oil/Gas/Wind"/>
    <x v="0"/>
    <x v="3"/>
    <s v="Crystal Mountain"/>
    <n v="313.42"/>
    <n v="1963.3964030374577"/>
    <n v="307.68385032000003"/>
  </r>
  <r>
    <x v="2"/>
    <s v="Generation - Oil/Gas/Wind"/>
    <x v="0"/>
    <x v="2"/>
    <s v="Freddie #1"/>
    <n v="440914"/>
    <n v="391.94270735263399"/>
    <n v="86406.513434839639"/>
  </r>
  <r>
    <x v="2"/>
    <s v="Generation - Oil/Gas/Wind"/>
    <x v="0"/>
    <x v="2"/>
    <s v="Fredonia"/>
    <n v="7927.5"/>
    <n v="1599.7328073884109"/>
    <n v="6340.9409152858134"/>
  </r>
  <r>
    <x v="2"/>
    <s v="Generation - Oil/Gas/Wind"/>
    <x v="0"/>
    <x v="2"/>
    <s v="Fredonia 3 &amp; 4"/>
    <n v="19646.900000000001"/>
    <n v="1159.4426591845654"/>
    <n v="11389.726990366618"/>
  </r>
  <r>
    <x v="2"/>
    <s v="Generation - Oil/Gas/Wind"/>
    <x v="0"/>
    <x v="2"/>
    <s v="Fredrickson 1 &amp; 2"/>
    <n v="8908"/>
    <n v="1324.5215387832911"/>
    <n v="5899.4189337407788"/>
  </r>
  <r>
    <x v="2"/>
    <s v="Generation - Oil/Gas/Wind"/>
    <x v="0"/>
    <x v="0"/>
    <s v="Hopkins Ridge (W184)"/>
    <n v="402465.2"/>
    <n v="0"/>
    <n v="0"/>
  </r>
  <r>
    <x v="2"/>
    <s v="Generation - Oil/Gas/Wind"/>
    <x v="0"/>
    <x v="2"/>
    <s v="Whitehorn 2&amp;3"/>
    <n v="13208"/>
    <n v="1471.3440376388919"/>
    <n v="9716.756024567243"/>
  </r>
  <r>
    <x v="2"/>
    <s v="Generation - Oil/Gas/Wind"/>
    <x v="0"/>
    <x v="0"/>
    <s v="Wild Horse (W183)"/>
    <n v="612858.34600000002"/>
    <n v="0"/>
    <n v="0"/>
  </r>
  <r>
    <x v="2"/>
    <s v="Purchases - Firm"/>
    <x v="1"/>
    <x v="4"/>
    <s v="BC Hydro (Point Roberts)"/>
    <n v="22373.439999999999"/>
    <n v="1201.8007841674578"/>
    <n v="13444.208868261783"/>
  </r>
  <r>
    <x v="2"/>
    <s v="Purchases - Firm"/>
    <x v="1"/>
    <x v="0"/>
    <s v="BPA"/>
    <n v="6923"/>
    <n v="0"/>
    <n v="0"/>
  </r>
  <r>
    <x v="2"/>
    <s v="Purchases - Firm"/>
    <x v="1"/>
    <x v="4"/>
    <s v="BPA Firm - WNP#3 Exchange"/>
    <n v="339510"/>
    <n v="1201.8007841674578"/>
    <n v="204011.69211634679"/>
  </r>
  <r>
    <x v="2"/>
    <s v="Purchases - Firm"/>
    <x v="1"/>
    <x v="0"/>
    <s v="Chelan PUD - Rock Island Syst #2"/>
    <n v="1279176"/>
    <n v="0"/>
    <n v="0"/>
  </r>
  <r>
    <x v="2"/>
    <s v="Purchases - Firm"/>
    <x v="1"/>
    <x v="0"/>
    <s v="Chelan PUD - Rocky Reach"/>
    <n v="2478149"/>
    <n v="0"/>
    <n v="0"/>
  </r>
  <r>
    <x v="2"/>
    <s v="Purchases - Firm"/>
    <x v="1"/>
    <x v="0"/>
    <s v="Douglas PUD - Wells Project"/>
    <n v="1143974"/>
    <n v="0"/>
    <n v="0"/>
  </r>
  <r>
    <x v="2"/>
    <s v="Purchases - Firm"/>
    <x v="1"/>
    <x v="0"/>
    <s v="Grant PUD - Priest Rapids"/>
    <n v="437351"/>
    <n v="0"/>
    <n v="0"/>
  </r>
  <r>
    <x v="2"/>
    <s v="Purchases - Firm"/>
    <x v="1"/>
    <x v="0"/>
    <s v="Grant PUD - Wanapum"/>
    <n v="471766"/>
    <n v="0"/>
    <n v="0"/>
  </r>
  <r>
    <x v="2"/>
    <s v="Purchases - Firm"/>
    <x v="1"/>
    <x v="0"/>
    <s v="Klondike Wind Power III"/>
    <n v="8570"/>
    <n v="0"/>
    <n v="0"/>
  </r>
  <r>
    <x v="2"/>
    <s v="Purchases - Firm"/>
    <x v="1"/>
    <x v="1"/>
    <s v="NWestern Energy(MPC) Firm Contract"/>
    <n v="744477"/>
    <n v="2461.5283034203198"/>
    <n v="916275.60337272473"/>
  </r>
  <r>
    <x v="2"/>
    <s v="Purchases - Firm"/>
    <x v="1"/>
    <x v="4"/>
    <s v="Snohomish PUD Conservation"/>
    <n v="89728"/>
    <n v="1201.8007841674578"/>
    <n v="53917.590380888825"/>
  </r>
  <r>
    <x v="2"/>
    <s v="Purchases - Firm"/>
    <x v="1"/>
    <x v="0"/>
    <s v="VanderHaak Dairy Digester"/>
    <n v="2091.6"/>
    <n v="0"/>
    <n v="0"/>
  </r>
  <r>
    <x v="2"/>
    <s v="Purchases - Firm"/>
    <x v="1"/>
    <x v="0"/>
    <s v="WASCO Hydro"/>
    <n v="43893"/>
    <n v="0"/>
    <n v="0"/>
  </r>
  <r>
    <x v="2"/>
    <s v="Purchases - PURPA"/>
    <x v="1"/>
    <x v="0"/>
    <s v="Hutchinson Creek"/>
    <n v="1860.32"/>
    <n v="0"/>
    <n v="0"/>
  </r>
  <r>
    <x v="2"/>
    <s v="Purchases - PURPA"/>
    <x v="1"/>
    <x v="0"/>
    <s v="Koma Kulshan Associates"/>
    <n v="43644"/>
    <n v="0"/>
    <n v="0"/>
  </r>
  <r>
    <x v="2"/>
    <s v="Purchases - PURPA"/>
    <x v="1"/>
    <x v="2"/>
    <s v="March Point Cogen. - 1 &amp; 2"/>
    <n v="1025307.58"/>
    <n v="716.46716245229504"/>
    <n v="367299.60624171473"/>
  </r>
  <r>
    <x v="2"/>
    <s v="Purchases - PURPA"/>
    <x v="1"/>
    <x v="0"/>
    <s v="Nooksack"/>
    <n v="22963.77"/>
    <n v="0"/>
    <n v="0"/>
  </r>
  <r>
    <x v="2"/>
    <s v="Purchases - PURPA"/>
    <x v="1"/>
    <x v="5"/>
    <s v="Port Townsend Paper Co."/>
    <n v="2611.3200000000002"/>
    <n v="1070.767948493221"/>
    <n v="1398.058879629659"/>
  </r>
  <r>
    <x v="2"/>
    <s v="Purchases - PURPA"/>
    <x v="1"/>
    <x v="0"/>
    <s v="Puyallup Energy Recovery Company"/>
    <n v="2756.55"/>
    <n v="0"/>
    <n v="0"/>
  </r>
  <r>
    <x v="2"/>
    <s v="Purchases - PURPA"/>
    <x v="1"/>
    <x v="6"/>
    <s v="Spokane MSW"/>
    <n v="141747"/>
    <n v="4476.201431413494"/>
    <n v="317244.06214928423"/>
  </r>
  <r>
    <x v="2"/>
    <s v="Purchases - PURPA"/>
    <x v="1"/>
    <x v="2"/>
    <s v="Sumas Cogeneration"/>
    <n v="228957.17"/>
    <n v="848.73172220786239"/>
    <n v="97161.606602969172"/>
  </r>
  <r>
    <x v="2"/>
    <s v="Purchases - PURPA"/>
    <x v="1"/>
    <x v="0"/>
    <s v="Sygitowicz Creek"/>
    <n v="458.4"/>
    <n v="0"/>
    <n v="0"/>
  </r>
  <r>
    <x v="2"/>
    <s v="Purchases - PURPA"/>
    <x v="1"/>
    <x v="2"/>
    <s v="Tenaska"/>
    <n v="729134"/>
    <n v="885.29203093487365"/>
    <n v="322748.25984183408"/>
  </r>
  <r>
    <x v="2"/>
    <s v="Purchases - PURPA"/>
    <x v="1"/>
    <x v="0"/>
    <s v="Twin Falls Hydro"/>
    <n v="73012"/>
    <n v="0"/>
    <n v="0"/>
  </r>
  <r>
    <x v="2"/>
    <s v="Purchases - PURPA"/>
    <x v="1"/>
    <x v="0"/>
    <s v="Weeks Falls"/>
    <n v="13389.6"/>
    <n v="0"/>
    <n v="0"/>
  </r>
  <r>
    <x v="2"/>
    <s v="Purchases - Secondary"/>
    <x v="2"/>
    <x v="4"/>
    <s v="ATCO Power Canada"/>
    <n v="343"/>
    <n v="1201.8007841674578"/>
    <n v="206.10883448471901"/>
  </r>
  <r>
    <x v="2"/>
    <s v="Purchases - Secondary"/>
    <x v="2"/>
    <x v="4"/>
    <s v="Avista Corp. WWP Division"/>
    <n v="78343.520000000004"/>
    <n v="1201.8007841674578"/>
    <n v="47076.651885219457"/>
  </r>
  <r>
    <x v="2"/>
    <s v="Purchases - Secondary"/>
    <x v="2"/>
    <x v="4"/>
    <s v="Avista Energy"/>
    <n v="213884"/>
    <n v="1201.8007841674578"/>
    <n v="128522.97946043627"/>
  </r>
  <r>
    <x v="2"/>
    <s v="Purchases - Secondary"/>
    <x v="2"/>
    <x v="4"/>
    <s v="Barclays Bank Plc"/>
    <n v="61000"/>
    <n v="1201.8007841674578"/>
    <n v="36654.923917107466"/>
  </r>
  <r>
    <x v="2"/>
    <s v="Purchases - Secondary"/>
    <x v="2"/>
    <x v="4"/>
    <s v="Bear Energy LP"/>
    <n v="160006"/>
    <n v="1201.8007841674578"/>
    <n v="96147.668135749132"/>
  </r>
  <r>
    <x v="2"/>
    <s v="Purchases - Secondary"/>
    <x v="2"/>
    <x v="4"/>
    <s v="Benton County PUD"/>
    <n v="23621"/>
    <n v="1201.8007841674578"/>
    <n v="14193.86816140976"/>
  </r>
  <r>
    <x v="2"/>
    <s v="Purchases - Secondary"/>
    <x v="2"/>
    <x v="4"/>
    <s v="Black Hills Power"/>
    <n v="4400"/>
    <n v="1201.8007841674578"/>
    <n v="2643.9617251684072"/>
  </r>
  <r>
    <x v="2"/>
    <s v="Purchases - Secondary"/>
    <x v="2"/>
    <x v="4"/>
    <s v="Book Outs - EITF 03-11"/>
    <n v="-2169507"/>
    <n v="1201.8007841674578"/>
    <n v="-1303657.6069283944"/>
  </r>
  <r>
    <x v="2"/>
    <s v="Purchases - Secondary"/>
    <x v="2"/>
    <x v="4"/>
    <s v="BP Energy Co."/>
    <n v="32332"/>
    <n v="1201.8007841674578"/>
    <n v="19428.311476851122"/>
  </r>
  <r>
    <x v="2"/>
    <s v="Purchases - Secondary"/>
    <x v="2"/>
    <x v="4"/>
    <s v="BPA"/>
    <n v="246829"/>
    <n v="1201.8007841674578"/>
    <n v="148319.6428776347"/>
  </r>
  <r>
    <x v="2"/>
    <s v="Purchases - Secondary"/>
    <x v="2"/>
    <x v="4"/>
    <s v="British Columbia Transmission Corp"/>
    <n v="85"/>
    <n v="1201.8007841674578"/>
    <n v="51.076533327116955"/>
  </r>
  <r>
    <x v="2"/>
    <s v="Purchases - Secondary"/>
    <x v="2"/>
    <x v="4"/>
    <s v="Burbank, City of"/>
    <n v="1105"/>
    <n v="1201.8007841674578"/>
    <n v="663.99493325252035"/>
  </r>
  <r>
    <x v="2"/>
    <s v="Purchases - Secondary"/>
    <x v="2"/>
    <x v="4"/>
    <s v="Cargill Power Markets"/>
    <n v="87029"/>
    <n v="1201.8007841674578"/>
    <n v="52295.760222654841"/>
  </r>
  <r>
    <x v="2"/>
    <s v="Purchases - Secondary"/>
    <x v="2"/>
    <x v="4"/>
    <s v="Chelan County PUD #1"/>
    <n v="57329"/>
    <n v="1201.8007841674578"/>
    <n v="34449.018577768096"/>
  </r>
  <r>
    <x v="2"/>
    <s v="Purchases - Secondary"/>
    <x v="2"/>
    <x v="4"/>
    <s v="Citigroup Energy Inc"/>
    <n v="186496"/>
    <n v="1201.8007841674578"/>
    <n v="112065.51952204711"/>
  </r>
  <r>
    <x v="2"/>
    <s v="Purchases - Secondary"/>
    <x v="2"/>
    <x v="4"/>
    <s v="Clatskanie PUD"/>
    <n v="17582"/>
    <n v="1201.8007841674578"/>
    <n v="10565.030693616121"/>
  </r>
  <r>
    <x v="2"/>
    <s v="Purchases - Secondary"/>
    <x v="2"/>
    <x v="4"/>
    <s v="Conoco, Inc."/>
    <n v="46240"/>
    <n v="1201.8007841674578"/>
    <n v="27785.634129951621"/>
  </r>
  <r>
    <x v="2"/>
    <s v="Purchases - Secondary"/>
    <x v="2"/>
    <x v="4"/>
    <s v="Constellation Power Source, Inc."/>
    <n v="927668"/>
    <n v="1201.8007841674578"/>
    <n v="557436.06492352858"/>
  </r>
  <r>
    <x v="2"/>
    <s v="Purchases - Secondary"/>
    <x v="2"/>
    <x v="4"/>
    <s v="CP Energy Marketing (Epcor)"/>
    <n v="79114"/>
    <n v="1201.8007841674578"/>
    <n v="47539.633619312131"/>
  </r>
  <r>
    <x v="2"/>
    <s v="Purchases - Secondary"/>
    <x v="2"/>
    <x v="4"/>
    <s v="Credit Suisse Energy, LLC"/>
    <n v="153200"/>
    <n v="1201.8007841674578"/>
    <n v="92057.94006722726"/>
  </r>
  <r>
    <x v="2"/>
    <s v="Purchases - Secondary"/>
    <x v="2"/>
    <x v="4"/>
    <s v="DB Energy Trading LLC"/>
    <n v="25400"/>
    <n v="1201.8007841674578"/>
    <n v="15262.869958926713"/>
  </r>
  <r>
    <x v="2"/>
    <s v="Purchases - Secondary"/>
    <x v="2"/>
    <x v="4"/>
    <s v="Douglas County PUD #1"/>
    <n v="299493"/>
    <n v="1201.8007841674578"/>
    <n v="179965.46112633223"/>
  </r>
  <r>
    <x v="2"/>
    <s v="Purchases - Secondary"/>
    <x v="2"/>
    <x v="4"/>
    <s v="ENMAX Energy Marketing, Inc."/>
    <n v="1711"/>
    <n v="1201.8007841674578"/>
    <n v="1028.1405708552602"/>
  </r>
  <r>
    <x v="2"/>
    <s v="Purchases - Secondary"/>
    <x v="2"/>
    <x v="4"/>
    <s v="Eugene Water &amp; Electric"/>
    <n v="94235"/>
    <n v="1201.8007841674578"/>
    <n v="56625.848448010191"/>
  </r>
  <r>
    <x v="2"/>
    <s v="Purchases - Secondary"/>
    <x v="2"/>
    <x v="4"/>
    <s v="Fortis Energy Marketing &amp; Trading"/>
    <n v="93400"/>
    <n v="1201.8007841674578"/>
    <n v="56124.096620620279"/>
  </r>
  <r>
    <x v="2"/>
    <s v="Purchases - Secondary"/>
    <x v="2"/>
    <x v="4"/>
    <s v="Franklin County PUD #1"/>
    <n v="18589"/>
    <n v="1201.8007841674578"/>
    <n v="11170.137388444437"/>
  </r>
  <r>
    <x v="2"/>
    <s v="Purchases - Secondary"/>
    <x v="2"/>
    <x v="4"/>
    <s v="Grant County PUD #2"/>
    <n v="56689"/>
    <n v="1201.8007841674578"/>
    <n v="34064.442326834505"/>
  </r>
  <r>
    <x v="2"/>
    <s v="Purchases - Secondary"/>
    <x v="2"/>
    <x v="4"/>
    <s v="Grays Harbor PUD #1"/>
    <n v="32287"/>
    <n v="1201.8007841674578"/>
    <n v="19401.270959207355"/>
  </r>
  <r>
    <x v="2"/>
    <s v="Purchases - Secondary"/>
    <x v="2"/>
    <x v="4"/>
    <s v="Highland Energy LLC"/>
    <n v="950"/>
    <n v="1201.8007841674578"/>
    <n v="570.85537247954244"/>
  </r>
  <r>
    <x v="2"/>
    <s v="Purchases - Secondary"/>
    <x v="2"/>
    <x v="4"/>
    <s v="Hinson Power Company"/>
    <n v="1600"/>
    <n v="1201.8007841674578"/>
    <n v="961.44062733396618"/>
  </r>
  <r>
    <x v="2"/>
    <s v="Purchases - Secondary"/>
    <x v="2"/>
    <x v="4"/>
    <s v="Iberdrola Renewables (PPM Energy)"/>
    <n v="297538"/>
    <n v="1201.8007841674578"/>
    <n v="178790.70085980854"/>
  </r>
  <r>
    <x v="2"/>
    <s v="Purchases - Secondary"/>
    <x v="2"/>
    <x v="4"/>
    <s v="Idaho Falls Power"/>
    <n v="42710"/>
    <n v="1201.8007841674578"/>
    <n v="25664.455745896059"/>
  </r>
  <r>
    <x v="2"/>
    <s v="Purchases - Secondary"/>
    <x v="2"/>
    <x v="4"/>
    <s v="Idaho Power Company"/>
    <n v="60463"/>
    <n v="1201.8007841674578"/>
    <n v="36332.2404065585"/>
  </r>
  <r>
    <x v="2"/>
    <s v="Purchases - Secondary"/>
    <x v="2"/>
    <x v="4"/>
    <s v="J. Aron &amp; Company"/>
    <n v="22050"/>
    <n v="1201.8007841674578"/>
    <n v="13249.853645446223"/>
  </r>
  <r>
    <x v="2"/>
    <s v="Purchases - Secondary"/>
    <x v="2"/>
    <x v="4"/>
    <s v="JP Morgan Ventures Energy"/>
    <n v="79600"/>
    <n v="1201.8007841674578"/>
    <n v="47831.67120986482"/>
  </r>
  <r>
    <x v="2"/>
    <s v="Purchases - Secondary"/>
    <x v="2"/>
    <x v="4"/>
    <s v="Klamath Falls, City of"/>
    <n v="139856"/>
    <n v="1201.8007841674578"/>
    <n v="84039.525235261986"/>
  </r>
  <r>
    <x v="2"/>
    <s v="Purchases - Secondary"/>
    <x v="2"/>
    <x v="4"/>
    <s v="Lehman Bros Commodity Services"/>
    <n v="67050"/>
    <n v="1201.8007841674578"/>
    <n v="40290.371289214025"/>
  </r>
  <r>
    <x v="2"/>
    <s v="Purchases - Secondary"/>
    <x v="2"/>
    <x v="4"/>
    <s v="Los Angeles Dept. Water &amp; Power"/>
    <n v="1425"/>
    <n v="1201.8007841674578"/>
    <n v="856.28305871931366"/>
  </r>
  <r>
    <x v="2"/>
    <s v="Purchases - Secondary"/>
    <x v="2"/>
    <x v="4"/>
    <s v="Merrill Lynch Commodities"/>
    <n v="16400"/>
    <n v="1201.8007841674578"/>
    <n v="9854.7664301731529"/>
  </r>
  <r>
    <x v="2"/>
    <s v="Purchases - Secondary"/>
    <x v="2"/>
    <x v="4"/>
    <s v="Modesto Irrigation District"/>
    <n v="2538"/>
    <n v="1201.8007841674578"/>
    <n v="1525.085195108504"/>
  </r>
  <r>
    <x v="2"/>
    <s v="Purchases - Secondary"/>
    <x v="2"/>
    <x v="4"/>
    <s v="Morgan Stanley CG"/>
    <n v="744517"/>
    <n v="1201.8007841674578"/>
    <n v="447380.55721300159"/>
  </r>
  <r>
    <x v="2"/>
    <s v="Purchases - Secondary"/>
    <x v="2"/>
    <x v="4"/>
    <s v="N. California Power Agency"/>
    <n v="521"/>
    <n v="1201.8007841674578"/>
    <n v="313.06910427562275"/>
  </r>
  <r>
    <x v="2"/>
    <s v="Purchases - Secondary"/>
    <x v="2"/>
    <x v="4"/>
    <s v="Noble Americas Energy Solutions"/>
    <n v="2096"/>
    <n v="1201.8007841674578"/>
    <n v="1259.4872218074956"/>
  </r>
  <r>
    <x v="2"/>
    <s v="Purchases - Secondary"/>
    <x v="2"/>
    <x v="4"/>
    <s v="NorthPoint Energy Solutions, Inc."/>
    <n v="6276"/>
    <n v="1201.8007841674578"/>
    <n v="3771.2508607174823"/>
  </r>
  <r>
    <x v="2"/>
    <s v="Purchases - Secondary"/>
    <x v="2"/>
    <x v="4"/>
    <s v="Northwestern Energy"/>
    <n v="12808"/>
    <n v="1201.8007841674578"/>
    <n v="7696.3322218084004"/>
  </r>
  <r>
    <x v="2"/>
    <s v="Purchases - Secondary"/>
    <x v="2"/>
    <x v="4"/>
    <s v="Occidental Power Services"/>
    <n v="10803"/>
    <n v="1201.8007841674578"/>
    <n v="6491.5269356805238"/>
  </r>
  <r>
    <x v="2"/>
    <s v="Purchases - Secondary"/>
    <x v="2"/>
    <x v="4"/>
    <s v="Okanogan PUD"/>
    <n v="4694"/>
    <n v="1201.8007841674578"/>
    <n v="2820.6264404410235"/>
  </r>
  <r>
    <x v="2"/>
    <s v="Purchases - Secondary"/>
    <x v="2"/>
    <x v="4"/>
    <s v="Pacific Northwest Generatin Coop."/>
    <n v="170767"/>
    <n v="1201.8007841674578"/>
    <n v="102613.95725496214"/>
  </r>
  <r>
    <x v="2"/>
    <s v="Purchases - Secondary"/>
    <x v="2"/>
    <x v="4"/>
    <s v="Pacific Summit Energy LLC"/>
    <n v="5580"/>
    <n v="1201.8007841674578"/>
    <n v="3353.0241878272072"/>
  </r>
  <r>
    <x v="2"/>
    <s v="Purchases - Secondary"/>
    <x v="2"/>
    <x v="4"/>
    <s v="Pacificorp"/>
    <n v="207443"/>
    <n v="1201.8007841674578"/>
    <n v="124652.58003502498"/>
  </r>
  <r>
    <x v="2"/>
    <s v="Purchases - Secondary"/>
    <x v="2"/>
    <x v="4"/>
    <s v="PG&amp;E Energy Trading"/>
    <n v="7857"/>
    <n v="1201.8007841674578"/>
    <n v="4721.274380601858"/>
  </r>
  <r>
    <x v="2"/>
    <s v="Purchases - Secondary"/>
    <x v="2"/>
    <x v="4"/>
    <s v="Pinnacle West Marketing &amp; Trading"/>
    <n v="21000"/>
    <n v="1201.8007841674578"/>
    <n v="12618.908233758306"/>
  </r>
  <r>
    <x v="2"/>
    <s v="Purchases - Secondary"/>
    <x v="2"/>
    <x v="4"/>
    <s v="Portland General Electric"/>
    <n v="315978"/>
    <n v="1201.8007841674578"/>
    <n v="189871.3040898325"/>
  </r>
  <r>
    <x v="2"/>
    <s v="Purchases - Secondary"/>
    <x v="2"/>
    <x v="4"/>
    <s v="Powerex Corp."/>
    <n v="287187"/>
    <n v="1201.8007841674578"/>
    <n v="172570.78090134985"/>
  </r>
  <r>
    <x v="2"/>
    <s v="Purchases - Secondary"/>
    <x v="2"/>
    <x v="4"/>
    <s v="PP&amp;L Montana, LLC."/>
    <n v="61832"/>
    <n v="1201.8007841674578"/>
    <n v="37154.873043321124"/>
  </r>
  <r>
    <x v="2"/>
    <s v="Purchases - Secondary"/>
    <x v="2"/>
    <x v="4"/>
    <s v="Public Service of Colorado"/>
    <n v="18791"/>
    <n v="1201.8007841674578"/>
    <n v="11291.51926764535"/>
  </r>
  <r>
    <x v="2"/>
    <s v="Purchases - Secondary"/>
    <x v="2"/>
    <x v="4"/>
    <s v="Rainbow Energy Marketing"/>
    <n v="181241"/>
    <n v="1201.8007841674578"/>
    <n v="108907.7879616471"/>
  </r>
  <r>
    <x v="2"/>
    <s v="Purchases - Secondary"/>
    <x v="2"/>
    <x v="4"/>
    <s v="Redding, City of"/>
    <n v="1171"/>
    <n v="1201.8007841674578"/>
    <n v="703.6543591300466"/>
  </r>
  <r>
    <x v="2"/>
    <s v="Purchases - Secondary"/>
    <x v="2"/>
    <x v="4"/>
    <s v="Sacramento Municipal"/>
    <n v="4925"/>
    <n v="1201.8007841674578"/>
    <n v="2959.4344310123647"/>
  </r>
  <r>
    <x v="2"/>
    <s v="Purchases - Secondary"/>
    <x v="2"/>
    <x v="4"/>
    <s v="San Diego Gas &amp; Electric"/>
    <n v="3300"/>
    <n v="1201.8007841674578"/>
    <n v="1982.9712938763053"/>
  </r>
  <r>
    <x v="2"/>
    <s v="Purchases - Secondary"/>
    <x v="2"/>
    <x v="4"/>
    <s v="Seattle City Light Marketing"/>
    <n v="132332"/>
    <n v="1201.8007841674578"/>
    <n v="79518.35068522401"/>
  </r>
  <r>
    <x v="2"/>
    <s v="Purchases - Secondary"/>
    <x v="2"/>
    <x v="4"/>
    <s v="Sempra Energy Trading"/>
    <n v="934094"/>
    <n v="1201.8007841674578"/>
    <n v="561297.45084305876"/>
  </r>
  <r>
    <x v="2"/>
    <s v="Purchases - Secondary"/>
    <x v="2"/>
    <x v="4"/>
    <s v="Shell Energy (Coral Pwr)"/>
    <n v="700864"/>
    <n v="1201.8007841674578"/>
    <n v="421149.45239737059"/>
  </r>
  <r>
    <x v="2"/>
    <s v="Purchases - Secondary"/>
    <x v="2"/>
    <x v="4"/>
    <s v="Sierra Pacific Industries"/>
    <n v="13296.48"/>
    <n v="1201.8007841674578"/>
    <n v="7989.8600453334593"/>
  </r>
  <r>
    <x v="2"/>
    <s v="Purchases - Secondary"/>
    <x v="2"/>
    <x v="4"/>
    <s v="Sierra Pacific Power"/>
    <n v="16272"/>
    <n v="1201.8007841674578"/>
    <n v="9777.8511799864355"/>
  </r>
  <r>
    <x v="2"/>
    <s v="Purchases - Secondary"/>
    <x v="2"/>
    <x v="4"/>
    <s v="Silicon Valley Pwr - Santa Clara"/>
    <n v="80"/>
    <n v="1201.8007841674578"/>
    <n v="48.072031366698312"/>
  </r>
  <r>
    <x v="2"/>
    <s v="Purchases - Secondary"/>
    <x v="2"/>
    <x v="4"/>
    <s v="Snohomish County PUD #1"/>
    <n v="72772"/>
    <n v="1201.8007841674578"/>
    <n v="43728.72333271712"/>
  </r>
  <r>
    <x v="2"/>
    <s v="Purchases - Secondary"/>
    <x v="2"/>
    <x v="4"/>
    <s v="Southern Cal - Edison"/>
    <n v="10850"/>
    <n v="1201.8007841674578"/>
    <n v="6519.7692541084589"/>
  </r>
  <r>
    <x v="2"/>
    <s v="Purchases - Secondary"/>
    <x v="2"/>
    <x v="4"/>
    <s v="SUEZ Energy Marketing (Tractebel)"/>
    <n v="106896"/>
    <n v="1201.8007841674578"/>
    <n v="64233.848312182286"/>
  </r>
  <r>
    <x v="2"/>
    <s v="Purchases - Secondary"/>
    <x v="2"/>
    <x v="4"/>
    <s v="Tacoma Power"/>
    <n v="81554"/>
    <n v="1201.8007841674578"/>
    <n v="49005.830575996428"/>
  </r>
  <r>
    <x v="2"/>
    <s v="Purchases - Secondary"/>
    <x v="2"/>
    <x v="4"/>
    <s v="Talen Energy (PPL Energy Plus)"/>
    <n v="11082"/>
    <n v="1201.8007841674578"/>
    <n v="6659.1781450718836"/>
  </r>
  <r>
    <x v="2"/>
    <s v="Purchases - Secondary"/>
    <x v="2"/>
    <x v="4"/>
    <s v="Tenaska"/>
    <n v="658"/>
    <n v="1201.8007841674578"/>
    <n v="395.39245799109364"/>
  </r>
  <r>
    <x v="2"/>
    <s v="Purchases - Secondary"/>
    <x v="2"/>
    <x v="4"/>
    <s v="The Energy Authority"/>
    <n v="13880"/>
    <n v="1201.8007841674578"/>
    <n v="8340.4974421221559"/>
  </r>
  <r>
    <x v="2"/>
    <s v="Purchases - Secondary"/>
    <x v="2"/>
    <x v="4"/>
    <s v="TransAlta Energy Marketing"/>
    <n v="1681755"/>
    <n v="1201.8007841674578"/>
    <n v="1010567.2388887715"/>
  </r>
  <r>
    <x v="2"/>
    <s v="Purchases - Secondary"/>
    <x v="2"/>
    <x v="4"/>
    <s v="TransCanada Energy Marketing"/>
    <n v="9169"/>
    <n v="1201.8007841674578"/>
    <n v="5509.6556950157101"/>
  </r>
  <r>
    <x v="2"/>
    <s v="Purchases - Secondary"/>
    <x v="2"/>
    <x v="4"/>
    <s v="TransCanada Power Corp."/>
    <n v="5615"/>
    <n v="1201.8007841674578"/>
    <n v="3374.0557015501377"/>
  </r>
  <r>
    <x v="2"/>
    <s v="Purchases - Secondary"/>
    <x v="2"/>
    <x v="4"/>
    <s v="Turlock Irrigation District"/>
    <n v="8922"/>
    <n v="1201.8007841674578"/>
    <n v="5361.2332981710297"/>
  </r>
  <r>
    <x v="2"/>
    <s v="Purchases - Secondary"/>
    <x v="2"/>
    <x v="4"/>
    <s v="UBS AG"/>
    <n v="20016"/>
    <n v="1201.8007841674578"/>
    <n v="12027.622247947918"/>
  </r>
  <r>
    <x v="2"/>
    <s v="Purchases - Secondary"/>
    <x v="2"/>
    <x v="4"/>
    <s v="Western Area Power Association"/>
    <n v="171"/>
    <n v="1201.8007841674578"/>
    <n v="102.75396704631764"/>
  </r>
  <r>
    <x v="2"/>
    <s v="Purchases - Secondary"/>
    <x v="2"/>
    <x v="4"/>
    <s v="Williams Power Company"/>
    <n v="90"/>
    <n v="1201.8007841674578"/>
    <n v="54.081035287535599"/>
  </r>
  <r>
    <x v="2"/>
    <s v="Interchange - In"/>
    <x v="2"/>
    <x v="4"/>
    <s v="Avista Energy"/>
    <n v="31945"/>
    <n v="1201.8007841674578"/>
    <n v="19195.76302511472"/>
  </r>
  <r>
    <x v="2"/>
    <s v="Interchange - In"/>
    <x v="2"/>
    <x v="4"/>
    <s v="Black Creek Hydro"/>
    <n v="2245"/>
    <n v="1201.8007841674578"/>
    <n v="1349.0213802279713"/>
  </r>
  <r>
    <x v="2"/>
    <s v="Interchange - In"/>
    <x v="2"/>
    <x v="4"/>
    <s v="BPA"/>
    <n v="82864"/>
    <n v="1201.8007841674578"/>
    <n v="49793.010089626114"/>
  </r>
  <r>
    <x v="2"/>
    <s v="Interchange - In"/>
    <x v="2"/>
    <x v="4"/>
    <s v="Cargill Power Markets"/>
    <n v="28800"/>
    <n v="1201.8007841674578"/>
    <n v="17305.931292011392"/>
  </r>
  <r>
    <x v="2"/>
    <s v="Interchange - In"/>
    <x v="2"/>
    <x v="4"/>
    <s v="Deviation"/>
    <n v="24866"/>
    <n v="1201.8007841674578"/>
    <n v="14941.989149554003"/>
  </r>
  <r>
    <x v="2"/>
    <s v="Interchange - In"/>
    <x v="2"/>
    <x v="4"/>
    <s v="Douglas County PUD #1"/>
    <n v="122"/>
    <n v="1201.8007841674578"/>
    <n v="73.309847834214921"/>
  </r>
  <r>
    <x v="2"/>
    <s v="Interchange - In"/>
    <x v="2"/>
    <x v="4"/>
    <s v="Pacific Gas &amp; Elec - Exchange"/>
    <n v="412900"/>
    <n v="1201.8007841674578"/>
    <n v="248111.77189137167"/>
  </r>
  <r>
    <x v="2"/>
    <s v="Interchange - In"/>
    <x v="2"/>
    <x v="4"/>
    <s v="Powerex - Exchange"/>
    <n v="483866"/>
    <n v="1201.8007841674578"/>
    <n v="290755.26911598555"/>
  </r>
  <r>
    <x v="2"/>
    <s v="Interchange - In"/>
    <x v="2"/>
    <x v="4"/>
    <s v="Shell Energy (Coral Pwr)"/>
    <n v="28832"/>
    <n v="1201.8007841674578"/>
    <n v="17325.160104558072"/>
  </r>
  <r>
    <x v="2"/>
    <s v="Interchange - In"/>
    <x v="2"/>
    <x v="4"/>
    <s v="Tacoma Power"/>
    <n v="30800"/>
    <n v="1201.8007841674578"/>
    <n v="18507.732076178851"/>
  </r>
  <r>
    <x v="2"/>
    <s v="Interchange - In"/>
    <x v="2"/>
    <x v="4"/>
    <s v="TransAlta Energy Marketing"/>
    <n v="602125"/>
    <n v="1201.8007841674578"/>
    <n v="361817.14858341526"/>
  </r>
  <r>
    <x v="2"/>
    <s v="Interchange - Out"/>
    <x v="2"/>
    <x v="4"/>
    <s v="Avista Energy"/>
    <n v="-32120"/>
    <n v="1201.8007841674578"/>
    <n v="-19300.920593729374"/>
  </r>
  <r>
    <x v="2"/>
    <s v="Interchange - Out"/>
    <x v="2"/>
    <x v="4"/>
    <s v="Black Creek Hydro"/>
    <n v="-2959"/>
    <n v="1201.8007841674578"/>
    <n v="-1778.0642601757538"/>
  </r>
  <r>
    <x v="2"/>
    <s v="Interchange - Out"/>
    <x v="2"/>
    <x v="4"/>
    <s v="BPA"/>
    <n v="-83521"/>
    <n v="1201.8007841674578"/>
    <n v="-50187.801647225118"/>
  </r>
  <r>
    <x v="2"/>
    <s v="Interchange - Out"/>
    <x v="2"/>
    <x v="4"/>
    <s v="Cargill Power Markets"/>
    <n v="-28800"/>
    <n v="1201.8007841674578"/>
    <n v="-17305.931292011392"/>
  </r>
  <r>
    <x v="2"/>
    <s v="Interchange - Out"/>
    <x v="2"/>
    <x v="4"/>
    <s v="Citigroup Energy Inc"/>
    <n v="-50000"/>
    <n v="1201.8007841674578"/>
    <n v="-30045.019604186444"/>
  </r>
  <r>
    <x v="2"/>
    <s v="Interchange - Out"/>
    <x v="2"/>
    <x v="4"/>
    <s v="Douglas County PUD #1"/>
    <n v="-122"/>
    <n v="1201.8007841674578"/>
    <n v="-73.309847834214921"/>
  </r>
  <r>
    <x v="2"/>
    <s v="Interchange - Out"/>
    <x v="2"/>
    <x v="4"/>
    <s v="Pacific Gas &amp; Elec - Exchange"/>
    <n v="-413001"/>
    <n v="1201.8007841674578"/>
    <n v="-248172.4628309721"/>
  </r>
  <r>
    <x v="2"/>
    <s v="Interchange - Out"/>
    <x v="2"/>
    <x v="4"/>
    <s v="Powerex - Exchange"/>
    <n v="-483866"/>
    <n v="1201.8007841674578"/>
    <n v="-290755.26911598555"/>
  </r>
  <r>
    <x v="2"/>
    <s v="Interchange - Out"/>
    <x v="2"/>
    <x v="4"/>
    <s v="Shell Energy (Coral Pwr)"/>
    <n v="-28832"/>
    <n v="1201.8007841674578"/>
    <n v="-17325.160104558072"/>
  </r>
  <r>
    <x v="2"/>
    <s v="Interchange - Out"/>
    <x v="2"/>
    <x v="4"/>
    <s v="Tacoma Power"/>
    <n v="-30800"/>
    <n v="1201.8007841674578"/>
    <n v="-18507.732076178851"/>
  </r>
  <r>
    <x v="2"/>
    <s v="Interchange - Out"/>
    <x v="2"/>
    <x v="4"/>
    <s v="TransAlta Energy Marketing"/>
    <n v="-552125"/>
    <n v="1201.8007841674578"/>
    <n v="-331772.12897922879"/>
  </r>
  <r>
    <x v="2"/>
    <s v="Sales for Resale"/>
    <x v="2"/>
    <x v="4"/>
    <s v="Avista Corp. WWP Division"/>
    <n v="-24864"/>
    <n v="1201.8007841674578"/>
    <n v="-14940.787348769834"/>
  </r>
  <r>
    <x v="2"/>
    <s v="Sales for Resale"/>
    <x v="2"/>
    <x v="4"/>
    <s v="Avista Energy"/>
    <n v="-123747"/>
    <n v="1201.8007841674578"/>
    <n v="-74359.620819185191"/>
  </r>
  <r>
    <x v="2"/>
    <s v="Sales for Resale"/>
    <x v="2"/>
    <x v="4"/>
    <s v="Barclays Bank Plc"/>
    <n v="-78600"/>
    <n v="1201.8007841674578"/>
    <n v="-47230.770817781093"/>
  </r>
  <r>
    <x v="2"/>
    <s v="Sales for Resale"/>
    <x v="2"/>
    <x v="4"/>
    <s v="Bear Energy LP"/>
    <n v="-63113"/>
    <n v="1201.8007841674578"/>
    <n v="-37924.626445580376"/>
  </r>
  <r>
    <x v="2"/>
    <s v="Sales for Resale"/>
    <x v="2"/>
    <x v="4"/>
    <s v="Benton County PUD"/>
    <n v="-5756"/>
    <n v="1201.8007841674578"/>
    <n v="-3458.7826568339433"/>
  </r>
  <r>
    <x v="2"/>
    <s v="Sales for Resale"/>
    <x v="2"/>
    <x v="4"/>
    <s v="Black Hills Power"/>
    <n v="-4759"/>
    <n v="1201.8007841674578"/>
    <n v="-2859.6849659264658"/>
  </r>
  <r>
    <x v="2"/>
    <s v="Sales for Resale"/>
    <x v="2"/>
    <x v="4"/>
    <s v="Book Outs - EITF 03-11"/>
    <n v="2169507"/>
    <n v="1201.8007841674578"/>
    <n v="1303657.6069283944"/>
  </r>
  <r>
    <x v="2"/>
    <s v="Sales for Resale"/>
    <x v="2"/>
    <x v="4"/>
    <s v="BP Energy Co."/>
    <n v="-29896"/>
    <n v="1201.8007841674578"/>
    <n v="-17964.51812173516"/>
  </r>
  <r>
    <x v="2"/>
    <s v="Sales for Resale"/>
    <x v="2"/>
    <x v="4"/>
    <s v="BPA"/>
    <n v="-166938"/>
    <n v="1201.8007841674578"/>
    <n v="-100313.10965367353"/>
  </r>
  <r>
    <x v="2"/>
    <s v="Sales for Resale"/>
    <x v="2"/>
    <x v="4"/>
    <s v="British Columbia Transmission Corp"/>
    <n v="-144"/>
    <n v="1201.8007841674578"/>
    <n v="-86.529656460056955"/>
  </r>
  <r>
    <x v="2"/>
    <s v="Sales for Resale"/>
    <x v="2"/>
    <x v="4"/>
    <s v="Burbank, City of"/>
    <n v="-990"/>
    <n v="1201.8007841674578"/>
    <n v="-594.89138816289164"/>
  </r>
  <r>
    <x v="2"/>
    <s v="Sales for Resale"/>
    <x v="2"/>
    <x v="4"/>
    <s v="Cargill Power Markets"/>
    <n v="-103403"/>
    <n v="1201.8007841674578"/>
    <n v="-62134.903242633816"/>
  </r>
  <r>
    <x v="2"/>
    <s v="Sales for Resale"/>
    <x v="2"/>
    <x v="4"/>
    <s v="Chelan County PUD #1"/>
    <n v="-1500"/>
    <n v="1201.8007841674578"/>
    <n v="-901.35058812559339"/>
  </r>
  <r>
    <x v="2"/>
    <s v="Sales for Resale"/>
    <x v="2"/>
    <x v="4"/>
    <s v="Citigroup Energy Inc"/>
    <n v="-177691"/>
    <n v="1201.8007841674578"/>
    <n v="-106774.59156974987"/>
  </r>
  <r>
    <x v="2"/>
    <s v="Sales for Resale"/>
    <x v="2"/>
    <x v="4"/>
    <s v="Clatskanie PUD"/>
    <n v="-8512"/>
    <n v="1201.8007841674578"/>
    <n v="-5114.8641374167"/>
  </r>
  <r>
    <x v="2"/>
    <s v="Sales for Resale"/>
    <x v="2"/>
    <x v="4"/>
    <s v="Conoco, Inc."/>
    <n v="-27645"/>
    <n v="1201.8007841674578"/>
    <n v="-16611.891339154685"/>
  </r>
  <r>
    <x v="2"/>
    <s v="Sales for Resale"/>
    <x v="2"/>
    <x v="4"/>
    <s v="Constellation Power Source, Inc."/>
    <n v="-35515"/>
    <n v="1201.8007841674578"/>
    <n v="-21340.977424853631"/>
  </r>
  <r>
    <x v="2"/>
    <s v="Sales for Resale"/>
    <x v="2"/>
    <x v="4"/>
    <s v="CP Energy Marketing (Epcor)"/>
    <n v="-46075"/>
    <n v="1201.8007841674578"/>
    <n v="-27686.485565257812"/>
  </r>
  <r>
    <x v="2"/>
    <s v="Sales for Resale"/>
    <x v="2"/>
    <x v="4"/>
    <s v="Credit Suisse Energy, LLC"/>
    <n v="-32236"/>
    <n v="1201.8007841674578"/>
    <n v="-19370.625039211081"/>
  </r>
  <r>
    <x v="2"/>
    <s v="Sales for Resale"/>
    <x v="2"/>
    <x v="4"/>
    <s v="DB Energy Trading LLC"/>
    <n v="-5600"/>
    <n v="1201.8007841674578"/>
    <n v="-3365.042195668882"/>
  </r>
  <r>
    <x v="2"/>
    <s v="Sales for Resale"/>
    <x v="2"/>
    <x v="4"/>
    <s v="Douglas County PUD #1"/>
    <n v="-220"/>
    <n v="1201.8007841674578"/>
    <n v="-132.19808625842035"/>
  </r>
  <r>
    <x v="2"/>
    <s v="Sales for Resale"/>
    <x v="2"/>
    <x v="4"/>
    <s v="ENMAX Energy Marketing, Inc."/>
    <n v="-4053"/>
    <n v="1201.8007841674578"/>
    <n v="-2435.4492891153532"/>
  </r>
  <r>
    <x v="2"/>
    <s v="Sales for Resale"/>
    <x v="2"/>
    <x v="4"/>
    <s v="Eugene Water &amp; Electric"/>
    <n v="-20381"/>
    <n v="1201.8007841674578"/>
    <n v="-12246.950891058479"/>
  </r>
  <r>
    <x v="2"/>
    <s v="Sales for Resale"/>
    <x v="2"/>
    <x v="4"/>
    <s v="Fortis Energy Marketing &amp; Trading"/>
    <n v="-82563"/>
    <n v="1201.8007841674578"/>
    <n v="-49612.139071608908"/>
  </r>
  <r>
    <x v="2"/>
    <s v="Sales for Resale"/>
    <x v="2"/>
    <x v="4"/>
    <s v="Franklin County PUD #1"/>
    <n v="-1984"/>
    <n v="1201.8007841674578"/>
    <n v="-1192.1863778941181"/>
  </r>
  <r>
    <x v="2"/>
    <s v="Sales for Resale"/>
    <x v="2"/>
    <x v="4"/>
    <s v="Grant County PUD #2"/>
    <n v="-10136"/>
    <n v="1201.8007841674578"/>
    <n v="-6090.7263741606766"/>
  </r>
  <r>
    <x v="2"/>
    <s v="Sales for Resale"/>
    <x v="2"/>
    <x v="4"/>
    <s v="Grays Harbor PUD #1"/>
    <n v="-4011"/>
    <n v="1201.8007841674578"/>
    <n v="-2410.2114726478362"/>
  </r>
  <r>
    <x v="2"/>
    <s v="Sales for Resale"/>
    <x v="2"/>
    <x v="4"/>
    <s v="Highland Energy LLC"/>
    <n v="-50"/>
    <n v="1201.8007841674578"/>
    <n v="-30.045019604186443"/>
  </r>
  <r>
    <x v="2"/>
    <s v="Sales for Resale"/>
    <x v="2"/>
    <x v="4"/>
    <s v="Hinson Power Company"/>
    <n v="-4843"/>
    <n v="1201.8007841674578"/>
    <n v="-2910.1605988614992"/>
  </r>
  <r>
    <x v="2"/>
    <s v="Sales for Resale"/>
    <x v="2"/>
    <x v="4"/>
    <s v="Iberdrola Renewables (PPM Energy)"/>
    <n v="-168650"/>
    <n v="1201.8007841674578"/>
    <n v="-101341.85112492087"/>
  </r>
  <r>
    <x v="2"/>
    <s v="Sales for Resale"/>
    <x v="2"/>
    <x v="4"/>
    <s v="Idaho Power Company"/>
    <n v="-47675"/>
    <n v="1201.8007841674578"/>
    <n v="-28647.926192591774"/>
  </r>
  <r>
    <x v="2"/>
    <s v="Sales for Resale"/>
    <x v="2"/>
    <x v="4"/>
    <s v="J. Aron &amp; Company"/>
    <n v="-35775"/>
    <n v="1201.8007841674578"/>
    <n v="-21497.211526795403"/>
  </r>
  <r>
    <x v="2"/>
    <s v="Sales for Resale"/>
    <x v="2"/>
    <x v="4"/>
    <s v="JP Morgan Ventures Energy"/>
    <n v="-30400"/>
    <n v="1201.8007841674578"/>
    <n v="-18267.371919345358"/>
  </r>
  <r>
    <x v="2"/>
    <s v="Sales for Resale"/>
    <x v="2"/>
    <x v="4"/>
    <s v="Klamath Falls, City of"/>
    <n v="-1172"/>
    <n v="1201.8007841674578"/>
    <n v="-704.25525952213025"/>
  </r>
  <r>
    <x v="2"/>
    <s v="Sales for Resale"/>
    <x v="2"/>
    <x v="4"/>
    <s v="Lehman Bros Commodity Services"/>
    <n v="-42162"/>
    <n v="1201.8007841674578"/>
    <n v="-25335.162331034175"/>
  </r>
  <r>
    <x v="2"/>
    <s v="Sales for Resale"/>
    <x v="2"/>
    <x v="4"/>
    <s v="Los Angeles Dept. Water &amp; Power"/>
    <n v="-4310"/>
    <n v="1201.8007841674578"/>
    <n v="-2589.8806898808716"/>
  </r>
  <r>
    <x v="2"/>
    <s v="Sales for Resale"/>
    <x v="2"/>
    <x v="4"/>
    <s v="Merrill Lynch Commodities"/>
    <n v="-20775"/>
    <n v="1201.8007841674578"/>
    <n v="-12483.705645539469"/>
  </r>
  <r>
    <x v="2"/>
    <s v="Sales for Resale"/>
    <x v="2"/>
    <x v="4"/>
    <s v="Modesto Irrigation District"/>
    <n v="-5467"/>
    <n v="1201.8007841674578"/>
    <n v="-3285.1224435217459"/>
  </r>
  <r>
    <x v="2"/>
    <s v="Sales for Resale"/>
    <x v="2"/>
    <x v="4"/>
    <s v="Morgan Stanley CG"/>
    <n v="-308680"/>
    <n v="1201.8007841674578"/>
    <n v="-185485.93302840542"/>
  </r>
  <r>
    <x v="2"/>
    <s v="Sales for Resale"/>
    <x v="2"/>
    <x v="4"/>
    <s v="N. California Power Agency"/>
    <n v="-789"/>
    <n v="1201.8007841674578"/>
    <n v="-474.11040935406209"/>
  </r>
  <r>
    <x v="2"/>
    <s v="Sales for Resale"/>
    <x v="2"/>
    <x v="4"/>
    <s v="Noble Americas Energy Solutions"/>
    <n v="-5000"/>
    <n v="1201.8007841674578"/>
    <n v="-3004.5019604186446"/>
  </r>
  <r>
    <x v="2"/>
    <s v="Sales for Resale"/>
    <x v="2"/>
    <x v="4"/>
    <s v="NorthPoint Energy Solutions, Inc."/>
    <n v="-12286"/>
    <n v="1201.8007841674578"/>
    <n v="-7382.6622171406934"/>
  </r>
  <r>
    <x v="2"/>
    <s v="Sales for Resale"/>
    <x v="2"/>
    <x v="4"/>
    <s v="Northwestern Energy"/>
    <n v="-19257"/>
    <n v="1201.8007841674578"/>
    <n v="-11571.538850356366"/>
  </r>
  <r>
    <x v="2"/>
    <s v="Sales for Resale"/>
    <x v="2"/>
    <x v="4"/>
    <s v="Occidental Power Services"/>
    <n v="-1275"/>
    <n v="1201.8007841674578"/>
    <n v="-766.14799990675431"/>
  </r>
  <r>
    <x v="2"/>
    <s v="Sales for Resale"/>
    <x v="2"/>
    <x v="4"/>
    <s v="Pacific Northwest Generatin Coop."/>
    <n v="-15299"/>
    <n v="1201.8007841674578"/>
    <n v="-9193.1750984889677"/>
  </r>
  <r>
    <x v="2"/>
    <s v="Sales for Resale"/>
    <x v="2"/>
    <x v="4"/>
    <s v="Pacific Summit Energy LLC"/>
    <n v="-5250"/>
    <n v="1201.8007841674578"/>
    <n v="-3154.7270584395765"/>
  </r>
  <r>
    <x v="2"/>
    <s v="Sales for Resale"/>
    <x v="2"/>
    <x v="4"/>
    <s v="Pacificorp"/>
    <n v="-137660"/>
    <n v="1201.8007841674578"/>
    <n v="-82719.947974246112"/>
  </r>
  <r>
    <x v="2"/>
    <s v="Sales for Resale"/>
    <x v="2"/>
    <x v="4"/>
    <s v="PG&amp;E Energy Trading"/>
    <n v="-2250"/>
    <n v="1201.8007841674578"/>
    <n v="-1352.0258821883899"/>
  </r>
  <r>
    <x v="2"/>
    <s v="Sales for Resale"/>
    <x v="2"/>
    <x v="4"/>
    <s v="Pinnacle West Marketing &amp; Trading"/>
    <n v="-1034"/>
    <n v="1201.8007841674578"/>
    <n v="-621.33100541457566"/>
  </r>
  <r>
    <x v="2"/>
    <s v="Sales for Resale"/>
    <x v="2"/>
    <x v="4"/>
    <s v="Portland General Electric"/>
    <n v="-98543"/>
    <n v="1201.8007841674578"/>
    <n v="-59214.527337106898"/>
  </r>
  <r>
    <x v="2"/>
    <s v="Sales for Resale"/>
    <x v="2"/>
    <x v="4"/>
    <s v="Powerex Corp."/>
    <n v="-337035"/>
    <n v="1201.8007841674578"/>
    <n v="-202524.46364593957"/>
  </r>
  <r>
    <x v="2"/>
    <s v="Sales for Resale"/>
    <x v="2"/>
    <x v="4"/>
    <s v="PP&amp;L Montana, LLC."/>
    <n v="-29839"/>
    <n v="1201.8007841674578"/>
    <n v="-17930.266799386387"/>
  </r>
  <r>
    <x v="2"/>
    <s v="Sales for Resale"/>
    <x v="2"/>
    <x v="4"/>
    <s v="Public Service of Colorado"/>
    <n v="-1668"/>
    <n v="1201.8007841674578"/>
    <n v="-1002.3018539956597"/>
  </r>
  <r>
    <x v="2"/>
    <s v="Sales for Resale"/>
    <x v="2"/>
    <x v="4"/>
    <s v="Rainbow Energy Marketing"/>
    <n v="-174730"/>
    <n v="1201.8007841674578"/>
    <n v="-104995.32550878995"/>
  </r>
  <r>
    <x v="2"/>
    <s v="Sales for Resale"/>
    <x v="2"/>
    <x v="4"/>
    <s v="Redding, City of"/>
    <n v="-702"/>
    <n v="1201.8007841674578"/>
    <n v="-421.83207524277771"/>
  </r>
  <r>
    <x v="2"/>
    <s v="Sales for Resale"/>
    <x v="2"/>
    <x v="4"/>
    <s v="Sacramento Municipal"/>
    <n v="-2980"/>
    <n v="1201.8007841674578"/>
    <n v="-1790.6831684095121"/>
  </r>
  <r>
    <x v="2"/>
    <s v="Sales for Resale"/>
    <x v="2"/>
    <x v="4"/>
    <s v="San Diego Gas &amp; Electric"/>
    <n v="-1200"/>
    <n v="1201.8007841674578"/>
    <n v="-721.08047050047469"/>
  </r>
  <r>
    <x v="2"/>
    <s v="Sales for Resale"/>
    <x v="2"/>
    <x v="4"/>
    <s v="Seattle City Light Marketing"/>
    <n v="-45037"/>
    <n v="1201.8007841674578"/>
    <n v="-27062.750958274897"/>
  </r>
  <r>
    <x v="2"/>
    <s v="Sales for Resale"/>
    <x v="2"/>
    <x v="4"/>
    <s v="Sempra Energy Trading"/>
    <n v="-137302"/>
    <n v="1201.8007841674578"/>
    <n v="-82504.825633880144"/>
  </r>
  <r>
    <x v="2"/>
    <s v="Sales for Resale"/>
    <x v="2"/>
    <x v="4"/>
    <s v="Shell Energy (Coral Pwr)"/>
    <n v="-155921"/>
    <n v="1201.8007841674578"/>
    <n v="-93692.990034087095"/>
  </r>
  <r>
    <x v="2"/>
    <s v="Sales for Resale"/>
    <x v="2"/>
    <x v="4"/>
    <s v="Sierra Pacific Power"/>
    <n v="-15870"/>
    <n v="1201.8007841674578"/>
    <n v="-9536.2892223687777"/>
  </r>
  <r>
    <x v="2"/>
    <s v="Sales for Resale"/>
    <x v="2"/>
    <x v="4"/>
    <s v="Silicon Valley Pwr - Santa Clara"/>
    <n v="-1548"/>
    <n v="1201.8007841674578"/>
    <n v="-930.19380694561232"/>
  </r>
  <r>
    <x v="2"/>
    <s v="Sales for Resale"/>
    <x v="2"/>
    <x v="4"/>
    <s v="Snohomish County PUD #1"/>
    <n v="-25283"/>
    <n v="1201.8007841674578"/>
    <n v="-15192.564613052919"/>
  </r>
  <r>
    <x v="2"/>
    <s v="Sales for Resale"/>
    <x v="2"/>
    <x v="4"/>
    <s v="Southern Cal - Edison"/>
    <n v="-5734"/>
    <n v="1201.8007841674578"/>
    <n v="-3445.5628482081015"/>
  </r>
  <r>
    <x v="2"/>
    <s v="Sales for Resale"/>
    <x v="2"/>
    <x v="4"/>
    <s v="SUEZ Energy Marketing (Tractebel)"/>
    <n v="-83511"/>
    <n v="1201.8007841674578"/>
    <n v="-50181.792643304281"/>
  </r>
  <r>
    <x v="2"/>
    <s v="Sales for Resale"/>
    <x v="2"/>
    <x v="4"/>
    <s v="Tacoma Power"/>
    <n v="-6646"/>
    <n v="1201.8007841674578"/>
    <n v="-3993.584005788462"/>
  </r>
  <r>
    <x v="2"/>
    <s v="Sales for Resale"/>
    <x v="2"/>
    <x v="4"/>
    <s v="Talen Energy (PPL Energy Plus)"/>
    <n v="-1217"/>
    <n v="1201.8007841674578"/>
    <n v="-731.29577716589802"/>
  </r>
  <r>
    <x v="2"/>
    <s v="Sales for Resale"/>
    <x v="2"/>
    <x v="4"/>
    <s v="The Energy Authority"/>
    <n v="-511"/>
    <n v="1201.8007841674578"/>
    <n v="-307.06010035478545"/>
  </r>
  <r>
    <x v="2"/>
    <s v="Sales for Resale"/>
    <x v="2"/>
    <x v="4"/>
    <s v="TransAlta Energy Marketing"/>
    <n v="-1339719"/>
    <n v="1201.8007841674578"/>
    <n v="-805037.67238202121"/>
  </r>
  <r>
    <x v="2"/>
    <s v="Sales for Resale"/>
    <x v="2"/>
    <x v="4"/>
    <s v="TransCanada Energy Marketing"/>
    <n v="-3855"/>
    <n v="1201.8007841674578"/>
    <n v="-2316.4710114827749"/>
  </r>
  <r>
    <x v="2"/>
    <s v="Sales for Resale"/>
    <x v="2"/>
    <x v="4"/>
    <s v="TransCanada Power Corp."/>
    <n v="-2083"/>
    <n v="1201.8007841674578"/>
    <n v="-1251.6755167104072"/>
  </r>
  <r>
    <x v="2"/>
    <s v="Sales for Resale"/>
    <x v="2"/>
    <x v="4"/>
    <s v="Turlock Irrigation District"/>
    <n v="-1311"/>
    <n v="1201.8007841674578"/>
    <n v="-787.78041402176859"/>
  </r>
  <r>
    <x v="2"/>
    <s v="Sales for Resale"/>
    <x v="2"/>
    <x v="4"/>
    <s v="UBS AG"/>
    <n v="-18330"/>
    <n v="1201.8007841674578"/>
    <n v="-11014.50418689475"/>
  </r>
  <r>
    <x v="2"/>
    <s v="Sales for Resale"/>
    <x v="2"/>
    <x v="4"/>
    <s v="Western Area Power Association"/>
    <n v="-410"/>
    <n v="1201.8007841674578"/>
    <n v="-246.36916075432885"/>
  </r>
  <r>
    <x v="2"/>
    <s v="Sales for Resale"/>
    <x v="2"/>
    <x v="4"/>
    <s v="Williams Power Company"/>
    <n v="-1186"/>
    <n v="1201.8007841674578"/>
    <n v="-712.66786501130241"/>
  </r>
  <r>
    <x v="3"/>
    <s v="Generation - Hydro"/>
    <x v="0"/>
    <x v="0"/>
    <s v="Electron"/>
    <n v="96154.205000000002"/>
    <n v="0"/>
    <n v="0"/>
  </r>
  <r>
    <x v="3"/>
    <s v="Generation - Hydro"/>
    <x v="0"/>
    <x v="0"/>
    <s v="Lower Baker"/>
    <n v="321027.40000000002"/>
    <n v="0"/>
    <n v="0"/>
  </r>
  <r>
    <x v="3"/>
    <s v="Generation - Hydro"/>
    <x v="0"/>
    <x v="0"/>
    <s v="Snoqualmie Falls #1"/>
    <n v="59492"/>
    <n v="0"/>
    <n v="0"/>
  </r>
  <r>
    <x v="3"/>
    <s v="Generation - Hydro"/>
    <x v="0"/>
    <x v="0"/>
    <s v="Snoqualmie Falls #2"/>
    <n v="181143.4"/>
    <n v="0"/>
    <n v="0"/>
  </r>
  <r>
    <x v="3"/>
    <s v="Generation - Hydro"/>
    <x v="0"/>
    <x v="0"/>
    <s v="Upper Baker"/>
    <n v="317108.09000000003"/>
    <n v="0"/>
    <n v="0"/>
  </r>
  <r>
    <x v="3"/>
    <s v="Generation - Steam"/>
    <x v="0"/>
    <x v="1"/>
    <s v="Colstrip 1 &amp; 2"/>
    <n v="2124142"/>
    <n v="2499.4590757115106"/>
    <n v="2654603"/>
  </r>
  <r>
    <x v="3"/>
    <s v="Generation - Steam"/>
    <x v="0"/>
    <x v="1"/>
    <s v="Colstrip 3 &amp; 4"/>
    <n v="2943303"/>
    <n v="2362.1027124968105"/>
    <n v="3476192"/>
  </r>
  <r>
    <x v="3"/>
    <s v="Generation - Steam"/>
    <x v="0"/>
    <x v="2"/>
    <s v="Encogen"/>
    <n v="98884"/>
    <n v="906.74784925910285"/>
    <n v="44831.427163068562"/>
  </r>
  <r>
    <x v="3"/>
    <s v="Generation - Steam"/>
    <x v="0"/>
    <x v="2"/>
    <s v="Goldendale"/>
    <n v="1368284"/>
    <n v="686.37780729974656"/>
    <n v="469579.88584166323"/>
  </r>
  <r>
    <x v="3"/>
    <s v="Generation - Steam"/>
    <x v="0"/>
    <x v="2"/>
    <s v="Sumas"/>
    <n v="218930.30000000002"/>
    <n v="797.76810168096608"/>
    <n v="87327.804915722212"/>
  </r>
  <r>
    <x v="3"/>
    <s v="Generation - Oil/Gas/Wind"/>
    <x v="0"/>
    <x v="3"/>
    <s v="Crystal Mountain"/>
    <n v="360.91"/>
    <n v="1689.2057570020049"/>
    <n v="304.82562487979681"/>
  </r>
  <r>
    <x v="3"/>
    <s v="Generation - Oil/Gas/Wind"/>
    <x v="0"/>
    <x v="2"/>
    <s v="Freddie #1"/>
    <n v="545866.18700000003"/>
    <n v="350.34815600198544"/>
    <n v="95621.606019642481"/>
  </r>
  <r>
    <x v="3"/>
    <s v="Generation - Oil/Gas/Wind"/>
    <x v="0"/>
    <x v="2"/>
    <s v="Fredonia"/>
    <n v="7453.4"/>
    <n v="1941.0520125311277"/>
    <n v="7233.7185350997534"/>
  </r>
  <r>
    <x v="3"/>
    <s v="Generation - Oil/Gas/Wind"/>
    <x v="0"/>
    <x v="2"/>
    <s v="Fredonia 3 &amp; 4"/>
    <n v="9931.2999999999993"/>
    <n v="1159.0524695461825"/>
    <n v="5755.4488954019998"/>
  </r>
  <r>
    <x v="3"/>
    <s v="Generation - Oil/Gas/Wind"/>
    <x v="0"/>
    <x v="2"/>
    <s v="Fredrickson 1 &amp; 2"/>
    <n v="15741.2"/>
    <n v="2256.0428671996333"/>
    <n v="17756.410990581433"/>
  </r>
  <r>
    <x v="3"/>
    <s v="Generation - Oil/Gas/Wind"/>
    <x v="0"/>
    <x v="0"/>
    <s v="Hopkins Ridge (W184)"/>
    <n v="425322.08"/>
    <n v="0"/>
    <n v="0"/>
  </r>
  <r>
    <x v="3"/>
    <s v="Generation - Oil/Gas/Wind"/>
    <x v="0"/>
    <x v="2"/>
    <s v="Whitehorn 2&amp;3"/>
    <n v="4135"/>
    <n v="1771.6363840734703"/>
    <n v="3662.8582240718997"/>
  </r>
  <r>
    <x v="3"/>
    <s v="Generation - Oil/Gas/Wind"/>
    <x v="0"/>
    <x v="0"/>
    <s v="Wild Horse (W183)"/>
    <n v="682096.78399999999"/>
    <n v="0"/>
    <n v="0"/>
  </r>
  <r>
    <x v="3"/>
    <s v="Purchases - Firm"/>
    <x v="1"/>
    <x v="4"/>
    <s v="BC Hydro (Point Roberts)"/>
    <n v="22695.39"/>
    <n v="1024.4699545804308"/>
    <n v="11625.372581242582"/>
  </r>
  <r>
    <x v="3"/>
    <s v="Purchases - Firm"/>
    <x v="1"/>
    <x v="0"/>
    <s v="BPA"/>
    <n v="7063"/>
    <n v="0"/>
    <n v="0"/>
  </r>
  <r>
    <x v="3"/>
    <s v="Purchases - Firm"/>
    <x v="1"/>
    <x v="4"/>
    <s v="BPA Firm - WNP#3 Exchange"/>
    <n v="374999"/>
    <n v="1024.4699545804308"/>
    <n v="192087.60424885349"/>
  </r>
  <r>
    <x v="3"/>
    <s v="Purchases - Firm"/>
    <x v="1"/>
    <x v="0"/>
    <s v="Chelan PUD - Rock Island Syst #2"/>
    <n v="1327464"/>
    <n v="0"/>
    <n v="0"/>
  </r>
  <r>
    <x v="3"/>
    <s v="Purchases - Firm"/>
    <x v="1"/>
    <x v="0"/>
    <s v="Chelan PUD - Rocky Reach"/>
    <n v="2144307"/>
    <n v="0"/>
    <n v="0"/>
  </r>
  <r>
    <x v="3"/>
    <s v="Purchases - Firm"/>
    <x v="1"/>
    <x v="0"/>
    <s v="Douglas PUD - Wells Project"/>
    <n v="1045492"/>
    <n v="0"/>
    <n v="0"/>
  </r>
  <r>
    <x v="3"/>
    <s v="Purchases - Firm"/>
    <x v="1"/>
    <x v="0"/>
    <s v="Grant PUD - Priest Rapids"/>
    <n v="464474"/>
    <n v="0"/>
    <n v="0"/>
  </r>
  <r>
    <x v="3"/>
    <s v="Purchases - Firm"/>
    <x v="1"/>
    <x v="0"/>
    <s v="Grant PUD - Wanapum"/>
    <n v="456458"/>
    <n v="0"/>
    <n v="0"/>
  </r>
  <r>
    <x v="3"/>
    <s v="Purchases - Firm"/>
    <x v="1"/>
    <x v="0"/>
    <s v="Klondike Wind Power III"/>
    <n v="148311"/>
    <n v="0"/>
    <n v="0"/>
  </r>
  <r>
    <x v="3"/>
    <s v="Purchases - Firm"/>
    <x v="1"/>
    <x v="1"/>
    <s v="NWestern Energy(MPC) Firm Contract"/>
    <n v="795395"/>
    <n v="2016.3308936624701"/>
    <n v="801889.75558233028"/>
  </r>
  <r>
    <x v="3"/>
    <s v="Purchases - Firm"/>
    <x v="1"/>
    <x v="4"/>
    <s v="Snohomish PUD Conservation"/>
    <n v="89984"/>
    <n v="1024.4699545804308"/>
    <n v="46092.952196482744"/>
  </r>
  <r>
    <x v="3"/>
    <s v="Purchases - Firm"/>
    <x v="1"/>
    <x v="0"/>
    <s v="VanderHaak Dairy Digester"/>
    <n v="2232"/>
    <n v="0"/>
    <n v="0"/>
  </r>
  <r>
    <x v="3"/>
    <s v="Purchases - Firm"/>
    <x v="1"/>
    <x v="0"/>
    <s v="WASCO Hydro"/>
    <n v="41552"/>
    <n v="0"/>
    <n v="0"/>
  </r>
  <r>
    <x v="3"/>
    <s v="Purchases - PURPA"/>
    <x v="1"/>
    <x v="0"/>
    <s v="Hutchinson Creek"/>
    <n v="2058.2399999999998"/>
    <n v="0"/>
    <n v="0"/>
  </r>
  <r>
    <x v="3"/>
    <s v="Purchases - PURPA"/>
    <x v="1"/>
    <x v="0"/>
    <s v="Koma Kulshan Associates"/>
    <n v="36091.56"/>
    <n v="0"/>
    <n v="0"/>
  </r>
  <r>
    <x v="3"/>
    <s v="Purchases - PURPA"/>
    <x v="1"/>
    <x v="2"/>
    <s v="March Point Cogen. - 1 &amp; 2"/>
    <n v="1022961.27"/>
    <n v="712.18637801833165"/>
    <n v="364269.54086716636"/>
  </r>
  <r>
    <x v="3"/>
    <s v="Purchases - PURPA"/>
    <x v="1"/>
    <x v="0"/>
    <s v="Nooksack"/>
    <n v="19741.439999999999"/>
    <n v="0"/>
    <n v="0"/>
  </r>
  <r>
    <x v="3"/>
    <s v="Purchases - PURPA"/>
    <x v="1"/>
    <x v="5"/>
    <s v="Port Townsend Paper Co."/>
    <n v="2366.1799999999998"/>
    <n v="2523.9512462867506"/>
    <n v="2986.0614799693917"/>
  </r>
  <r>
    <x v="3"/>
    <s v="Purchases - PURPA"/>
    <x v="1"/>
    <x v="0"/>
    <s v="Puyallup Energy Recovery Company"/>
    <n v="1746.732"/>
    <n v="0"/>
    <n v="0"/>
  </r>
  <r>
    <x v="3"/>
    <s v="Purchases - PURPA"/>
    <x v="1"/>
    <x v="6"/>
    <s v="Spokane MSW"/>
    <n v="128135"/>
    <n v="4609.4725050143998"/>
    <n v="295317.37971501006"/>
  </r>
  <r>
    <x v="3"/>
    <s v="Purchases - PURPA"/>
    <x v="1"/>
    <x v="0"/>
    <s v="Sygitowicz Creek"/>
    <n v="651.84"/>
    <n v="0"/>
    <n v="0"/>
  </r>
  <r>
    <x v="3"/>
    <s v="Purchases - PURPA"/>
    <x v="1"/>
    <x v="2"/>
    <s v="Tenaska"/>
    <n v="491579.42"/>
    <n v="873.94129317441275"/>
    <n v="214805.77700636387"/>
  </r>
  <r>
    <x v="3"/>
    <s v="Purchases - PURPA"/>
    <x v="1"/>
    <x v="0"/>
    <s v="Twin Falls Hydro"/>
    <n v="73323"/>
    <n v="0"/>
    <n v="0"/>
  </r>
  <r>
    <x v="3"/>
    <s v="Purchases - PURPA"/>
    <x v="1"/>
    <x v="0"/>
    <s v="Weeks Falls"/>
    <n v="11993.8"/>
    <n v="0"/>
    <n v="0"/>
  </r>
  <r>
    <x v="3"/>
    <s v="Purchases - Secondary"/>
    <x v="2"/>
    <x v="4"/>
    <s v="Avista Corp. WWP Division"/>
    <n v="228885.04"/>
    <n v="1024.4699545804308"/>
    <n v="117242.92326647004"/>
  </r>
  <r>
    <x v="3"/>
    <s v="Purchases - Secondary"/>
    <x v="2"/>
    <x v="4"/>
    <s v="Barclays Bank Plc"/>
    <n v="54188"/>
    <n v="1024.4699545804308"/>
    <n v="27756.988949402192"/>
  </r>
  <r>
    <x v="3"/>
    <s v="Purchases - Secondary"/>
    <x v="2"/>
    <x v="4"/>
    <s v="Bear Energy LP"/>
    <n v="82433"/>
    <n v="1024.4699545804308"/>
    <n v="42225.065882964329"/>
  </r>
  <r>
    <x v="3"/>
    <s v="Purchases - Secondary"/>
    <x v="2"/>
    <x v="4"/>
    <s v="Benton County PUD"/>
    <n v="5473"/>
    <n v="1024.4699545804308"/>
    <n v="2803.4620307093492"/>
  </r>
  <r>
    <x v="3"/>
    <s v="Purchases - Secondary"/>
    <x v="2"/>
    <x v="4"/>
    <s v="Black Hills Power"/>
    <n v="4193"/>
    <n v="1024.4699545804308"/>
    <n v="2147.8012597778734"/>
  </r>
  <r>
    <x v="3"/>
    <s v="Purchases - Secondary"/>
    <x v="2"/>
    <x v="4"/>
    <s v="Book Outs - EITF 03-11"/>
    <n v="-1458513"/>
    <n v="1024.4699545804308"/>
    <n v="-747101.37343248387"/>
  </r>
  <r>
    <x v="3"/>
    <s v="Purchases - Secondary"/>
    <x v="2"/>
    <x v="4"/>
    <s v="BP Energy Co."/>
    <n v="8471"/>
    <n v="1024.4699545804308"/>
    <n v="4339.142492625414"/>
  </r>
  <r>
    <x v="3"/>
    <s v="Purchases - Secondary"/>
    <x v="2"/>
    <x v="4"/>
    <s v="BPA"/>
    <n v="287771"/>
    <n v="1024.4699545804308"/>
    <n v="147406.37164978258"/>
  </r>
  <r>
    <x v="3"/>
    <s v="Purchases - Secondary"/>
    <x v="2"/>
    <x v="4"/>
    <s v="Burbank, City of"/>
    <n v="1205"/>
    <n v="1024.4699545804308"/>
    <n v="617.24314763470966"/>
  </r>
  <r>
    <x v="3"/>
    <s v="Purchases - Secondary"/>
    <x v="2"/>
    <x v="4"/>
    <s v="Cargill Power Markets"/>
    <n v="156466"/>
    <n v="1024.4699545804308"/>
    <n v="80147.357956690845"/>
  </r>
  <r>
    <x v="3"/>
    <s v="Purchases - Secondary"/>
    <x v="2"/>
    <x v="4"/>
    <s v="Chelan County PUD #1"/>
    <n v="60076"/>
    <n v="1024.4699545804308"/>
    <n v="30773.02849568698"/>
  </r>
  <r>
    <x v="3"/>
    <s v="Purchases - Secondary"/>
    <x v="2"/>
    <x v="4"/>
    <s v="Citigroup Energy Inc"/>
    <n v="176981"/>
    <n v="1024.4699545804308"/>
    <n v="90655.858515799613"/>
  </r>
  <r>
    <x v="3"/>
    <s v="Purchases - Secondary"/>
    <x v="2"/>
    <x v="4"/>
    <s v="Clatskanie PUD"/>
    <n v="29829"/>
    <n v="1024.4699545804308"/>
    <n v="15279.457137589834"/>
  </r>
  <r>
    <x v="3"/>
    <s v="Purchases - Secondary"/>
    <x v="2"/>
    <x v="4"/>
    <s v="Conoco, Inc."/>
    <n v="260284"/>
    <n v="1024.4699545804308"/>
    <n v="133326.56882900643"/>
  </r>
  <r>
    <x v="3"/>
    <s v="Purchases - Secondary"/>
    <x v="2"/>
    <x v="4"/>
    <s v="Constellation Power Source, Inc."/>
    <n v="447128"/>
    <n v="1024.4699545804308"/>
    <n v="229034.60092581942"/>
  </r>
  <r>
    <x v="3"/>
    <s v="Purchases - Secondary"/>
    <x v="2"/>
    <x v="4"/>
    <s v="CP Energy Marketing (Epcor)"/>
    <n v="30330"/>
    <n v="1024.4699545804308"/>
    <n v="15536.086861212232"/>
  </r>
  <r>
    <x v="3"/>
    <s v="Purchases - Secondary"/>
    <x v="2"/>
    <x v="4"/>
    <s v="Credit Suisse Energy, LLC"/>
    <n v="28450"/>
    <n v="1024.4699545804308"/>
    <n v="14573.085103906627"/>
  </r>
  <r>
    <x v="3"/>
    <s v="Purchases - Secondary"/>
    <x v="2"/>
    <x v="4"/>
    <s v="DB Energy Trading LLC"/>
    <n v="43073"/>
    <n v="1024.4699545804308"/>
    <n v="22063.497176821449"/>
  </r>
  <r>
    <x v="3"/>
    <s v="Purchases - Secondary"/>
    <x v="2"/>
    <x v="4"/>
    <s v="Douglas County PUD #1"/>
    <n v="239272"/>
    <n v="1024.4699545804308"/>
    <n v="122563.48748618441"/>
  </r>
  <r>
    <x v="3"/>
    <s v="Purchases - Secondary"/>
    <x v="2"/>
    <x v="4"/>
    <s v="ENMAX Energy Marketing, Inc."/>
    <n v="868"/>
    <n v="1024.4699545804308"/>
    <n v="444.61996028790696"/>
  </r>
  <r>
    <x v="3"/>
    <s v="Purchases - Secondary"/>
    <x v="2"/>
    <x v="4"/>
    <s v="Eugene Water &amp; Electric"/>
    <n v="123300"/>
    <n v="1024.4699545804308"/>
    <n v="63158.57269988356"/>
  </r>
  <r>
    <x v="3"/>
    <s v="Purchases - Secondary"/>
    <x v="2"/>
    <x v="4"/>
    <s v="Fortis Energy Marketing &amp; Trading"/>
    <n v="145965"/>
    <n v="1024.4699545804308"/>
    <n v="74768.378460166292"/>
  </r>
  <r>
    <x v="3"/>
    <s v="Purchases - Secondary"/>
    <x v="2"/>
    <x v="4"/>
    <s v="Franklin County PUD #1"/>
    <n v="4960"/>
    <n v="1024.4699545804308"/>
    <n v="2540.6854873594684"/>
  </r>
  <r>
    <x v="3"/>
    <s v="Purchases - Secondary"/>
    <x v="2"/>
    <x v="4"/>
    <s v="Grant County PUD #2"/>
    <n v="40063"/>
    <n v="1024.4699545804308"/>
    <n v="20521.6698951779"/>
  </r>
  <r>
    <x v="3"/>
    <s v="Purchases - Secondary"/>
    <x v="2"/>
    <x v="4"/>
    <s v="Grays Harbor PUD #1"/>
    <n v="10385"/>
    <n v="1024.4699545804308"/>
    <n v="5319.5602391588864"/>
  </r>
  <r>
    <x v="3"/>
    <s v="Purchases - Secondary"/>
    <x v="2"/>
    <x v="4"/>
    <s v="Highland Energy LLC"/>
    <n v="14297"/>
    <n v="1024.4699545804308"/>
    <n v="7323.4234703182092"/>
  </r>
  <r>
    <x v="3"/>
    <s v="Purchases - Secondary"/>
    <x v="2"/>
    <x v="4"/>
    <s v="Hinson Power Company"/>
    <n v="2000"/>
    <n v="1024.4699545804308"/>
    <n v="1024.4699545804308"/>
  </r>
  <r>
    <x v="3"/>
    <s v="Purchases - Secondary"/>
    <x v="2"/>
    <x v="4"/>
    <s v="Iberdrola Renewables (PPM Energy)"/>
    <n v="448401"/>
    <n v="1024.4699545804308"/>
    <n v="229686.67605190986"/>
  </r>
  <r>
    <x v="3"/>
    <s v="Purchases - Secondary"/>
    <x v="2"/>
    <x v="4"/>
    <s v="Idaho Power Company"/>
    <n v="55219"/>
    <n v="1024.4699545804308"/>
    <n v="28285.103210988404"/>
  </r>
  <r>
    <x v="3"/>
    <s v="Purchases - Secondary"/>
    <x v="2"/>
    <x v="4"/>
    <s v="Integrys Energy Services, Inc"/>
    <n v="2400"/>
    <n v="1024.4699545804308"/>
    <n v="1229.3639454965171"/>
  </r>
  <r>
    <x v="3"/>
    <s v="Purchases - Secondary"/>
    <x v="2"/>
    <x v="4"/>
    <s v="J. Aron &amp; Company"/>
    <n v="36400"/>
    <n v="1024.4699545804308"/>
    <n v="18645.353173363841"/>
  </r>
  <r>
    <x v="3"/>
    <s v="Purchases - Secondary"/>
    <x v="2"/>
    <x v="4"/>
    <s v="JP Morgan Ventures Energy"/>
    <n v="96579"/>
    <n v="1024.4699545804308"/>
    <n v="49471.141871711719"/>
  </r>
  <r>
    <x v="3"/>
    <s v="Purchases - Secondary"/>
    <x v="2"/>
    <x v="4"/>
    <s v="Lehman Bros Commodity Services"/>
    <n v="14444"/>
    <n v="1024.4699545804308"/>
    <n v="7398.7220119798712"/>
  </r>
  <r>
    <x v="3"/>
    <s v="Purchases - Secondary"/>
    <x v="2"/>
    <x v="4"/>
    <s v="Los Angeles Dept. Water &amp; Power"/>
    <n v="480"/>
    <n v="1024.4699545804308"/>
    <n v="245.87278909930339"/>
  </r>
  <r>
    <x v="3"/>
    <s v="Purchases - Secondary"/>
    <x v="2"/>
    <x v="4"/>
    <s v="Louis Dreyfus Energy"/>
    <n v="285"/>
    <n v="1024.4699545804308"/>
    <n v="145.98696852771138"/>
  </r>
  <r>
    <x v="3"/>
    <s v="Purchases - Secondary"/>
    <x v="2"/>
    <x v="4"/>
    <s v="Modesto Irrigation District"/>
    <n v="430"/>
    <n v="1024.4699545804308"/>
    <n v="220.26104023479263"/>
  </r>
  <r>
    <x v="3"/>
    <s v="Purchases - Secondary"/>
    <x v="2"/>
    <x v="4"/>
    <s v="Morgan Stanley CG"/>
    <n v="1248783"/>
    <n v="1024.4699545804308"/>
    <n v="639670.33164540713"/>
  </r>
  <r>
    <x v="3"/>
    <s v="Purchases - Secondary"/>
    <x v="2"/>
    <x v="4"/>
    <s v="N. California Power Agency"/>
    <n v="439"/>
    <n v="1024.4699545804308"/>
    <n v="224.87115503040457"/>
  </r>
  <r>
    <x v="3"/>
    <s v="Purchases - Secondary"/>
    <x v="2"/>
    <x v="4"/>
    <s v="NorthPoint Energy Solutions, Inc."/>
    <n v="8475"/>
    <n v="1024.4699545804308"/>
    <n v="4341.1914325345751"/>
  </r>
  <r>
    <x v="3"/>
    <s v="Purchases - Secondary"/>
    <x v="2"/>
    <x v="4"/>
    <s v="Northwestern Energy"/>
    <n v="27923"/>
    <n v="1024.4699545804308"/>
    <n v="14303.137270874684"/>
  </r>
  <r>
    <x v="3"/>
    <s v="Purchases - Secondary"/>
    <x v="2"/>
    <x v="4"/>
    <s v="Occidental Power Services"/>
    <n v="200"/>
    <n v="1024.4699545804308"/>
    <n v="102.44699545804308"/>
  </r>
  <r>
    <x v="3"/>
    <s v="Purchases - Secondary"/>
    <x v="2"/>
    <x v="4"/>
    <s v="Okanogan PUD"/>
    <n v="3660"/>
    <n v="1024.4699545804308"/>
    <n v="1874.7800168821884"/>
  </r>
  <r>
    <x v="3"/>
    <s v="Purchases - Secondary"/>
    <x v="2"/>
    <x v="4"/>
    <s v="Pacific Northwest Generatin Coop."/>
    <n v="156918"/>
    <n v="1024.4699545804308"/>
    <n v="80378.888166426012"/>
  </r>
  <r>
    <x v="3"/>
    <s v="Purchases - Secondary"/>
    <x v="2"/>
    <x v="4"/>
    <s v="Pacific Summit Energy LLC"/>
    <n v="82391"/>
    <n v="1024.4699545804308"/>
    <n v="42203.552013918139"/>
  </r>
  <r>
    <x v="3"/>
    <s v="Purchases - Secondary"/>
    <x v="2"/>
    <x v="4"/>
    <s v="Pacificorp"/>
    <n v="290962"/>
    <n v="1024.4699545804308"/>
    <n v="149040.91346231566"/>
  </r>
  <r>
    <x v="3"/>
    <s v="Purchases - Secondary"/>
    <x v="2"/>
    <x v="4"/>
    <s v="PG&amp;E Energy Trading"/>
    <n v="506"/>
    <n v="1024.4699545804308"/>
    <n v="259.19089850884899"/>
  </r>
  <r>
    <x v="3"/>
    <s v="Purchases - Secondary"/>
    <x v="2"/>
    <x v="4"/>
    <s v="Portland General Electric"/>
    <n v="106316"/>
    <n v="1024.4699545804308"/>
    <n v="54458.77384558654"/>
  </r>
  <r>
    <x v="3"/>
    <s v="Purchases - Secondary"/>
    <x v="2"/>
    <x v="4"/>
    <s v="Powerex Corp."/>
    <n v="352187"/>
    <n v="1024.4699545804308"/>
    <n v="180402.49994690911"/>
  </r>
  <r>
    <x v="3"/>
    <s v="Purchases - Secondary"/>
    <x v="2"/>
    <x v="4"/>
    <s v="Public Service of Colorado"/>
    <n v="9806"/>
    <n v="1024.4699545804308"/>
    <n v="5022.9761873078523"/>
  </r>
  <r>
    <x v="3"/>
    <s v="Purchases - Secondary"/>
    <x v="2"/>
    <x v="4"/>
    <s v="Rainbow Energy Marketing"/>
    <n v="82452"/>
    <n v="1024.4699545804308"/>
    <n v="42234.798347532836"/>
  </r>
  <r>
    <x v="3"/>
    <s v="Purchases - Secondary"/>
    <x v="2"/>
    <x v="4"/>
    <s v="Redding, City of"/>
    <n v="1284"/>
    <n v="1024.4699545804308"/>
    <n v="657.70971084063649"/>
  </r>
  <r>
    <x v="3"/>
    <s v="Purchases - Secondary"/>
    <x v="2"/>
    <x v="4"/>
    <s v="Sacramento Municipal"/>
    <n v="2095"/>
    <n v="1024.4699545804308"/>
    <n v="1073.1322774230014"/>
  </r>
  <r>
    <x v="3"/>
    <s v="Purchases - Secondary"/>
    <x v="2"/>
    <x v="4"/>
    <s v="San Diego Gas &amp; Electric"/>
    <n v="1032"/>
    <n v="1024.4699545804308"/>
    <n v="528.6264965635022"/>
  </r>
  <r>
    <x v="3"/>
    <s v="Purchases - Secondary"/>
    <x v="2"/>
    <x v="4"/>
    <s v="Seattle City Light Marketing"/>
    <n v="113723"/>
    <n v="1024.4699545804308"/>
    <n v="58252.898322375164"/>
  </r>
  <r>
    <x v="3"/>
    <s v="Purchases - Secondary"/>
    <x v="2"/>
    <x v="4"/>
    <s v="Sempra Energy Trading"/>
    <n v="894356"/>
    <n v="1024.4699545804308"/>
    <n v="458120.42534936784"/>
  </r>
  <r>
    <x v="3"/>
    <s v="Purchases - Secondary"/>
    <x v="2"/>
    <x v="4"/>
    <s v="Shell Energy (Coral Pwr)"/>
    <n v="940286"/>
    <n v="1024.4699545804308"/>
    <n v="481647.37785630743"/>
  </r>
  <r>
    <x v="3"/>
    <s v="Purchases - Secondary"/>
    <x v="2"/>
    <x v="4"/>
    <s v="Sierra Pacific Power"/>
    <n v="7828"/>
    <n v="1024.4699545804308"/>
    <n v="4009.7754022278059"/>
  </r>
  <r>
    <x v="3"/>
    <s v="Purchases - Secondary"/>
    <x v="2"/>
    <x v="4"/>
    <s v="Silicon Valley Pwr - Santa Clara"/>
    <n v="1820"/>
    <n v="1024.4699545804308"/>
    <n v="932.26765866819198"/>
  </r>
  <r>
    <x v="3"/>
    <s v="Purchases - Secondary"/>
    <x v="2"/>
    <x v="4"/>
    <s v="Snohomish County PUD #1"/>
    <n v="76572"/>
    <n v="1024.4699545804308"/>
    <n v="39222.856681066369"/>
  </r>
  <r>
    <x v="3"/>
    <s v="Purchases - Secondary"/>
    <x v="2"/>
    <x v="4"/>
    <s v="Southern Cal - Edison"/>
    <n v="6100"/>
    <n v="1024.4699545804308"/>
    <n v="3124.633361470314"/>
  </r>
  <r>
    <x v="3"/>
    <s v="Purchases - Secondary"/>
    <x v="2"/>
    <x v="4"/>
    <s v="SUEZ Energy Marketing (Tractebel)"/>
    <n v="24295"/>
    <n v="1024.4699545804308"/>
    <n v="12444.748773265783"/>
  </r>
  <r>
    <x v="3"/>
    <s v="Purchases - Secondary"/>
    <x v="2"/>
    <x v="4"/>
    <s v="Tacoma Power"/>
    <n v="100697"/>
    <n v="1024.4699545804308"/>
    <n v="51580.525508192819"/>
  </r>
  <r>
    <x v="3"/>
    <s v="Purchases - Secondary"/>
    <x v="2"/>
    <x v="4"/>
    <s v="Talen Energy (PPL Energy Plus)"/>
    <n v="103775"/>
    <n v="1024.4699545804308"/>
    <n v="53157.1847682921"/>
  </r>
  <r>
    <x v="3"/>
    <s v="Purchases - Secondary"/>
    <x v="2"/>
    <x v="4"/>
    <s v="Tenaska"/>
    <n v="114114"/>
    <n v="1024.4699545804308"/>
    <n v="58453.18219849564"/>
  </r>
  <r>
    <x v="3"/>
    <s v="Purchases - Secondary"/>
    <x v="2"/>
    <x v="4"/>
    <s v="The Energy Authority"/>
    <n v="54630"/>
    <n v="1024.4699545804308"/>
    <n v="27983.396809364469"/>
  </r>
  <r>
    <x v="3"/>
    <s v="Purchases - Secondary"/>
    <x v="2"/>
    <x v="4"/>
    <s v="TransAlta Energy Marketing"/>
    <n v="583432"/>
    <n v="1024.4699545804308"/>
    <n v="298854.27727038495"/>
  </r>
  <r>
    <x v="3"/>
    <s v="Purchases - Secondary"/>
    <x v="2"/>
    <x v="4"/>
    <s v="TransCanada Energy Marketing"/>
    <n v="11288"/>
    <n v="1024.4699545804308"/>
    <n v="5782.1084236519509"/>
  </r>
  <r>
    <x v="3"/>
    <s v="Purchases - Secondary"/>
    <x v="2"/>
    <x v="4"/>
    <s v="TransCanada Power Corp."/>
    <n v="5120"/>
    <n v="1024.4699545804308"/>
    <n v="2622.6430837259027"/>
  </r>
  <r>
    <x v="3"/>
    <s v="Purchases - Secondary"/>
    <x v="2"/>
    <x v="4"/>
    <s v="Turlock Irrigation District"/>
    <n v="6176"/>
    <n v="1024.4699545804308"/>
    <n v="3163.5632197443701"/>
  </r>
  <r>
    <x v="3"/>
    <s v="Purchases - Secondary"/>
    <x v="2"/>
    <x v="4"/>
    <s v="UBS AG"/>
    <n v="32800"/>
    <n v="1024.4699545804308"/>
    <n v="16801.307255119067"/>
  </r>
  <r>
    <x v="3"/>
    <s v="Purchases - Secondary"/>
    <x v="2"/>
    <x v="4"/>
    <s v="Western Area Power Association"/>
    <n v="796"/>
    <n v="1024.4699545804308"/>
    <n v="407.73904192301148"/>
  </r>
  <r>
    <x v="3"/>
    <s v="Interchange - In"/>
    <x v="2"/>
    <x v="4"/>
    <s v="Black Creek Hydro"/>
    <n v="4649"/>
    <n v="1024.4699545804308"/>
    <n v="2381.3804094222114"/>
  </r>
  <r>
    <x v="3"/>
    <s v="Interchange - In"/>
    <x v="2"/>
    <x v="4"/>
    <s v="BPA"/>
    <n v="97704"/>
    <n v="1024.4699545804308"/>
    <n v="50047.406221163204"/>
  </r>
  <r>
    <x v="3"/>
    <s v="Interchange - In"/>
    <x v="2"/>
    <x v="4"/>
    <s v="Constellation Power Source, Inc."/>
    <n v="70000"/>
    <n v="1024.4699545804308"/>
    <n v="35856.448410315083"/>
  </r>
  <r>
    <x v="3"/>
    <s v="Interchange - In"/>
    <x v="2"/>
    <x v="4"/>
    <s v="Deviation"/>
    <n v="-28008"/>
    <n v="1024.4699545804308"/>
    <n v="-14346.677243944352"/>
  </r>
  <r>
    <x v="3"/>
    <s v="Interchange - In"/>
    <x v="2"/>
    <x v="4"/>
    <s v="Pacific Gas &amp; Elec - Exchange"/>
    <n v="413116"/>
    <n v="1024.4699545804308"/>
    <n v="211612.46487822462"/>
  </r>
  <r>
    <x v="3"/>
    <s v="Interchange - In"/>
    <x v="2"/>
    <x v="4"/>
    <s v="Powerex - Exchange"/>
    <n v="25607"/>
    <n v="1024.4699545804308"/>
    <n v="13116.801063470546"/>
  </r>
  <r>
    <x v="3"/>
    <s v="Interchange - In"/>
    <x v="2"/>
    <x v="4"/>
    <s v="Seattle City Light Marketing"/>
    <n v="18800"/>
    <n v="1024.4699545804308"/>
    <n v="9630.0175730560495"/>
  </r>
  <r>
    <x v="3"/>
    <s v="Interchange - In"/>
    <x v="2"/>
    <x v="4"/>
    <s v="TransAlta Energy Marketing"/>
    <n v="1099250"/>
    <n v="1024.4699545804308"/>
    <n v="563074.29878626927"/>
  </r>
  <r>
    <x v="3"/>
    <s v="Interchange - Out"/>
    <x v="2"/>
    <x v="4"/>
    <s v="Black Creek Hydro"/>
    <n v="-4708"/>
    <n v="1024.4699545804308"/>
    <n v="-2411.6022730823342"/>
  </r>
  <r>
    <x v="3"/>
    <s v="Interchange - Out"/>
    <x v="2"/>
    <x v="4"/>
    <s v="BPA"/>
    <n v="-99125"/>
    <n v="1024.4699545804308"/>
    <n v="-50775.292123892599"/>
  </r>
  <r>
    <x v="3"/>
    <s v="Interchange - Out"/>
    <x v="2"/>
    <x v="4"/>
    <s v="Constellation Power Source, Inc."/>
    <n v="-70000"/>
    <n v="1024.4699545804308"/>
    <n v="-35856.448410315083"/>
  </r>
  <r>
    <x v="3"/>
    <s v="Interchange - Out"/>
    <x v="2"/>
    <x v="4"/>
    <s v="Pacific Gas &amp; Elec - Exchange"/>
    <n v="-413016"/>
    <n v="1024.4699545804308"/>
    <n v="-211561.2413804956"/>
  </r>
  <r>
    <x v="3"/>
    <s v="Interchange - Out"/>
    <x v="2"/>
    <x v="4"/>
    <s v="Powerex - Exchange"/>
    <n v="-25607"/>
    <n v="1024.4699545804308"/>
    <n v="-13116.801063470546"/>
  </r>
  <r>
    <x v="3"/>
    <s v="Interchange - Out"/>
    <x v="2"/>
    <x v="4"/>
    <s v="Seattle City Light Marketing"/>
    <n v="-18800"/>
    <n v="1024.4699545804308"/>
    <n v="-9630.0175730560495"/>
  </r>
  <r>
    <x v="3"/>
    <s v="Interchange - Out"/>
    <x v="2"/>
    <x v="4"/>
    <s v="TransAlta Energy Marketing"/>
    <n v="-1099250"/>
    <n v="1024.4699545804308"/>
    <n v="-563074.29878626927"/>
  </r>
  <r>
    <x v="3"/>
    <s v="Sales for Resale"/>
    <x v="2"/>
    <x v="4"/>
    <s v="Arizona Public Service"/>
    <n v="-15"/>
    <n v="1024.4699545804308"/>
    <n v="-7.6835246593532309"/>
  </r>
  <r>
    <x v="3"/>
    <s v="Sales for Resale"/>
    <x v="2"/>
    <x v="4"/>
    <s v="Avista Corp. WWP Division"/>
    <n v="-41915"/>
    <n v="1024.4699545804308"/>
    <n v="-21470.329073119381"/>
  </r>
  <r>
    <x v="3"/>
    <s v="Sales for Resale"/>
    <x v="2"/>
    <x v="4"/>
    <s v="Barclays Bank Plc"/>
    <n v="-32027"/>
    <n v="1024.4699545804308"/>
    <n v="-16405.349617673728"/>
  </r>
  <r>
    <x v="3"/>
    <s v="Sales for Resale"/>
    <x v="2"/>
    <x v="4"/>
    <s v="Bear Energy LP"/>
    <n v="-43931"/>
    <n v="1024.4699545804308"/>
    <n v="-22502.994787336454"/>
  </r>
  <r>
    <x v="3"/>
    <s v="Sales for Resale"/>
    <x v="2"/>
    <x v="4"/>
    <s v="Benton County PUD"/>
    <n v="-1335"/>
    <n v="1024.4699545804308"/>
    <n v="-683.83369468243757"/>
  </r>
  <r>
    <x v="3"/>
    <s v="Sales for Resale"/>
    <x v="2"/>
    <x v="4"/>
    <s v="Black Hills Power"/>
    <n v="-2123"/>
    <n v="1024.4699545804308"/>
    <n v="-1087.4748567871272"/>
  </r>
  <r>
    <x v="3"/>
    <s v="Sales for Resale"/>
    <x v="2"/>
    <x v="4"/>
    <s v="Book Outs - EITF 03-11"/>
    <n v="1458513"/>
    <n v="1024.4699545804308"/>
    <n v="747101.37343248387"/>
  </r>
  <r>
    <x v="3"/>
    <s v="Sales for Resale"/>
    <x v="2"/>
    <x v="4"/>
    <s v="BP Energy Co."/>
    <n v="-28512"/>
    <n v="1024.4699545804308"/>
    <n v="-14604.84367249862"/>
  </r>
  <r>
    <x v="3"/>
    <s v="Sales for Resale"/>
    <x v="2"/>
    <x v="4"/>
    <s v="BPA"/>
    <n v="-138425"/>
    <n v="1024.4699545804308"/>
    <n v="-70906.126731398064"/>
  </r>
  <r>
    <x v="3"/>
    <s v="Sales for Resale"/>
    <x v="2"/>
    <x v="4"/>
    <s v="British Columbia Transmission Corp"/>
    <n v="-23"/>
    <n v="1024.4699545804308"/>
    <n v="-11.781404477674954"/>
  </r>
  <r>
    <x v="3"/>
    <s v="Sales for Resale"/>
    <x v="2"/>
    <x v="4"/>
    <s v="Burbank, City of"/>
    <n v="-1085"/>
    <n v="1024.4699545804308"/>
    <n v="-555.77495035988375"/>
  </r>
  <r>
    <x v="3"/>
    <s v="Sales for Resale"/>
    <x v="2"/>
    <x v="4"/>
    <s v="Cargill Power Markets"/>
    <n v="-177806"/>
    <n v="1024.4699545804308"/>
    <n v="-91078.452372064043"/>
  </r>
  <r>
    <x v="3"/>
    <s v="Sales for Resale"/>
    <x v="2"/>
    <x v="4"/>
    <s v="Chelan County PUD #1"/>
    <n v="-7327"/>
    <n v="1024.4699545804308"/>
    <n v="-3753.1456786054082"/>
  </r>
  <r>
    <x v="3"/>
    <s v="Sales for Resale"/>
    <x v="2"/>
    <x v="4"/>
    <s v="Citigroup Energy Inc"/>
    <n v="-232727"/>
    <n v="1024.4699545804308"/>
    <n v="-119210.90955981995"/>
  </r>
  <r>
    <x v="3"/>
    <s v="Sales for Resale"/>
    <x v="2"/>
    <x v="4"/>
    <s v="Clatskanie PUD"/>
    <n v="-17042"/>
    <n v="1024.4699545804308"/>
    <n v="-8729.5084829798507"/>
  </r>
  <r>
    <x v="3"/>
    <s v="Sales for Resale"/>
    <x v="2"/>
    <x v="4"/>
    <s v="Conoco, Inc."/>
    <n v="-8142"/>
    <n v="1024.4699545804308"/>
    <n v="-4170.617185096934"/>
  </r>
  <r>
    <x v="3"/>
    <s v="Sales for Resale"/>
    <x v="2"/>
    <x v="4"/>
    <s v="Constellation Power Source, Inc."/>
    <n v="-86673"/>
    <n v="1024.4699545804308"/>
    <n v="-44396.942186674838"/>
  </r>
  <r>
    <x v="3"/>
    <s v="Sales for Resale"/>
    <x v="2"/>
    <x v="4"/>
    <s v="CP Energy Marketing (Epcor)"/>
    <n v="-7691"/>
    <n v="1024.4699545804308"/>
    <n v="-3939.5992103390467"/>
  </r>
  <r>
    <x v="3"/>
    <s v="Sales for Resale"/>
    <x v="2"/>
    <x v="4"/>
    <s v="Credit Suisse Energy, LLC"/>
    <n v="-1600"/>
    <n v="1024.4699545804308"/>
    <n v="-819.57596366434461"/>
  </r>
  <r>
    <x v="3"/>
    <s v="Sales for Resale"/>
    <x v="2"/>
    <x v="4"/>
    <s v="DB Energy Trading LLC"/>
    <n v="-53578"/>
    <n v="1024.4699545804308"/>
    <n v="-27444.525613255162"/>
  </r>
  <r>
    <x v="3"/>
    <s v="Sales for Resale"/>
    <x v="2"/>
    <x v="4"/>
    <s v="Douglas County PUD #1"/>
    <n v="-461"/>
    <n v="1024.4699545804308"/>
    <n v="-236.14032453078931"/>
  </r>
  <r>
    <x v="3"/>
    <s v="Sales for Resale"/>
    <x v="2"/>
    <x v="4"/>
    <s v="ENMAX Energy Marketing, Inc."/>
    <n v="-2690"/>
    <n v="1024.4699545804308"/>
    <n v="-1377.9120889106794"/>
  </r>
  <r>
    <x v="3"/>
    <s v="Sales for Resale"/>
    <x v="2"/>
    <x v="4"/>
    <s v="Eugene Water &amp; Electric"/>
    <n v="-38663"/>
    <n v="1024.4699545804308"/>
    <n v="-19804.5409269716"/>
  </r>
  <r>
    <x v="3"/>
    <s v="Sales for Resale"/>
    <x v="2"/>
    <x v="4"/>
    <s v="Fortis Energy Marketing &amp; Trading"/>
    <n v="-131275"/>
    <n v="1024.4699545804308"/>
    <n v="-67243.646643773012"/>
  </r>
  <r>
    <x v="3"/>
    <s v="Sales for Resale"/>
    <x v="2"/>
    <x v="4"/>
    <s v="Franklin County PUD #1"/>
    <n v="-690"/>
    <n v="1024.4699545804308"/>
    <n v="-353.44213433024862"/>
  </r>
  <r>
    <x v="3"/>
    <s v="Sales for Resale"/>
    <x v="2"/>
    <x v="4"/>
    <s v="Grant County PUD #2"/>
    <n v="-13801"/>
    <n v="1024.4699545804308"/>
    <n v="-7069.3549215822632"/>
  </r>
  <r>
    <x v="3"/>
    <s v="Sales for Resale"/>
    <x v="2"/>
    <x v="4"/>
    <s v="Grays Harbor PUD #1"/>
    <n v="-937"/>
    <n v="1024.4699545804308"/>
    <n v="-479.9641737209318"/>
  </r>
  <r>
    <x v="3"/>
    <s v="Sales for Resale"/>
    <x v="2"/>
    <x v="4"/>
    <s v="Highland Energy LLC"/>
    <n v="-14406"/>
    <n v="1024.4699545804308"/>
    <n v="-7379.2570828428425"/>
  </r>
  <r>
    <x v="3"/>
    <s v="Sales for Resale"/>
    <x v="2"/>
    <x v="4"/>
    <s v="Hinson Power Company"/>
    <n v="-10318"/>
    <n v="1024.4699545804308"/>
    <n v="-5285.2404956804421"/>
  </r>
  <r>
    <x v="3"/>
    <s v="Sales for Resale"/>
    <x v="2"/>
    <x v="4"/>
    <s v="Iberdrola Renewables (PPM Energy)"/>
    <n v="-97329"/>
    <n v="1024.4699545804308"/>
    <n v="-49855.318104679376"/>
  </r>
  <r>
    <x v="3"/>
    <s v="Sales for Resale"/>
    <x v="2"/>
    <x v="4"/>
    <s v="Idaho Power Company"/>
    <n v="-22104"/>
    <n v="1024.4699545804308"/>
    <n v="-11322.441938022921"/>
  </r>
  <r>
    <x v="3"/>
    <s v="Sales for Resale"/>
    <x v="2"/>
    <x v="4"/>
    <s v="Integrys Energy Services, Inc"/>
    <n v="-3600"/>
    <n v="1024.4699545804308"/>
    <n v="-1844.0459182447753"/>
  </r>
  <r>
    <x v="3"/>
    <s v="Sales for Resale"/>
    <x v="2"/>
    <x v="4"/>
    <s v="J. Aron &amp; Company"/>
    <n v="-20700"/>
    <n v="1024.4699545804308"/>
    <n v="-10603.264029907459"/>
  </r>
  <r>
    <x v="3"/>
    <s v="Sales for Resale"/>
    <x v="2"/>
    <x v="4"/>
    <s v="JP Morgan Ventures Energy"/>
    <n v="-98388"/>
    <n v="1024.4699545804308"/>
    <n v="-50397.774945629717"/>
  </r>
  <r>
    <x v="3"/>
    <s v="Sales for Resale"/>
    <x v="2"/>
    <x v="4"/>
    <s v="Lehman Bros Commodity Services"/>
    <n v="-5520"/>
    <n v="1024.4699545804308"/>
    <n v="-2827.537074641989"/>
  </r>
  <r>
    <x v="3"/>
    <s v="Sales for Resale"/>
    <x v="2"/>
    <x v="4"/>
    <s v="Louis Dreyfus Energy"/>
    <n v="-1113"/>
    <n v="1024.4699545804308"/>
    <n v="-570.11752972400973"/>
  </r>
  <r>
    <x v="3"/>
    <s v="Sales for Resale"/>
    <x v="2"/>
    <x v="4"/>
    <s v="Merrill Lynch Commodities"/>
    <n v="-5200"/>
    <n v="1024.4699545804308"/>
    <n v="-2663.62188190912"/>
  </r>
  <r>
    <x v="3"/>
    <s v="Sales for Resale"/>
    <x v="2"/>
    <x v="4"/>
    <s v="Modesto Irrigation District"/>
    <n v="-180"/>
    <n v="1024.4699545804308"/>
    <n v="-92.202295912238768"/>
  </r>
  <r>
    <x v="3"/>
    <s v="Sales for Resale"/>
    <x v="2"/>
    <x v="4"/>
    <s v="Morgan Stanley CG"/>
    <n v="-491984"/>
    <n v="1024.4699545804308"/>
    <n v="-252011.41306714935"/>
  </r>
  <r>
    <x v="3"/>
    <s v="Sales for Resale"/>
    <x v="2"/>
    <x v="4"/>
    <s v="N. California Power Agency"/>
    <n v="-260"/>
    <n v="1024.4699545804308"/>
    <n v="-133.18109409545602"/>
  </r>
  <r>
    <x v="3"/>
    <s v="Sales for Resale"/>
    <x v="2"/>
    <x v="4"/>
    <s v="NorthPoint Energy Solutions, Inc."/>
    <n v="-5792"/>
    <n v="1024.4699545804308"/>
    <n v="-2966.8649884649276"/>
  </r>
  <r>
    <x v="3"/>
    <s v="Sales for Resale"/>
    <x v="2"/>
    <x v="4"/>
    <s v="Northwestern Energy"/>
    <n v="-13384"/>
    <n v="1024.4699545804308"/>
    <n v="-6855.7529360522431"/>
  </r>
  <r>
    <x v="3"/>
    <s v="Sales for Resale"/>
    <x v="2"/>
    <x v="4"/>
    <s v="Okanogan PUD"/>
    <n v="-455"/>
    <n v="1024.4699545804308"/>
    <n v="-233.066914667048"/>
  </r>
  <r>
    <x v="3"/>
    <s v="Sales for Resale"/>
    <x v="2"/>
    <x v="4"/>
    <s v="Pacific Northwest Generatin Coop."/>
    <n v="-11857"/>
    <n v="1024.4699545804308"/>
    <n v="-6073.5701257300843"/>
  </r>
  <r>
    <x v="3"/>
    <s v="Sales for Resale"/>
    <x v="2"/>
    <x v="4"/>
    <s v="Pacific Summit Energy LLC"/>
    <n v="-80207"/>
    <n v="1024.4699545804308"/>
    <n v="-41084.830823516306"/>
  </r>
  <r>
    <x v="3"/>
    <s v="Sales for Resale"/>
    <x v="2"/>
    <x v="4"/>
    <s v="Pacificorp"/>
    <n v="-122205"/>
    <n v="1024.4699545804308"/>
    <n v="-62597.675399750769"/>
  </r>
  <r>
    <x v="3"/>
    <s v="Sales for Resale"/>
    <x v="2"/>
    <x v="4"/>
    <s v="PG&amp;E Energy Trading"/>
    <n v="-800"/>
    <n v="1024.4699545804308"/>
    <n v="-409.78798183217231"/>
  </r>
  <r>
    <x v="3"/>
    <s v="Sales for Resale"/>
    <x v="2"/>
    <x v="4"/>
    <s v="Portland General Electric"/>
    <n v="-37229"/>
    <n v="1024.4699545804308"/>
    <n v="-19069.995969537431"/>
  </r>
  <r>
    <x v="3"/>
    <s v="Sales for Resale"/>
    <x v="2"/>
    <x v="4"/>
    <s v="Powerex Corp."/>
    <n v="-317422"/>
    <n v="1024.4699545804308"/>
    <n v="-162594.65096141477"/>
  </r>
  <r>
    <x v="3"/>
    <s v="Sales for Resale"/>
    <x v="2"/>
    <x v="4"/>
    <s v="Public Service of Colorado"/>
    <n v="-15435"/>
    <n v="1024.4699545804308"/>
    <n v="-7906.3468744744741"/>
  </r>
  <r>
    <x v="3"/>
    <s v="Sales for Resale"/>
    <x v="2"/>
    <x v="4"/>
    <s v="Rainbow Energy Marketing"/>
    <n v="-74196"/>
    <n v="1024.4699545804308"/>
    <n v="-38005.786375024829"/>
  </r>
  <r>
    <x v="3"/>
    <s v="Sales for Resale"/>
    <x v="2"/>
    <x v="4"/>
    <s v="Redding, City of"/>
    <n v="-1257"/>
    <n v="1024.4699545804308"/>
    <n v="-643.87936645380069"/>
  </r>
  <r>
    <x v="3"/>
    <s v="Sales for Resale"/>
    <x v="2"/>
    <x v="4"/>
    <s v="Sacramento Municipal"/>
    <n v="-2305"/>
    <n v="1024.4699545804308"/>
    <n v="-1180.7016226539465"/>
  </r>
  <r>
    <x v="3"/>
    <s v="Sales for Resale"/>
    <x v="2"/>
    <x v="4"/>
    <s v="San Diego Gas &amp; Electric"/>
    <n v="-30998"/>
    <n v="1024.4699545804308"/>
    <n v="-15878.259826042096"/>
  </r>
  <r>
    <x v="3"/>
    <s v="Sales for Resale"/>
    <x v="2"/>
    <x v="4"/>
    <s v="Seattle City Light Marketing"/>
    <n v="-51896"/>
    <n v="1024.4699545804308"/>
    <n v="-26582.946381453017"/>
  </r>
  <r>
    <x v="3"/>
    <s v="Sales for Resale"/>
    <x v="2"/>
    <x v="4"/>
    <s v="Sempra Energy Trading"/>
    <n v="-38348"/>
    <n v="1024.4699545804308"/>
    <n v="-19643.186909125179"/>
  </r>
  <r>
    <x v="3"/>
    <s v="Sales for Resale"/>
    <x v="2"/>
    <x v="4"/>
    <s v="Shell Energy (Coral Pwr)"/>
    <n v="-158471"/>
    <n v="1024.4699545804308"/>
    <n v="-81174.389086157724"/>
  </r>
  <r>
    <x v="3"/>
    <s v="Sales for Resale"/>
    <x v="2"/>
    <x v="4"/>
    <s v="Sierra Pacific Power"/>
    <n v="-17217"/>
    <n v="1024.4699545804308"/>
    <n v="-8819.149604005639"/>
  </r>
  <r>
    <x v="3"/>
    <s v="Sales for Resale"/>
    <x v="2"/>
    <x v="4"/>
    <s v="Silicon Valley Pwr - Santa Clara"/>
    <n v="-166"/>
    <n v="1024.4699545804308"/>
    <n v="-85.031006230175763"/>
  </r>
  <r>
    <x v="3"/>
    <s v="Sales for Resale"/>
    <x v="2"/>
    <x v="4"/>
    <s v="Snohomish County PUD #1"/>
    <n v="-22679"/>
    <n v="1024.4699545804308"/>
    <n v="-11616.977049964795"/>
  </r>
  <r>
    <x v="3"/>
    <s v="Sales for Resale"/>
    <x v="2"/>
    <x v="4"/>
    <s v="Southern Cal - Edison"/>
    <n v="-4250"/>
    <n v="1024.4699545804308"/>
    <n v="-2176.9986534834156"/>
  </r>
  <r>
    <x v="3"/>
    <s v="Sales for Resale"/>
    <x v="2"/>
    <x v="4"/>
    <s v="SUEZ Energy Marketing (Tractebel)"/>
    <n v="-15700"/>
    <n v="1024.4699545804308"/>
    <n v="-8042.0891434563819"/>
  </r>
  <r>
    <x v="3"/>
    <s v="Sales for Resale"/>
    <x v="2"/>
    <x v="4"/>
    <s v="Synergy Power Marketing"/>
    <n v="-2578"/>
    <n v="1024.4699545804308"/>
    <n v="-1320.5417714541752"/>
  </r>
  <r>
    <x v="3"/>
    <s v="Sales for Resale"/>
    <x v="2"/>
    <x v="4"/>
    <s v="Tacoma Power"/>
    <n v="-3208"/>
    <n v="1024.4699545804308"/>
    <n v="-1643.2498071470109"/>
  </r>
  <r>
    <x v="3"/>
    <s v="Sales for Resale"/>
    <x v="2"/>
    <x v="4"/>
    <s v="Talen Energy (PPL Energy Plus)"/>
    <n v="-22392"/>
    <n v="1024.4699545804308"/>
    <n v="-11469.965611482503"/>
  </r>
  <r>
    <x v="3"/>
    <s v="Sales for Resale"/>
    <x v="2"/>
    <x v="4"/>
    <s v="The Energy Authority"/>
    <n v="-11297"/>
    <n v="1024.4699545804308"/>
    <n v="-5786.7185384475633"/>
  </r>
  <r>
    <x v="3"/>
    <s v="Sales for Resale"/>
    <x v="2"/>
    <x v="4"/>
    <s v="TransAlta Energy Marketing"/>
    <n v="-200683"/>
    <n v="1024.4699545804308"/>
    <n v="-102796.8519475323"/>
  </r>
  <r>
    <x v="3"/>
    <s v="Sales for Resale"/>
    <x v="2"/>
    <x v="4"/>
    <s v="TransCanada Energy Marketing"/>
    <n v="-14678"/>
    <n v="1024.4699545804308"/>
    <n v="-7518.5849966657815"/>
  </r>
  <r>
    <x v="3"/>
    <s v="Sales for Resale"/>
    <x v="2"/>
    <x v="4"/>
    <s v="Turlock Irrigation District"/>
    <n v="-2835"/>
    <n v="1024.4699545804308"/>
    <n v="-1452.1861606177606"/>
  </r>
  <r>
    <x v="3"/>
    <s v="Sales for Resale"/>
    <x v="2"/>
    <x v="4"/>
    <s v="UBS AG"/>
    <n v="-1600"/>
    <n v="1024.4699545804308"/>
    <n v="-819.57596366434461"/>
  </r>
  <r>
    <x v="3"/>
    <s v="Sales for Resale"/>
    <x v="2"/>
    <x v="4"/>
    <s v="Western Area Power Association"/>
    <n v="-275"/>
    <n v="1024.4699545804308"/>
    <n v="-140.86461875480921"/>
  </r>
  <r>
    <x v="4"/>
    <s v="Generation - Hydro"/>
    <x v="0"/>
    <x v="0"/>
    <s v="Electron"/>
    <n v="90893.71"/>
    <n v="0"/>
    <n v="0"/>
  </r>
  <r>
    <x v="4"/>
    <s v="Generation - Hydro"/>
    <x v="0"/>
    <x v="0"/>
    <s v="Lower Baker"/>
    <n v="344847.47200000001"/>
    <n v="0"/>
    <n v="0"/>
  </r>
  <r>
    <x v="4"/>
    <s v="Generation - Hydro"/>
    <x v="0"/>
    <x v="0"/>
    <s v="Snoqualmie Falls #1"/>
    <n v="62769"/>
    <n v="0"/>
    <n v="0"/>
  </r>
  <r>
    <x v="4"/>
    <s v="Generation - Hydro"/>
    <x v="0"/>
    <x v="0"/>
    <s v="Snoqualmie Falls #2"/>
    <n v="151915.20000000001"/>
    <n v="0"/>
    <n v="0"/>
  </r>
  <r>
    <x v="4"/>
    <s v="Generation - Hydro"/>
    <x v="0"/>
    <x v="0"/>
    <s v="Upper Baker"/>
    <n v="337353.652"/>
    <n v="0"/>
    <n v="0"/>
  </r>
  <r>
    <x v="4"/>
    <s v="Generation - Steam"/>
    <x v="0"/>
    <x v="1"/>
    <s v="Colstrip 1 &amp; 2"/>
    <n v="2310597"/>
    <n v="2407.7777301710339"/>
    <n v="2781702"/>
  </r>
  <r>
    <x v="4"/>
    <s v="Generation - Steam"/>
    <x v="0"/>
    <x v="1"/>
    <s v="Colstrip 3 &amp; 4"/>
    <n v="2140507"/>
    <n v="2314.4853065185025"/>
    <n v="2477086"/>
  </r>
  <r>
    <x v="4"/>
    <s v="Generation - Steam"/>
    <x v="0"/>
    <x v="2"/>
    <s v="Encogen"/>
    <n v="384510"/>
    <n v="1108.3238139486621"/>
    <n v="213080.79485070001"/>
  </r>
  <r>
    <x v="4"/>
    <s v="Generation - Steam"/>
    <x v="0"/>
    <x v="2"/>
    <s v="Goldendale"/>
    <n v="1368799"/>
    <n v="888.23154613277768"/>
    <n v="607905.2260575"/>
  </r>
  <r>
    <x v="4"/>
    <s v="Generation - Steam"/>
    <x v="0"/>
    <x v="2"/>
    <s v="Mint Farm"/>
    <n v="1426827.5"/>
    <n v="913.81242166386619"/>
    <n v="651926.34653580002"/>
  </r>
  <r>
    <x v="4"/>
    <s v="Generation - Steam"/>
    <x v="0"/>
    <x v="2"/>
    <s v="Sumas"/>
    <n v="539532.19999999995"/>
    <n v="1079.7822928444309"/>
    <n v="291288.65798970003"/>
  </r>
  <r>
    <x v="4"/>
    <s v="Generation - Oil/Gas/Wind"/>
    <x v="0"/>
    <x v="3"/>
    <s v="Crystal Mountain"/>
    <n v="419.45"/>
    <n v="1824.319399241112"/>
    <n v="382.60538600584221"/>
  </r>
  <r>
    <x v="4"/>
    <s v="Generation - Oil/Gas/Wind"/>
    <x v="0"/>
    <x v="2"/>
    <s v="Freddie #1"/>
    <n v="454203"/>
    <n v="938.36446332380979"/>
    <n v="213103.97716753217"/>
  </r>
  <r>
    <x v="4"/>
    <s v="Generation - Oil/Gas/Wind"/>
    <x v="0"/>
    <x v="2"/>
    <s v="Fredonia"/>
    <n v="64044.5"/>
    <n v="1569.4444137415658"/>
    <n v="50257.141377935855"/>
  </r>
  <r>
    <x v="4"/>
    <s v="Generation - Oil/Gas/Wind"/>
    <x v="0"/>
    <x v="2"/>
    <s v="Fredonia 3 &amp; 4"/>
    <n v="89229"/>
    <n v="1396.7769859261002"/>
    <n v="62316.506838600006"/>
  </r>
  <r>
    <x v="4"/>
    <s v="Generation - Oil/Gas/Wind"/>
    <x v="0"/>
    <x v="2"/>
    <s v="Fredrickson 1 &amp; 2"/>
    <n v="18586.099999999999"/>
    <n v="1769.9984040008392"/>
    <n v="16448.683668299996"/>
  </r>
  <r>
    <x v="4"/>
    <s v="Generation - Oil/Gas/Wind"/>
    <x v="0"/>
    <x v="0"/>
    <s v="Hopkins Ridge (W184)"/>
    <n v="381219.26400000002"/>
    <n v="0"/>
    <n v="0"/>
  </r>
  <r>
    <x v="4"/>
    <s v="Generation - Oil/Gas/Wind"/>
    <x v="0"/>
    <x v="2"/>
    <s v="Whitehorn 2&amp;3"/>
    <n v="16995.3"/>
    <n v="1739.0063960469408"/>
    <n v="14777.467701368285"/>
  </r>
  <r>
    <x v="4"/>
    <s v="Generation - Oil/Gas/Wind"/>
    <x v="0"/>
    <x v="0"/>
    <s v="Wild Horse (W183)"/>
    <n v="565274.87399999995"/>
    <n v="0"/>
    <n v="0"/>
  </r>
  <r>
    <x v="4"/>
    <s v="Purchases - Firm"/>
    <x v="1"/>
    <x v="4"/>
    <s v="BC Hydro (Point Roberts)"/>
    <n v="22270.57"/>
    <n v="1118.7938637421748"/>
    <n v="12458.088529020284"/>
  </r>
  <r>
    <x v="4"/>
    <s v="Purchases - Firm"/>
    <x v="1"/>
    <x v="0"/>
    <s v="BPA"/>
    <n v="7014"/>
    <n v="0"/>
    <n v="0"/>
  </r>
  <r>
    <x v="4"/>
    <s v="Purchases - Firm"/>
    <x v="1"/>
    <x v="4"/>
    <s v="BPA Firm - WNP#3 Exchange"/>
    <n v="393717"/>
    <n v="1118.7938637421748"/>
    <n v="220244.08182548892"/>
  </r>
  <r>
    <x v="4"/>
    <s v="Purchases - Firm"/>
    <x v="1"/>
    <x v="0"/>
    <s v="Chelan PUD - Rock Island Syst #2"/>
    <n v="1263318"/>
    <n v="0"/>
    <n v="0"/>
  </r>
  <r>
    <x v="4"/>
    <s v="Purchases - Firm"/>
    <x v="1"/>
    <x v="0"/>
    <s v="Chelan PUD - Rocky Reach"/>
    <n v="2007333"/>
    <n v="0"/>
    <n v="0"/>
  </r>
  <r>
    <x v="4"/>
    <s v="Purchases - Firm"/>
    <x v="1"/>
    <x v="0"/>
    <s v="Douglas PUD - Wells Project"/>
    <n v="959848"/>
    <n v="0"/>
    <n v="0"/>
  </r>
  <r>
    <x v="4"/>
    <s v="Purchases - Firm"/>
    <x v="1"/>
    <x v="0"/>
    <s v="Farm Power Rexville LLC"/>
    <n v="1523.01"/>
    <n v="0"/>
    <n v="0"/>
  </r>
  <r>
    <x v="4"/>
    <s v="Purchases - Firm"/>
    <x v="1"/>
    <x v="0"/>
    <s v="Grant PUD - Priest Rapids"/>
    <n v="234580"/>
    <n v="0"/>
    <n v="0"/>
  </r>
  <r>
    <x v="4"/>
    <s v="Purchases - Firm"/>
    <x v="1"/>
    <x v="0"/>
    <s v="Grant PUD - Priest Rapids Project"/>
    <n v="82584"/>
    <n v="0"/>
    <n v="0"/>
  </r>
  <r>
    <x v="4"/>
    <s v="Purchases - Firm"/>
    <x v="1"/>
    <x v="0"/>
    <s v="Grant PUD - Wanapum"/>
    <n v="313799"/>
    <n v="0"/>
    <n v="0"/>
  </r>
  <r>
    <x v="4"/>
    <s v="Purchases - Firm"/>
    <x v="1"/>
    <x v="0"/>
    <s v="Klondike Wind Power III"/>
    <n v="132569"/>
    <n v="0"/>
    <n v="0"/>
  </r>
  <r>
    <x v="4"/>
    <s v="Purchases - Firm"/>
    <x v="1"/>
    <x v="1"/>
    <s v="NWestern Energy(MPC) Firm Contract"/>
    <n v="591921"/>
    <n v="2421.1511045073498"/>
    <n v="716565.09146554756"/>
  </r>
  <r>
    <x v="4"/>
    <s v="Purchases - Firm"/>
    <x v="1"/>
    <x v="0"/>
    <s v="Qualco Energy"/>
    <n v="3036"/>
    <n v="0"/>
    <n v="0"/>
  </r>
  <r>
    <x v="4"/>
    <s v="Purchases - Firm"/>
    <x v="1"/>
    <x v="4"/>
    <s v="Snohomish PUD Conservation"/>
    <n v="89728"/>
    <n v="1118.7938637421748"/>
    <n v="50193.567902928931"/>
  </r>
  <r>
    <x v="4"/>
    <s v="Purchases - Firm"/>
    <x v="1"/>
    <x v="0"/>
    <s v="VanderHaak Dairy Digester"/>
    <n v="2345.92"/>
    <n v="0"/>
    <n v="0"/>
  </r>
  <r>
    <x v="4"/>
    <s v="Purchases - Firm"/>
    <x v="1"/>
    <x v="0"/>
    <s v="WASCO Hydro"/>
    <n v="39992"/>
    <n v="0"/>
    <n v="0"/>
  </r>
  <r>
    <x v="4"/>
    <s v="Purchases - PURPA"/>
    <x v="1"/>
    <x v="0"/>
    <s v="Koma Kulshan Associates"/>
    <n v="36065.160000000003"/>
    <n v="0"/>
    <n v="0"/>
  </r>
  <r>
    <x v="4"/>
    <s v="Purchases - PURPA"/>
    <x v="1"/>
    <x v="2"/>
    <s v="March Point Cogen. - 1 &amp; 2"/>
    <n v="995857.89"/>
    <n v="711.04062100273177"/>
    <n v="354047.70626803505"/>
  </r>
  <r>
    <x v="4"/>
    <s v="Purchases - PURPA"/>
    <x v="1"/>
    <x v="0"/>
    <s v="Nooksack"/>
    <n v="23209.795999999998"/>
    <n v="0"/>
    <n v="0"/>
  </r>
  <r>
    <x v="4"/>
    <s v="Purchases - PURPA"/>
    <x v="1"/>
    <x v="5"/>
    <s v="Port Townsend Paper Co."/>
    <n v="1816.9169999999999"/>
    <n v="998.843085984749"/>
    <n v="907.40749162907605"/>
  </r>
  <r>
    <x v="4"/>
    <s v="Purchases - PURPA"/>
    <x v="1"/>
    <x v="0"/>
    <s v="Puyallup Energy Recovery Company"/>
    <n v="343.577"/>
    <n v="0"/>
    <n v="0"/>
  </r>
  <r>
    <x v="4"/>
    <s v="Purchases - PURPA"/>
    <x v="1"/>
    <x v="6"/>
    <s v="Spokane MSW"/>
    <n v="133987"/>
    <n v="1701.106388137611"/>
    <n v="113963.07081369704"/>
  </r>
  <r>
    <x v="4"/>
    <s v="Purchases - PURPA"/>
    <x v="1"/>
    <x v="0"/>
    <s v="Sygitowicz Creek"/>
    <n v="1018.08"/>
    <n v="0"/>
    <n v="0"/>
  </r>
  <r>
    <x v="4"/>
    <s v="Purchases - PURPA"/>
    <x v="1"/>
    <x v="2"/>
    <s v="Tenaska"/>
    <n v="866454.6"/>
    <n v="885.49548824682847"/>
    <n v="383620.8195353552"/>
  </r>
  <r>
    <x v="4"/>
    <s v="Purchases - PURPA"/>
    <x v="1"/>
    <x v="0"/>
    <s v="Twin Falls Hydro"/>
    <n v="69081.600000000006"/>
    <n v="0"/>
    <n v="0"/>
  </r>
  <r>
    <x v="4"/>
    <s v="Purchases - PURPA"/>
    <x v="1"/>
    <x v="0"/>
    <s v="Weeks Falls"/>
    <n v="12348"/>
    <n v="0"/>
    <n v="0"/>
  </r>
  <r>
    <x v="4"/>
    <s v="Purchases - Secondary"/>
    <x v="2"/>
    <x v="4"/>
    <s v="Avista Corp. WWP Division"/>
    <n v="165617.92000000001"/>
    <n v="1118.7938637421748"/>
    <n v="92646.156310871214"/>
  </r>
  <r>
    <x v="4"/>
    <s v="Purchases - Secondary"/>
    <x v="2"/>
    <x v="4"/>
    <s v="Barclays Bank Plc"/>
    <n v="16746"/>
    <n v="1118.7938637421748"/>
    <n v="9367.6610211132302"/>
  </r>
  <r>
    <x v="4"/>
    <s v="Purchases - Secondary"/>
    <x v="2"/>
    <x v="4"/>
    <s v="Black Hills Power"/>
    <n v="3800"/>
    <n v="1118.7938637421748"/>
    <n v="2125.7083411101321"/>
  </r>
  <r>
    <x v="4"/>
    <s v="Purchases - Secondary"/>
    <x v="2"/>
    <x v="4"/>
    <s v="Book Outs - EITF 03-11"/>
    <n v="-3599695"/>
    <n v="1118.7938637421748"/>
    <n v="-2013658.338671694"/>
  </r>
  <r>
    <x v="4"/>
    <s v="Purchases - Secondary"/>
    <x v="2"/>
    <x v="4"/>
    <s v="BP Energy Co."/>
    <n v="37192"/>
    <n v="1118.7938637421748"/>
    <n v="20805.090690149482"/>
  </r>
  <r>
    <x v="4"/>
    <s v="Purchases - Secondary"/>
    <x v="2"/>
    <x v="4"/>
    <s v="BPA"/>
    <n v="334870"/>
    <n v="1118.7938637421748"/>
    <n v="187325.25057567106"/>
  </r>
  <r>
    <x v="4"/>
    <s v="Purchases - Secondary"/>
    <x v="2"/>
    <x v="4"/>
    <s v="Burbank, City of"/>
    <n v="175"/>
    <n v="1118.7938637421748"/>
    <n v="97.894463077440307"/>
  </r>
  <r>
    <x v="4"/>
    <s v="Purchases - Secondary"/>
    <x v="2"/>
    <x v="4"/>
    <s v="Cargill Power Markets"/>
    <n v="380859"/>
    <n v="1118.7938637421748"/>
    <n v="213051.35607549048"/>
  </r>
  <r>
    <x v="4"/>
    <s v="Purchases - Secondary"/>
    <x v="2"/>
    <x v="4"/>
    <s v="Chelan County PUD #1"/>
    <n v="29209"/>
    <n v="1118.7938637421748"/>
    <n v="16339.424983022593"/>
  </r>
  <r>
    <x v="4"/>
    <s v="Purchases - Secondary"/>
    <x v="2"/>
    <x v="4"/>
    <s v="Citigroup Energy Inc"/>
    <n v="338327"/>
    <n v="1118.7938637421748"/>
    <n v="189259.08576914939"/>
  </r>
  <r>
    <x v="4"/>
    <s v="Purchases - Secondary"/>
    <x v="2"/>
    <x v="4"/>
    <s v="Clatskanie PUD"/>
    <n v="50919"/>
    <n v="1118.7938637421748"/>
    <n v="28483.932373943899"/>
  </r>
  <r>
    <x v="4"/>
    <s v="Purchases - Secondary"/>
    <x v="2"/>
    <x v="4"/>
    <s v="Conoco, Inc."/>
    <n v="73722"/>
    <n v="1118.7938637421748"/>
    <n v="41239.860611400305"/>
  </r>
  <r>
    <x v="4"/>
    <s v="Purchases - Secondary"/>
    <x v="2"/>
    <x v="4"/>
    <s v="Constellation Power Source, Inc."/>
    <n v="562741"/>
    <n v="1118.7938637421748"/>
    <n v="314795.5888380676"/>
  </r>
  <r>
    <x v="4"/>
    <s v="Purchases - Secondary"/>
    <x v="2"/>
    <x v="4"/>
    <s v="CP Energy Marketing (Epcor)"/>
    <n v="28908"/>
    <n v="1118.7938637421748"/>
    <n v="16171.046506529394"/>
  </r>
  <r>
    <x v="4"/>
    <s v="Purchases - Secondary"/>
    <x v="2"/>
    <x v="4"/>
    <s v="Credit Suisse Energy, LLC"/>
    <n v="445000"/>
    <n v="1118.7938637421748"/>
    <n v="248931.63468263391"/>
  </r>
  <r>
    <x v="4"/>
    <s v="Purchases - Secondary"/>
    <x v="2"/>
    <x v="4"/>
    <s v="DB Energy Trading LLC"/>
    <n v="147600"/>
    <n v="1118.7938637421748"/>
    <n v="82566.987144172512"/>
  </r>
  <r>
    <x v="4"/>
    <s v="Purchases - Secondary"/>
    <x v="2"/>
    <x v="4"/>
    <s v="Douglas County PUD #1"/>
    <n v="187749"/>
    <n v="1118.7938637421748"/>
    <n v="105026.21456186479"/>
  </r>
  <r>
    <x v="4"/>
    <s v="Purchases - Secondary"/>
    <x v="2"/>
    <x v="4"/>
    <s v="Eagle Energy Partners"/>
    <n v="106240"/>
    <n v="1118.7938637421748"/>
    <n v="59430.330041984329"/>
  </r>
  <r>
    <x v="4"/>
    <s v="Purchases - Secondary"/>
    <x v="2"/>
    <x v="4"/>
    <s v="EDF Trading NA LLC"/>
    <n v="31850"/>
    <n v="1118.7938637421748"/>
    <n v="17816.792280094134"/>
  </r>
  <r>
    <x v="4"/>
    <s v="Purchases - Secondary"/>
    <x v="2"/>
    <x v="4"/>
    <s v="Endure Energy LLC"/>
    <n v="30600"/>
    <n v="1118.7938637421748"/>
    <n v="17117.546115255274"/>
  </r>
  <r>
    <x v="4"/>
    <s v="Purchases - Secondary"/>
    <x v="2"/>
    <x v="4"/>
    <s v="ENMAX Energy Marketing, Inc."/>
    <n v="2456"/>
    <n v="1118.7938637421748"/>
    <n v="1373.8788646753908"/>
  </r>
  <r>
    <x v="4"/>
    <s v="Purchases - Secondary"/>
    <x v="2"/>
    <x v="4"/>
    <s v="Eugene Water &amp; Electric"/>
    <n v="89317"/>
    <n v="1118.7938637421748"/>
    <n v="49963.655763929921"/>
  </r>
  <r>
    <x v="4"/>
    <s v="Purchases - Secondary"/>
    <x v="2"/>
    <x v="4"/>
    <s v="Fortis Energy Marketing &amp; Trading"/>
    <n v="133941"/>
    <n v="1118.7938637421748"/>
    <n v="74926.184451745314"/>
  </r>
  <r>
    <x v="4"/>
    <s v="Purchases - Secondary"/>
    <x v="2"/>
    <x v="4"/>
    <s v="Grant County PUD #2"/>
    <n v="53441"/>
    <n v="1118.7938637421748"/>
    <n v="29894.731436122784"/>
  </r>
  <r>
    <x v="4"/>
    <s v="Purchases - Secondary"/>
    <x v="2"/>
    <x v="4"/>
    <s v="Hinson Power Company"/>
    <n v="800"/>
    <n v="1118.7938637421748"/>
    <n v="447.51754549686996"/>
  </r>
  <r>
    <x v="4"/>
    <s v="Purchases - Secondary"/>
    <x v="2"/>
    <x v="4"/>
    <s v="Iberdrola Renewables (PPM Energy)"/>
    <n v="882331"/>
    <n v="1118.7938637421748"/>
    <n v="493573.25429474842"/>
  </r>
  <r>
    <x v="4"/>
    <s v="Purchases - Secondary"/>
    <x v="2"/>
    <x v="4"/>
    <s v="Idaho Falls Power"/>
    <n v="37654"/>
    <n v="1118.7938637421748"/>
    <n v="21063.532072673923"/>
  </r>
  <r>
    <x v="4"/>
    <s v="Purchases - Secondary"/>
    <x v="2"/>
    <x v="4"/>
    <s v="Idaho Power Company"/>
    <n v="92731"/>
    <n v="1118.7938637421748"/>
    <n v="51873.436889337805"/>
  </r>
  <r>
    <x v="4"/>
    <s v="Purchases - Secondary"/>
    <x v="2"/>
    <x v="4"/>
    <s v="Integrys Energy Services, Inc"/>
    <n v="1800"/>
    <n v="1118.7938637421748"/>
    <n v="1006.9144773679574"/>
  </r>
  <r>
    <x v="4"/>
    <s v="Purchases - Secondary"/>
    <x v="2"/>
    <x v="4"/>
    <s v="J. Aron &amp; Company"/>
    <n v="14000"/>
    <n v="1118.7938637421748"/>
    <n v="7831.5570461952238"/>
  </r>
  <r>
    <x v="4"/>
    <s v="Purchases - Secondary"/>
    <x v="2"/>
    <x v="4"/>
    <s v="JP Morgan Ventures Energy"/>
    <n v="143436"/>
    <n v="1118.7938637421748"/>
    <n v="80237.658319861293"/>
  </r>
  <r>
    <x v="4"/>
    <s v="Purchases - Secondary"/>
    <x v="2"/>
    <x v="4"/>
    <s v="Los Angeles Dept. Water &amp; Power"/>
    <n v="50"/>
    <n v="1118.7938637421748"/>
    <n v="27.969846593554372"/>
  </r>
  <r>
    <x v="4"/>
    <s v="Purchases - Secondary"/>
    <x v="2"/>
    <x v="4"/>
    <s v="Merrill Lynch Commodities"/>
    <n v="400"/>
    <n v="1118.7938637421748"/>
    <n v="223.75877274843498"/>
  </r>
  <r>
    <x v="4"/>
    <s v="Purchases - Secondary"/>
    <x v="2"/>
    <x v="4"/>
    <s v="Modesto Irrigation District"/>
    <n v="90"/>
    <n v="1118.7938637421748"/>
    <n v="50.345723868397862"/>
  </r>
  <r>
    <x v="4"/>
    <s v="Purchases - Secondary"/>
    <x v="2"/>
    <x v="4"/>
    <s v="Morgan Stanley CG"/>
    <n v="992212"/>
    <n v="1118.7938637421748"/>
    <n v="555040.34856567543"/>
  </r>
  <r>
    <x v="4"/>
    <s v="Purchases - Secondary"/>
    <x v="2"/>
    <x v="4"/>
    <s v="N. California Power Agency"/>
    <n v="323"/>
    <n v="1118.7938637421748"/>
    <n v="180.68520899436123"/>
  </r>
  <r>
    <x v="4"/>
    <s v="Purchases - Secondary"/>
    <x v="2"/>
    <x v="4"/>
    <s v="Noble Americas Energy Solutions"/>
    <n v="3400"/>
    <n v="1118.7938637421748"/>
    <n v="1901.9495683616972"/>
  </r>
  <r>
    <x v="4"/>
    <s v="Purchases - Secondary"/>
    <x v="2"/>
    <x v="4"/>
    <s v="NorthPoint Energy Solutions, Inc."/>
    <n v="6592"/>
    <n v="1118.7938637421748"/>
    <n v="3687.5445748942084"/>
  </r>
  <r>
    <x v="4"/>
    <s v="Purchases - Secondary"/>
    <x v="2"/>
    <x v="4"/>
    <s v="Northwestern Energy"/>
    <n v="7969"/>
    <n v="1118.7938637421748"/>
    <n v="4457.8341500806955"/>
  </r>
  <r>
    <x v="4"/>
    <s v="Purchases - Secondary"/>
    <x v="2"/>
    <x v="4"/>
    <s v="Occidental Power Services"/>
    <n v="31600"/>
    <n v="1118.7938637421748"/>
    <n v="17676.943047126362"/>
  </r>
  <r>
    <x v="4"/>
    <s v="Purchases - Secondary"/>
    <x v="2"/>
    <x v="4"/>
    <s v="Okanogan PUD"/>
    <n v="3810"/>
    <n v="1118.7938637421748"/>
    <n v="2131.3023104288427"/>
  </r>
  <r>
    <x v="4"/>
    <s v="Purchases - Secondary"/>
    <x v="2"/>
    <x v="4"/>
    <s v="Pacific Northwest Generatin Coop."/>
    <n v="216587"/>
    <n v="1118.7938637421748"/>
    <n v="121158.1032831632"/>
  </r>
  <r>
    <x v="4"/>
    <s v="Purchases - Secondary"/>
    <x v="2"/>
    <x v="4"/>
    <s v="Pacific Summit Energy LLC"/>
    <n v="68094"/>
    <n v="1118.7938637421748"/>
    <n v="38091.574678829827"/>
  </r>
  <r>
    <x v="4"/>
    <s v="Purchases - Secondary"/>
    <x v="2"/>
    <x v="4"/>
    <s v="Pacificorp"/>
    <n v="185612"/>
    <n v="1118.7938637421748"/>
    <n v="103830.78331845628"/>
  </r>
  <r>
    <x v="4"/>
    <s v="Purchases - Secondary"/>
    <x v="2"/>
    <x v="4"/>
    <s v="Portland General Electric"/>
    <n v="208659"/>
    <n v="1118.7938637421748"/>
    <n v="116723.20440728923"/>
  </r>
  <r>
    <x v="4"/>
    <s v="Purchases - Secondary"/>
    <x v="2"/>
    <x v="4"/>
    <s v="Powerex Corp."/>
    <n v="316076"/>
    <n v="1118.7938637421748"/>
    <n v="176811.94463808581"/>
  </r>
  <r>
    <x v="4"/>
    <s v="Purchases - Secondary"/>
    <x v="2"/>
    <x v="4"/>
    <s v="Public Service of Colorado"/>
    <n v="3600"/>
    <n v="1118.7938637421748"/>
    <n v="2013.8289547359147"/>
  </r>
  <r>
    <x v="4"/>
    <s v="Purchases - Secondary"/>
    <x v="2"/>
    <x v="4"/>
    <s v="Rainbow Energy Marketing"/>
    <n v="222154"/>
    <n v="1118.7938637421748"/>
    <n v="124272.26600288956"/>
  </r>
  <r>
    <x v="4"/>
    <s v="Purchases - Secondary"/>
    <x v="2"/>
    <x v="4"/>
    <s v="Redding, City of"/>
    <n v="496"/>
    <n v="1118.7938637421748"/>
    <n v="277.46087820805934"/>
  </r>
  <r>
    <x v="4"/>
    <s v="Purchases - Secondary"/>
    <x v="2"/>
    <x v="4"/>
    <s v="Sacramento Municipal"/>
    <n v="6590"/>
    <n v="1118.7938637421748"/>
    <n v="3686.4257810304662"/>
  </r>
  <r>
    <x v="4"/>
    <s v="Purchases - Secondary"/>
    <x v="2"/>
    <x v="4"/>
    <s v="Seattle City Light Marketing"/>
    <n v="211502"/>
    <n v="1118.7938637421748"/>
    <n v="118313.56988459874"/>
  </r>
  <r>
    <x v="4"/>
    <s v="Purchases - Secondary"/>
    <x v="2"/>
    <x v="4"/>
    <s v="Sempra Energy Trading"/>
    <n v="2267825"/>
    <n v="1118.7938637421748"/>
    <n v="1268614.3470205488"/>
  </r>
  <r>
    <x v="4"/>
    <s v="Purchases - Secondary"/>
    <x v="2"/>
    <x v="4"/>
    <s v="Shell Energy (Coral Pwr)"/>
    <n v="485252"/>
    <n v="1118.7938637421748"/>
    <n v="271448.47998430888"/>
  </r>
  <r>
    <x v="4"/>
    <s v="Purchases - Secondary"/>
    <x v="2"/>
    <x v="4"/>
    <s v="Sierra Pacific Power"/>
    <n v="25"/>
    <n v="1118.7938637421748"/>
    <n v="13.984923296777186"/>
  </r>
  <r>
    <x v="4"/>
    <s v="Purchases - Secondary"/>
    <x v="2"/>
    <x v="4"/>
    <s v="Snohomish County PUD #1"/>
    <n v="57116"/>
    <n v="1118.7938637421748"/>
    <n v="31950.51516074903"/>
  </r>
  <r>
    <x v="4"/>
    <s v="Purchases - Secondary"/>
    <x v="2"/>
    <x v="4"/>
    <s v="Southern Cal - Edison"/>
    <n v="7805"/>
    <n v="1118.7938637421748"/>
    <n v="4366.0930532538368"/>
  </r>
  <r>
    <x v="4"/>
    <s v="Purchases - Secondary"/>
    <x v="2"/>
    <x v="4"/>
    <s v="Tacoma Power"/>
    <n v="75813"/>
    <n v="1118.7938637421748"/>
    <n v="42409.559595942752"/>
  </r>
  <r>
    <x v="4"/>
    <s v="Purchases - Secondary"/>
    <x v="2"/>
    <x v="4"/>
    <s v="Talen Energy (PPL Energy Plus)"/>
    <n v="407444"/>
    <n v="1118.7938637421748"/>
    <n v="227922.92350928334"/>
  </r>
  <r>
    <x v="4"/>
    <s v="Purchases - Secondary"/>
    <x v="2"/>
    <x v="4"/>
    <s v="Tenaska"/>
    <n v="2895"/>
    <n v="1118.7938637421748"/>
    <n v="1619.4541177667979"/>
  </r>
  <r>
    <x v="4"/>
    <s v="Purchases - Secondary"/>
    <x v="2"/>
    <x v="4"/>
    <s v="The Energy Authority"/>
    <n v="122625"/>
    <n v="1118.7938637421748"/>
    <n v="68596.048770692098"/>
  </r>
  <r>
    <x v="4"/>
    <s v="Purchases - Secondary"/>
    <x v="2"/>
    <x v="4"/>
    <s v="TransAlta Energy Marketing"/>
    <n v="278480"/>
    <n v="1118.7938637421748"/>
    <n v="155780.85758746043"/>
  </r>
  <r>
    <x v="4"/>
    <s v="Purchases - Secondary"/>
    <x v="2"/>
    <x v="4"/>
    <s v="TransCanada Energy Marketing"/>
    <n v="7326"/>
    <n v="1118.7938637421748"/>
    <n v="4098.1419228875866"/>
  </r>
  <r>
    <x v="4"/>
    <s v="Purchases - Secondary"/>
    <x v="2"/>
    <x v="4"/>
    <s v="TransCanada Energy Sales Ltd"/>
    <n v="9898"/>
    <n v="1118.7938637421748"/>
    <n v="5536.9108316600232"/>
  </r>
  <r>
    <x v="4"/>
    <s v="Purchases - Secondary"/>
    <x v="2"/>
    <x v="4"/>
    <s v="Turlock Irrigation District"/>
    <n v="850"/>
    <n v="1118.7938637421748"/>
    <n v="475.48739209042429"/>
  </r>
  <r>
    <x v="4"/>
    <s v="Purchases - Secondary"/>
    <x v="2"/>
    <x v="4"/>
    <s v="Western Area Power Association"/>
    <n v="360"/>
    <n v="1118.7938637421748"/>
    <n v="201.38289547359145"/>
  </r>
  <r>
    <x v="4"/>
    <s v="Interchange - In"/>
    <x v="2"/>
    <x v="4"/>
    <s v="Black Creek Hydro"/>
    <n v="6088"/>
    <n v="1118.7938637421748"/>
    <n v="3405.60852123118"/>
  </r>
  <r>
    <x v="4"/>
    <s v="Interchange - In"/>
    <x v="2"/>
    <x v="4"/>
    <s v="BPA"/>
    <n v="76504"/>
    <n v="1118.7938637421748"/>
    <n v="42796.102875865676"/>
  </r>
  <r>
    <x v="4"/>
    <s v="Interchange - In"/>
    <x v="2"/>
    <x v="4"/>
    <s v="Deviation"/>
    <n v="-23317.616000000002"/>
    <n v="1118.7938637421748"/>
    <n v="-13043.802848948179"/>
  </r>
  <r>
    <x v="4"/>
    <s v="Interchange - In"/>
    <x v="2"/>
    <x v="4"/>
    <s v="Morgan Stanley CG"/>
    <n v="20000"/>
    <n v="1118.7938637421748"/>
    <n v="11187.938637421748"/>
  </r>
  <r>
    <x v="4"/>
    <s v="Interchange - In"/>
    <x v="2"/>
    <x v="4"/>
    <s v="Pacific Gas &amp; Elec - Exchange"/>
    <n v="413000"/>
    <n v="1118.7938637421748"/>
    <n v="231030.9328627591"/>
  </r>
  <r>
    <x v="4"/>
    <s v="Interchange - In"/>
    <x v="2"/>
    <x v="4"/>
    <s v="Powerex Corp."/>
    <n v="38000"/>
    <n v="1118.7938637421748"/>
    <n v="21257.083411101321"/>
  </r>
  <r>
    <x v="4"/>
    <s v="Interchange - In"/>
    <x v="2"/>
    <x v="4"/>
    <s v="TransAlta Energy Marketing"/>
    <n v="1533600"/>
    <n v="1118.7938637421748"/>
    <n v="857891.1347174996"/>
  </r>
  <r>
    <x v="4"/>
    <s v="Interchange - Out"/>
    <x v="2"/>
    <x v="4"/>
    <s v="Black Creek Hydro"/>
    <n v="-4172"/>
    <n v="1118.7938637421748"/>
    <n v="-2333.8039997661767"/>
  </r>
  <r>
    <x v="4"/>
    <s v="Interchange - Out"/>
    <x v="2"/>
    <x v="4"/>
    <s v="BPA"/>
    <n v="-81545"/>
    <n v="1118.7938637421748"/>
    <n v="-45616.022809427821"/>
  </r>
  <r>
    <x v="4"/>
    <s v="Interchange - Out"/>
    <x v="2"/>
    <x v="4"/>
    <s v="Deviation"/>
    <n v="-43828.805999999997"/>
    <n v="1118.7938637421748"/>
    <n v="-24517.699603973106"/>
  </r>
  <r>
    <x v="4"/>
    <s v="Interchange - Out"/>
    <x v="2"/>
    <x v="4"/>
    <s v="Morgan Stanley CG"/>
    <n v="-17200"/>
    <n v="1118.7938637421748"/>
    <n v="-9621.6272281827041"/>
  </r>
  <r>
    <x v="4"/>
    <s v="Interchange - Out"/>
    <x v="2"/>
    <x v="4"/>
    <s v="Pacific Gas &amp; Elec - Exchange"/>
    <n v="-413000"/>
    <n v="1118.7938637421748"/>
    <n v="-231030.9328627591"/>
  </r>
  <r>
    <x v="4"/>
    <s v="Interchange - Out"/>
    <x v="2"/>
    <x v="4"/>
    <s v="Powerex Corp."/>
    <n v="-68795"/>
    <n v="1118.7938637421748"/>
    <n v="-38483.711928071461"/>
  </r>
  <r>
    <x v="4"/>
    <s v="Interchange - Out"/>
    <x v="2"/>
    <x v="4"/>
    <s v="TransAlta Energy Marketing"/>
    <n v="-1533600"/>
    <n v="1118.7938637421748"/>
    <n v="-857891.1347174996"/>
  </r>
  <r>
    <x v="4"/>
    <s v="Sales for Resale"/>
    <x v="2"/>
    <x v="4"/>
    <s v="Avista Corp. WWP Division"/>
    <n v="-39571"/>
    <n v="1118.7938637421748"/>
    <n v="-22135.8959910708"/>
  </r>
  <r>
    <x v="4"/>
    <s v="Sales for Resale"/>
    <x v="2"/>
    <x v="4"/>
    <s v="Barclays Bank Plc"/>
    <n v="-33513"/>
    <n v="1118.7938637421748"/>
    <n v="-18747.069377795753"/>
  </r>
  <r>
    <x v="4"/>
    <s v="Sales for Resale"/>
    <x v="2"/>
    <x v="4"/>
    <s v="Black Hills Power"/>
    <n v="-1600"/>
    <n v="1118.7938637421748"/>
    <n v="-895.03509099373991"/>
  </r>
  <r>
    <x v="4"/>
    <s v="Sales for Resale"/>
    <x v="2"/>
    <x v="4"/>
    <s v="Book Outs - EITF 03-11"/>
    <n v="3599695"/>
    <n v="1118.7938637421748"/>
    <n v="2013658.338671694"/>
  </r>
  <r>
    <x v="4"/>
    <s v="Sales for Resale"/>
    <x v="2"/>
    <x v="4"/>
    <s v="BP Energy Co."/>
    <n v="-152945"/>
    <n v="1118.7938637421748"/>
    <n v="-85556.963745023459"/>
  </r>
  <r>
    <x v="4"/>
    <s v="Sales for Resale"/>
    <x v="2"/>
    <x v="4"/>
    <s v="BPA"/>
    <n v="-254156"/>
    <n v="1118.7938637421748"/>
    <n v="-142174.08661662808"/>
  </r>
  <r>
    <x v="4"/>
    <s v="Sales for Resale"/>
    <x v="2"/>
    <x v="4"/>
    <s v="British Columbia Transmission Corp"/>
    <n v="-35"/>
    <n v="1118.7938637421748"/>
    <n v="-19.578892615488062"/>
  </r>
  <r>
    <x v="4"/>
    <s v="Sales for Resale"/>
    <x v="2"/>
    <x v="4"/>
    <s v="Cargill Power Markets"/>
    <n v="-240421"/>
    <n v="1118.7938637421748"/>
    <n v="-134490.7697573787"/>
  </r>
  <r>
    <x v="4"/>
    <s v="Sales for Resale"/>
    <x v="2"/>
    <x v="4"/>
    <s v="Chelan County PUD #1"/>
    <n v="-3890"/>
    <n v="1118.7938637421748"/>
    <n v="-2176.0540649785303"/>
  </r>
  <r>
    <x v="4"/>
    <s v="Sales for Resale"/>
    <x v="2"/>
    <x v="4"/>
    <s v="Citigroup Energy Inc"/>
    <n v="-635716"/>
    <n v="1118.7938637421748"/>
    <n v="-355617.57994136022"/>
  </r>
  <r>
    <x v="4"/>
    <s v="Sales for Resale"/>
    <x v="2"/>
    <x v="4"/>
    <s v="Clatskanie PUD"/>
    <n v="-15633"/>
    <n v="1118.7938637421748"/>
    <n v="-8745.0522359407096"/>
  </r>
  <r>
    <x v="4"/>
    <s v="Sales for Resale"/>
    <x v="2"/>
    <x v="4"/>
    <s v="Conoco, Inc."/>
    <n v="-111736"/>
    <n v="1118.7938637421748"/>
    <n v="-62504.775579547822"/>
  </r>
  <r>
    <x v="4"/>
    <s v="Sales for Resale"/>
    <x v="2"/>
    <x v="4"/>
    <s v="Constellation Power Source, Inc."/>
    <n v="-61701"/>
    <n v="1118.7938637421748"/>
    <n v="-34515.350093377965"/>
  </r>
  <r>
    <x v="4"/>
    <s v="Sales for Resale"/>
    <x v="2"/>
    <x v="4"/>
    <s v="CP Energy Marketing (Epcor)"/>
    <n v="-605"/>
    <n v="1118.7938637421748"/>
    <n v="-338.43514378200791"/>
  </r>
  <r>
    <x v="4"/>
    <s v="Sales for Resale"/>
    <x v="2"/>
    <x v="4"/>
    <s v="Credit Suisse Energy, LLC"/>
    <n v="-8444"/>
    <n v="1118.7938637421748"/>
    <n v="-4723.5476927194622"/>
  </r>
  <r>
    <x v="4"/>
    <s v="Sales for Resale"/>
    <x v="2"/>
    <x v="4"/>
    <s v="DB Energy Trading LLC"/>
    <n v="-182400"/>
    <n v="1118.7938637421748"/>
    <n v="-102034.00037328636"/>
  </r>
  <r>
    <x v="4"/>
    <s v="Sales for Resale"/>
    <x v="2"/>
    <x v="4"/>
    <s v="Douglas County PUD #1"/>
    <n v="-450"/>
    <n v="1118.7938637421748"/>
    <n v="-251.72861934198934"/>
  </r>
  <r>
    <x v="4"/>
    <s v="Sales for Resale"/>
    <x v="2"/>
    <x v="4"/>
    <s v="Eagle Energy Partners"/>
    <n v="-10242"/>
    <n v="1118.7938637421748"/>
    <n v="-5729.3433762236782"/>
  </r>
  <r>
    <x v="4"/>
    <s v="Sales for Resale"/>
    <x v="2"/>
    <x v="4"/>
    <s v="ENMAX Energy Marketing, Inc."/>
    <n v="-6394"/>
    <n v="1118.7938637421748"/>
    <n v="-3576.783982383733"/>
  </r>
  <r>
    <x v="4"/>
    <s v="Sales for Resale"/>
    <x v="2"/>
    <x v="4"/>
    <s v="Eugene Water &amp; Electric"/>
    <n v="-19889"/>
    <n v="1118.7938637421748"/>
    <n v="-11125.845577984057"/>
  </r>
  <r>
    <x v="4"/>
    <s v="Sales for Resale"/>
    <x v="2"/>
    <x v="4"/>
    <s v="Fortis Energy Marketing &amp; Trading"/>
    <n v="-110920"/>
    <n v="1118.7938637421748"/>
    <n v="-62048.307683141014"/>
  </r>
  <r>
    <x v="4"/>
    <s v="Sales for Resale"/>
    <x v="2"/>
    <x v="4"/>
    <s v="Grant County PUD #2"/>
    <n v="-22571"/>
    <n v="1118.7938637421748"/>
    <n v="-12626.148149262315"/>
  </r>
  <r>
    <x v="4"/>
    <s v="Sales for Resale"/>
    <x v="2"/>
    <x v="4"/>
    <s v="Hinson Power Company"/>
    <n v="-3950"/>
    <n v="1118.7938637421748"/>
    <n v="-2209.6178808907953"/>
  </r>
  <r>
    <x v="4"/>
    <s v="Sales for Resale"/>
    <x v="2"/>
    <x v="4"/>
    <s v="Iberdrola Renewables (PPM Energy)"/>
    <n v="-485458"/>
    <n v="1118.7938637421748"/>
    <n v="-271563.71575227432"/>
  </r>
  <r>
    <x v="4"/>
    <s v="Sales for Resale"/>
    <x v="2"/>
    <x v="4"/>
    <s v="Idaho Power Company"/>
    <n v="-31952"/>
    <n v="1118.7938637421748"/>
    <n v="-17873.850767144984"/>
  </r>
  <r>
    <x v="4"/>
    <s v="Sales for Resale"/>
    <x v="2"/>
    <x v="4"/>
    <s v="Integrys Energy Services, Inc"/>
    <n v="-4800"/>
    <n v="1118.7938637421748"/>
    <n v="-2685.1052729812195"/>
  </r>
  <r>
    <x v="4"/>
    <s v="Sales for Resale"/>
    <x v="2"/>
    <x v="4"/>
    <s v="J. Aron &amp; Company"/>
    <n v="-43800"/>
    <n v="1118.7938637421748"/>
    <n v="-24501.585615953627"/>
  </r>
  <r>
    <x v="4"/>
    <s v="Sales for Resale"/>
    <x v="2"/>
    <x v="4"/>
    <s v="JP Morgan Ventures Energy"/>
    <n v="-162587"/>
    <n v="1118.7938637421748"/>
    <n v="-90950.668962124502"/>
  </r>
  <r>
    <x v="4"/>
    <s v="Sales for Resale"/>
    <x v="2"/>
    <x v="4"/>
    <s v="Los Angeles Dept. Water &amp; Power"/>
    <n v="-400"/>
    <n v="1118.7938637421748"/>
    <n v="-223.75877274843498"/>
  </r>
  <r>
    <x v="4"/>
    <s v="Sales for Resale"/>
    <x v="2"/>
    <x v="4"/>
    <s v="Modesto Irrigation District"/>
    <n v="-2329"/>
    <n v="1118.7938637421748"/>
    <n v="-1302.8354543277626"/>
  </r>
  <r>
    <x v="4"/>
    <s v="Sales for Resale"/>
    <x v="2"/>
    <x v="4"/>
    <s v="Morgan Stanley CG"/>
    <n v="-660584"/>
    <n v="1118.7938637421748"/>
    <n v="-369528.66284313041"/>
  </r>
  <r>
    <x v="4"/>
    <s v="Sales for Resale"/>
    <x v="2"/>
    <x v="4"/>
    <s v="N. California Power Agency"/>
    <n v="-558"/>
    <n v="1118.7938637421748"/>
    <n v="-312.14348798406678"/>
  </r>
  <r>
    <x v="4"/>
    <s v="Sales for Resale"/>
    <x v="2"/>
    <x v="4"/>
    <s v="Natur Ener USA"/>
    <n v="-9"/>
    <n v="1118.7938637421748"/>
    <n v="-5.0345723868397876"/>
  </r>
  <r>
    <x v="4"/>
    <s v="Sales for Resale"/>
    <x v="2"/>
    <x v="4"/>
    <s v="NorthPoint Energy Solutions, Inc."/>
    <n v="-40364"/>
    <n v="1118.7938637421748"/>
    <n v="-22579.49775804457"/>
  </r>
  <r>
    <x v="4"/>
    <s v="Sales for Resale"/>
    <x v="2"/>
    <x v="4"/>
    <s v="Northwestern Energy"/>
    <n v="-22137"/>
    <n v="1118.7938637421748"/>
    <n v="-12383.369880830262"/>
  </r>
  <r>
    <x v="4"/>
    <s v="Sales for Resale"/>
    <x v="2"/>
    <x v="4"/>
    <s v="Occidental Power Services"/>
    <n v="-33200"/>
    <n v="1118.7938637421748"/>
    <n v="-18571.978138120103"/>
  </r>
  <r>
    <x v="4"/>
    <s v="Sales for Resale"/>
    <x v="2"/>
    <x v="4"/>
    <s v="Okanogan PUD"/>
    <n v="-180"/>
    <n v="1118.7938637421748"/>
    <n v="-100.69144773679572"/>
  </r>
  <r>
    <x v="4"/>
    <s v="Sales for Resale"/>
    <x v="2"/>
    <x v="4"/>
    <s v="Pacific Northwest Generatin Coop."/>
    <n v="-15026"/>
    <n v="1118.7938637421748"/>
    <n v="-8405.4982982949605"/>
  </r>
  <r>
    <x v="4"/>
    <s v="Sales for Resale"/>
    <x v="2"/>
    <x v="4"/>
    <s v="Pacific Summit Energy LLC"/>
    <n v="-141740"/>
    <n v="1118.7938637421748"/>
    <n v="-79288.921123407927"/>
  </r>
  <r>
    <x v="4"/>
    <s v="Sales for Resale"/>
    <x v="2"/>
    <x v="4"/>
    <s v="Pacificorp"/>
    <n v="-175631"/>
    <n v="1118.7938637421748"/>
    <n v="-98247.442541450946"/>
  </r>
  <r>
    <x v="4"/>
    <s v="Sales for Resale"/>
    <x v="2"/>
    <x v="4"/>
    <s v="PG&amp;E Energy Trading"/>
    <n v="-1400"/>
    <n v="1118.7938637421748"/>
    <n v="-783.15570461952245"/>
  </r>
  <r>
    <x v="4"/>
    <s v="Sales for Resale"/>
    <x v="2"/>
    <x v="4"/>
    <s v="Portland General Electric"/>
    <n v="-88446"/>
    <n v="1118.7938637421748"/>
    <n v="-49476.4210362702"/>
  </r>
  <r>
    <x v="4"/>
    <s v="Sales for Resale"/>
    <x v="2"/>
    <x v="4"/>
    <s v="Powerex Corp."/>
    <n v="-547840"/>
    <n v="1118.7938637421748"/>
    <n v="-306460.01515625656"/>
  </r>
  <r>
    <x v="4"/>
    <s v="Sales for Resale"/>
    <x v="2"/>
    <x v="4"/>
    <s v="Public Service of Colorado"/>
    <n v="-6800"/>
    <n v="1118.7938637421748"/>
    <n v="-3803.8991367233943"/>
  </r>
  <r>
    <x v="4"/>
    <s v="Sales for Resale"/>
    <x v="2"/>
    <x v="4"/>
    <s v="Rainbow Energy Marketing"/>
    <n v="-57994"/>
    <n v="1118.7938637421748"/>
    <n v="-32441.665666931844"/>
  </r>
  <r>
    <x v="4"/>
    <s v="Sales for Resale"/>
    <x v="2"/>
    <x v="4"/>
    <s v="Redding, City of"/>
    <n v="-441"/>
    <n v="1118.7938637421748"/>
    <n v="-246.69404695514956"/>
  </r>
  <r>
    <x v="4"/>
    <s v="Sales for Resale"/>
    <x v="2"/>
    <x v="4"/>
    <s v="Sacramento Municipal"/>
    <n v="-11919"/>
    <n v="1118.7938637421748"/>
    <n v="-6667.4520309714908"/>
  </r>
  <r>
    <x v="4"/>
    <s v="Sales for Resale"/>
    <x v="2"/>
    <x v="4"/>
    <s v="San Diego Gas &amp; Electric"/>
    <n v="-1032"/>
    <n v="1118.7938637421748"/>
    <n v="-577.29763369096224"/>
  </r>
  <r>
    <x v="4"/>
    <s v="Sales for Resale"/>
    <x v="2"/>
    <x v="4"/>
    <s v="Seattle City Light Marketing"/>
    <n v="-33841"/>
    <n v="1118.7938637421748"/>
    <n v="-18930.551571449469"/>
  </r>
  <r>
    <x v="4"/>
    <s v="Sales for Resale"/>
    <x v="2"/>
    <x v="4"/>
    <s v="Sempra Energy Trading"/>
    <n v="-272319"/>
    <n v="1118.7938637421748"/>
    <n v="-152334.41309020267"/>
  </r>
  <r>
    <x v="4"/>
    <s v="Sales for Resale"/>
    <x v="2"/>
    <x v="4"/>
    <s v="Shell Energy (Coral Pwr)"/>
    <n v="-446690"/>
    <n v="1118.7938637421748"/>
    <n v="-249877.01549749603"/>
  </r>
  <r>
    <x v="4"/>
    <s v="Sales for Resale"/>
    <x v="2"/>
    <x v="4"/>
    <s v="Sierra Pacific Power"/>
    <n v="-3532"/>
    <n v="1118.7938637421748"/>
    <n v="-1975.7899633686809"/>
  </r>
  <r>
    <x v="4"/>
    <s v="Sales for Resale"/>
    <x v="2"/>
    <x v="4"/>
    <s v="Silicon Valley Pwr - Santa Clara"/>
    <n v="-35"/>
    <n v="1118.7938637421748"/>
    <n v="-19.578892615488062"/>
  </r>
  <r>
    <x v="4"/>
    <s v="Sales for Resale"/>
    <x v="2"/>
    <x v="4"/>
    <s v="Snohomish County PUD #1"/>
    <n v="-10967"/>
    <n v="1118.7938637421748"/>
    <n v="-6134.906151830216"/>
  </r>
  <r>
    <x v="4"/>
    <s v="Sales for Resale"/>
    <x v="2"/>
    <x v="4"/>
    <s v="Southern Cal - Edison"/>
    <n v="-502250"/>
    <n v="1118.7938637421748"/>
    <n v="-280957.10903225368"/>
  </r>
  <r>
    <x v="4"/>
    <s v="Sales for Resale"/>
    <x v="2"/>
    <x v="4"/>
    <s v="Tacoma Power"/>
    <n v="-2294"/>
    <n v="1118.7938637421748"/>
    <n v="-1283.2565617122746"/>
  </r>
  <r>
    <x v="4"/>
    <s v="Sales for Resale"/>
    <x v="2"/>
    <x v="4"/>
    <s v="Talen Energy (PPL Energy Plus)"/>
    <n v="-71305"/>
    <n v="1118.7938637421748"/>
    <n v="-39887.798227067891"/>
  </r>
  <r>
    <x v="4"/>
    <s v="Sales for Resale"/>
    <x v="2"/>
    <x v="4"/>
    <s v="The Energy Authority"/>
    <n v="-14698"/>
    <n v="1118.7938637421748"/>
    <n v="-8222.0161046412431"/>
  </r>
  <r>
    <x v="4"/>
    <s v="Sales for Resale"/>
    <x v="2"/>
    <x v="4"/>
    <s v="TransAlta Energy Marketing"/>
    <n v="-297158"/>
    <n v="1118.7938637421748"/>
    <n v="-166229.27348094858"/>
  </r>
  <r>
    <x v="4"/>
    <s v="Sales for Resale"/>
    <x v="2"/>
    <x v="4"/>
    <s v="TransCanada Energy Marketing"/>
    <n v="-4687"/>
    <n v="1118.7938637421748"/>
    <n v="-2621.8934196797863"/>
  </r>
  <r>
    <x v="4"/>
    <s v="Sales for Resale"/>
    <x v="2"/>
    <x v="4"/>
    <s v="TransCanada Energy Sales Ltd"/>
    <n v="-10850"/>
    <n v="1118.7938637421748"/>
    <n v="-6069.4567108012989"/>
  </r>
  <r>
    <x v="4"/>
    <s v="Sales for Resale"/>
    <x v="2"/>
    <x v="4"/>
    <s v="Turlock Irrigation District"/>
    <n v="-3013"/>
    <n v="1118.7938637421748"/>
    <n v="-1685.4629557275862"/>
  </r>
  <r>
    <x v="4"/>
    <s v="Sales for Resale"/>
    <x v="2"/>
    <x v="4"/>
    <s v="Western Area Power Association"/>
    <n v="-80"/>
    <n v="1118.7938637421748"/>
    <n v="-44.751754549686993"/>
  </r>
  <r>
    <x v="5"/>
    <s v="Generation - Hydro"/>
    <x v="0"/>
    <x v="0"/>
    <s v="Electron"/>
    <n v="88025.31"/>
    <n v="0"/>
    <n v="0"/>
  </r>
  <r>
    <x v="5"/>
    <s v="Generation - Hydro"/>
    <x v="0"/>
    <x v="0"/>
    <s v="Lower Baker"/>
    <n v="366338.20400000003"/>
    <n v="0"/>
    <n v="0"/>
  </r>
  <r>
    <x v="5"/>
    <s v="Generation - Hydro"/>
    <x v="0"/>
    <x v="0"/>
    <s v="Snoqualmie Falls #1"/>
    <n v="13051.4"/>
    <n v="0"/>
    <n v="0"/>
  </r>
  <r>
    <x v="5"/>
    <s v="Generation - Hydro"/>
    <x v="0"/>
    <x v="0"/>
    <s v="Snoqualmie Falls #2"/>
    <n v="101676.9"/>
    <n v="0"/>
    <n v="0"/>
  </r>
  <r>
    <x v="5"/>
    <s v="Generation - Hydro"/>
    <x v="0"/>
    <x v="0"/>
    <s v="Upper Baker"/>
    <n v="360504.88400000002"/>
    <n v="0"/>
    <n v="0"/>
  </r>
  <r>
    <x v="5"/>
    <s v="Generation - Steam"/>
    <x v="0"/>
    <x v="1"/>
    <s v="Colstrip 1 &amp; 2"/>
    <n v="2293375"/>
    <n v="2459.3791415279557"/>
    <n v="2820139.3193508377"/>
  </r>
  <r>
    <x v="5"/>
    <s v="Generation - Steam"/>
    <x v="0"/>
    <x v="1"/>
    <s v="Colstrip 3 &amp; 4"/>
    <n v="2904730"/>
    <n v="2253.7140624002409"/>
    <n v="3273215.424237926"/>
  </r>
  <r>
    <x v="5"/>
    <s v="Generation - Steam"/>
    <x v="0"/>
    <x v="2"/>
    <s v="Encogen"/>
    <n v="197771.9"/>
    <n v="1048.0399821103836"/>
    <n v="103636.42926896828"/>
  </r>
  <r>
    <x v="5"/>
    <s v="Generation - Steam"/>
    <x v="0"/>
    <x v="2"/>
    <s v="Freddie #1"/>
    <n v="418445.701"/>
    <n v="852.04390676417449"/>
    <n v="178267.05492435681"/>
  </r>
  <r>
    <x v="5"/>
    <s v="Generation - Steam"/>
    <x v="0"/>
    <x v="2"/>
    <s v="Goldendale"/>
    <n v="1541236"/>
    <n v="802.12478285881059"/>
    <n v="618131.79591709084"/>
  </r>
  <r>
    <x v="5"/>
    <s v="Generation - Steam"/>
    <x v="0"/>
    <x v="2"/>
    <s v="Mint Farm"/>
    <n v="1441302.4"/>
    <n v="853.14312133657666"/>
    <n v="614818.61416294961"/>
  </r>
  <r>
    <x v="5"/>
    <s v="Generation - Steam"/>
    <x v="0"/>
    <x v="2"/>
    <s v="Sumas"/>
    <n v="410625.5"/>
    <n v="1003.9238425075457"/>
    <n v="206118.36489579111"/>
  </r>
  <r>
    <x v="5"/>
    <s v="Generation - Oil/Gas/Wind"/>
    <x v="0"/>
    <x v="3"/>
    <s v="Crystal Mountain"/>
    <n v="113.77"/>
    <n v="2093.3542823985194"/>
    <n v="119.08045835423978"/>
  </r>
  <r>
    <x v="5"/>
    <s v="Generation - Oil/Gas/Wind"/>
    <x v="0"/>
    <x v="2"/>
    <s v="Fredonia"/>
    <n v="11884.6"/>
    <n v="1778.949592432009"/>
    <n v="10571.052163108727"/>
  </r>
  <r>
    <x v="5"/>
    <s v="Generation - Oil/Gas/Wind"/>
    <x v="0"/>
    <x v="2"/>
    <s v="Fredonia 3 &amp; 4"/>
    <n v="62288.3"/>
    <n v="1250.8379732879328"/>
    <n v="38956.285465775371"/>
  </r>
  <r>
    <x v="5"/>
    <s v="Generation - Oil/Gas/Wind"/>
    <x v="0"/>
    <x v="2"/>
    <s v="Fredrickson 1 &amp; 2"/>
    <n v="10272.1"/>
    <n v="2012.6363069602537"/>
    <n v="10337.000704363212"/>
  </r>
  <r>
    <x v="5"/>
    <s v="Generation - Oil/Gas/Wind"/>
    <x v="0"/>
    <x v="0"/>
    <s v="Hopkins Ridge (W184)"/>
    <n v="381270.98800000001"/>
    <n v="0"/>
    <n v="0"/>
  </r>
  <r>
    <x v="5"/>
    <s v="Generation - Oil/Gas/Wind"/>
    <x v="0"/>
    <x v="2"/>
    <s v="Whitehorn 2&amp;3"/>
    <n v="8366.7000000000007"/>
    <n v="1870.3544180877277"/>
    <n v="7824.3471549072965"/>
  </r>
  <r>
    <x v="5"/>
    <s v="Generation - Oil/Gas/Wind"/>
    <x v="0"/>
    <x v="0"/>
    <s v="Wild Horse (W183)"/>
    <n v="609654.95499999996"/>
    <n v="0"/>
    <n v="0"/>
  </r>
  <r>
    <x v="5"/>
    <s v="Purchases - Firm"/>
    <x v="1"/>
    <x v="4"/>
    <s v="BC Hydro (Point Roberts)"/>
    <n v="20921"/>
    <n v="1191.716320391361"/>
    <n v="12465.948569453833"/>
  </r>
  <r>
    <x v="5"/>
    <s v="Purchases - Firm"/>
    <x v="1"/>
    <x v="7"/>
    <s v="Book Outs - EITF 03-11"/>
    <n v="-753803"/>
    <n v="0"/>
    <n v="0"/>
  </r>
  <r>
    <x v="5"/>
    <s v="Purchases - Firm"/>
    <x v="1"/>
    <x v="0"/>
    <s v="BPA"/>
    <n v="7000"/>
    <n v="0"/>
    <n v="0"/>
  </r>
  <r>
    <x v="5"/>
    <s v="Purchases - Firm"/>
    <x v="1"/>
    <x v="4"/>
    <s v="BPA Firm - WNP#3 Exchange"/>
    <n v="406710"/>
    <n v="1191.716320391361"/>
    <n v="242341.47233318523"/>
  </r>
  <r>
    <x v="5"/>
    <s v="Purchases - Firm"/>
    <x v="1"/>
    <x v="0"/>
    <s v="Chelan PUD - Rock Island Syst #2"/>
    <n v="1213235"/>
    <n v="0"/>
    <n v="0"/>
  </r>
  <r>
    <x v="5"/>
    <s v="Purchases - Firm"/>
    <x v="1"/>
    <x v="0"/>
    <s v="Chelan PUD - Rocky Reach"/>
    <n v="1914094"/>
    <n v="0"/>
    <n v="0"/>
  </r>
  <r>
    <x v="5"/>
    <s v="Purchases - Firm"/>
    <x v="1"/>
    <x v="4"/>
    <s v="Credit Suisse Energy, LLC"/>
    <n v="107950"/>
    <n v="1191.716320391361"/>
    <n v="64322.888393123707"/>
  </r>
  <r>
    <x v="5"/>
    <s v="Purchases - Firm"/>
    <x v="1"/>
    <x v="0"/>
    <s v="Douglas PUD - Wells Project"/>
    <n v="871104"/>
    <n v="0"/>
    <n v="0"/>
  </r>
  <r>
    <x v="5"/>
    <s v="Purchases - Firm"/>
    <x v="1"/>
    <x v="0"/>
    <s v="Farm Power Lynden LLC"/>
    <n v="204.023"/>
    <n v="0"/>
    <n v="0"/>
  </r>
  <r>
    <x v="5"/>
    <s v="Purchases - Firm"/>
    <x v="1"/>
    <x v="0"/>
    <s v="Farm Power Rexville LLC"/>
    <n v="4873.87"/>
    <n v="0"/>
    <n v="0"/>
  </r>
  <r>
    <x v="5"/>
    <s v="Purchases - Firm"/>
    <x v="1"/>
    <x v="0"/>
    <s v="Grant PUD - Priest Rapids Project"/>
    <n v="331731"/>
    <n v="0"/>
    <n v="0"/>
  </r>
  <r>
    <x v="5"/>
    <s v="Purchases - Firm"/>
    <x v="1"/>
    <x v="0"/>
    <s v="Klondike Wind Power III"/>
    <n v="120632"/>
    <n v="0"/>
    <n v="0"/>
  </r>
  <r>
    <x v="5"/>
    <s v="Purchases - Firm"/>
    <x v="1"/>
    <x v="1"/>
    <s v="NWestern Energy(MPC) Firm Contract"/>
    <n v="788313"/>
    <n v="2156.77257820159"/>
    <n v="850105.93071991508"/>
  </r>
  <r>
    <x v="5"/>
    <s v="Purchases - Firm"/>
    <x v="1"/>
    <x v="4"/>
    <s v="Powerex Corp."/>
    <n v="179999"/>
    <n v="1191.716320391361"/>
    <n v="107253.8729770623"/>
  </r>
  <r>
    <x v="5"/>
    <s v="Purchases - Firm"/>
    <x v="1"/>
    <x v="0"/>
    <s v="Qualco Energy"/>
    <n v="3520"/>
    <n v="0"/>
    <n v="0"/>
  </r>
  <r>
    <x v="5"/>
    <s v="Purchases - Firm"/>
    <x v="1"/>
    <x v="4"/>
    <s v="Sempra Energy Trading"/>
    <n v="547795"/>
    <n v="1191.716320391361"/>
    <n v="326408.12086439284"/>
  </r>
  <r>
    <x v="5"/>
    <s v="Purchases - Firm"/>
    <x v="1"/>
    <x v="4"/>
    <s v="Shell Energy (Coral Pwr)"/>
    <n v="330050"/>
    <n v="1191.716320391361"/>
    <n v="196662.98577258436"/>
  </r>
  <r>
    <x v="5"/>
    <s v="Purchases - Firm"/>
    <x v="1"/>
    <x v="4"/>
    <s v="Snohomish PUD Conservation"/>
    <n v="14464"/>
    <n v="1191.716320391361"/>
    <n v="8618.4924290703239"/>
  </r>
  <r>
    <x v="5"/>
    <s v="Purchases - Firm"/>
    <x v="1"/>
    <x v="0"/>
    <s v="VanderHaak Dairy Digester"/>
    <n v="2551.8000000000002"/>
    <n v="0"/>
    <n v="0"/>
  </r>
  <r>
    <x v="5"/>
    <s v="Purchases - Firm"/>
    <x v="1"/>
    <x v="0"/>
    <s v="WASCO Hydro"/>
    <n v="40782"/>
    <n v="0"/>
    <n v="0"/>
  </r>
  <r>
    <x v="5"/>
    <s v="Purchases - PURPA"/>
    <x v="1"/>
    <x v="0"/>
    <s v="Hutchinson Creek"/>
    <n v="1106.72"/>
    <n v="0"/>
    <n v="0"/>
  </r>
  <r>
    <x v="5"/>
    <s v="Purchases - PURPA"/>
    <x v="1"/>
    <x v="0"/>
    <s v="Koma Kulshan Associates"/>
    <n v="42708.480000000003"/>
    <n v="0"/>
    <n v="0"/>
  </r>
  <r>
    <x v="5"/>
    <s v="Purchases - PURPA"/>
    <x v="1"/>
    <x v="2"/>
    <s v="March Point Cogen. - 1 &amp; 2"/>
    <n v="1081243.416"/>
    <n v="712.53279701083932"/>
    <n v="385210.69772601721"/>
  </r>
  <r>
    <x v="5"/>
    <s v="Purchases - PURPA"/>
    <x v="1"/>
    <x v="0"/>
    <s v="Nooksack"/>
    <n v="25921.554"/>
    <n v="0"/>
    <n v="0"/>
  </r>
  <r>
    <x v="5"/>
    <s v="Purchases - PURPA"/>
    <x v="1"/>
    <x v="5"/>
    <s v="Port Townsend Paper Co."/>
    <n v="2886.24"/>
    <n v="1034.1967526732399"/>
    <n v="1492.4700177178058"/>
  </r>
  <r>
    <x v="5"/>
    <s v="Purchases - PURPA"/>
    <x v="1"/>
    <x v="6"/>
    <s v="Spokane MSW"/>
    <n v="141480"/>
    <n v="4609.1077496501721"/>
    <n v="326048.28221025318"/>
  </r>
  <r>
    <x v="5"/>
    <s v="Purchases - PURPA"/>
    <x v="1"/>
    <x v="0"/>
    <s v="Sygitowicz Creek"/>
    <n v="1227.8399999999999"/>
    <n v="0"/>
    <n v="0"/>
  </r>
  <r>
    <x v="5"/>
    <s v="Purchases - PURPA"/>
    <x v="1"/>
    <x v="2"/>
    <s v="Tenaska"/>
    <n v="652723.43999999994"/>
    <n v="885.49571382392162"/>
    <n v="288991.90421620279"/>
  </r>
  <r>
    <x v="5"/>
    <s v="Purchases - PURPA"/>
    <x v="1"/>
    <x v="0"/>
    <s v="Twin Falls Hydro"/>
    <n v="73497.600000000006"/>
    <n v="0"/>
    <n v="0"/>
  </r>
  <r>
    <x v="5"/>
    <s v="Purchases - PURPA"/>
    <x v="1"/>
    <x v="0"/>
    <s v="Weeks Falls"/>
    <n v="13234.2"/>
    <n v="0"/>
    <n v="0"/>
  </r>
  <r>
    <x v="5"/>
    <s v="Purchases - Secondary"/>
    <x v="2"/>
    <x v="4"/>
    <s v="Avista Corp. WWP Division"/>
    <n v="165694.6"/>
    <n v="1191.716320391361"/>
    <n v="98730.479510359219"/>
  </r>
  <r>
    <x v="5"/>
    <s v="Purchases - Secondary"/>
    <x v="2"/>
    <x v="4"/>
    <s v="Barclays Bank Plc"/>
    <n v="138700"/>
    <n v="1191.716320391361"/>
    <n v="82645.526819140883"/>
  </r>
  <r>
    <x v="5"/>
    <s v="Purchases - Secondary"/>
    <x v="2"/>
    <x v="4"/>
    <s v="Black Hills Power"/>
    <n v="1224"/>
    <n v="1191.716320391361"/>
    <n v="729.330388079513"/>
  </r>
  <r>
    <x v="5"/>
    <s v="Purchases - Secondary"/>
    <x v="2"/>
    <x v="4"/>
    <s v="BNP Paribas Energy Trading"/>
    <n v="15600"/>
    <n v="1191.716320391361"/>
    <n v="9295.3872990526161"/>
  </r>
  <r>
    <x v="5"/>
    <s v="Purchases - Secondary"/>
    <x v="2"/>
    <x v="4"/>
    <s v="Book Outs - EITF 03-11"/>
    <n v="-3094185"/>
    <n v="1191.716320391361"/>
    <n v="-1843695.3814050718"/>
  </r>
  <r>
    <x v="5"/>
    <s v="Purchases - Secondary"/>
    <x v="2"/>
    <x v="4"/>
    <s v="BP Energy Co."/>
    <n v="78616"/>
    <n v="1191.716320391361"/>
    <n v="46843.985121943624"/>
  </r>
  <r>
    <x v="5"/>
    <s v="Purchases - Secondary"/>
    <x v="2"/>
    <x v="4"/>
    <s v="BPA"/>
    <n v="206160"/>
    <n v="1191.716320391361"/>
    <n v="122842.11830594149"/>
  </r>
  <r>
    <x v="5"/>
    <s v="Purchases - Secondary"/>
    <x v="2"/>
    <x v="4"/>
    <s v="Burbank, City of"/>
    <n v="59686"/>
    <n v="1191.716320391361"/>
    <n v="35564.390149439387"/>
  </r>
  <r>
    <x v="5"/>
    <s v="Purchases - Secondary"/>
    <x v="2"/>
    <x v="4"/>
    <s v="Cargill Power Markets"/>
    <n v="183821"/>
    <n v="1191.716320391361"/>
    <n v="109531.24286533019"/>
  </r>
  <r>
    <x v="5"/>
    <s v="Purchases - Secondary"/>
    <x v="2"/>
    <x v="4"/>
    <s v="Chelan County PUD #1"/>
    <n v="15633"/>
    <n v="1191.716320391361"/>
    <n v="9315.0506183390735"/>
  </r>
  <r>
    <x v="5"/>
    <s v="Purchases - Secondary"/>
    <x v="2"/>
    <x v="4"/>
    <s v="Citigroup Energy Inc"/>
    <n v="775756"/>
    <n v="1191.716320391361"/>
    <n v="462240.54292076034"/>
  </r>
  <r>
    <x v="5"/>
    <s v="Purchases - Secondary"/>
    <x v="2"/>
    <x v="4"/>
    <s v="Clatskanie PUD"/>
    <n v="25594"/>
    <n v="1191.716320391361"/>
    <n v="15250.393752048247"/>
  </r>
  <r>
    <x v="5"/>
    <s v="Purchases - Secondary"/>
    <x v="2"/>
    <x v="4"/>
    <s v="Conoco, Inc."/>
    <n v="82208"/>
    <n v="1191.716320391361"/>
    <n v="48984.307633366501"/>
  </r>
  <r>
    <x v="5"/>
    <s v="Purchases - Secondary"/>
    <x v="2"/>
    <x v="4"/>
    <s v="Constellation Power Source, Inc."/>
    <n v="95234"/>
    <n v="1191.716320391361"/>
    <n v="56745.956028075438"/>
  </r>
  <r>
    <x v="5"/>
    <s v="Purchases - Secondary"/>
    <x v="2"/>
    <x v="4"/>
    <s v="CP Energy Marketing (Epcor)"/>
    <n v="10876"/>
    <n v="1191.716320391361"/>
    <n v="6480.5533502882217"/>
  </r>
  <r>
    <x v="5"/>
    <s v="Purchases - Secondary"/>
    <x v="2"/>
    <x v="4"/>
    <s v="DB Energy Trading LLC"/>
    <n v="117600"/>
    <n v="1191.716320391361"/>
    <n v="70072.91963901202"/>
  </r>
  <r>
    <x v="5"/>
    <s v="Purchases - Secondary"/>
    <x v="2"/>
    <x v="4"/>
    <s v="Douglas County PUD #1"/>
    <n v="184451"/>
    <n v="1191.716320391361"/>
    <n v="109906.63350625346"/>
  </r>
  <r>
    <x v="5"/>
    <s v="Purchases - Secondary"/>
    <x v="2"/>
    <x v="4"/>
    <s v="Eagle Energy Partners"/>
    <n v="31"/>
    <n v="1191.716320391361"/>
    <n v="18.471602966066097"/>
  </r>
  <r>
    <x v="5"/>
    <s v="Purchases - Secondary"/>
    <x v="2"/>
    <x v="4"/>
    <s v="EDF Trading NA LLC"/>
    <n v="320131"/>
    <n v="1191.716320391361"/>
    <n v="190752.66868160339"/>
  </r>
  <r>
    <x v="5"/>
    <s v="Purchases - Secondary"/>
    <x v="2"/>
    <x v="4"/>
    <s v="Endure Energy LLC"/>
    <n v="17600"/>
    <n v="1191.716320391361"/>
    <n v="10487.103619443977"/>
  </r>
  <r>
    <x v="5"/>
    <s v="Purchases - Secondary"/>
    <x v="2"/>
    <x v="4"/>
    <s v="ENMAX Energy Marketing, Inc."/>
    <n v="430"/>
    <n v="1191.716320391361"/>
    <n v="256.21900888414262"/>
  </r>
  <r>
    <x v="5"/>
    <s v="Purchases - Secondary"/>
    <x v="2"/>
    <x v="4"/>
    <s v="Eugene Water &amp; Electric"/>
    <n v="63929"/>
    <n v="1191.716320391361"/>
    <n v="38092.616323149661"/>
  </r>
  <r>
    <x v="5"/>
    <s v="Purchases - Secondary"/>
    <x v="2"/>
    <x v="4"/>
    <s v="Fortis Energy Marketing &amp; Trading"/>
    <n v="4000"/>
    <n v="1191.716320391361"/>
    <n v="2383.432640782722"/>
  </r>
  <r>
    <x v="5"/>
    <s v="Purchases - Secondary"/>
    <x v="2"/>
    <x v="4"/>
    <s v="Grant County PUD #2"/>
    <n v="20495"/>
    <n v="1191.716320391361"/>
    <n v="12212.112993210472"/>
  </r>
  <r>
    <x v="5"/>
    <s v="Purchases - Secondary"/>
    <x v="2"/>
    <x v="4"/>
    <s v="Iberdrola Renewables (PPM Energy)"/>
    <n v="682132"/>
    <n v="1191.716320391361"/>
    <n v="406453.91853059997"/>
  </r>
  <r>
    <x v="5"/>
    <s v="Purchases - Secondary"/>
    <x v="2"/>
    <x v="4"/>
    <s v="Idaho Power Company"/>
    <n v="17382"/>
    <n v="1191.716320391361"/>
    <n v="10357.206540521318"/>
  </r>
  <r>
    <x v="5"/>
    <s v="Purchases - Secondary"/>
    <x v="2"/>
    <x v="4"/>
    <s v="J. Aron &amp; Company"/>
    <n v="32200"/>
    <n v="1191.716320391361"/>
    <n v="19186.632758300912"/>
  </r>
  <r>
    <x v="5"/>
    <s v="Purchases - Secondary"/>
    <x v="2"/>
    <x v="4"/>
    <s v="JP Morgan Ventures Energy"/>
    <n v="136924"/>
    <n v="1191.716320391361"/>
    <n v="81587.282726633348"/>
  </r>
  <r>
    <x v="5"/>
    <s v="Purchases - Secondary"/>
    <x v="2"/>
    <x v="4"/>
    <s v="Merrill Lynch Commodities"/>
    <n v="55600"/>
    <n v="1191.716320391361"/>
    <n v="33129.713706879833"/>
  </r>
  <r>
    <x v="5"/>
    <s v="Purchases - Secondary"/>
    <x v="2"/>
    <x v="4"/>
    <s v="Modesto Irrigation District"/>
    <n v="45"/>
    <n v="1191.716320391361"/>
    <n v="26.813617208805624"/>
  </r>
  <r>
    <x v="5"/>
    <s v="Purchases - Secondary"/>
    <x v="2"/>
    <x v="4"/>
    <s v="Morgan Stanley CG"/>
    <n v="1135590"/>
    <n v="1191.716320391361"/>
    <n v="676650.56813661277"/>
  </r>
  <r>
    <x v="5"/>
    <s v="Purchases - Secondary"/>
    <x v="2"/>
    <x v="4"/>
    <s v="NextEra Energy Power Marketing"/>
    <n v="20186"/>
    <n v="1191.716320391361"/>
    <n v="12027.992821710008"/>
  </r>
  <r>
    <x v="5"/>
    <s v="Purchases - Secondary"/>
    <x v="2"/>
    <x v="4"/>
    <s v="Noble Americas Energy Solutions"/>
    <n v="24200"/>
    <n v="1191.716320391361"/>
    <n v="14419.767476735469"/>
  </r>
  <r>
    <x v="5"/>
    <s v="Purchases - Secondary"/>
    <x v="2"/>
    <x v="4"/>
    <s v="NorthPoint Energy Solutions, Inc."/>
    <n v="4037"/>
    <n v="1191.716320391361"/>
    <n v="2405.4793927099622"/>
  </r>
  <r>
    <x v="5"/>
    <s v="Purchases - Secondary"/>
    <x v="2"/>
    <x v="4"/>
    <s v="Northwestern Energy"/>
    <n v="2854"/>
    <n v="1191.716320391361"/>
    <n v="1700.579189198472"/>
  </r>
  <r>
    <x v="5"/>
    <s v="Purchases - Secondary"/>
    <x v="2"/>
    <x v="4"/>
    <s v="Occidental Power Services"/>
    <n v="30400"/>
    <n v="1191.716320391361"/>
    <n v="18114.088069948688"/>
  </r>
  <r>
    <x v="5"/>
    <s v="Purchases - Secondary"/>
    <x v="2"/>
    <x v="4"/>
    <s v="Okanogan PUD"/>
    <n v="2374"/>
    <n v="1191.716320391361"/>
    <n v="1414.5672723045457"/>
  </r>
  <r>
    <x v="5"/>
    <s v="Purchases - Secondary"/>
    <x v="2"/>
    <x v="4"/>
    <s v="Pacific Northwest Generatin Coop."/>
    <n v="87811"/>
    <n v="1191.716320391361"/>
    <n v="52322.900904942901"/>
  </r>
  <r>
    <x v="5"/>
    <s v="Purchases - Secondary"/>
    <x v="2"/>
    <x v="4"/>
    <s v="Pacific Summit Energy LLC"/>
    <n v="46767"/>
    <n v="1191.716320391361"/>
    <n v="27866.498577871389"/>
  </r>
  <r>
    <x v="5"/>
    <s v="Purchases - Secondary"/>
    <x v="2"/>
    <x v="4"/>
    <s v="Pacificorp"/>
    <n v="80243"/>
    <n v="1191.716320391361"/>
    <n v="47813.446348581994"/>
  </r>
  <r>
    <x v="5"/>
    <s v="Purchases - Secondary"/>
    <x v="2"/>
    <x v="4"/>
    <s v="Portland General Electric"/>
    <n v="292936"/>
    <n v="1191.716320391361"/>
    <n v="174548.30601508185"/>
  </r>
  <r>
    <x v="5"/>
    <s v="Purchases - Secondary"/>
    <x v="2"/>
    <x v="4"/>
    <s v="Powerex Corp."/>
    <n v="300036"/>
    <n v="1191.716320391361"/>
    <n v="178778.89895247121"/>
  </r>
  <r>
    <x v="5"/>
    <s v="Purchases - Secondary"/>
    <x v="2"/>
    <x v="4"/>
    <s v="Public Service of Colorado"/>
    <n v="6500"/>
    <n v="1191.716320391361"/>
    <n v="3873.0780412719232"/>
  </r>
  <r>
    <x v="5"/>
    <s v="Purchases - Secondary"/>
    <x v="2"/>
    <x v="4"/>
    <s v="Rainbow Energy Marketing"/>
    <n v="98150"/>
    <n v="1191.716320391361"/>
    <n v="58483.478423206041"/>
  </r>
  <r>
    <x v="5"/>
    <s v="Purchases - Secondary"/>
    <x v="2"/>
    <x v="4"/>
    <s v="Redding, City of"/>
    <n v="173"/>
    <n v="1191.716320391361"/>
    <n v="103.08346171385273"/>
  </r>
  <r>
    <x v="5"/>
    <s v="Purchases - Secondary"/>
    <x v="2"/>
    <x v="4"/>
    <s v="Sacramento Municipal"/>
    <n v="5475"/>
    <n v="1191.716320391361"/>
    <n v="3262.3234270713506"/>
  </r>
  <r>
    <x v="5"/>
    <s v="Purchases - Secondary"/>
    <x v="2"/>
    <x v="4"/>
    <s v="San Diego Gas &amp; Electric"/>
    <n v="684"/>
    <n v="1191.716320391361"/>
    <n v="407.56698157384551"/>
  </r>
  <r>
    <x v="5"/>
    <s v="Purchases - Secondary"/>
    <x v="2"/>
    <x v="4"/>
    <s v="Seattle City Light Marketing"/>
    <n v="249821"/>
    <n v="1191.716320391361"/>
    <n v="148857.88143824509"/>
  </r>
  <r>
    <x v="5"/>
    <s v="Purchases - Secondary"/>
    <x v="2"/>
    <x v="4"/>
    <s v="Sempra Energy Trading"/>
    <n v="995085"/>
    <n v="1191.716320391361"/>
    <n v="592929.51733831875"/>
  </r>
  <r>
    <x v="5"/>
    <s v="Purchases - Secondary"/>
    <x v="2"/>
    <x v="4"/>
    <s v="Shell Energy (Coral Pwr)"/>
    <n v="355579"/>
    <n v="1191.716320391361"/>
    <n v="211874.64874421986"/>
  </r>
  <r>
    <x v="5"/>
    <s v="Purchases - Secondary"/>
    <x v="2"/>
    <x v="4"/>
    <s v="Sierra Pacific Power"/>
    <n v="1600"/>
    <n v="1191.716320391361"/>
    <n v="953.37305631308891"/>
  </r>
  <r>
    <x v="5"/>
    <s v="Purchases - Secondary"/>
    <x v="2"/>
    <x v="4"/>
    <s v="Snohomish County PUD #1"/>
    <n v="45702"/>
    <n v="1191.716320391361"/>
    <n v="27231.909637262994"/>
  </r>
  <r>
    <x v="5"/>
    <s v="Purchases - Secondary"/>
    <x v="2"/>
    <x v="4"/>
    <s v="Southern Cal - Edison"/>
    <n v="13647"/>
    <n v="1191.716320391361"/>
    <n v="8131.6763121904514"/>
  </r>
  <r>
    <x v="5"/>
    <s v="Purchases - Secondary"/>
    <x v="2"/>
    <x v="4"/>
    <s v="Tacoma Power"/>
    <n v="47836"/>
    <n v="1191.716320391361"/>
    <n v="28503.470951120573"/>
  </r>
  <r>
    <x v="5"/>
    <s v="Purchases - Secondary"/>
    <x v="2"/>
    <x v="4"/>
    <s v="Talen Energy (PPL Energy Plus)"/>
    <n v="147357"/>
    <n v="1191.716320391361"/>
    <n v="87803.870911954888"/>
  </r>
  <r>
    <x v="5"/>
    <s v="Purchases - Secondary"/>
    <x v="2"/>
    <x v="4"/>
    <s v="Tenaska"/>
    <n v="1038"/>
    <n v="1191.716320391361"/>
    <n v="618.50077028311637"/>
  </r>
  <r>
    <x v="5"/>
    <s v="Purchases - Secondary"/>
    <x v="2"/>
    <x v="4"/>
    <s v="The Energy Authority"/>
    <n v="78028"/>
    <n v="1191.716320391361"/>
    <n v="46493.620523748563"/>
  </r>
  <r>
    <x v="5"/>
    <s v="Purchases - Secondary"/>
    <x v="2"/>
    <x v="4"/>
    <s v="TransAlta Energy Marketing"/>
    <n v="1107783"/>
    <n v="1191.716320391361"/>
    <n v="660081.5402760515"/>
  </r>
  <r>
    <x v="5"/>
    <s v="Purchases - Secondary"/>
    <x v="2"/>
    <x v="4"/>
    <s v="TransCanada Energy Sales Ltd"/>
    <n v="8791"/>
    <n v="1191.716320391361"/>
    <n v="5238.1890862802275"/>
  </r>
  <r>
    <x v="5"/>
    <s v="Purchases - Secondary"/>
    <x v="2"/>
    <x v="4"/>
    <s v="Turlock Irrigation District"/>
    <n v="52383"/>
    <n v="1191.716320391361"/>
    <n v="31212.838005530331"/>
  </r>
  <r>
    <x v="5"/>
    <s v="Purchases - Secondary"/>
    <x v="2"/>
    <x v="4"/>
    <s v="Western Area Power Association"/>
    <n v="20"/>
    <n v="1191.716320391361"/>
    <n v="11.91716320391361"/>
  </r>
  <r>
    <x v="5"/>
    <s v="Interchange - In"/>
    <x v="2"/>
    <x v="4"/>
    <s v="Black Creek Hydro"/>
    <n v="11424"/>
    <n v="1191.716320391361"/>
    <n v="6807.0836220754545"/>
  </r>
  <r>
    <x v="5"/>
    <s v="Interchange - In"/>
    <x v="2"/>
    <x v="4"/>
    <s v="BPA"/>
    <n v="65580"/>
    <n v="1191.716320391361"/>
    <n v="39076.378145632727"/>
  </r>
  <r>
    <x v="5"/>
    <s v="Interchange - In"/>
    <x v="2"/>
    <x v="4"/>
    <s v="Pacific Gas &amp; Elec - Exchange"/>
    <n v="412908"/>
    <n v="1191.716320391361"/>
    <n v="246034.60121007805"/>
  </r>
  <r>
    <x v="5"/>
    <s v="Interchange - In"/>
    <x v="2"/>
    <x v="4"/>
    <s v="TransAlta Energy Marketing"/>
    <n v="1533400"/>
    <n v="1191.716320391361"/>
    <n v="913688.90284405649"/>
  </r>
  <r>
    <x v="5"/>
    <s v="Interchange - Out"/>
    <x v="2"/>
    <x v="4"/>
    <s v="Black Creek Hydro"/>
    <n v="-10438"/>
    <n v="1191.716320391361"/>
    <n v="-6219.5674761225137"/>
  </r>
  <r>
    <x v="5"/>
    <s v="Interchange - Out"/>
    <x v="2"/>
    <x v="4"/>
    <s v="BPA"/>
    <n v="-57475"/>
    <n v="1191.716320391361"/>
    <n v="-34246.947757246737"/>
  </r>
  <r>
    <x v="5"/>
    <s v="Interchange - Out"/>
    <x v="2"/>
    <x v="4"/>
    <s v="Deviation"/>
    <n v="20831.312000000002"/>
    <n v="1191.716320391361"/>
    <n v="12412.507242782203"/>
  </r>
  <r>
    <x v="5"/>
    <s v="Interchange - Out"/>
    <x v="2"/>
    <x v="4"/>
    <s v="Pacific Gas &amp; Elec - Exchange"/>
    <n v="-413000"/>
    <n v="1191.716320391361"/>
    <n v="-246089.42016081605"/>
  </r>
  <r>
    <x v="5"/>
    <s v="Interchange - Out"/>
    <x v="2"/>
    <x v="4"/>
    <s v="TransAlta Energy Marketing"/>
    <n v="-1536249"/>
    <n v="1191.716320391361"/>
    <n v="-915386.50274245394"/>
  </r>
  <r>
    <x v="5"/>
    <s v="Sales for Resale"/>
    <x v="2"/>
    <x v="4"/>
    <s v="Avista Corp. WWP Division"/>
    <n v="-27014"/>
    <n v="1191.716320391361"/>
    <n v="-16096.512339526113"/>
  </r>
  <r>
    <x v="5"/>
    <s v="Sales for Resale"/>
    <x v="2"/>
    <x v="4"/>
    <s v="Barclays Bank Plc"/>
    <n v="-40109"/>
    <n v="1191.716320391361"/>
    <n v="-23899.274947288552"/>
  </r>
  <r>
    <x v="5"/>
    <s v="Sales for Resale"/>
    <x v="2"/>
    <x v="4"/>
    <s v="Black Hills Power"/>
    <n v="-2465"/>
    <n v="1191.716320391361"/>
    <n v="-1468.7903648823526"/>
  </r>
  <r>
    <x v="5"/>
    <s v="Sales for Resale"/>
    <x v="2"/>
    <x v="4"/>
    <s v="BNP Paribas Energy Trading"/>
    <n v="-29925"/>
    <n v="1191.716320391361"/>
    <n v="-17831.055443855741"/>
  </r>
  <r>
    <x v="5"/>
    <s v="Sales for Resale"/>
    <x v="2"/>
    <x v="4"/>
    <s v="Book Outs - EITF 03-11"/>
    <n v="3847988"/>
    <n v="1191.716320391361"/>
    <n v="2292855.0501350565"/>
  </r>
  <r>
    <x v="5"/>
    <s v="Sales for Resale"/>
    <x v="2"/>
    <x v="4"/>
    <s v="BP Energy Co."/>
    <n v="-259544"/>
    <n v="1191.716320391361"/>
    <n v="-154651.41032982769"/>
  </r>
  <r>
    <x v="5"/>
    <s v="Sales for Resale"/>
    <x v="2"/>
    <x v="4"/>
    <s v="BPA"/>
    <n v="-159865"/>
    <n v="1191.716320391361"/>
    <n v="-95256.864779682466"/>
  </r>
  <r>
    <x v="5"/>
    <s v="Sales for Resale"/>
    <x v="2"/>
    <x v="4"/>
    <s v="British Columbia Transmission Corp"/>
    <n v="-49"/>
    <n v="1191.716320391361"/>
    <n v="-29.197049849588343"/>
  </r>
  <r>
    <x v="5"/>
    <s v="Sales for Resale"/>
    <x v="2"/>
    <x v="4"/>
    <s v="Burbank, City of"/>
    <n v="-530"/>
    <n v="1191.716320391361"/>
    <n v="-315.80482490371071"/>
  </r>
  <r>
    <x v="5"/>
    <s v="Sales for Resale"/>
    <x v="2"/>
    <x v="4"/>
    <s v="Cargill Power Markets"/>
    <n v="-261663"/>
    <n v="1191.716320391361"/>
    <n v="-155914.03377128235"/>
  </r>
  <r>
    <x v="5"/>
    <s v="Sales for Resale"/>
    <x v="2"/>
    <x v="4"/>
    <s v="Chelan County PUD #1"/>
    <n v="-5161"/>
    <n v="1191.716320391361"/>
    <n v="-3075.2239647699071"/>
  </r>
  <r>
    <x v="5"/>
    <s v="Sales for Resale"/>
    <x v="2"/>
    <x v="4"/>
    <s v="Citigroup Energy Inc"/>
    <n v="-767741"/>
    <n v="1191.716320391361"/>
    <n v="-457464.73976679193"/>
  </r>
  <r>
    <x v="5"/>
    <s v="Sales for Resale"/>
    <x v="2"/>
    <x v="4"/>
    <s v="Clatskanie PUD"/>
    <n v="-10025"/>
    <n v="1191.716320391361"/>
    <n v="-5973.4780559616975"/>
  </r>
  <r>
    <x v="5"/>
    <s v="Sales for Resale"/>
    <x v="2"/>
    <x v="4"/>
    <s v="Conoco, Inc."/>
    <n v="-111624"/>
    <n v="1191.716320391361"/>
    <n v="-66512.071273682639"/>
  </r>
  <r>
    <x v="5"/>
    <s v="Sales for Resale"/>
    <x v="2"/>
    <x v="4"/>
    <s v="Constellation Power Source, Inc."/>
    <n v="-42662"/>
    <n v="1191.716320391361"/>
    <n v="-25420.500830268124"/>
  </r>
  <r>
    <x v="5"/>
    <s v="Sales for Resale"/>
    <x v="2"/>
    <x v="4"/>
    <s v="CP Energy Marketing (Epcor)"/>
    <n v="-54095"/>
    <n v="1191.716320391361"/>
    <n v="-32232.947175785335"/>
  </r>
  <r>
    <x v="5"/>
    <s v="Sales for Resale"/>
    <x v="2"/>
    <x v="4"/>
    <s v="DB Energy Trading LLC"/>
    <n v="-150800"/>
    <n v="1191.716320391361"/>
    <n v="-89855.410557508614"/>
  </r>
  <r>
    <x v="5"/>
    <s v="Sales for Resale"/>
    <x v="2"/>
    <x v="4"/>
    <s v="Douglas County PUD #1"/>
    <n v="-1065"/>
    <n v="1191.716320391361"/>
    <n v="-634.58894060839964"/>
  </r>
  <r>
    <x v="5"/>
    <s v="Sales for Resale"/>
    <x v="2"/>
    <x v="4"/>
    <s v="Eagle Energy Partners"/>
    <n v="-831"/>
    <n v="1191.716320391361"/>
    <n v="-495.15813112261054"/>
  </r>
  <r>
    <x v="5"/>
    <s v="Sales for Resale"/>
    <x v="2"/>
    <x v="4"/>
    <s v="EDF Trading NA LLC"/>
    <n v="-58348"/>
    <n v="1191.716320391361"/>
    <n v="-34767.131931097567"/>
  </r>
  <r>
    <x v="5"/>
    <s v="Sales for Resale"/>
    <x v="2"/>
    <x v="4"/>
    <s v="Endure Energy LLC"/>
    <n v="-1200"/>
    <n v="1191.716320391361"/>
    <n v="-715.02979223481657"/>
  </r>
  <r>
    <x v="5"/>
    <s v="Sales for Resale"/>
    <x v="2"/>
    <x v="4"/>
    <s v="ENMAX Energy Marketing, Inc."/>
    <n v="-1808"/>
    <n v="1191.716320391361"/>
    <n v="-1077.3115536337905"/>
  </r>
  <r>
    <x v="5"/>
    <s v="Sales for Resale"/>
    <x v="2"/>
    <x v="4"/>
    <s v="Eugene Water &amp; Electric"/>
    <n v="-14553"/>
    <n v="1191.716320391361"/>
    <n v="-8671.5238053277371"/>
  </r>
  <r>
    <x v="5"/>
    <s v="Sales for Resale"/>
    <x v="2"/>
    <x v="4"/>
    <s v="Fortis Energy Marketing &amp; Trading"/>
    <n v="-12000"/>
    <n v="1191.716320391361"/>
    <n v="-7150.2979223481661"/>
  </r>
  <r>
    <x v="5"/>
    <s v="Sales for Resale"/>
    <x v="2"/>
    <x v="4"/>
    <s v="Grant County PUD #2"/>
    <n v="-45909"/>
    <n v="1191.716320391361"/>
    <n v="-27355.252276423496"/>
  </r>
  <r>
    <x v="5"/>
    <s v="Sales for Resale"/>
    <x v="2"/>
    <x v="4"/>
    <s v="Iberdrola Renewables (PPM Energy)"/>
    <n v="-442218"/>
    <n v="1191.716320391361"/>
    <n v="-263499.20388541342"/>
  </r>
  <r>
    <x v="5"/>
    <s v="Sales for Resale"/>
    <x v="2"/>
    <x v="4"/>
    <s v="Idaho Power Company"/>
    <n v="-60759"/>
    <n v="1191.716320391361"/>
    <n v="-36203.745955329352"/>
  </r>
  <r>
    <x v="5"/>
    <s v="Sales for Resale"/>
    <x v="2"/>
    <x v="4"/>
    <s v="J. Aron &amp; Company"/>
    <n v="-800"/>
    <n v="1191.716320391361"/>
    <n v="-476.68652815654445"/>
  </r>
  <r>
    <x v="5"/>
    <s v="Sales for Resale"/>
    <x v="2"/>
    <x v="4"/>
    <s v="JP Morgan Ventures Energy"/>
    <n v="-92601"/>
    <n v="1191.716320391361"/>
    <n v="-55177.061492280205"/>
  </r>
  <r>
    <x v="5"/>
    <s v="Sales for Resale"/>
    <x v="2"/>
    <x v="4"/>
    <s v="Merrill Lynch Commodities"/>
    <n v="-75385"/>
    <n v="1191.716320391361"/>
    <n v="-44918.76740635137"/>
  </r>
  <r>
    <x v="5"/>
    <s v="Sales for Resale"/>
    <x v="2"/>
    <x v="4"/>
    <s v="Modesto Irrigation District"/>
    <n v="-10"/>
    <n v="1191.716320391361"/>
    <n v="-5.958581601956805"/>
  </r>
  <r>
    <x v="5"/>
    <s v="Sales for Resale"/>
    <x v="2"/>
    <x v="4"/>
    <s v="Morgan Stanley CG"/>
    <n v="-454431"/>
    <n v="1191.716320391361"/>
    <n v="-270776.41959588329"/>
  </r>
  <r>
    <x v="5"/>
    <s v="Sales for Resale"/>
    <x v="2"/>
    <x v="4"/>
    <s v="N. California Power Agency"/>
    <n v="-356"/>
    <n v="1191.716320391361"/>
    <n v="-212.12550502966226"/>
  </r>
  <r>
    <x v="5"/>
    <s v="Sales for Resale"/>
    <x v="2"/>
    <x v="4"/>
    <s v="Natur Ener USA"/>
    <n v="-2"/>
    <n v="1191.716320391361"/>
    <n v="-1.191716320391361"/>
  </r>
  <r>
    <x v="5"/>
    <s v="Sales for Resale"/>
    <x v="2"/>
    <x v="4"/>
    <s v="NextEra Energy Power Marketing"/>
    <n v="-294"/>
    <n v="1191.716320391361"/>
    <n v="-175.18229909753009"/>
  </r>
  <r>
    <x v="5"/>
    <s v="Sales for Resale"/>
    <x v="2"/>
    <x v="4"/>
    <s v="NorthPoint Energy Solutions, Inc."/>
    <n v="-10173"/>
    <n v="1191.716320391361"/>
    <n v="-6061.6650636706572"/>
  </r>
  <r>
    <x v="5"/>
    <s v="Sales for Resale"/>
    <x v="2"/>
    <x v="4"/>
    <s v="Northwestern Energy"/>
    <n v="-48784"/>
    <n v="1191.716320391361"/>
    <n v="-29068.34448698608"/>
  </r>
  <r>
    <x v="5"/>
    <s v="Sales for Resale"/>
    <x v="2"/>
    <x v="4"/>
    <s v="Okanogan PUD"/>
    <n v="-175"/>
    <n v="1191.716320391361"/>
    <n v="-104.27517803424409"/>
  </r>
  <r>
    <x v="5"/>
    <s v="Sales for Resale"/>
    <x v="2"/>
    <x v="4"/>
    <s v="Pacific Northwest Generatin Coop."/>
    <n v="-4755"/>
    <n v="1191.716320391361"/>
    <n v="-2833.305551730461"/>
  </r>
  <r>
    <x v="5"/>
    <s v="Sales for Resale"/>
    <x v="2"/>
    <x v="4"/>
    <s v="Pacific Summit Energy LLC"/>
    <n v="-111596"/>
    <n v="1191.716320391361"/>
    <n v="-66495.387245197169"/>
  </r>
  <r>
    <x v="5"/>
    <s v="Sales for Resale"/>
    <x v="2"/>
    <x v="4"/>
    <s v="Pacificorp"/>
    <n v="-167918"/>
    <n v="1191.716320391361"/>
    <n v="-100055.31054373828"/>
  </r>
  <r>
    <x v="5"/>
    <s v="Sales for Resale"/>
    <x v="2"/>
    <x v="4"/>
    <s v="Portland General Electric"/>
    <n v="-68889"/>
    <n v="1191.716320391361"/>
    <n v="-41048.072797720233"/>
  </r>
  <r>
    <x v="5"/>
    <s v="Sales for Resale"/>
    <x v="2"/>
    <x v="4"/>
    <s v="Powerex Corp."/>
    <n v="-330673"/>
    <n v="1191.716320391361"/>
    <n v="-197034.20540638626"/>
  </r>
  <r>
    <x v="5"/>
    <s v="Sales for Resale"/>
    <x v="2"/>
    <x v="4"/>
    <s v="Public Service of Colorado"/>
    <n v="-4400"/>
    <n v="1191.716320391361"/>
    <n v="-2621.7759048609942"/>
  </r>
  <r>
    <x v="5"/>
    <s v="Sales for Resale"/>
    <x v="2"/>
    <x v="4"/>
    <s v="Rainbow Energy Marketing"/>
    <n v="-46883"/>
    <n v="1191.716320391361"/>
    <n v="-27935.618124454089"/>
  </r>
  <r>
    <x v="5"/>
    <s v="Sales for Resale"/>
    <x v="2"/>
    <x v="4"/>
    <s v="Redding, City of"/>
    <n v="-463"/>
    <n v="1191.716320391361"/>
    <n v="-275.88232817060003"/>
  </r>
  <r>
    <x v="5"/>
    <s v="Sales for Resale"/>
    <x v="2"/>
    <x v="4"/>
    <s v="Sacramento Municipal"/>
    <n v="-4178"/>
    <n v="1191.716320391361"/>
    <n v="-2489.4953932975532"/>
  </r>
  <r>
    <x v="5"/>
    <s v="Sales for Resale"/>
    <x v="2"/>
    <x v="4"/>
    <s v="San Diego Gas &amp; Electric"/>
    <n v="-10399"/>
    <n v="1191.716320391361"/>
    <n v="-6196.3290078748814"/>
  </r>
  <r>
    <x v="5"/>
    <s v="Sales for Resale"/>
    <x v="2"/>
    <x v="4"/>
    <s v="Seattle City Light Marketing"/>
    <n v="-24056"/>
    <n v="1191.716320391361"/>
    <n v="-14333.963901667292"/>
  </r>
  <r>
    <x v="5"/>
    <s v="Sales for Resale"/>
    <x v="2"/>
    <x v="4"/>
    <s v="Sempra Energy Trading"/>
    <n v="-112120"/>
    <n v="1191.716320391361"/>
    <n v="-66807.616921139706"/>
  </r>
  <r>
    <x v="5"/>
    <s v="Sales for Resale"/>
    <x v="2"/>
    <x v="4"/>
    <s v="Shell Energy (Coral Pwr)"/>
    <n v="-449454"/>
    <n v="1191.716320391361"/>
    <n v="-267810.83353258937"/>
  </r>
  <r>
    <x v="5"/>
    <s v="Sales for Resale"/>
    <x v="2"/>
    <x v="4"/>
    <s v="Sierra Pacific Power"/>
    <n v="-2937"/>
    <n v="1191.716320391361"/>
    <n v="-1750.0354164947137"/>
  </r>
  <r>
    <x v="5"/>
    <s v="Sales for Resale"/>
    <x v="2"/>
    <x v="4"/>
    <s v="Snohomish County PUD #1"/>
    <n v="-6352"/>
    <n v="1191.716320391361"/>
    <n v="-3784.8910335629625"/>
  </r>
  <r>
    <x v="5"/>
    <s v="Sales for Resale"/>
    <x v="2"/>
    <x v="4"/>
    <s v="Southern Cal - Edison"/>
    <n v="-1236986"/>
    <n v="1191.716320391361"/>
    <n v="-737068.20214781398"/>
  </r>
  <r>
    <x v="5"/>
    <s v="Sales for Resale"/>
    <x v="2"/>
    <x v="4"/>
    <s v="Tacoma Power"/>
    <n v="-2132"/>
    <n v="1191.716320391361"/>
    <n v="-1270.3695975371909"/>
  </r>
  <r>
    <x v="5"/>
    <s v="Sales for Resale"/>
    <x v="2"/>
    <x v="4"/>
    <s v="Talen Energy (PPL Energy Plus)"/>
    <n v="-176278"/>
    <n v="1191.716320391361"/>
    <n v="-105036.68476297417"/>
  </r>
  <r>
    <x v="5"/>
    <s v="Sales for Resale"/>
    <x v="2"/>
    <x v="4"/>
    <s v="The Energy Authority"/>
    <n v="-8119"/>
    <n v="1191.716320391361"/>
    <n v="-4837.7724026287297"/>
  </r>
  <r>
    <x v="5"/>
    <s v="Sales for Resale"/>
    <x v="2"/>
    <x v="4"/>
    <s v="TransAlta Energy Marketing"/>
    <n v="-318081"/>
    <n v="1191.716320391361"/>
    <n v="-189531.15945320224"/>
  </r>
  <r>
    <x v="5"/>
    <s v="Sales for Resale"/>
    <x v="2"/>
    <x v="4"/>
    <s v="TransCanada Energy Sales Ltd"/>
    <n v="-9650"/>
    <n v="1191.716320391361"/>
    <n v="-5750.0312458883172"/>
  </r>
  <r>
    <x v="5"/>
    <s v="Sales for Resale"/>
    <x v="2"/>
    <x v="4"/>
    <s v="Turlock Irrigation District"/>
    <n v="-5147"/>
    <n v="1191.716320391361"/>
    <n v="-3066.8819505271672"/>
  </r>
  <r>
    <x v="6"/>
    <s v="Generation - Hydro"/>
    <x v="0"/>
    <x v="0"/>
    <s v="Electron"/>
    <n v="50340.805"/>
    <n v="0"/>
    <n v="0"/>
  </r>
  <r>
    <x v="6"/>
    <s v="Generation - Hydro"/>
    <x v="0"/>
    <x v="0"/>
    <s v="Lower Baker"/>
    <n v="332792.353"/>
    <n v="0"/>
    <n v="0"/>
  </r>
  <r>
    <x v="6"/>
    <s v="Generation - Hydro"/>
    <x v="0"/>
    <x v="0"/>
    <s v="Snoqualmie Falls #1"/>
    <n v="-290.36"/>
    <n v="0"/>
    <n v="0"/>
  </r>
  <r>
    <x v="6"/>
    <s v="Generation - Hydro"/>
    <x v="0"/>
    <x v="0"/>
    <s v="Snoqualmie Falls #2"/>
    <n v="-174.56"/>
    <n v="0"/>
    <n v="0"/>
  </r>
  <r>
    <x v="6"/>
    <s v="Generation - Hydro"/>
    <x v="0"/>
    <x v="0"/>
    <s v="Upper Baker"/>
    <n v="301309.36599999998"/>
    <n v="0"/>
    <n v="0"/>
  </r>
  <r>
    <x v="6"/>
    <s v="Generation - Steam"/>
    <x v="0"/>
    <x v="1"/>
    <s v="Colstrip 1 &amp; 2"/>
    <n v="1897910"/>
    <n v="2327.0605860279479"/>
    <n v="2208275.7784141512"/>
  </r>
  <r>
    <x v="6"/>
    <s v="Generation - Steam"/>
    <x v="0"/>
    <x v="1"/>
    <s v="Colstrip 3 &amp; 4"/>
    <n v="2312673"/>
    <n v="2379.5191963705229"/>
    <n v="2751524.8992139031"/>
  </r>
  <r>
    <x v="6"/>
    <s v="Generation - Steam"/>
    <x v="0"/>
    <x v="2"/>
    <s v="Encogen"/>
    <n v="88887.6"/>
    <n v="1094.7936280114202"/>
    <n v="48656.789044613957"/>
  </r>
  <r>
    <x v="6"/>
    <s v="Generation - Steam"/>
    <x v="0"/>
    <x v="2"/>
    <s v="Freddie #1"/>
    <n v="135217.96400000001"/>
    <n v="868.10920406721675"/>
    <n v="58691.979551814788"/>
  </r>
  <r>
    <x v="6"/>
    <s v="Generation - Steam"/>
    <x v="0"/>
    <x v="2"/>
    <s v="Goldendale"/>
    <n v="609012.73499999999"/>
    <n v="794.73030162961243"/>
    <n v="242000.43729141259"/>
  </r>
  <r>
    <x v="6"/>
    <s v="Generation - Steam"/>
    <x v="0"/>
    <x v="2"/>
    <s v="Mint Farm"/>
    <n v="702080.6"/>
    <n v="870.8206822191604"/>
    <n v="305693.15353241871"/>
  </r>
  <r>
    <x v="6"/>
    <s v="Generation - Steam"/>
    <x v="0"/>
    <x v="2"/>
    <s v="Sumas"/>
    <n v="178397.424"/>
    <n v="1016.0404659069227"/>
    <n v="90629.500898777405"/>
  </r>
  <r>
    <x v="6"/>
    <s v="Generation - Oil/Gas/Wind"/>
    <x v="0"/>
    <x v="3"/>
    <s v="Crystal Mountain"/>
    <n v="273.13"/>
    <n v="1834.7460975699516"/>
    <n v="250.56210081464044"/>
  </r>
  <r>
    <x v="6"/>
    <s v="Generation - Oil/Gas/Wind"/>
    <x v="0"/>
    <x v="2"/>
    <s v="Fredonia"/>
    <n v="27939.9"/>
    <n v="1632.4948746619955"/>
    <n v="22805.871774284344"/>
  </r>
  <r>
    <x v="6"/>
    <s v="Generation - Oil/Gas/Wind"/>
    <x v="0"/>
    <x v="2"/>
    <s v="Fredonia 3 &amp; 4"/>
    <n v="48850.400000000001"/>
    <n v="1231.573102374178"/>
    <n v="30081.419340109773"/>
  </r>
  <r>
    <x v="6"/>
    <s v="Generation - Oil/Gas/Wind"/>
    <x v="0"/>
    <x v="2"/>
    <s v="Fredrickson 1 &amp; 2"/>
    <n v="9975.6"/>
    <n v="12617.057120113494"/>
    <n v="62931.357503702078"/>
  </r>
  <r>
    <x v="6"/>
    <s v="Generation - Oil/Gas/Wind"/>
    <x v="0"/>
    <x v="0"/>
    <s v="Hopkins Ridge (W184)"/>
    <n v="433218.60800000001"/>
    <n v="0"/>
    <n v="0"/>
  </r>
  <r>
    <x v="6"/>
    <s v="Generation - Oil/Gas/Wind"/>
    <x v="0"/>
    <x v="2"/>
    <s v="Whitehorn 2&amp;3"/>
    <n v="22501"/>
    <n v="1900.7042839872613"/>
    <n v="21383.873546998682"/>
  </r>
  <r>
    <x v="6"/>
    <s v="Generation - Oil/Gas/Wind"/>
    <x v="0"/>
    <x v="0"/>
    <s v="Wild Horse (W183)"/>
    <n v="730658.80599999998"/>
    <n v="0"/>
    <n v="0"/>
  </r>
  <r>
    <x v="6"/>
    <s v="Purchases - Firm"/>
    <x v="1"/>
    <x v="0"/>
    <s v="3 Bar G Wind Turbine #3 LLC"/>
    <n v="105.014"/>
    <n v="0"/>
    <n v="0"/>
  </r>
  <r>
    <x v="6"/>
    <s v="Purchases - Firm"/>
    <x v="1"/>
    <x v="4"/>
    <s v="Barclays Bank Plc"/>
    <n v="109875"/>
    <n v="904.65944483592443"/>
    <n v="49699.728250673601"/>
  </r>
  <r>
    <x v="6"/>
    <s v="Purchases - Firm"/>
    <x v="1"/>
    <x v="4"/>
    <s v="BC Hydro (Point Roberts)"/>
    <n v="22073.61"/>
    <n v="904.65944483592443"/>
    <n v="9984.549884062355"/>
  </r>
  <r>
    <x v="6"/>
    <s v="Purchases - Firm"/>
    <x v="1"/>
    <x v="0"/>
    <s v="Black Creek Hydro Inc"/>
    <n v="9716.4599999999991"/>
    <n v="0"/>
    <n v="0"/>
  </r>
  <r>
    <x v="6"/>
    <s v="Purchases - Firm"/>
    <x v="1"/>
    <x v="7"/>
    <s v="Book Outs - EITF 03-11"/>
    <n v="-509390"/>
    <n v="0"/>
    <n v="0"/>
  </r>
  <r>
    <x v="6"/>
    <s v="Purchases - Firm"/>
    <x v="1"/>
    <x v="0"/>
    <s v="BPA"/>
    <n v="7000"/>
    <n v="0"/>
    <n v="0"/>
  </r>
  <r>
    <x v="6"/>
    <s v="Purchases - Firm"/>
    <x v="1"/>
    <x v="4"/>
    <s v="BPA Firm - WNP#3 Exchange"/>
    <n v="413808"/>
    <n v="904.65944483592443"/>
    <n v="187177.6577743321"/>
  </r>
  <r>
    <x v="6"/>
    <s v="Purchases - Firm"/>
    <x v="1"/>
    <x v="0"/>
    <s v="Chelan PUD - RI &amp; RR"/>
    <n v="129926"/>
    <n v="0"/>
    <n v="0"/>
  </r>
  <r>
    <x v="6"/>
    <s v="Purchases - Firm"/>
    <x v="1"/>
    <x v="0"/>
    <s v="Chelan PUD - Rock Island Syst #2"/>
    <n v="1647786"/>
    <n v="0"/>
    <n v="0"/>
  </r>
  <r>
    <x v="6"/>
    <s v="Purchases - Firm"/>
    <x v="1"/>
    <x v="0"/>
    <s v="Chelan PUD - Rocky Reach"/>
    <n v="2517798"/>
    <n v="0"/>
    <n v="0"/>
  </r>
  <r>
    <x v="6"/>
    <s v="Purchases - Firm"/>
    <x v="1"/>
    <x v="0"/>
    <s v="Douglas PUD - Wells Project"/>
    <n v="1061183"/>
    <n v="0"/>
    <n v="0"/>
  </r>
  <r>
    <x v="6"/>
    <s v="Purchases - Firm"/>
    <x v="1"/>
    <x v="0"/>
    <s v="Farm Power Lynden LLC"/>
    <n v="3412.36"/>
    <n v="0"/>
    <n v="0"/>
  </r>
  <r>
    <x v="6"/>
    <s v="Purchases - Firm"/>
    <x v="1"/>
    <x v="0"/>
    <s v="Farm Power Rexville LLC"/>
    <n v="4903.5690000000004"/>
    <n v="0"/>
    <n v="0"/>
  </r>
  <r>
    <x v="6"/>
    <s v="Purchases - Firm"/>
    <x v="1"/>
    <x v="0"/>
    <s v="Grant PUD - Priest Rapids Project"/>
    <n v="253731"/>
    <n v="0"/>
    <n v="0"/>
  </r>
  <r>
    <x v="6"/>
    <s v="Purchases - Firm"/>
    <x v="1"/>
    <x v="0"/>
    <s v="Island Community Solar LLC"/>
    <n v="15.23"/>
    <n v="0"/>
    <n v="0"/>
  </r>
  <r>
    <x v="6"/>
    <s v="Purchases - Firm"/>
    <x v="1"/>
    <x v="4"/>
    <s v="JP Morgan Ventures Energy"/>
    <n v="385873"/>
    <n v="904.65944483592443"/>
    <n v="174541.82697858635"/>
  </r>
  <r>
    <x v="6"/>
    <s v="Purchases - Firm"/>
    <x v="1"/>
    <x v="0"/>
    <s v="Klondike Wind Power III"/>
    <n v="132950"/>
    <n v="0"/>
    <n v="0"/>
  </r>
  <r>
    <x v="6"/>
    <s v="Purchases - Firm"/>
    <x v="1"/>
    <x v="0"/>
    <s v="Knudsen Wind Turbine #1"/>
    <n v="85.938000000000002"/>
    <n v="0"/>
    <n v="0"/>
  </r>
  <r>
    <x v="6"/>
    <s v="Purchases - Firm"/>
    <x v="1"/>
    <x v="4"/>
    <s v="Powerex Corp."/>
    <n v="180000"/>
    <n v="904.65944483592443"/>
    <n v="81419.350035233205"/>
  </r>
  <r>
    <x v="6"/>
    <s v="Purchases - Firm"/>
    <x v="1"/>
    <x v="0"/>
    <s v="Qualco Energy"/>
    <n v="3315"/>
    <n v="0"/>
    <n v="0"/>
  </r>
  <r>
    <x v="6"/>
    <s v="Purchases - Firm"/>
    <x v="1"/>
    <x v="4"/>
    <s v="Sempra Energy Trading"/>
    <n v="161925"/>
    <n v="904.65944483592443"/>
    <n v="73243.490302528531"/>
  </r>
  <r>
    <x v="6"/>
    <s v="Purchases - Firm"/>
    <x v="1"/>
    <x v="4"/>
    <s v="Shell Energy (Coral Pwr)"/>
    <n v="437989"/>
    <n v="904.65944483592443"/>
    <n v="198115.44279212086"/>
  </r>
  <r>
    <x v="6"/>
    <s v="Purchases - Firm"/>
    <x v="1"/>
    <x v="0"/>
    <s v="Skookumchuck Hydro"/>
    <n v="5017.3999999999996"/>
    <n v="0"/>
    <n v="0"/>
  </r>
  <r>
    <x v="6"/>
    <s v="Purchases - Firm"/>
    <x v="1"/>
    <x v="0"/>
    <s v="Smith Creek Hydro"/>
    <n v="169.59399999999999"/>
    <n v="0"/>
    <n v="0"/>
  </r>
  <r>
    <x v="6"/>
    <s v="Purchases - Firm"/>
    <x v="1"/>
    <x v="0"/>
    <s v="Van Dyk - S Holsteins"/>
    <n v="749.88199999999995"/>
    <n v="0"/>
    <n v="0"/>
  </r>
  <r>
    <x v="6"/>
    <s v="Purchases - Firm"/>
    <x v="1"/>
    <x v="0"/>
    <s v="VanderHaak Dairy Digester"/>
    <n v="3919"/>
    <n v="0"/>
    <n v="0"/>
  </r>
  <r>
    <x v="6"/>
    <s v="Purchases - Firm"/>
    <x v="1"/>
    <x v="0"/>
    <s v="WASCO Hydro"/>
    <n v="38437"/>
    <n v="0"/>
    <n v="0"/>
  </r>
  <r>
    <x v="6"/>
    <s v="Purchases - PURPA"/>
    <x v="1"/>
    <x v="0"/>
    <s v="Hutchinson Creek"/>
    <n v="1180.2"/>
    <n v="0"/>
    <n v="0"/>
  </r>
  <r>
    <x v="6"/>
    <s v="Purchases - PURPA"/>
    <x v="1"/>
    <x v="0"/>
    <s v="Koma Kulshan Associates"/>
    <n v="41094.68"/>
    <n v="0"/>
    <n v="0"/>
  </r>
  <r>
    <x v="6"/>
    <s v="Purchases - PURPA"/>
    <x v="1"/>
    <x v="2"/>
    <s v="March Point Cogen. - 1 &amp; 2"/>
    <n v="769775.10599999991"/>
    <n v="712.22460121237009"/>
    <n v="274126.38394702994"/>
  </r>
  <r>
    <x v="6"/>
    <s v="Purchases - PURPA"/>
    <x v="1"/>
    <x v="0"/>
    <s v="Nooksack"/>
    <n v="24528.506000000001"/>
    <n v="0"/>
    <n v="0"/>
  </r>
  <r>
    <x v="6"/>
    <s v="Purchases - PURPA"/>
    <x v="1"/>
    <x v="5"/>
    <s v="Port Townsend Paper Co."/>
    <n v="2962.03"/>
    <n v="1037.0038632651913"/>
    <n v="1535.8182765536974"/>
  </r>
  <r>
    <x v="6"/>
    <s v="Purchases - PURPA"/>
    <x v="1"/>
    <x v="6"/>
    <s v="Spokane MSW"/>
    <n v="143386"/>
    <n v="4486.4813195427632"/>
    <n v="321649.30524197931"/>
  </r>
  <r>
    <x v="6"/>
    <s v="Purchases - PURPA"/>
    <x v="1"/>
    <x v="0"/>
    <s v="Sygitowicz Creek"/>
    <n v="1153.68"/>
    <n v="0"/>
    <n v="0"/>
  </r>
  <r>
    <x v="6"/>
    <s v="Purchases - PURPA"/>
    <x v="1"/>
    <x v="2"/>
    <s v="Tenaska"/>
    <n v="81307.08"/>
    <n v="775.68707973541314"/>
    <n v="31534.425723506807"/>
  </r>
  <r>
    <x v="6"/>
    <s v="Purchases - PURPA"/>
    <x v="1"/>
    <x v="0"/>
    <s v="Twin Falls Hydro"/>
    <n v="90259.6"/>
    <n v="0"/>
    <n v="0"/>
  </r>
  <r>
    <x v="6"/>
    <s v="Purchases - PURPA"/>
    <x v="1"/>
    <x v="0"/>
    <s v="Weeks Falls"/>
    <n v="15834"/>
    <n v="0"/>
    <n v="0"/>
  </r>
  <r>
    <x v="6"/>
    <s v="Purchases - Secondary"/>
    <x v="2"/>
    <x v="4"/>
    <s v="Avista Corp. WWP Division"/>
    <n v="117376.28"/>
    <n v="904.65944483592443"/>
    <n v="53092.78015085301"/>
  </r>
  <r>
    <x v="6"/>
    <s v="Purchases - Secondary"/>
    <x v="2"/>
    <x v="4"/>
    <s v="Barclays Bank Plc"/>
    <n v="27750"/>
    <n v="904.65944483592443"/>
    <n v="12552.149797098453"/>
  </r>
  <r>
    <x v="6"/>
    <s v="Purchases - Secondary"/>
    <x v="2"/>
    <x v="4"/>
    <s v="Black Hills Power"/>
    <n v="3515"/>
    <n v="904.65944483592443"/>
    <n v="1589.9389742991373"/>
  </r>
  <r>
    <x v="6"/>
    <s v="Purchases - Secondary"/>
    <x v="2"/>
    <x v="4"/>
    <s v="BNP Paribas Energy Trading"/>
    <n v="119000"/>
    <n v="904.65944483592443"/>
    <n v="53827.236967737503"/>
  </r>
  <r>
    <x v="6"/>
    <s v="Purchases - Secondary"/>
    <x v="2"/>
    <x v="4"/>
    <s v="Book Outs - EITF 03-11"/>
    <n v="-3113284"/>
    <n v="904.65944483592443"/>
    <n v="-1408230.8875282831"/>
  </r>
  <r>
    <x v="6"/>
    <s v="Purchases - Secondary"/>
    <x v="2"/>
    <x v="4"/>
    <s v="BP Energy Co."/>
    <n v="345552"/>
    <n v="904.65944483592443"/>
    <n v="156303.44024097169"/>
  </r>
  <r>
    <x v="6"/>
    <s v="Purchases - Secondary"/>
    <x v="2"/>
    <x v="4"/>
    <s v="BPA"/>
    <n v="382105"/>
    <n v="904.65944483592443"/>
    <n v="172837.44858451546"/>
  </r>
  <r>
    <x v="6"/>
    <s v="Purchases - Secondary"/>
    <x v="2"/>
    <x v="4"/>
    <s v="British Columbia Transmission Corp"/>
    <n v="9"/>
    <n v="904.65944483592443"/>
    <n v="4.0709675017616602"/>
  </r>
  <r>
    <x v="6"/>
    <s v="Purchases - Secondary"/>
    <x v="2"/>
    <x v="4"/>
    <s v="Burbank, City of"/>
    <n v="2000"/>
    <n v="904.65944483592443"/>
    <n v="904.65944483592443"/>
  </r>
  <r>
    <x v="6"/>
    <s v="Purchases - Secondary"/>
    <x v="2"/>
    <x v="4"/>
    <s v="Cargill Power Markets"/>
    <n v="318865"/>
    <n v="904.65944483592443"/>
    <n v="144232.11693880352"/>
  </r>
  <r>
    <x v="6"/>
    <s v="Purchases - Secondary"/>
    <x v="2"/>
    <x v="4"/>
    <s v="Chelan County PUD #1"/>
    <n v="8620"/>
    <n v="904.65944483592443"/>
    <n v="3899.0822072428346"/>
  </r>
  <r>
    <x v="6"/>
    <s v="Purchases - Secondary"/>
    <x v="2"/>
    <x v="4"/>
    <s v="Citigroup Energy Inc"/>
    <n v="1028188"/>
    <n v="904.65944483592443"/>
    <n v="465079.99263347971"/>
  </r>
  <r>
    <x v="6"/>
    <s v="Purchases - Secondary"/>
    <x v="2"/>
    <x v="4"/>
    <s v="Clark Public Utilities"/>
    <n v="8570"/>
    <n v="904.65944483592443"/>
    <n v="3876.465721121936"/>
  </r>
  <r>
    <x v="6"/>
    <s v="Purchases - Secondary"/>
    <x v="2"/>
    <x v="4"/>
    <s v="Clatskanie PUD"/>
    <n v="15878"/>
    <n v="904.65944483592443"/>
    <n v="7182.0913325524043"/>
  </r>
  <r>
    <x v="6"/>
    <s v="Purchases - Secondary"/>
    <x v="2"/>
    <x v="4"/>
    <s v="Constellation Power Source, Inc."/>
    <n v="298689"/>
    <n v="904.65944483592443"/>
    <n v="135105.91245929874"/>
  </r>
  <r>
    <x v="6"/>
    <s v="Purchases - Secondary"/>
    <x v="2"/>
    <x v="4"/>
    <s v="CP Energy Marketing (Epcor)"/>
    <n v="5848"/>
    <n v="904.65944483592443"/>
    <n v="2645.2242167002428"/>
  </r>
  <r>
    <x v="6"/>
    <s v="Purchases - Secondary"/>
    <x v="2"/>
    <x v="4"/>
    <s v="DB Energy Trading LLC"/>
    <n v="197398"/>
    <n v="904.65944483592443"/>
    <n v="89288.982545860898"/>
  </r>
  <r>
    <x v="6"/>
    <s v="Purchases - Secondary"/>
    <x v="2"/>
    <x v="4"/>
    <s v="Douglas County PUD #1"/>
    <n v="277494"/>
    <n v="904.65944483592443"/>
    <n v="125518.78399265"/>
  </r>
  <r>
    <x v="6"/>
    <s v="Purchases - Secondary"/>
    <x v="2"/>
    <x v="4"/>
    <s v="EDF Trading NA LLC"/>
    <n v="585729"/>
    <n v="904.65944483592443"/>
    <n v="264942.63598215056"/>
  </r>
  <r>
    <x v="6"/>
    <s v="Purchases - Secondary"/>
    <x v="2"/>
    <x v="4"/>
    <s v="Eugene Water &amp; Electric"/>
    <n v="63900"/>
    <n v="904.65944483592443"/>
    <n v="28903.869262507786"/>
  </r>
  <r>
    <x v="6"/>
    <s v="Purchases - Secondary"/>
    <x v="2"/>
    <x v="4"/>
    <s v="Exelon Generation Co LLC"/>
    <n v="10000"/>
    <n v="904.65944483592443"/>
    <n v="4523.2972241796215"/>
  </r>
  <r>
    <x v="6"/>
    <s v="Purchases - Secondary"/>
    <x v="2"/>
    <x v="4"/>
    <s v="Grant County PUD #2"/>
    <n v="57335"/>
    <n v="904.65944483592443"/>
    <n v="25934.324634833865"/>
  </r>
  <r>
    <x v="6"/>
    <s v="Purchases - Secondary"/>
    <x v="2"/>
    <x v="4"/>
    <s v="Hinson Power Company"/>
    <n v="20800"/>
    <n v="904.65944483592443"/>
    <n v="9408.4582262936146"/>
  </r>
  <r>
    <x v="6"/>
    <s v="Purchases - Secondary"/>
    <x v="2"/>
    <x v="4"/>
    <s v="Iberdrola Renewables (PPM Energy)"/>
    <n v="587403"/>
    <n v="904.65944483592443"/>
    <n v="265699.83593747829"/>
  </r>
  <r>
    <x v="6"/>
    <s v="Purchases - Secondary"/>
    <x v="2"/>
    <x v="4"/>
    <s v="Idaho Power Company"/>
    <n v="73320"/>
    <n v="904.65944483592443"/>
    <n v="33164.815247684986"/>
  </r>
  <r>
    <x v="6"/>
    <s v="Purchases - Secondary"/>
    <x v="2"/>
    <x v="4"/>
    <s v="J. Aron &amp; Company"/>
    <n v="400"/>
    <n v="904.65944483592443"/>
    <n v="180.93188896718488"/>
  </r>
  <r>
    <x v="6"/>
    <s v="Purchases - Secondary"/>
    <x v="2"/>
    <x v="4"/>
    <s v="JP Morgan Ventures Energy"/>
    <n v="1148676"/>
    <n v="904.65944483592443"/>
    <n v="519580.29622817517"/>
  </r>
  <r>
    <x v="6"/>
    <s v="Purchases - Secondary"/>
    <x v="2"/>
    <x v="4"/>
    <s v="Merrill Lynch Commodities"/>
    <n v="350800"/>
    <n v="904.65944483592443"/>
    <n v="158677.26662422114"/>
  </r>
  <r>
    <x v="6"/>
    <s v="Purchases - Secondary"/>
    <x v="2"/>
    <x v="4"/>
    <s v="Morgan Stanley CG"/>
    <n v="1335550"/>
    <n v="904.65944483592443"/>
    <n v="604108.96077530948"/>
  </r>
  <r>
    <x v="6"/>
    <s v="Purchases - Secondary"/>
    <x v="2"/>
    <x v="4"/>
    <s v="NextEra Energy Power Marketing"/>
    <n v="30168"/>
    <n v="904.65944483592443"/>
    <n v="13645.883065905085"/>
  </r>
  <r>
    <x v="6"/>
    <s v="Purchases - Secondary"/>
    <x v="2"/>
    <x v="4"/>
    <s v="Noble Americas Energy Solutions"/>
    <n v="10800"/>
    <n v="904.65944483592443"/>
    <n v="4885.1610021139923"/>
  </r>
  <r>
    <x v="6"/>
    <s v="Purchases - Secondary"/>
    <x v="2"/>
    <x v="4"/>
    <s v="Noble Americas Gas &amp; Power"/>
    <n v="3200"/>
    <n v="904.65944483592443"/>
    <n v="1447.455111737479"/>
  </r>
  <r>
    <x v="6"/>
    <s v="Purchases - Secondary"/>
    <x v="2"/>
    <x v="4"/>
    <s v="NorthPoint Energy Solutions, Inc."/>
    <n v="430"/>
    <n v="904.65944483592443"/>
    <n v="194.50178063972376"/>
  </r>
  <r>
    <x v="6"/>
    <s v="Purchases - Secondary"/>
    <x v="2"/>
    <x v="4"/>
    <s v="Northwestern Energy"/>
    <n v="6224"/>
    <n v="904.65944483592443"/>
    <n v="2815.3001923293969"/>
  </r>
  <r>
    <x v="6"/>
    <s v="Purchases - Secondary"/>
    <x v="2"/>
    <x v="4"/>
    <s v="Okanogan PUD"/>
    <n v="4945"/>
    <n v="904.65944483592443"/>
    <n v="2236.770477356823"/>
  </r>
  <r>
    <x v="6"/>
    <s v="Purchases - Secondary"/>
    <x v="2"/>
    <x v="4"/>
    <s v="Pacific Northwest Generatin Coop."/>
    <n v="337472"/>
    <n v="904.65944483592443"/>
    <n v="152648.61608383455"/>
  </r>
  <r>
    <x v="6"/>
    <s v="Purchases - Secondary"/>
    <x v="2"/>
    <x v="4"/>
    <s v="Pacific Summit Energy LLC"/>
    <n v="1952"/>
    <n v="904.65944483592443"/>
    <n v="882.94761815986226"/>
  </r>
  <r>
    <x v="6"/>
    <s v="Purchases - Secondary"/>
    <x v="2"/>
    <x v="4"/>
    <s v="Pacificorp"/>
    <n v="78506"/>
    <n v="904.65944483592443"/>
    <n v="35510.597188144544"/>
  </r>
  <r>
    <x v="6"/>
    <s v="Purchases - Secondary"/>
    <x v="2"/>
    <x v="4"/>
    <s v="PG&amp;E Energy Trading"/>
    <n v="104400"/>
    <n v="904.65944483592443"/>
    <n v="47223.22302043526"/>
  </r>
  <r>
    <x v="6"/>
    <s v="Purchases - Secondary"/>
    <x v="2"/>
    <x v="4"/>
    <s v="Portland General Electric"/>
    <n v="41895"/>
    <n v="904.65944483592443"/>
    <n v="18950.353720700528"/>
  </r>
  <r>
    <x v="6"/>
    <s v="Purchases - Secondary"/>
    <x v="2"/>
    <x v="4"/>
    <s v="Powerex Corp."/>
    <n v="168076"/>
    <n v="904.65944483592443"/>
    <n v="76025.770425121416"/>
  </r>
  <r>
    <x v="6"/>
    <s v="Purchases - Secondary"/>
    <x v="2"/>
    <x v="4"/>
    <s v="Public Service of Colorado"/>
    <n v="800"/>
    <n v="904.65944483592443"/>
    <n v="361.86377793436975"/>
  </r>
  <r>
    <x v="6"/>
    <s v="Purchases - Secondary"/>
    <x v="2"/>
    <x v="4"/>
    <s v="Rainbow Energy Marketing"/>
    <n v="48216"/>
    <n v="904.65944483592443"/>
    <n v="21809.529896104465"/>
  </r>
  <r>
    <x v="6"/>
    <s v="Purchases - Secondary"/>
    <x v="2"/>
    <x v="4"/>
    <s v="Sacramento Municipal"/>
    <n v="5763"/>
    <n v="904.65944483592443"/>
    <n v="2606.7761902947159"/>
  </r>
  <r>
    <x v="6"/>
    <s v="Purchases - Secondary"/>
    <x v="2"/>
    <x v="4"/>
    <s v="San Diego Gas &amp; Electric"/>
    <n v="556"/>
    <n v="904.65944483592443"/>
    <n v="251.495325664387"/>
  </r>
  <r>
    <x v="6"/>
    <s v="Purchases - Secondary"/>
    <x v="2"/>
    <x v="4"/>
    <s v="Seattle City Light Marketing"/>
    <n v="251794"/>
    <n v="904.65944483592443"/>
    <n v="113893.91012650839"/>
  </r>
  <r>
    <x v="6"/>
    <s v="Purchases - Secondary"/>
    <x v="2"/>
    <x v="4"/>
    <s v="Sempra Energy Trading"/>
    <n v="77538"/>
    <n v="904.65944483592443"/>
    <n v="35072.742016843949"/>
  </r>
  <r>
    <x v="6"/>
    <s v="Purchases - Secondary"/>
    <x v="2"/>
    <x v="4"/>
    <s v="Shell Energy (Coral Pwr)"/>
    <n v="484678"/>
    <n v="904.65944483592443"/>
    <n v="219234.26520209308"/>
  </r>
  <r>
    <x v="6"/>
    <s v="Purchases - Secondary"/>
    <x v="2"/>
    <x v="4"/>
    <s v="Sierra Pacific Power"/>
    <n v="125"/>
    <n v="904.65944483592443"/>
    <n v="56.541215302245277"/>
  </r>
  <r>
    <x v="6"/>
    <s v="Purchases - Secondary"/>
    <x v="2"/>
    <x v="4"/>
    <s v="Snohomish County PUD #1"/>
    <n v="43003"/>
    <n v="904.65944483592443"/>
    <n v="19451.535053139633"/>
  </r>
  <r>
    <x v="6"/>
    <s v="Purchases - Secondary"/>
    <x v="2"/>
    <x v="4"/>
    <s v="Southern Cal - Edison"/>
    <n v="14057"/>
    <n v="904.65944483592443"/>
    <n v="6358.3989080292949"/>
  </r>
  <r>
    <x v="6"/>
    <s v="Purchases - Secondary"/>
    <x v="2"/>
    <x v="4"/>
    <s v="Tacoma Power"/>
    <n v="108837"/>
    <n v="904.65944483592443"/>
    <n v="49230.209998803759"/>
  </r>
  <r>
    <x v="6"/>
    <s v="Purchases - Secondary"/>
    <x v="2"/>
    <x v="4"/>
    <s v="Talen Energy (PPL Energy Plus)"/>
    <n v="122522"/>
    <n v="904.65944483592443"/>
    <n v="55420.342250093563"/>
  </r>
  <r>
    <x v="6"/>
    <s v="Purchases - Secondary"/>
    <x v="2"/>
    <x v="4"/>
    <s v="Tenaska"/>
    <n v="202"/>
    <n v="904.65944483592443"/>
    <n v="91.370603928428366"/>
  </r>
  <r>
    <x v="6"/>
    <s v="Purchases - Secondary"/>
    <x v="2"/>
    <x v="4"/>
    <s v="Tenaska Power Services Co."/>
    <n v="400"/>
    <n v="904.65944483592443"/>
    <n v="180.93188896718488"/>
  </r>
  <r>
    <x v="6"/>
    <s v="Purchases - Secondary"/>
    <x v="2"/>
    <x v="4"/>
    <s v="The Energy Authority"/>
    <n v="55496"/>
    <n v="904.65944483592443"/>
    <n v="25102.490275307231"/>
  </r>
  <r>
    <x v="6"/>
    <s v="Purchases - Secondary"/>
    <x v="2"/>
    <x v="4"/>
    <s v="TransAlta Energy Marketing"/>
    <n v="2238117"/>
    <n v="904.65944483592443"/>
    <n v="1012366.8413489223"/>
  </r>
  <r>
    <x v="6"/>
    <s v="Purchases - Secondary"/>
    <x v="2"/>
    <x v="4"/>
    <s v="Turlock Irrigation District"/>
    <n v="37399"/>
    <n v="904.65944483592443"/>
    <n v="16916.679288709369"/>
  </r>
  <r>
    <x v="6"/>
    <s v="Purchases - Secondary"/>
    <x v="2"/>
    <x v="4"/>
    <s v="Western Area Power Association"/>
    <n v="1669"/>
    <n v="904.65944483592443"/>
    <n v="754.93830671557885"/>
  </r>
  <r>
    <x v="6"/>
    <s v="Interchange - In"/>
    <x v="2"/>
    <x v="4"/>
    <s v="Black Creek Hydro"/>
    <n v="3049"/>
    <n v="904.65944483592443"/>
    <n v="1379.1533236523669"/>
  </r>
  <r>
    <x v="6"/>
    <s v="Interchange - In"/>
    <x v="2"/>
    <x v="4"/>
    <s v="BPA"/>
    <n v="45405"/>
    <n v="904.65944483592443"/>
    <n v="20538.031046387576"/>
  </r>
  <r>
    <x v="6"/>
    <s v="Interchange - In"/>
    <x v="2"/>
    <x v="4"/>
    <s v="Pacific Gas &amp; Elec - Exchange"/>
    <n v="413092"/>
    <n v="904.65944483592443"/>
    <n v="186853.78969308085"/>
  </r>
  <r>
    <x v="6"/>
    <s v="Interchange - Out"/>
    <x v="2"/>
    <x v="4"/>
    <s v="Black Creek Hydro"/>
    <n v="-6556"/>
    <n v="904.65944483592443"/>
    <n v="-2965.4736601721602"/>
  </r>
  <r>
    <x v="6"/>
    <s v="Interchange - Out"/>
    <x v="2"/>
    <x v="4"/>
    <s v="BPA"/>
    <n v="-46691"/>
    <n v="904.65944483592443"/>
    <n v="-21119.727069417073"/>
  </r>
  <r>
    <x v="6"/>
    <s v="Interchange - Out"/>
    <x v="2"/>
    <x v="4"/>
    <s v="Deviation"/>
    <n v="34040.392"/>
    <n v="904.65944483592443"/>
    <n v="15397.481064358622"/>
  </r>
  <r>
    <x v="6"/>
    <s v="Interchange - Out"/>
    <x v="2"/>
    <x v="4"/>
    <s v="Pacific Gas &amp; Elec - Exchange"/>
    <n v="-413000"/>
    <n v="904.65944483592443"/>
    <n v="-186812.17535861841"/>
  </r>
  <r>
    <x v="6"/>
    <s v="Sales for Resale"/>
    <x v="2"/>
    <x v="4"/>
    <s v="Avista Corp. WWP Division"/>
    <n v="-30733"/>
    <n v="904.65944483592443"/>
    <n v="-13901.449359071232"/>
  </r>
  <r>
    <x v="6"/>
    <s v="Sales for Resale"/>
    <x v="2"/>
    <x v="4"/>
    <s v="Barclays Bank Plc"/>
    <n v="-29465"/>
    <n v="904.65944483592443"/>
    <n v="-13327.895271045256"/>
  </r>
  <r>
    <x v="6"/>
    <s v="Sales for Resale"/>
    <x v="2"/>
    <x v="4"/>
    <s v="Black Hills Power"/>
    <n v="-2654"/>
    <n v="904.65944483592443"/>
    <n v="-1200.4830832972718"/>
  </r>
  <r>
    <x v="6"/>
    <s v="Sales for Resale"/>
    <x v="2"/>
    <x v="4"/>
    <s v="BNP Paribas Energy Trading"/>
    <n v="-20616"/>
    <n v="904.65944483592443"/>
    <n v="-9325.2295573687079"/>
  </r>
  <r>
    <x v="6"/>
    <s v="Sales for Resale"/>
    <x v="2"/>
    <x v="4"/>
    <s v="Book Outs - EITF 03-11"/>
    <n v="3622674"/>
    <n v="904.65944483592443"/>
    <n v="1638643.1248307689"/>
  </r>
  <r>
    <x v="6"/>
    <s v="Sales for Resale"/>
    <x v="2"/>
    <x v="4"/>
    <s v="BP Energy Co."/>
    <n v="-148410"/>
    <n v="904.65944483592443"/>
    <n v="-67130.254104049774"/>
  </r>
  <r>
    <x v="6"/>
    <s v="Sales for Resale"/>
    <x v="2"/>
    <x v="4"/>
    <s v="BPA"/>
    <n v="-84760"/>
    <n v="904.65944483592443"/>
    <n v="-38339.467272146481"/>
  </r>
  <r>
    <x v="6"/>
    <s v="Sales for Resale"/>
    <x v="2"/>
    <x v="4"/>
    <s v="British Columbia Transmission Corp"/>
    <n v="-1"/>
    <n v="904.65944483592443"/>
    <n v="-0.45232972241796221"/>
  </r>
  <r>
    <x v="6"/>
    <s v="Sales for Resale"/>
    <x v="2"/>
    <x v="4"/>
    <s v="Burbank, City of"/>
    <n v="-800"/>
    <n v="904.65944483592443"/>
    <n v="-361.86377793436975"/>
  </r>
  <r>
    <x v="6"/>
    <s v="Sales for Resale"/>
    <x v="2"/>
    <x v="4"/>
    <s v="Cargill Power Markets"/>
    <n v="-141861"/>
    <n v="904.65944483592443"/>
    <n v="-64167.946751934534"/>
  </r>
  <r>
    <x v="6"/>
    <s v="Sales for Resale"/>
    <x v="2"/>
    <x v="4"/>
    <s v="Chelan County PUD #1"/>
    <n v="-1600"/>
    <n v="904.65944483592443"/>
    <n v="-723.7275558687395"/>
  </r>
  <r>
    <x v="6"/>
    <s v="Sales for Resale"/>
    <x v="2"/>
    <x v="4"/>
    <s v="Citigroup Energy Inc"/>
    <n v="-167241"/>
    <n v="904.65944483592443"/>
    <n v="-75648.075106902426"/>
  </r>
  <r>
    <x v="6"/>
    <s v="Sales for Resale"/>
    <x v="2"/>
    <x v="4"/>
    <s v="Clark Public Utilities"/>
    <n v="-6320"/>
    <n v="904.65944483592443"/>
    <n v="-2858.7238456815212"/>
  </r>
  <r>
    <x v="6"/>
    <s v="Sales for Resale"/>
    <x v="2"/>
    <x v="4"/>
    <s v="Clatskanie PUD"/>
    <n v="-8952"/>
    <n v="904.65944483592443"/>
    <n v="-4049.2556750855979"/>
  </r>
  <r>
    <x v="6"/>
    <s v="Sales for Resale"/>
    <x v="2"/>
    <x v="4"/>
    <s v="Conoco, Inc."/>
    <n v="-40"/>
    <n v="904.65944483592443"/>
    <n v="-18.093188896718491"/>
  </r>
  <r>
    <x v="6"/>
    <s v="Sales for Resale"/>
    <x v="2"/>
    <x v="4"/>
    <s v="Constellation Power Source, Inc."/>
    <n v="-50578"/>
    <n v="904.65944483592443"/>
    <n v="-22877.932700455691"/>
  </r>
  <r>
    <x v="6"/>
    <s v="Sales for Resale"/>
    <x v="2"/>
    <x v="4"/>
    <s v="CP Energy Marketing (Epcor)"/>
    <n v="-9659"/>
    <n v="904.65944483592443"/>
    <n v="-4369.0527888350971"/>
  </r>
  <r>
    <x v="6"/>
    <s v="Sales for Resale"/>
    <x v="2"/>
    <x v="4"/>
    <s v="DB Energy Trading LLC"/>
    <n v="-73077"/>
    <n v="904.65944483592443"/>
    <n v="-33054.899125137425"/>
  </r>
  <r>
    <x v="6"/>
    <s v="Sales for Resale"/>
    <x v="2"/>
    <x v="4"/>
    <s v="Douglas County PUD #1"/>
    <n v="-1531"/>
    <n v="904.65944483592443"/>
    <n v="-692.51680502190015"/>
  </r>
  <r>
    <x v="6"/>
    <s v="Sales for Resale"/>
    <x v="2"/>
    <x v="4"/>
    <s v="EDF Trading NA LLC"/>
    <n v="-95429"/>
    <n v="904.65944483592443"/>
    <n v="-43165.373080623714"/>
  </r>
  <r>
    <x v="6"/>
    <s v="Sales for Resale"/>
    <x v="2"/>
    <x v="4"/>
    <s v="ENMAX Energy Marketing, Inc."/>
    <n v="567"/>
    <n v="904.65944483592443"/>
    <n v="256.47095261098457"/>
  </r>
  <r>
    <x v="6"/>
    <s v="Sales for Resale"/>
    <x v="2"/>
    <x v="4"/>
    <s v="Eugene Water &amp; Electric"/>
    <n v="-33425"/>
    <n v="904.65944483592443"/>
    <n v="-15119.120971820388"/>
  </r>
  <r>
    <x v="6"/>
    <s v="Sales for Resale"/>
    <x v="2"/>
    <x v="4"/>
    <s v="Exelon Generation Co LLC"/>
    <n v="-15200"/>
    <n v="904.65944483592443"/>
    <n v="-6875.4117807530256"/>
  </r>
  <r>
    <x v="6"/>
    <s v="Sales for Resale"/>
    <x v="2"/>
    <x v="4"/>
    <s v="Grant County PUD #2"/>
    <n v="-27856"/>
    <n v="904.65944483592443"/>
    <n v="-12600.096747674756"/>
  </r>
  <r>
    <x v="6"/>
    <s v="Sales for Resale"/>
    <x v="2"/>
    <x v="4"/>
    <s v="Iberdrola Renewables (PPM Energy)"/>
    <n v="-428020"/>
    <n v="904.65944483592443"/>
    <n v="-193606.16778933618"/>
  </r>
  <r>
    <x v="6"/>
    <s v="Sales for Resale"/>
    <x v="2"/>
    <x v="4"/>
    <s v="Idaho Power Company"/>
    <n v="-24625"/>
    <n v="904.65944483592443"/>
    <n v="-11138.61941454232"/>
  </r>
  <r>
    <x v="6"/>
    <s v="Sales for Resale"/>
    <x v="2"/>
    <x v="4"/>
    <s v="J. Aron &amp; Company"/>
    <n v="-21600"/>
    <n v="904.65944483592443"/>
    <n v="-9770.3220042279845"/>
  </r>
  <r>
    <x v="6"/>
    <s v="Sales for Resale"/>
    <x v="2"/>
    <x v="4"/>
    <s v="JP Morgan Ventures Energy"/>
    <n v="-47261"/>
    <n v="904.65944483592443"/>
    <n v="-21377.555011195313"/>
  </r>
  <r>
    <x v="6"/>
    <s v="Sales for Resale"/>
    <x v="2"/>
    <x v="4"/>
    <s v="Los Angeles Dept. Water &amp; Power"/>
    <n v="-1150"/>
    <n v="904.65944483592443"/>
    <n v="-520.17918078065657"/>
  </r>
  <r>
    <x v="6"/>
    <s v="Sales for Resale"/>
    <x v="2"/>
    <x v="4"/>
    <s v="Merrill Lynch Commodities"/>
    <n v="-18800"/>
    <n v="904.65944483592443"/>
    <n v="-8503.79878145769"/>
  </r>
  <r>
    <x v="6"/>
    <s v="Sales for Resale"/>
    <x v="2"/>
    <x v="4"/>
    <s v="Morgan Stanley CG"/>
    <n v="-586129"/>
    <n v="904.65944483592443"/>
    <n v="-265123.56787111779"/>
  </r>
  <r>
    <x v="6"/>
    <s v="Sales for Resale"/>
    <x v="2"/>
    <x v="4"/>
    <s v="N. California Power Agency"/>
    <n v="-482"/>
    <n v="904.65944483592443"/>
    <n v="-218.02292620545779"/>
  </r>
  <r>
    <x v="6"/>
    <s v="Sales for Resale"/>
    <x v="2"/>
    <x v="4"/>
    <s v="Natur Ener USA"/>
    <n v="-30"/>
    <n v="904.65944483592443"/>
    <n v="-13.569891672538866"/>
  </r>
  <r>
    <x v="6"/>
    <s v="Sales for Resale"/>
    <x v="2"/>
    <x v="4"/>
    <s v="NextEra Energy Power Marketing"/>
    <n v="-9250"/>
    <n v="904.65944483592443"/>
    <n v="-4184.0499323661506"/>
  </r>
  <r>
    <x v="6"/>
    <s v="Sales for Resale"/>
    <x v="2"/>
    <x v="4"/>
    <s v="Noble Americas Energy Solutions"/>
    <n v="-800"/>
    <n v="904.65944483592443"/>
    <n v="-361.86377793436975"/>
  </r>
  <r>
    <x v="6"/>
    <s v="Sales for Resale"/>
    <x v="2"/>
    <x v="4"/>
    <s v="Noble Americas Gas &amp; Power"/>
    <n v="-3388"/>
    <n v="904.65944483592443"/>
    <n v="-1532.493099552056"/>
  </r>
  <r>
    <x v="6"/>
    <s v="Sales for Resale"/>
    <x v="2"/>
    <x v="4"/>
    <s v="NorthPoint Energy Solutions, Inc."/>
    <n v="-7683"/>
    <n v="904.65944483592443"/>
    <n v="-3475.2492573372037"/>
  </r>
  <r>
    <x v="6"/>
    <s v="Sales for Resale"/>
    <x v="2"/>
    <x v="4"/>
    <s v="Northwestern Energy"/>
    <n v="-56370"/>
    <n v="904.65944483592443"/>
    <n v="-25497.82645270053"/>
  </r>
  <r>
    <x v="6"/>
    <s v="Sales for Resale"/>
    <x v="2"/>
    <x v="4"/>
    <s v="Okanogan PUD"/>
    <n v="-855"/>
    <n v="904.65944483592443"/>
    <n v="-386.74191266735772"/>
  </r>
  <r>
    <x v="6"/>
    <s v="Sales for Resale"/>
    <x v="2"/>
    <x v="4"/>
    <s v="Pacific Northwest Generatin Coop."/>
    <n v="-1655"/>
    <n v="904.65944483592443"/>
    <n v="-748.60569060172747"/>
  </r>
  <r>
    <x v="6"/>
    <s v="Sales for Resale"/>
    <x v="2"/>
    <x v="4"/>
    <s v="Pacific Summit Energy LLC"/>
    <n v="-57339"/>
    <n v="904.65944483592443"/>
    <n v="-25936.133953723536"/>
  </r>
  <r>
    <x v="6"/>
    <s v="Sales for Resale"/>
    <x v="2"/>
    <x v="4"/>
    <s v="Pacificorp"/>
    <n v="-246935"/>
    <n v="904.65944483592443"/>
    <n v="-111696.0400052795"/>
  </r>
  <r>
    <x v="6"/>
    <s v="Sales for Resale"/>
    <x v="2"/>
    <x v="4"/>
    <s v="PG&amp;E Energy Trading"/>
    <n v="-790398"/>
    <n v="904.65944483592443"/>
    <n v="-357520.50793971255"/>
  </r>
  <r>
    <x v="6"/>
    <s v="Sales for Resale"/>
    <x v="2"/>
    <x v="4"/>
    <s v="Portland General Electric"/>
    <n v="-251716"/>
    <n v="904.65944483592443"/>
    <n v="-113858.62840815978"/>
  </r>
  <r>
    <x v="6"/>
    <s v="Sales for Resale"/>
    <x v="2"/>
    <x v="4"/>
    <s v="Powerex Corp."/>
    <n v="-294366"/>
    <n v="904.65944483592443"/>
    <n v="-133150.49106928587"/>
  </r>
  <r>
    <x v="6"/>
    <s v="Sales for Resale"/>
    <x v="2"/>
    <x v="4"/>
    <s v="Public Service of Colorado"/>
    <n v="-1600"/>
    <n v="904.65944483592443"/>
    <n v="-723.7275558687395"/>
  </r>
  <r>
    <x v="6"/>
    <s v="Sales for Resale"/>
    <x v="2"/>
    <x v="4"/>
    <s v="Rainbow Energy Marketing"/>
    <n v="-69776"/>
    <n v="904.65944483592443"/>
    <n v="-31561.75871143573"/>
  </r>
  <r>
    <x v="6"/>
    <s v="Sales for Resale"/>
    <x v="2"/>
    <x v="4"/>
    <s v="Redding, City of"/>
    <n v="-69"/>
    <n v="904.65944483592443"/>
    <n v="-31.210750846839392"/>
  </r>
  <r>
    <x v="6"/>
    <s v="Sales for Resale"/>
    <x v="2"/>
    <x v="4"/>
    <s v="Sacramento Municipal"/>
    <n v="-28531"/>
    <n v="904.65944483592443"/>
    <n v="-12905.419310306881"/>
  </r>
  <r>
    <x v="6"/>
    <s v="Sales for Resale"/>
    <x v="2"/>
    <x v="4"/>
    <s v="San Diego Gas &amp; Electric"/>
    <n v="-22412"/>
    <n v="904.65944483592443"/>
    <n v="-10137.613738831369"/>
  </r>
  <r>
    <x v="6"/>
    <s v="Sales for Resale"/>
    <x v="2"/>
    <x v="4"/>
    <s v="Seattle City Light Marketing"/>
    <n v="-23444"/>
    <n v="904.65944483592443"/>
    <n v="-10604.418012366707"/>
  </r>
  <r>
    <x v="6"/>
    <s v="Sales for Resale"/>
    <x v="2"/>
    <x v="4"/>
    <s v="Shell Energy (Coral Pwr)"/>
    <n v="-457267"/>
    <n v="904.65944483592443"/>
    <n v="-206835.45518089432"/>
  </r>
  <r>
    <x v="6"/>
    <s v="Sales for Resale"/>
    <x v="2"/>
    <x v="4"/>
    <s v="Sierra Pacific Power"/>
    <n v="-14123"/>
    <n v="904.65944483592443"/>
    <n v="-6388.2526697088806"/>
  </r>
  <r>
    <x v="6"/>
    <s v="Sales for Resale"/>
    <x v="2"/>
    <x v="4"/>
    <s v="Snohomish County PUD #1"/>
    <n v="-9938"/>
    <n v="904.65944483592443"/>
    <n v="-4495.2527813897086"/>
  </r>
  <r>
    <x v="6"/>
    <s v="Sales for Resale"/>
    <x v="2"/>
    <x v="4"/>
    <s v="Southern Cal - Edison"/>
    <n v="-526126"/>
    <n v="904.65944483592443"/>
    <n v="-237982.42753687277"/>
  </r>
  <r>
    <x v="6"/>
    <s v="Sales for Resale"/>
    <x v="2"/>
    <x v="4"/>
    <s v="Tacoma Power"/>
    <n v="-19779"/>
    <n v="904.65944483592443"/>
    <n v="-8946.6295797048751"/>
  </r>
  <r>
    <x v="6"/>
    <s v="Sales for Resale"/>
    <x v="2"/>
    <x v="4"/>
    <s v="Talen Energy (PPL Energy Plus)"/>
    <n v="-185885"/>
    <n v="904.65944483592443"/>
    <n v="-84081.31045166291"/>
  </r>
  <r>
    <x v="6"/>
    <s v="Sales for Resale"/>
    <x v="2"/>
    <x v="4"/>
    <s v="Tenaska Power Services Co."/>
    <n v="-3600"/>
    <n v="904.65944483592443"/>
    <n v="-1628.3870007046639"/>
  </r>
  <r>
    <x v="6"/>
    <s v="Sales for Resale"/>
    <x v="2"/>
    <x v="4"/>
    <s v="The Energy Authority"/>
    <n v="-19100"/>
    <n v="904.65944483592443"/>
    <n v="-8639.4976981830787"/>
  </r>
  <r>
    <x v="6"/>
    <s v="Sales for Resale"/>
    <x v="2"/>
    <x v="4"/>
    <s v="TransAlta Energy Marketing"/>
    <n v="-212919"/>
    <n v="904.65944483592443"/>
    <n v="-96309.592167510098"/>
  </r>
  <r>
    <x v="6"/>
    <s v="Sales for Resale"/>
    <x v="2"/>
    <x v="4"/>
    <s v="TransCanada Energy Sales Ltd"/>
    <n v="-14806"/>
    <n v="904.65944483592443"/>
    <n v="-6697.193870120348"/>
  </r>
  <r>
    <x v="6"/>
    <s v="Sales for Resale"/>
    <x v="2"/>
    <x v="4"/>
    <s v="Turlock Irrigation District"/>
    <n v="-24869"/>
    <n v="904.65944483592443"/>
    <n v="-11248.987866812302"/>
  </r>
  <r>
    <x v="6"/>
    <s v="Sales for Resale"/>
    <x v="2"/>
    <x v="4"/>
    <s v="Western Area Power Association"/>
    <n v="-1265"/>
    <n v="904.65944483592443"/>
    <n v="-572.19709885872226"/>
  </r>
  <r>
    <x v="7"/>
    <s v="Generation - Hydro"/>
    <x v="0"/>
    <x v="0"/>
    <s v="Electron"/>
    <n v="49582.500999999997"/>
    <n v="0"/>
    <n v="0"/>
  </r>
  <r>
    <x v="7"/>
    <s v="Generation - Hydro"/>
    <x v="0"/>
    <x v="0"/>
    <s v="Lower Baker"/>
    <n v="349273.41600000003"/>
    <n v="0"/>
    <n v="0"/>
  </r>
  <r>
    <x v="7"/>
    <s v="Generation - Hydro"/>
    <x v="0"/>
    <x v="0"/>
    <s v="Snoqualmie Falls #1"/>
    <n v="-1203.3699999999999"/>
    <n v="0"/>
    <n v="0"/>
  </r>
  <r>
    <x v="7"/>
    <s v="Generation - Hydro"/>
    <x v="0"/>
    <x v="0"/>
    <s v="Snoqualmie Falls #2"/>
    <n v="-636.02"/>
    <n v="0"/>
    <n v="0"/>
  </r>
  <r>
    <x v="7"/>
    <s v="Generation - Hydro"/>
    <x v="0"/>
    <x v="0"/>
    <s v="Upper Baker"/>
    <n v="349723.13699999999"/>
    <n v="0"/>
    <n v="0"/>
  </r>
  <r>
    <x v="7"/>
    <s v="Generation - Steam"/>
    <x v="0"/>
    <x v="1"/>
    <s v="Colstrip 1 &amp; 2"/>
    <n v="1424335.0120000001"/>
    <n v="2349.8257362489862"/>
    <n v="1673469.5341190542"/>
  </r>
  <r>
    <x v="7"/>
    <s v="Generation - Steam"/>
    <x v="0"/>
    <x v="1"/>
    <s v="Colstrip 3 &amp; 4"/>
    <n v="2385189"/>
    <n v="2393.7645012833036"/>
    <n v="2854790.3785257111"/>
  </r>
  <r>
    <x v="7"/>
    <s v="Generation - Steam"/>
    <x v="2"/>
    <x v="4"/>
    <s v="Deferral Offsets"/>
    <n v="-52.36"/>
    <n v="903.13346574503635"/>
    <n v="-23.644034133205054"/>
  </r>
  <r>
    <x v="7"/>
    <s v="Generation - Steam"/>
    <x v="0"/>
    <x v="2"/>
    <s v="Encogen"/>
    <n v="108457.06999999999"/>
    <n v="1049.4122071397105"/>
    <n v="56908.086604303033"/>
  </r>
  <r>
    <x v="7"/>
    <s v="Generation - Steam"/>
    <x v="0"/>
    <x v="2"/>
    <s v="Ferndale Co-Generation"/>
    <n v="1607.07"/>
    <n v="19630.897386131426"/>
    <n v="15774.113131165115"/>
  </r>
  <r>
    <x v="7"/>
    <s v="Generation - Steam"/>
    <x v="0"/>
    <x v="2"/>
    <s v="Freddie #1"/>
    <n v="175177.486"/>
    <n v="1749.2870770111949"/>
    <n v="153217.85622155474"/>
  </r>
  <r>
    <x v="7"/>
    <s v="Generation - Steam"/>
    <x v="0"/>
    <x v="2"/>
    <s v="Goldendale"/>
    <n v="909496.56500000006"/>
    <n v="788.66119728262413"/>
    <n v="358642.32493866701"/>
  </r>
  <r>
    <x v="7"/>
    <s v="Generation - Steam"/>
    <x v="0"/>
    <x v="2"/>
    <s v="Mint Farm"/>
    <n v="1098069.3709999998"/>
    <n v="870.20470928410623"/>
    <n v="477772.5688824181"/>
  </r>
  <r>
    <x v="7"/>
    <s v="Generation - Steam"/>
    <x v="0"/>
    <x v="2"/>
    <s v="Sumas"/>
    <n v="223749.87400000001"/>
    <n v="1049.718162234019"/>
    <n v="117437.15326768665"/>
  </r>
  <r>
    <x v="7"/>
    <s v="Generation - Oil/Gas/Wind"/>
    <x v="0"/>
    <x v="3"/>
    <s v="Crystal Mountain"/>
    <n v="298.26"/>
    <n v="72576.7303584982"/>
    <n v="10823.367798362837"/>
  </r>
  <r>
    <x v="7"/>
    <s v="Generation - Oil/Gas/Wind"/>
    <x v="2"/>
    <x v="4"/>
    <s v="Deferral Offsets"/>
    <n v="-101.64"/>
    <n v="903.13346574503635"/>
    <n v="-45.897242729162748"/>
  </r>
  <r>
    <x v="7"/>
    <s v="Generation - Oil/Gas/Wind"/>
    <x v="0"/>
    <x v="2"/>
    <s v="Fredonia"/>
    <n v="17192.718000000001"/>
    <n v="14670.939396443593"/>
    <n v="126116.66191907245"/>
  </r>
  <r>
    <x v="7"/>
    <s v="Generation - Oil/Gas/Wind"/>
    <x v="0"/>
    <x v="2"/>
    <s v="Fredonia 3 &amp; 4"/>
    <n v="25360"/>
    <n v="1266.8699948920128"/>
    <n v="16063.91153523072"/>
  </r>
  <r>
    <x v="7"/>
    <s v="Generation - Oil/Gas/Wind"/>
    <x v="0"/>
    <x v="2"/>
    <s v="Fredrickson 1 &amp; 2"/>
    <n v="31650.31"/>
    <n v="2994.5387814226269"/>
    <n v="47389.040369524198"/>
  </r>
  <r>
    <x v="7"/>
    <s v="Generation - Oil/Gas/Wind"/>
    <x v="0"/>
    <x v="0"/>
    <s v="Hopkins Ridge (W184)"/>
    <n v="430639.962"/>
    <n v="0"/>
    <n v="0"/>
  </r>
  <r>
    <x v="7"/>
    <s v="Generation - Oil/Gas/Wind"/>
    <x v="0"/>
    <x v="0"/>
    <s v="Lower Snake River"/>
    <n v="714783.17700000003"/>
    <n v="0"/>
    <n v="0"/>
  </r>
  <r>
    <x v="7"/>
    <s v="Generation - Oil/Gas/Wind"/>
    <x v="0"/>
    <x v="2"/>
    <s v="Whitehorn 2&amp;3"/>
    <n v="29277.7"/>
    <n v="5720.0200830619897"/>
    <n v="83734.515992932007"/>
  </r>
  <r>
    <x v="7"/>
    <s v="Generation - Oil/Gas/Wind"/>
    <x v="0"/>
    <x v="0"/>
    <s v="Wild Horse (W183)"/>
    <n v="677389.93"/>
    <n v="0"/>
    <n v="0"/>
  </r>
  <r>
    <x v="7"/>
    <s v="Purchases - Firm"/>
    <x v="1"/>
    <x v="0"/>
    <s v="3 Bar G Wind Turbine #3 LLC"/>
    <n v="190.13800000000001"/>
    <n v="0"/>
    <n v="0"/>
  </r>
  <r>
    <x v="7"/>
    <s v="Purchases - Firm"/>
    <x v="1"/>
    <x v="4"/>
    <s v="Barclays Bank Plc"/>
    <n v="217875"/>
    <n v="903.13346574503635"/>
    <n v="98385.101924599905"/>
  </r>
  <r>
    <x v="7"/>
    <s v="Purchases - Firm"/>
    <x v="1"/>
    <x v="4"/>
    <s v="BC Hydro (Point Roberts)"/>
    <n v="21416.769"/>
    <n v="903.13346574503635"/>
    <n v="9671.1004060154282"/>
  </r>
  <r>
    <x v="7"/>
    <s v="Purchases - Firm"/>
    <x v="1"/>
    <x v="0"/>
    <s v="Black Creek Hydro Inc"/>
    <n v="11481.12"/>
    <n v="0"/>
    <n v="0"/>
  </r>
  <r>
    <x v="7"/>
    <s v="Purchases - Firm"/>
    <x v="1"/>
    <x v="7"/>
    <s v="Book Outs - EITF 03-11"/>
    <n v="-449210"/>
    <n v="0"/>
    <n v="0"/>
  </r>
  <r>
    <x v="7"/>
    <s v="Purchases - Firm"/>
    <x v="1"/>
    <x v="0"/>
    <s v="BPA"/>
    <n v="6832"/>
    <n v="0"/>
    <n v="0"/>
  </r>
  <r>
    <x v="7"/>
    <s v="Purchases - Firm"/>
    <x v="1"/>
    <x v="4"/>
    <s v="BPA Firm - WNP#3 Exchange"/>
    <n v="400153"/>
    <n v="903.13346574503635"/>
    <n v="180695.78285913676"/>
  </r>
  <r>
    <x v="7"/>
    <s v="Purchases - Firm"/>
    <x v="1"/>
    <x v="0"/>
    <s v="CC Solar 1 and CC Solar 2"/>
    <n v="3.48"/>
    <n v="0"/>
    <n v="0"/>
  </r>
  <r>
    <x v="7"/>
    <s v="Purchases - Firm"/>
    <x v="1"/>
    <x v="0"/>
    <s v="Chelan PUD - RI &amp; RR"/>
    <n v="2300840"/>
    <n v="0"/>
    <n v="0"/>
  </r>
  <r>
    <x v="7"/>
    <s v="Purchases - Firm"/>
    <x v="1"/>
    <x v="0"/>
    <s v="Chelan PUD - Rock Island Syst #2"/>
    <n v="716417"/>
    <n v="0"/>
    <n v="0"/>
  </r>
  <r>
    <x v="7"/>
    <s v="Purchases - Firm"/>
    <x v="1"/>
    <x v="0"/>
    <s v="Chelan PUD - Rocky Reach"/>
    <n v="-80276"/>
    <n v="0"/>
    <n v="0"/>
  </r>
  <r>
    <x v="7"/>
    <s v="Purchases - Firm"/>
    <x v="1"/>
    <x v="0"/>
    <s v="Douglas PUD - Wells Project"/>
    <n v="979910"/>
    <n v="0"/>
    <n v="0"/>
  </r>
  <r>
    <x v="7"/>
    <s v="Purchases - Firm"/>
    <x v="1"/>
    <x v="0"/>
    <s v="Edaleen Dairy LLC"/>
    <n v="1390.963"/>
    <n v="0"/>
    <n v="0"/>
  </r>
  <r>
    <x v="7"/>
    <s v="Purchases - Firm"/>
    <x v="1"/>
    <x v="0"/>
    <s v="Farm Power Lynden LLC"/>
    <n v="4187.8609999999999"/>
    <n v="0"/>
    <n v="0"/>
  </r>
  <r>
    <x v="7"/>
    <s v="Purchases - Firm"/>
    <x v="1"/>
    <x v="0"/>
    <s v="Farm Power Rexville LLC"/>
    <n v="5803.0730000000003"/>
    <n v="0"/>
    <n v="0"/>
  </r>
  <r>
    <x v="7"/>
    <s v="Purchases - Firm"/>
    <x v="1"/>
    <x v="0"/>
    <s v="Grant PUD - Priest Rapids Project"/>
    <n v="75568"/>
    <n v="0"/>
    <n v="0"/>
  </r>
  <r>
    <x v="7"/>
    <s v="Purchases - Firm"/>
    <x v="1"/>
    <x v="0"/>
    <s v="Island Community Solar LLC"/>
    <n v="57.93"/>
    <n v="0"/>
    <n v="0"/>
  </r>
  <r>
    <x v="7"/>
    <s v="Purchases - Firm"/>
    <x v="1"/>
    <x v="4"/>
    <s v="JP Morgan Ventures Energy"/>
    <n v="549589"/>
    <n v="903.13346574503635"/>
    <n v="248176.10915267438"/>
  </r>
  <r>
    <x v="7"/>
    <s v="Purchases - Firm"/>
    <x v="1"/>
    <x v="2"/>
    <s v="Klamath Falls (Iberdrola)"/>
    <n v="500"/>
    <n v="801.87985943021681"/>
    <n v="200.4699648575542"/>
  </r>
  <r>
    <x v="7"/>
    <s v="Purchases - Firm"/>
    <x v="1"/>
    <x v="0"/>
    <s v="Klondike Wind Power III"/>
    <n v="124794"/>
    <n v="0"/>
    <n v="0"/>
  </r>
  <r>
    <x v="7"/>
    <s v="Purchases - Firm"/>
    <x v="1"/>
    <x v="0"/>
    <s v="Knudsen Wind Turbine #1"/>
    <n v="134.72900000000001"/>
    <n v="0"/>
    <n v="0"/>
  </r>
  <r>
    <x v="7"/>
    <s v="Purchases - Firm"/>
    <x v="1"/>
    <x v="4"/>
    <s v="Powerex Corp."/>
    <n v="120000"/>
    <n v="903.13346574503635"/>
    <n v="54188.007944702178"/>
  </r>
  <r>
    <x v="7"/>
    <s v="Purchases - Firm"/>
    <x v="1"/>
    <x v="0"/>
    <s v="Qualco Energy"/>
    <n v="3402"/>
    <n v="0"/>
    <n v="0"/>
  </r>
  <r>
    <x v="7"/>
    <s v="Purchases - Firm"/>
    <x v="1"/>
    <x v="0"/>
    <s v="Rainier Bio Gas"/>
    <n v="58.277000000000001"/>
    <n v="0"/>
    <n v="0"/>
  </r>
  <r>
    <x v="7"/>
    <s v="Purchases - Firm"/>
    <x v="1"/>
    <x v="4"/>
    <s v="Shell Energy (Coral Pwr)"/>
    <n v="439124"/>
    <n v="903.13346574503635"/>
    <n v="198293.79000591167"/>
  </r>
  <r>
    <x v="7"/>
    <s v="Purchases - Firm"/>
    <x v="1"/>
    <x v="0"/>
    <s v="Skookumchuck Hydro"/>
    <n v="6421.8"/>
    <n v="0"/>
    <n v="0"/>
  </r>
  <r>
    <x v="7"/>
    <s v="Purchases - Firm"/>
    <x v="1"/>
    <x v="0"/>
    <s v="Smith Creek Hydro"/>
    <n v="215.179"/>
    <n v="0"/>
    <n v="0"/>
  </r>
  <r>
    <x v="7"/>
    <s v="Purchases - Firm"/>
    <x v="1"/>
    <x v="0"/>
    <s v="Swauk Wind"/>
    <n v="29.4"/>
    <n v="0"/>
    <n v="0"/>
  </r>
  <r>
    <x v="7"/>
    <s v="Purchases - Firm"/>
    <x v="1"/>
    <x v="0"/>
    <s v="Van Dyk - S Holsteins"/>
    <n v="2762.123"/>
    <n v="0"/>
    <n v="0"/>
  </r>
  <r>
    <x v="7"/>
    <s v="Purchases - Firm"/>
    <x v="1"/>
    <x v="0"/>
    <s v="VanderHaak Dairy Digester"/>
    <n v="3538.12"/>
    <n v="0"/>
    <n v="0"/>
  </r>
  <r>
    <x v="7"/>
    <s v="Purchases - Firm"/>
    <x v="1"/>
    <x v="0"/>
    <s v="WASCO Hydro"/>
    <n v="38227"/>
    <n v="0"/>
    <n v="0"/>
  </r>
  <r>
    <x v="7"/>
    <s v="Purchases - PURPA"/>
    <x v="1"/>
    <x v="0"/>
    <s v="Bio Energy Washington (BEW)"/>
    <n v="2787.3119999999999"/>
    <n v="0"/>
    <n v="0"/>
  </r>
  <r>
    <x v="7"/>
    <s v="Purchases - PURPA"/>
    <x v="1"/>
    <x v="0"/>
    <s v="Hutchinson Creek"/>
    <n v="1243.96"/>
    <n v="0"/>
    <n v="0"/>
  </r>
  <r>
    <x v="7"/>
    <s v="Purchases - PURPA"/>
    <x v="1"/>
    <x v="0"/>
    <s v="Koma Kulshan Associates"/>
    <n v="42519.24"/>
    <n v="0"/>
    <n v="0"/>
  </r>
  <r>
    <x v="7"/>
    <s v="Purchases - PURPA"/>
    <x v="1"/>
    <x v="0"/>
    <s v="Lake Washington -- Finn Hill"/>
    <n v="95.68"/>
    <n v="0"/>
    <n v="0"/>
  </r>
  <r>
    <x v="7"/>
    <s v="Purchases - PURPA"/>
    <x v="1"/>
    <x v="0"/>
    <s v="Nooksack"/>
    <n v="25294.784"/>
    <n v="0"/>
    <n v="0"/>
  </r>
  <r>
    <x v="7"/>
    <s v="Purchases - PURPA"/>
    <x v="1"/>
    <x v="5"/>
    <s v="Port Townsend Paper Co."/>
    <n v="1475.0070000000001"/>
    <n v="988.65799650043755"/>
    <n v="729.13873272206047"/>
  </r>
  <r>
    <x v="7"/>
    <s v="Purchases - PURPA"/>
    <x v="1"/>
    <x v="0"/>
    <s v="Sygitowicz Creek"/>
    <n v="1478.24"/>
    <n v="0"/>
    <n v="0"/>
  </r>
  <r>
    <x v="7"/>
    <s v="Purchases - PURPA"/>
    <x v="1"/>
    <x v="0"/>
    <s v="Twin Falls Hydro"/>
    <n v="95827.199999999997"/>
    <n v="0"/>
    <n v="0"/>
  </r>
  <r>
    <x v="7"/>
    <s v="Purchases - PURPA"/>
    <x v="1"/>
    <x v="0"/>
    <s v="Weeks Falls"/>
    <n v="17113.599999999999"/>
    <n v="0"/>
    <n v="0"/>
  </r>
  <r>
    <x v="7"/>
    <s v="Purchases - Secondary"/>
    <x v="2"/>
    <x v="4"/>
    <s v="Avista Corp. WWP Division"/>
    <n v="126962.18"/>
    <n v="903.13346574503635"/>
    <n v="57331.896820972572"/>
  </r>
  <r>
    <x v="7"/>
    <s v="Purchases - Secondary"/>
    <x v="2"/>
    <x v="4"/>
    <s v="Barclays Bank Plc"/>
    <n v="22000"/>
    <n v="903.13346574503635"/>
    <n v="9934.4681231954"/>
  </r>
  <r>
    <x v="7"/>
    <s v="Purchases - Secondary"/>
    <x v="2"/>
    <x v="4"/>
    <s v="Black Hills Power"/>
    <n v="1600"/>
    <n v="903.13346574503635"/>
    <n v="722.50677259602912"/>
  </r>
  <r>
    <x v="7"/>
    <s v="Purchases - Secondary"/>
    <x v="2"/>
    <x v="4"/>
    <s v="Book Outs - EITF 03-11"/>
    <n v="-2428057"/>
    <n v="903.13346574503635"/>
    <n v="-1096429.7667182479"/>
  </r>
  <r>
    <x v="7"/>
    <s v="Purchases - Secondary"/>
    <x v="2"/>
    <x v="4"/>
    <s v="BP Energy Co."/>
    <n v="1236010"/>
    <n v="903.13346574503635"/>
    <n v="558140.99749776116"/>
  </r>
  <r>
    <x v="7"/>
    <s v="Purchases - Secondary"/>
    <x v="2"/>
    <x v="4"/>
    <s v="BPA"/>
    <n v="384112.7"/>
    <n v="903.13346574503635"/>
    <n v="173452.51699384171"/>
  </r>
  <r>
    <x v="7"/>
    <s v="Purchases - Secondary"/>
    <x v="2"/>
    <x v="4"/>
    <s v="Brookfield Energy Marketing"/>
    <n v="1200"/>
    <n v="903.13346574503635"/>
    <n v="541.88007944702179"/>
  </r>
  <r>
    <x v="7"/>
    <s v="Purchases - Secondary"/>
    <x v="2"/>
    <x v="4"/>
    <s v="Calpine Energy Services"/>
    <n v="467588"/>
    <n v="903.13346574503635"/>
    <n v="211147.18549039503"/>
  </r>
  <r>
    <x v="7"/>
    <s v="Purchases - Secondary"/>
    <x v="2"/>
    <x v="4"/>
    <s v="Cargill Power Markets"/>
    <n v="252059"/>
    <n v="903.13346574503635"/>
    <n v="113821.45912111407"/>
  </r>
  <r>
    <x v="7"/>
    <s v="Purchases - Secondary"/>
    <x v="2"/>
    <x v="4"/>
    <s v="Chelan County PUD #1"/>
    <n v="124383"/>
    <n v="903.13346574503635"/>
    <n v="56167.224934882426"/>
  </r>
  <r>
    <x v="7"/>
    <s v="Purchases - Secondary"/>
    <x v="2"/>
    <x v="4"/>
    <s v="Citigroup Energy Inc"/>
    <n v="1014046"/>
    <n v="903.13346574503635"/>
    <n v="457909.43920244556"/>
  </r>
  <r>
    <x v="7"/>
    <s v="Purchases - Secondary"/>
    <x v="2"/>
    <x v="4"/>
    <s v="Clark Public Utilities"/>
    <n v="26743"/>
    <n v="903.13346574503635"/>
    <n v="12076.249137209754"/>
  </r>
  <r>
    <x v="7"/>
    <s v="Purchases - Secondary"/>
    <x v="2"/>
    <x v="4"/>
    <s v="Clatskanie PUD"/>
    <n v="11019"/>
    <n v="903.13346574503635"/>
    <n v="4975.813829522278"/>
  </r>
  <r>
    <x v="7"/>
    <s v="Purchases - Secondary"/>
    <x v="2"/>
    <x v="4"/>
    <s v="Constellation Power Source, Inc."/>
    <n v="65386"/>
    <n v="903.13346574503635"/>
    <n v="29526.142395602474"/>
  </r>
  <r>
    <x v="7"/>
    <s v="Purchases - Secondary"/>
    <x v="2"/>
    <x v="4"/>
    <s v="CP Energy Marketing (Epcor)"/>
    <n v="1133"/>
    <n v="903.13346574503635"/>
    <n v="511.6251083445631"/>
  </r>
  <r>
    <x v="7"/>
    <s v="Purchases - Secondary"/>
    <x v="2"/>
    <x v="4"/>
    <s v="DB Energy Trading LLC"/>
    <n v="502043"/>
    <n v="903.13346574503635"/>
    <n v="226705.91727151762"/>
  </r>
  <r>
    <x v="7"/>
    <s v="Purchases - Secondary"/>
    <x v="2"/>
    <x v="4"/>
    <s v="Douglas County PUD #1"/>
    <n v="336342"/>
    <n v="903.13346574503635"/>
    <n v="151880.8580678085"/>
  </r>
  <r>
    <x v="7"/>
    <s v="Purchases - Secondary"/>
    <x v="2"/>
    <x v="4"/>
    <s v="EDF Trading NA LLC"/>
    <n v="222630"/>
    <n v="903.13346574503635"/>
    <n v="100532.30173940872"/>
  </r>
  <r>
    <x v="7"/>
    <s v="Purchases - Secondary"/>
    <x v="2"/>
    <x v="4"/>
    <s v="ENMAX Energy Marketing, Inc."/>
    <n v="75"/>
    <n v="903.13346574503635"/>
    <n v="33.867504965438862"/>
  </r>
  <r>
    <x v="7"/>
    <s v="Purchases - Secondary"/>
    <x v="2"/>
    <x v="4"/>
    <s v="Eugene Water &amp; Electric"/>
    <n v="42962"/>
    <n v="903.13346574503635"/>
    <n v="19400.209977669128"/>
  </r>
  <r>
    <x v="7"/>
    <s v="Purchases - Secondary"/>
    <x v="2"/>
    <x v="4"/>
    <s v="Grant County PUD #2"/>
    <n v="36506"/>
    <n v="903.13346574503635"/>
    <n v="16484.895150244149"/>
  </r>
  <r>
    <x v="7"/>
    <s v="Purchases - Secondary"/>
    <x v="2"/>
    <x v="4"/>
    <s v="Iberdrola Renewables (PPM Energy)"/>
    <n v="561582"/>
    <n v="903.13346574503635"/>
    <n v="253591.7489800145"/>
  </r>
  <r>
    <x v="7"/>
    <s v="Purchases - Secondary"/>
    <x v="2"/>
    <x v="4"/>
    <s v="Idaho Falls Power"/>
    <n v="25"/>
    <n v="903.13346574503635"/>
    <n v="11.289168321812955"/>
  </r>
  <r>
    <x v="7"/>
    <s v="Purchases - Secondary"/>
    <x v="2"/>
    <x v="4"/>
    <s v="Idaho Power Company"/>
    <n v="10082"/>
    <n v="903.13346574503635"/>
    <n v="4552.6958008207275"/>
  </r>
  <r>
    <x v="7"/>
    <s v="Purchases - Secondary"/>
    <x v="2"/>
    <x v="4"/>
    <s v="J. Aron &amp; Company"/>
    <n v="2400"/>
    <n v="903.13346574503635"/>
    <n v="1083.7601588940436"/>
  </r>
  <r>
    <x v="7"/>
    <s v="Purchases - Secondary"/>
    <x v="2"/>
    <x v="4"/>
    <s v="JP Morgan Ventures Energy"/>
    <n v="1278611"/>
    <n v="903.13346574503635"/>
    <n v="577378.19188486342"/>
  </r>
  <r>
    <x v="7"/>
    <s v="Purchases - Secondary"/>
    <x v="2"/>
    <x v="4"/>
    <s v="Merrill Lynch Commodities"/>
    <n v="269356"/>
    <n v="903.13346574503635"/>
    <n v="121632.20889960999"/>
  </r>
  <r>
    <x v="7"/>
    <s v="Purchases - Secondary"/>
    <x v="2"/>
    <x v="4"/>
    <s v="Morgan Stanley CG"/>
    <n v="1078306"/>
    <n v="903.13346574503635"/>
    <n v="486927.1174568336"/>
  </r>
  <r>
    <x v="7"/>
    <s v="Purchases - Secondary"/>
    <x v="2"/>
    <x v="4"/>
    <s v="Natur Ener USA"/>
    <n v="448"/>
    <n v="903.13346574503635"/>
    <n v="202.30189632688814"/>
  </r>
  <r>
    <x v="7"/>
    <s v="Purchases - Secondary"/>
    <x v="2"/>
    <x v="4"/>
    <s v="NextEra Energy Power Marketing"/>
    <n v="113935"/>
    <n v="903.13346574503635"/>
    <n v="51449.255709830359"/>
  </r>
  <r>
    <x v="7"/>
    <s v="Purchases - Secondary"/>
    <x v="2"/>
    <x v="4"/>
    <s v="Noble Americas Energy Solutions"/>
    <n v="800"/>
    <n v="903.13346574503635"/>
    <n v="361.25338629801456"/>
  </r>
  <r>
    <x v="7"/>
    <s v="Purchases - Secondary"/>
    <x v="2"/>
    <x v="4"/>
    <s v="Noble Americas Gas &amp; Power"/>
    <n v="800"/>
    <n v="903.13346574503635"/>
    <n v="361.25338629801456"/>
  </r>
  <r>
    <x v="7"/>
    <s v="Purchases - Secondary"/>
    <x v="2"/>
    <x v="4"/>
    <s v="NorthPoint Energy Solutions, Inc."/>
    <n v="4"/>
    <n v="903.13346574503635"/>
    <n v="1.8062669314900728"/>
  </r>
  <r>
    <x v="7"/>
    <s v="Purchases - Secondary"/>
    <x v="2"/>
    <x v="4"/>
    <s v="Northwestern Energy"/>
    <n v="3418"/>
    <n v="903.13346574503635"/>
    <n v="1543.4550929582672"/>
  </r>
  <r>
    <x v="7"/>
    <s v="Purchases - Secondary"/>
    <x v="2"/>
    <x v="4"/>
    <s v="Okanogan PUD"/>
    <n v="1487"/>
    <n v="903.13346574503635"/>
    <n v="671.47973178143445"/>
  </r>
  <r>
    <x v="7"/>
    <s v="Purchases - Secondary"/>
    <x v="2"/>
    <x v="4"/>
    <s v="Pacific Summit Energy LLC"/>
    <n v="1179"/>
    <n v="903.13346574503635"/>
    <n v="532.39717805669886"/>
  </r>
  <r>
    <x v="7"/>
    <s v="Purchases - Secondary"/>
    <x v="2"/>
    <x v="4"/>
    <s v="Pacificorp"/>
    <n v="76562"/>
    <n v="903.13346574503635"/>
    <n v="34572.852202185735"/>
  </r>
  <r>
    <x v="7"/>
    <s v="Purchases - Secondary"/>
    <x v="2"/>
    <x v="4"/>
    <s v="PG&amp;E Energy Trading"/>
    <n v="70000"/>
    <n v="903.13346574503635"/>
    <n v="31609.671301076272"/>
  </r>
  <r>
    <x v="7"/>
    <s v="Purchases - Secondary"/>
    <x v="2"/>
    <x v="4"/>
    <s v="Portland General Electric"/>
    <n v="24419"/>
    <n v="903.13346574503635"/>
    <n v="11026.80805001402"/>
  </r>
  <r>
    <x v="7"/>
    <s v="Purchases - Secondary"/>
    <x v="2"/>
    <x v="4"/>
    <s v="Powerex Corp."/>
    <n v="231003"/>
    <n v="903.13346574503635"/>
    <n v="104313.26999375032"/>
  </r>
  <r>
    <x v="7"/>
    <s v="Purchases - Secondary"/>
    <x v="2"/>
    <x v="4"/>
    <s v="Rainbow Energy Marketing"/>
    <n v="23628"/>
    <n v="903.13346574503635"/>
    <n v="10669.618764311859"/>
  </r>
  <r>
    <x v="7"/>
    <s v="Purchases - Secondary"/>
    <x v="2"/>
    <x v="4"/>
    <s v="Sacramento Municipal"/>
    <n v="3654"/>
    <n v="903.13346574503635"/>
    <n v="1650.0248419161815"/>
  </r>
  <r>
    <x v="7"/>
    <s v="Purchases - Secondary"/>
    <x v="2"/>
    <x v="4"/>
    <s v="San Diego Gas &amp; Electric"/>
    <n v="451"/>
    <n v="903.13346574503635"/>
    <n v="203.65659652550571"/>
  </r>
  <r>
    <x v="7"/>
    <s v="Purchases - Secondary"/>
    <x v="2"/>
    <x v="4"/>
    <s v="Seattle City Light Marketing"/>
    <n v="246052"/>
    <n v="903.13346574503635"/>
    <n v="111108.89775674885"/>
  </r>
  <r>
    <x v="7"/>
    <s v="Purchases - Secondary"/>
    <x v="2"/>
    <x v="4"/>
    <s v="Shell Energy (Coral Pwr)"/>
    <n v="182238"/>
    <n v="903.13346574503635"/>
    <n v="82292.618265221972"/>
  </r>
  <r>
    <x v="7"/>
    <s v="Purchases - Secondary"/>
    <x v="2"/>
    <x v="4"/>
    <s v="Snohomish County PUD #1"/>
    <n v="176041"/>
    <n v="903.13346574503635"/>
    <n v="79494.259221610977"/>
  </r>
  <r>
    <x v="7"/>
    <s v="Purchases - Secondary"/>
    <x v="2"/>
    <x v="4"/>
    <s v="Southern Cal - Edison"/>
    <n v="62658"/>
    <n v="903.13346574503635"/>
    <n v="28294.268348326244"/>
  </r>
  <r>
    <x v="7"/>
    <s v="Purchases - Secondary"/>
    <x v="2"/>
    <x v="4"/>
    <s v="Tacoma Power"/>
    <n v="200033"/>
    <n v="903.13346574503635"/>
    <n v="90328.24827668842"/>
  </r>
  <r>
    <x v="7"/>
    <s v="Purchases - Secondary"/>
    <x v="2"/>
    <x v="4"/>
    <s v="Talen Energy (PPL Energy Plus)"/>
    <n v="109330"/>
    <n v="903.13346574503635"/>
    <n v="49369.790904952417"/>
  </r>
  <r>
    <x v="7"/>
    <s v="Purchases - Secondary"/>
    <x v="2"/>
    <x v="4"/>
    <s v="Tenaska Power Services Co."/>
    <n v="32812"/>
    <n v="903.13346574503635"/>
    <n v="14816.807639013066"/>
  </r>
  <r>
    <x v="7"/>
    <s v="Purchases - Secondary"/>
    <x v="2"/>
    <x v="4"/>
    <s v="The Energy Authority"/>
    <n v="457673"/>
    <n v="903.13346574503635"/>
    <n v="206669.90133396402"/>
  </r>
  <r>
    <x v="7"/>
    <s v="Purchases - Secondary"/>
    <x v="2"/>
    <x v="4"/>
    <s v="TransAlta Energy Marketing"/>
    <n v="1404952"/>
    <n v="903.13346574503635"/>
    <n v="634429.58448271011"/>
  </r>
  <r>
    <x v="7"/>
    <s v="Purchases - Secondary"/>
    <x v="2"/>
    <x v="4"/>
    <s v="TransCanada Energy Marketing"/>
    <n v="200"/>
    <n v="903.13346574503635"/>
    <n v="90.31334657450364"/>
  </r>
  <r>
    <x v="7"/>
    <s v="Purchases - Secondary"/>
    <x v="2"/>
    <x v="4"/>
    <s v="TransCanada Energy Sales Ltd"/>
    <n v="-200"/>
    <n v="903.13346574503635"/>
    <n v="-90.31334657450364"/>
  </r>
  <r>
    <x v="7"/>
    <s v="Purchases - Secondary"/>
    <x v="2"/>
    <x v="4"/>
    <s v="Tri-State Generation and Transmissi"/>
    <n v="124"/>
    <n v="903.13346574503635"/>
    <n v="55.994274876192257"/>
  </r>
  <r>
    <x v="7"/>
    <s v="Purchases - Secondary"/>
    <x v="2"/>
    <x v="4"/>
    <s v="Turlock Irrigation District"/>
    <n v="3343"/>
    <n v="903.13346574503635"/>
    <n v="1509.5875879928283"/>
  </r>
  <r>
    <x v="7"/>
    <s v="Interchange - In"/>
    <x v="2"/>
    <x v="4"/>
    <s v="BPA"/>
    <n v="35599"/>
    <n v="903.13346574503635"/>
    <n v="16075.324123528775"/>
  </r>
  <r>
    <x v="7"/>
    <s v="Interchange - In"/>
    <x v="2"/>
    <x v="4"/>
    <s v="Pacific Gas &amp; Elec - Exchange"/>
    <n v="413000"/>
    <n v="903.13346574503635"/>
    <n v="186497.06067635"/>
  </r>
  <r>
    <x v="7"/>
    <s v="Interchange - Out"/>
    <x v="2"/>
    <x v="4"/>
    <s v="BPA"/>
    <n v="-35375"/>
    <n v="903.13346574503635"/>
    <n v="-15974.173175365331"/>
  </r>
  <r>
    <x v="7"/>
    <s v="Interchange - Out"/>
    <x v="2"/>
    <x v="4"/>
    <s v="Deviation"/>
    <n v="42716.544999999998"/>
    <n v="903.13346574503635"/>
    <n v="19289.370665251899"/>
  </r>
  <r>
    <x v="7"/>
    <s v="Interchange - Out"/>
    <x v="2"/>
    <x v="4"/>
    <s v="Pacific Gas &amp; Elec - Exchange"/>
    <n v="-412995"/>
    <n v="903.13346574503635"/>
    <n v="-186494.80284268563"/>
  </r>
  <r>
    <x v="7"/>
    <s v="Sales for Resale"/>
    <x v="2"/>
    <x v="4"/>
    <s v="Avista Corp. WWP Division"/>
    <n v="-37126"/>
    <n v="903.13346574503635"/>
    <n v="-16764.866524625111"/>
  </r>
  <r>
    <x v="7"/>
    <s v="Sales for Resale"/>
    <x v="2"/>
    <x v="4"/>
    <s v="Barclays Bank Plc"/>
    <n v="-2400"/>
    <n v="903.13346574503635"/>
    <n v="-1083.7601588940436"/>
  </r>
  <r>
    <x v="7"/>
    <s v="Sales for Resale"/>
    <x v="2"/>
    <x v="4"/>
    <s v="Black Hills Power"/>
    <n v="-18302"/>
    <n v="903.13346574503635"/>
    <n v="-8264.5743450328282"/>
  </r>
  <r>
    <x v="7"/>
    <s v="Sales for Resale"/>
    <x v="2"/>
    <x v="4"/>
    <s v="Book Outs - EITF 03-11"/>
    <n v="2877267"/>
    <n v="903.13346574503635"/>
    <n v="1299278.0587919119"/>
  </r>
  <r>
    <x v="7"/>
    <s v="Sales for Resale"/>
    <x v="2"/>
    <x v="4"/>
    <s v="BP Energy Co."/>
    <n v="-97731"/>
    <n v="903.13346574503635"/>
    <n v="-44132.068370364068"/>
  </r>
  <r>
    <x v="7"/>
    <s v="Sales for Resale"/>
    <x v="2"/>
    <x v="4"/>
    <s v="BPA"/>
    <n v="-147151"/>
    <n v="903.13346574503635"/>
    <n v="-66448.496308923917"/>
  </r>
  <r>
    <x v="7"/>
    <s v="Sales for Resale"/>
    <x v="2"/>
    <x v="4"/>
    <s v="British Columbia Transmission Corp"/>
    <n v="-57"/>
    <n v="903.13346574503635"/>
    <n v="-25.739303773733536"/>
  </r>
  <r>
    <x v="7"/>
    <s v="Sales for Resale"/>
    <x v="2"/>
    <x v="4"/>
    <s v="Brookfield Energy Marketing"/>
    <n v="-2000"/>
    <n v="903.13346574503635"/>
    <n v="-903.13346574503635"/>
  </r>
  <r>
    <x v="7"/>
    <s v="Sales for Resale"/>
    <x v="2"/>
    <x v="4"/>
    <s v="Calpine Energy Services"/>
    <n v="-142467"/>
    <n v="903.13346574503635"/>
    <n v="-64333.357732149052"/>
  </r>
  <r>
    <x v="7"/>
    <s v="Sales for Resale"/>
    <x v="2"/>
    <x v="4"/>
    <s v="Cargill Power Markets"/>
    <n v="-311820"/>
    <n v="903.13346574503635"/>
    <n v="-140807.53864430863"/>
  </r>
  <r>
    <x v="7"/>
    <s v="Sales for Resale"/>
    <x v="2"/>
    <x v="4"/>
    <s v="Chelan County PUD #1"/>
    <n v="-6435"/>
    <n v="903.13346574503635"/>
    <n v="-2905.8319260346543"/>
  </r>
  <r>
    <x v="7"/>
    <s v="Sales for Resale"/>
    <x v="2"/>
    <x v="4"/>
    <s v="Citigroup Energy Inc"/>
    <n v="-93176"/>
    <n v="903.13346574503635"/>
    <n v="-42075.181902129756"/>
  </r>
  <r>
    <x v="7"/>
    <s v="Sales for Resale"/>
    <x v="2"/>
    <x v="4"/>
    <s v="Clark Public Utilities"/>
    <n v="-13840"/>
    <n v="903.13346574503635"/>
    <n v="-6249.6835829556521"/>
  </r>
  <r>
    <x v="7"/>
    <s v="Sales for Resale"/>
    <x v="2"/>
    <x v="4"/>
    <s v="Clatskanie PUD"/>
    <n v="-5387"/>
    <n v="903.13346574503635"/>
    <n v="-2432.5899899842552"/>
  </r>
  <r>
    <x v="7"/>
    <s v="Sales for Resale"/>
    <x v="2"/>
    <x v="4"/>
    <s v="Constellation Power Source, Inc."/>
    <n v="-22185"/>
    <n v="903.13346574503635"/>
    <n v="-10018.007968776816"/>
  </r>
  <r>
    <x v="7"/>
    <s v="Sales for Resale"/>
    <x v="2"/>
    <x v="4"/>
    <s v="CP Energy Marketing (Epcor)"/>
    <n v="-1299"/>
    <n v="903.13346574503635"/>
    <n v="-586.58518600140121"/>
  </r>
  <r>
    <x v="7"/>
    <s v="Sales for Resale"/>
    <x v="2"/>
    <x v="4"/>
    <s v="DB Energy Trading LLC"/>
    <n v="-242964"/>
    <n v="903.13346574503635"/>
    <n v="-109714.4596856385"/>
  </r>
  <r>
    <x v="7"/>
    <s v="Sales for Resale"/>
    <x v="2"/>
    <x v="4"/>
    <s v="Douglas County PUD #1"/>
    <n v="-1410"/>
    <n v="903.13346574503635"/>
    <n v="-636.70909335025067"/>
  </r>
  <r>
    <x v="7"/>
    <s v="Sales for Resale"/>
    <x v="2"/>
    <x v="4"/>
    <s v="EDF Trading NA LLC"/>
    <n v="-34355"/>
    <n v="903.13346574503635"/>
    <n v="-15513.575107835362"/>
  </r>
  <r>
    <x v="7"/>
    <s v="Sales for Resale"/>
    <x v="2"/>
    <x v="4"/>
    <s v="ENMAX Energy Marketing, Inc."/>
    <n v="-225"/>
    <n v="903.13346574503635"/>
    <n v="-101.60251489631659"/>
  </r>
  <r>
    <x v="7"/>
    <s v="Sales for Resale"/>
    <x v="2"/>
    <x v="4"/>
    <s v="Eugene Water &amp; Electric"/>
    <n v="-17869"/>
    <n v="903.13346574503635"/>
    <n v="-8069.0459496990279"/>
  </r>
  <r>
    <x v="7"/>
    <s v="Sales for Resale"/>
    <x v="2"/>
    <x v="4"/>
    <s v="Exelon Generation Co LLC"/>
    <n v="-2800"/>
    <n v="903.13346574503635"/>
    <n v="-1264.3868520430508"/>
  </r>
  <r>
    <x v="7"/>
    <s v="Sales for Resale"/>
    <x v="2"/>
    <x v="4"/>
    <s v="Fortis BC"/>
    <n v="-56236"/>
    <n v="903.13346574503635"/>
    <n v="-25394.306789818933"/>
  </r>
  <r>
    <x v="7"/>
    <s v="Sales for Resale"/>
    <x v="2"/>
    <x v="4"/>
    <s v="Grant County PUD #2"/>
    <n v="-11925"/>
    <n v="903.13346574503635"/>
    <n v="-5384.9332895047792"/>
  </r>
  <r>
    <x v="7"/>
    <s v="Sales for Resale"/>
    <x v="2"/>
    <x v="4"/>
    <s v="Iberdrola Renewables (PPM Energy)"/>
    <n v="-541878"/>
    <n v="903.13346574503635"/>
    <n v="-244694.07807549441"/>
  </r>
  <r>
    <x v="7"/>
    <s v="Sales for Resale"/>
    <x v="2"/>
    <x v="4"/>
    <s v="Idaho Power Company"/>
    <n v="-25835"/>
    <n v="903.13346574503635"/>
    <n v="-11666.226543761506"/>
  </r>
  <r>
    <x v="7"/>
    <s v="Sales for Resale"/>
    <x v="2"/>
    <x v="4"/>
    <s v="J. Aron &amp; Company"/>
    <n v="-2800"/>
    <n v="903.13346574503635"/>
    <n v="-1264.3868520430508"/>
  </r>
  <r>
    <x v="7"/>
    <s v="Sales for Resale"/>
    <x v="2"/>
    <x v="4"/>
    <s v="JP Morgan Ventures Energy"/>
    <n v="-52134"/>
    <n v="903.13346574503635"/>
    <n v="-23541.980051575862"/>
  </r>
  <r>
    <x v="7"/>
    <s v="Sales for Resale"/>
    <x v="2"/>
    <x v="4"/>
    <s v="Morgan Stanley CG"/>
    <n v="-310918"/>
    <n v="903.13346574503635"/>
    <n v="-140400.2254512576"/>
  </r>
  <r>
    <x v="7"/>
    <s v="Sales for Resale"/>
    <x v="2"/>
    <x v="4"/>
    <s v="Natur Ener USA"/>
    <n v="-6"/>
    <n v="903.13346574503635"/>
    <n v="-2.7094003972351093"/>
  </r>
  <r>
    <x v="7"/>
    <s v="Sales for Resale"/>
    <x v="2"/>
    <x v="4"/>
    <s v="NextEra Energy Power Marketing"/>
    <n v="-2739"/>
    <n v="903.13346574503635"/>
    <n v="-1236.8412813378272"/>
  </r>
  <r>
    <x v="7"/>
    <s v="Sales for Resale"/>
    <x v="2"/>
    <x v="4"/>
    <s v="Noble Americas Energy Solutions"/>
    <n v="-2800"/>
    <n v="903.13346574503635"/>
    <n v="-1264.3868520430508"/>
  </r>
  <r>
    <x v="7"/>
    <s v="Sales for Resale"/>
    <x v="2"/>
    <x v="4"/>
    <s v="Noble Americas Gas &amp; Power"/>
    <n v="-7600"/>
    <n v="903.13346574503635"/>
    <n v="-3431.9071698311382"/>
  </r>
  <r>
    <x v="7"/>
    <s v="Sales for Resale"/>
    <x v="2"/>
    <x v="4"/>
    <s v="NorthPoint Energy Solutions, Inc."/>
    <n v="-8404"/>
    <n v="903.13346574503635"/>
    <n v="-3794.966823060643"/>
  </r>
  <r>
    <x v="7"/>
    <s v="Sales for Resale"/>
    <x v="2"/>
    <x v="4"/>
    <s v="Northwestern Energy"/>
    <n v="-84493"/>
    <n v="903.13346574503635"/>
    <n v="-38154.22796059768"/>
  </r>
  <r>
    <x v="7"/>
    <s v="Sales for Resale"/>
    <x v="2"/>
    <x v="4"/>
    <s v="Okanogan PUD"/>
    <n v="-470"/>
    <n v="903.13346574503635"/>
    <n v="-212.23636445008356"/>
  </r>
  <r>
    <x v="7"/>
    <s v="Sales for Resale"/>
    <x v="2"/>
    <x v="4"/>
    <s v="Pacific Summit Energy LLC"/>
    <n v="-430"/>
    <n v="903.13346574503635"/>
    <n v="-194.17369513518281"/>
  </r>
  <r>
    <x v="7"/>
    <s v="Sales for Resale"/>
    <x v="2"/>
    <x v="4"/>
    <s v="Pacificorp"/>
    <n v="-116892"/>
    <n v="903.13346574503635"/>
    <n v="-52784.538538934394"/>
  </r>
  <r>
    <x v="7"/>
    <s v="Sales for Resale"/>
    <x v="2"/>
    <x v="4"/>
    <s v="PG&amp;E Energy Trading"/>
    <n v="-216530"/>
    <n v="903.13346574503635"/>
    <n v="-97777.744668886357"/>
  </r>
  <r>
    <x v="7"/>
    <s v="Sales for Resale"/>
    <x v="2"/>
    <x v="4"/>
    <s v="Portland General Electric"/>
    <n v="-72993"/>
    <n v="903.13346574503635"/>
    <n v="-32961.210532563717"/>
  </r>
  <r>
    <x v="7"/>
    <s v="Sales for Resale"/>
    <x v="2"/>
    <x v="4"/>
    <s v="Powerex Corp."/>
    <n v="-406530"/>
    <n v="903.13346574503635"/>
    <n v="-183575.4239146648"/>
  </r>
  <r>
    <x v="7"/>
    <s v="Sales for Resale"/>
    <x v="2"/>
    <x v="4"/>
    <s v="Rainbow Energy Marketing"/>
    <n v="-58846"/>
    <n v="903.13346574503635"/>
    <n v="-26572.895962616207"/>
  </r>
  <r>
    <x v="7"/>
    <s v="Sales for Resale"/>
    <x v="2"/>
    <x v="4"/>
    <s v="Sacramento Municipal"/>
    <n v="-10011"/>
    <n v="903.13346574503635"/>
    <n v="-4520.6345627867795"/>
  </r>
  <r>
    <x v="7"/>
    <s v="Sales for Resale"/>
    <x v="2"/>
    <x v="4"/>
    <s v="San Diego Gas &amp; Electric"/>
    <n v="-29918"/>
    <n v="903.13346574503635"/>
    <n v="-13509.973514079998"/>
  </r>
  <r>
    <x v="7"/>
    <s v="Sales for Resale"/>
    <x v="2"/>
    <x v="4"/>
    <s v="Seattle City Light Marketing"/>
    <n v="-46589"/>
    <n v="903.13346574503635"/>
    <n v="-21038.042517797749"/>
  </r>
  <r>
    <x v="7"/>
    <s v="Sales for Resale"/>
    <x v="2"/>
    <x v="4"/>
    <s v="Shell Energy (Coral Pwr)"/>
    <n v="-299293"/>
    <n v="903.13346574503635"/>
    <n v="-135150.76218161458"/>
  </r>
  <r>
    <x v="7"/>
    <s v="Sales for Resale"/>
    <x v="2"/>
    <x v="4"/>
    <s v="Sierra Pacific Power"/>
    <n v="-1542"/>
    <n v="903.13346574503635"/>
    <n v="-696.31590208942305"/>
  </r>
  <r>
    <x v="7"/>
    <s v="Sales for Resale"/>
    <x v="2"/>
    <x v="4"/>
    <s v="Snohomish County PUD #1"/>
    <n v="-9531"/>
    <n v="903.13346574503635"/>
    <n v="-4303.882531007971"/>
  </r>
  <r>
    <x v="7"/>
    <s v="Sales for Resale"/>
    <x v="2"/>
    <x v="4"/>
    <s v="Southern Cal - Edison"/>
    <n v="-20000"/>
    <n v="903.13346574503635"/>
    <n v="-9031.334657450363"/>
  </r>
  <r>
    <x v="7"/>
    <s v="Sales for Resale"/>
    <x v="2"/>
    <x v="4"/>
    <s v="Tacoma Power"/>
    <n v="-19628"/>
    <n v="903.13346574503635"/>
    <n v="-8863.351832821787"/>
  </r>
  <r>
    <x v="7"/>
    <s v="Sales for Resale"/>
    <x v="2"/>
    <x v="4"/>
    <s v="Talen Energy (PPL Energy Plus)"/>
    <n v="-67867"/>
    <n v="903.13346574503635"/>
    <n v="-30646.479459859191"/>
  </r>
  <r>
    <x v="7"/>
    <s v="Sales for Resale"/>
    <x v="2"/>
    <x v="4"/>
    <s v="Tenaska Power Services Co."/>
    <n v="-36412"/>
    <n v="903.13346574503635"/>
    <n v="-16442.44787735413"/>
  </r>
  <r>
    <x v="7"/>
    <s v="Sales for Resale"/>
    <x v="2"/>
    <x v="4"/>
    <s v="The Energy Authority"/>
    <n v="-34934"/>
    <n v="903.13346574503635"/>
    <n v="-15775.03224616855"/>
  </r>
  <r>
    <x v="7"/>
    <s v="Sales for Resale"/>
    <x v="2"/>
    <x v="4"/>
    <s v="TransAlta Energy Marketing"/>
    <n v="-443951"/>
    <n v="903.13346574503635"/>
    <n v="-200473.50262548734"/>
  </r>
  <r>
    <x v="7"/>
    <s v="Sales for Resale"/>
    <x v="2"/>
    <x v="4"/>
    <s v="TransCanada Energy Sales Ltd"/>
    <n v="-49555"/>
    <n v="903.13346574503635"/>
    <n v="-22377.389447497641"/>
  </r>
  <r>
    <x v="7"/>
    <s v="Sales for Resale"/>
    <x v="2"/>
    <x v="4"/>
    <s v="Tri-State Generation and Transmissi"/>
    <n v="-12499"/>
    <n v="903.13346574503635"/>
    <n v="-5644.132594173605"/>
  </r>
  <r>
    <x v="7"/>
    <s v="Sales for Resale"/>
    <x v="2"/>
    <x v="4"/>
    <s v="Turlock Irrigation District"/>
    <n v="-3606"/>
    <n v="903.13346574503635"/>
    <n v="-1628.3496387383004"/>
  </r>
  <r>
    <x v="7"/>
    <s v="Sales for Resale"/>
    <x v="2"/>
    <x v="4"/>
    <s v="Western Area Power Association"/>
    <n v="-407"/>
    <n v="903.13346574503635"/>
    <n v="-183.7876602791149"/>
  </r>
  <r>
    <x v="8"/>
    <s v="Generation - Hydro"/>
    <x v="0"/>
    <x v="0"/>
    <s v="Electron"/>
    <n v="57768.31"/>
    <n v="0"/>
    <n v="0"/>
  </r>
  <r>
    <x v="8"/>
    <s v="Generation - Hydro"/>
    <x v="0"/>
    <x v="0"/>
    <s v="Lower Baker"/>
    <n v="350427.55599999998"/>
    <n v="0"/>
    <n v="0"/>
  </r>
  <r>
    <x v="8"/>
    <s v="Generation - Hydro"/>
    <x v="0"/>
    <x v="0"/>
    <s v="Snoqualmie Falls #1"/>
    <n v="-173.11"/>
    <n v="0"/>
    <n v="0"/>
  </r>
  <r>
    <x v="8"/>
    <s v="Generation - Hydro"/>
    <x v="0"/>
    <x v="0"/>
    <s v="Snoqualmie Falls #2"/>
    <n v="76306.592999999993"/>
    <n v="0"/>
    <n v="0"/>
  </r>
  <r>
    <x v="8"/>
    <s v="Generation - Hydro"/>
    <x v="0"/>
    <x v="0"/>
    <s v="Upper Baker"/>
    <n v="353239.95299999998"/>
    <n v="0"/>
    <n v="0"/>
  </r>
  <r>
    <x v="8"/>
    <s v="Generation - Steam"/>
    <x v="0"/>
    <x v="1"/>
    <s v="Colstrip 1 &amp; 2"/>
    <n v="2322485"/>
    <n v="2417.1951474274647"/>
    <n v="2806949.7359865373"/>
  </r>
  <r>
    <x v="8"/>
    <s v="Generation - Steam"/>
    <x v="0"/>
    <x v="1"/>
    <s v="Colstrip 3 &amp; 4"/>
    <n v="2023723"/>
    <n v="2310.6941211344692"/>
    <n v="2338102.4194523059"/>
  </r>
  <r>
    <x v="8"/>
    <s v="Generation - Steam"/>
    <x v="0"/>
    <x v="2"/>
    <s v="Encogen"/>
    <n v="268267.32500000001"/>
    <n v="1090.0119485596624"/>
    <n v="146207.29482906914"/>
  </r>
  <r>
    <x v="8"/>
    <s v="Generation - Steam"/>
    <x v="0"/>
    <x v="2"/>
    <s v="Ferndale Co-Generation"/>
    <n v="869393.88599999994"/>
    <n v="1001.4112354217872"/>
    <n v="435310.40272370417"/>
  </r>
  <r>
    <x v="8"/>
    <s v="Generation - Steam"/>
    <x v="0"/>
    <x v="2"/>
    <s v="Freddie #1"/>
    <n v="416396.53899999999"/>
    <n v="1735.1748954894076"/>
    <n v="361260.41052073799"/>
  </r>
  <r>
    <x v="8"/>
    <s v="Generation - Steam"/>
    <x v="0"/>
    <x v="2"/>
    <s v="Goldendale"/>
    <n v="1469093.6269999999"/>
    <n v="816.81954748930616"/>
    <n v="599992.19581278169"/>
  </r>
  <r>
    <x v="8"/>
    <s v="Generation - Steam"/>
    <x v="0"/>
    <x v="2"/>
    <s v="Mint Farm"/>
    <n v="1614347.7590000001"/>
    <n v="864.2324486412848"/>
    <n v="697585.85835957038"/>
  </r>
  <r>
    <x v="8"/>
    <s v="Generation - Steam"/>
    <x v="0"/>
    <x v="2"/>
    <s v="Sumas"/>
    <n v="536584.62"/>
    <n v="1027.0424170770877"/>
    <n v="275547.5825455953"/>
  </r>
  <r>
    <x v="8"/>
    <s v="Generation - Oil/Gas/Wind"/>
    <x v="0"/>
    <x v="3"/>
    <s v="Crystal Mountain"/>
    <n v="48.722000000000001"/>
    <n v="2629.0976266346393"/>
    <n v="64.047447282446456"/>
  </r>
  <r>
    <x v="8"/>
    <s v="Generation - Oil/Gas/Wind"/>
    <x v="0"/>
    <x v="2"/>
    <s v="Fredonia"/>
    <n v="112470.95"/>
    <n v="1470.4134074018527"/>
    <n v="82689.396411611713"/>
  </r>
  <r>
    <x v="8"/>
    <s v="Generation - Oil/Gas/Wind"/>
    <x v="0"/>
    <x v="2"/>
    <s v="Fredonia 3 &amp; 4"/>
    <n v="12943.957"/>
    <n v="1252.1295261118873"/>
    <n v="8103.7553722113244"/>
  </r>
  <r>
    <x v="8"/>
    <s v="Generation - Oil/Gas/Wind"/>
    <x v="0"/>
    <x v="2"/>
    <s v="Fredrickson 1 &amp; 2"/>
    <n v="27905.3"/>
    <n v="2727.9687020896617"/>
    <n v="38062.392511211321"/>
  </r>
  <r>
    <x v="8"/>
    <s v="Generation - Oil/Gas/Wind"/>
    <x v="0"/>
    <x v="0"/>
    <s v="Hopkins Ridge (W184)"/>
    <n v="406599.78"/>
    <n v="0"/>
    <n v="0"/>
  </r>
  <r>
    <x v="8"/>
    <s v="Generation - Oil/Gas/Wind"/>
    <x v="0"/>
    <x v="0"/>
    <s v="Lower Snake River"/>
    <n v="816895.07"/>
    <n v="0"/>
    <n v="0"/>
  </r>
  <r>
    <x v="8"/>
    <s v="Generation - Oil/Gas/Wind"/>
    <x v="0"/>
    <x v="2"/>
    <s v="Whitehorn 2&amp;3"/>
    <n v="27795.7"/>
    <n v="2273.2985103724336"/>
    <n v="31593.961702379525"/>
  </r>
  <r>
    <x v="8"/>
    <s v="Generation - Oil/Gas/Wind"/>
    <x v="0"/>
    <x v="0"/>
    <s v="Wild Horse (W183)"/>
    <n v="659105.34199999995"/>
    <n v="0"/>
    <n v="0"/>
  </r>
  <r>
    <x v="8"/>
    <s v="Purchases - Firm"/>
    <x v="1"/>
    <x v="0"/>
    <s v="3 Bar G Wind Turbine #3 LLC"/>
    <n v="202.654"/>
    <n v="0"/>
    <n v="0"/>
  </r>
  <r>
    <x v="8"/>
    <s v="Purchases - Firm"/>
    <x v="1"/>
    <x v="4"/>
    <s v="Barclays Bank Plc"/>
    <n v="216075"/>
    <n v="1132.1250513717666"/>
    <n v="122311.96023757724"/>
  </r>
  <r>
    <x v="8"/>
    <s v="Purchases - Firm"/>
    <x v="1"/>
    <x v="4"/>
    <s v="BC Hydro (Point Roberts)"/>
    <n v="21366.07"/>
    <n v="1132.1250513717666"/>
    <n v="12094.531548181381"/>
  </r>
  <r>
    <x v="8"/>
    <s v="Purchases - Firm"/>
    <x v="1"/>
    <x v="0"/>
    <s v="Bio Energy Washington (BEW)"/>
    <n v="0.89400000000000002"/>
    <n v="0"/>
    <n v="0"/>
  </r>
  <r>
    <x v="8"/>
    <s v="Purchases - Firm"/>
    <x v="1"/>
    <x v="0"/>
    <s v="Black Creek Hydro Inc"/>
    <n v="12819.279"/>
    <n v="0"/>
    <n v="0"/>
  </r>
  <r>
    <x v="8"/>
    <s v="Purchases - Firm"/>
    <x v="1"/>
    <x v="7"/>
    <s v="Book Outs - EITF 03-11"/>
    <n v="-204155"/>
    <n v="0"/>
    <n v="0"/>
  </r>
  <r>
    <x v="8"/>
    <s v="Purchases - Firm"/>
    <x v="1"/>
    <x v="0"/>
    <s v="BPA"/>
    <n v="7000"/>
    <n v="0"/>
    <n v="0"/>
  </r>
  <r>
    <x v="8"/>
    <s v="Purchases - Firm"/>
    <x v="1"/>
    <x v="4"/>
    <s v="BPA Firm - WNP#3 Exchange"/>
    <n v="374969"/>
    <n v="1132.1250513717666"/>
    <n v="212255.89919390998"/>
  </r>
  <r>
    <x v="8"/>
    <s v="Purchases - Firm"/>
    <x v="1"/>
    <x v="0"/>
    <s v="CC Solar 1 and CC Solar 2"/>
    <n v="28.17"/>
    <n v="0"/>
    <n v="0"/>
  </r>
  <r>
    <x v="8"/>
    <s v="Purchases - Firm"/>
    <x v="1"/>
    <x v="0"/>
    <s v="Chelan PUD - RI &amp; RR"/>
    <n v="2436603"/>
    <n v="0"/>
    <n v="0"/>
  </r>
  <r>
    <x v="8"/>
    <s v="Purchases - Firm"/>
    <x v="1"/>
    <x v="0"/>
    <s v="Chelan PUD - Rock Island Syst #2"/>
    <n v="-43063"/>
    <n v="0"/>
    <n v="0"/>
  </r>
  <r>
    <x v="8"/>
    <s v="Purchases - Firm"/>
    <x v="1"/>
    <x v="0"/>
    <s v="Chelan PUD - Rocky Reach"/>
    <n v="-78804"/>
    <n v="0"/>
    <n v="0"/>
  </r>
  <r>
    <x v="8"/>
    <s v="Purchases - Firm"/>
    <x v="1"/>
    <x v="0"/>
    <s v="Douglas PUD - Wells Project"/>
    <n v="1064303"/>
    <n v="0"/>
    <n v="0"/>
  </r>
  <r>
    <x v="8"/>
    <s v="Purchases - Firm"/>
    <x v="1"/>
    <x v="0"/>
    <s v="Edaleen Dairy LLC"/>
    <n v="3924.8539999999998"/>
    <n v="0"/>
    <n v="0"/>
  </r>
  <r>
    <x v="8"/>
    <s v="Purchases - Firm"/>
    <x v="1"/>
    <x v="0"/>
    <s v="Farm Power Lynden LLC"/>
    <n v="4128.7299999999996"/>
    <n v="0"/>
    <n v="0"/>
  </r>
  <r>
    <x v="8"/>
    <s v="Purchases - Firm"/>
    <x v="1"/>
    <x v="0"/>
    <s v="Farm Power Rexville LLC"/>
    <n v="5448.1419999999998"/>
    <n v="0"/>
    <n v="0"/>
  </r>
  <r>
    <x v="8"/>
    <s v="Purchases - Firm"/>
    <x v="1"/>
    <x v="0"/>
    <s v="Grant PUD - Priest Rapids Project"/>
    <n v="72986"/>
    <n v="0"/>
    <n v="0"/>
  </r>
  <r>
    <x v="8"/>
    <s v="Purchases - Firm"/>
    <x v="1"/>
    <x v="0"/>
    <s v="Island Community Solar LLC"/>
    <n v="59.14"/>
    <n v="0"/>
    <n v="0"/>
  </r>
  <r>
    <x v="8"/>
    <s v="Purchases - Firm"/>
    <x v="1"/>
    <x v="4"/>
    <s v="JP Morgan Ventures Energy"/>
    <n v="161925"/>
    <n v="1132.1250513717666"/>
    <n v="91659.674471686667"/>
  </r>
  <r>
    <x v="8"/>
    <s v="Purchases - Firm"/>
    <x v="1"/>
    <x v="2"/>
    <s v="Klamath Falls (Iberdrola)"/>
    <n v="8450"/>
    <n v="807.41888800286392"/>
    <n v="3411.3448018121003"/>
  </r>
  <r>
    <x v="8"/>
    <s v="Purchases - Firm"/>
    <x v="1"/>
    <x v="0"/>
    <s v="Klondike Wind Power III"/>
    <n v="134050"/>
    <n v="0"/>
    <n v="0"/>
  </r>
  <r>
    <x v="8"/>
    <s v="Purchases - Firm"/>
    <x v="1"/>
    <x v="0"/>
    <s v="Knudsen Wind Turbine #1"/>
    <n v="127.961"/>
    <n v="0"/>
    <n v="0"/>
  </r>
  <r>
    <x v="8"/>
    <s v="Purchases - Firm"/>
    <x v="1"/>
    <x v="0"/>
    <s v="Qualco Energy"/>
    <n v="3381"/>
    <n v="0"/>
    <n v="0"/>
  </r>
  <r>
    <x v="8"/>
    <s v="Purchases - Firm"/>
    <x v="1"/>
    <x v="0"/>
    <s v="Rainier Bio Gas"/>
    <n v="5794.9889999999996"/>
    <n v="0"/>
    <n v="0"/>
  </r>
  <r>
    <x v="8"/>
    <s v="Purchases - Firm"/>
    <x v="1"/>
    <x v="4"/>
    <s v="Shell Energy (Coral Pwr)"/>
    <n v="107950"/>
    <n v="1132.1250513717666"/>
    <n v="61106.449647791102"/>
  </r>
  <r>
    <x v="8"/>
    <s v="Purchases - Firm"/>
    <x v="1"/>
    <x v="0"/>
    <s v="Skookumchuck Hydro"/>
    <n v="6742.4620000000004"/>
    <n v="0"/>
    <n v="0"/>
  </r>
  <r>
    <x v="8"/>
    <s v="Purchases - Firm"/>
    <x v="1"/>
    <x v="0"/>
    <s v="Smith Creek Hydro"/>
    <n v="147.297"/>
    <n v="0"/>
    <n v="0"/>
  </r>
  <r>
    <x v="8"/>
    <s v="Purchases - Firm"/>
    <x v="1"/>
    <x v="0"/>
    <s v="Swauk Wind"/>
    <n v="10571.721"/>
    <n v="0"/>
    <n v="0"/>
  </r>
  <r>
    <x v="8"/>
    <s v="Purchases - Firm"/>
    <x v="1"/>
    <x v="0"/>
    <s v="Van Dyk - S Holsteins"/>
    <n v="2314.8589999999999"/>
    <n v="0"/>
    <n v="0"/>
  </r>
  <r>
    <x v="8"/>
    <s v="Purchases - Firm"/>
    <x v="1"/>
    <x v="0"/>
    <s v="VanderHaak Dairy Digester"/>
    <n v="2969.8710000000001"/>
    <n v="0"/>
    <n v="0"/>
  </r>
  <r>
    <x v="8"/>
    <s v="Purchases - PURPA"/>
    <x v="1"/>
    <x v="0"/>
    <s v="Bio Energy Washington (BEW)"/>
    <n v="27.050999999999998"/>
    <n v="0"/>
    <n v="0"/>
  </r>
  <r>
    <x v="8"/>
    <s v="Purchases - PURPA"/>
    <x v="1"/>
    <x v="0"/>
    <s v="BIO FUEL WA"/>
    <n v="1564.5119999999999"/>
    <n v="0"/>
    <n v="0"/>
  </r>
  <r>
    <x v="8"/>
    <s v="Purchases - PURPA"/>
    <x v="1"/>
    <x v="0"/>
    <s v="Hutchinson Creek"/>
    <n v="814.8"/>
    <n v="0"/>
    <n v="0"/>
  </r>
  <r>
    <x v="8"/>
    <s v="Purchases - PURPA"/>
    <x v="1"/>
    <x v="0"/>
    <s v="Koma Kulshan Associates"/>
    <n v="40135.911999999997"/>
    <n v="0"/>
    <n v="0"/>
  </r>
  <r>
    <x v="8"/>
    <s v="Purchases - PURPA"/>
    <x v="1"/>
    <x v="0"/>
    <s v="Lake Washington -- Finn Hill"/>
    <n v="288.08"/>
    <n v="0"/>
    <n v="0"/>
  </r>
  <r>
    <x v="8"/>
    <s v="Purchases - PURPA"/>
    <x v="1"/>
    <x v="0"/>
    <s v="Nooksack"/>
    <n v="23771.706999999999"/>
    <n v="0"/>
    <n v="0"/>
  </r>
  <r>
    <x v="8"/>
    <s v="Purchases - PURPA"/>
    <x v="1"/>
    <x v="0"/>
    <s v="Sygitowicz Creek"/>
    <n v="1170.0820000000001"/>
    <n v="0"/>
    <n v="0"/>
  </r>
  <r>
    <x v="8"/>
    <s v="Purchases - PURPA"/>
    <x v="1"/>
    <x v="0"/>
    <s v="Twin Falls Hydro"/>
    <n v="83478.721999999994"/>
    <n v="0"/>
    <n v="0"/>
  </r>
  <r>
    <x v="8"/>
    <s v="Purchases - PURPA"/>
    <x v="1"/>
    <x v="0"/>
    <s v="Weeks Falls"/>
    <n v="14706.681"/>
    <n v="0"/>
    <n v="0"/>
  </r>
  <r>
    <x v="8"/>
    <s v="Purchases - Secondary"/>
    <x v="2"/>
    <x v="4"/>
    <s v="Avista Corp. WWP Division"/>
    <n v="231202.04"/>
    <n v="1132.1250513717666"/>
    <n v="130874.81070612863"/>
  </r>
  <r>
    <x v="8"/>
    <s v="Purchases - Secondary"/>
    <x v="2"/>
    <x v="4"/>
    <s v="Black Hills Power"/>
    <n v="4600"/>
    <n v="1132.1250513717666"/>
    <n v="2603.8876181550631"/>
  </r>
  <r>
    <x v="8"/>
    <s v="Purchases - Secondary"/>
    <x v="2"/>
    <x v="4"/>
    <s v="Book Outs - EITF 03-11"/>
    <n v="-3157200"/>
    <n v="1132.1250513717666"/>
    <n v="-1787172.606095471"/>
  </r>
  <r>
    <x v="8"/>
    <s v="Purchases - Secondary"/>
    <x v="2"/>
    <x v="4"/>
    <s v="BP Energy Co."/>
    <n v="1103049"/>
    <n v="1132.1250513717666"/>
    <n v="624394.70289528789"/>
  </r>
  <r>
    <x v="8"/>
    <s v="Purchases - Secondary"/>
    <x v="2"/>
    <x v="4"/>
    <s v="BPA"/>
    <n v="417735"/>
    <n v="1132.1250513717666"/>
    <n v="236464.12916739247"/>
  </r>
  <r>
    <x v="8"/>
    <s v="Purchases - Secondary"/>
    <x v="2"/>
    <x v="4"/>
    <s v="Brookfield Energy Marketing"/>
    <n v="800"/>
    <n v="1132.1250513717666"/>
    <n v="452.85002054870665"/>
  </r>
  <r>
    <x v="8"/>
    <s v="Purchases - Secondary"/>
    <x v="2"/>
    <x v="4"/>
    <s v="Burbank, City of"/>
    <n v="200"/>
    <n v="1132.1250513717666"/>
    <n v="113.21250513717666"/>
  </r>
  <r>
    <x v="8"/>
    <s v="Purchases - Secondary"/>
    <x v="2"/>
    <x v="4"/>
    <s v="California ISO"/>
    <n v="34629"/>
    <n v="1132.1250513717666"/>
    <n v="19602.179201976451"/>
  </r>
  <r>
    <x v="8"/>
    <s v="Purchases - Secondary"/>
    <x v="2"/>
    <x v="4"/>
    <s v="Calpine Energy Services"/>
    <n v="82375"/>
    <n v="1132.1250513717666"/>
    <n v="46629.400553374639"/>
  </r>
  <r>
    <x v="8"/>
    <s v="Purchases - Secondary"/>
    <x v="2"/>
    <x v="4"/>
    <s v="Cargill Power Markets"/>
    <n v="475057"/>
    <n v="1132.1250513717666"/>
    <n v="268911.96526475862"/>
  </r>
  <r>
    <x v="8"/>
    <s v="Purchases - Secondary"/>
    <x v="2"/>
    <x v="4"/>
    <s v="Chelan County PUD #1"/>
    <n v="15616"/>
    <n v="1132.1250513717666"/>
    <n v="8839.6324011107536"/>
  </r>
  <r>
    <x v="8"/>
    <s v="Purchases - Secondary"/>
    <x v="2"/>
    <x v="4"/>
    <s v="Citigroup Energy Inc"/>
    <n v="209900"/>
    <n v="1132.1250513717666"/>
    <n v="118816.5241414669"/>
  </r>
  <r>
    <x v="8"/>
    <s v="Purchases - Secondary"/>
    <x v="2"/>
    <x v="4"/>
    <s v="Clark Public Utilities"/>
    <n v="16000"/>
    <n v="1132.1250513717666"/>
    <n v="9057.000410974133"/>
  </r>
  <r>
    <x v="8"/>
    <s v="Purchases - Secondary"/>
    <x v="2"/>
    <x v="4"/>
    <s v="Clatskanie PUD"/>
    <n v="2268"/>
    <n v="1132.1250513717666"/>
    <n v="1283.8298082555832"/>
  </r>
  <r>
    <x v="8"/>
    <s v="Purchases - Secondary"/>
    <x v="2"/>
    <x v="4"/>
    <s v="Constellation Power Source, Inc."/>
    <n v="12317"/>
    <n v="1132.1250513717666"/>
    <n v="6972.1921288730255"/>
  </r>
  <r>
    <x v="8"/>
    <s v="Purchases - Secondary"/>
    <x v="2"/>
    <x v="4"/>
    <s v="CP Energy Marketing (Epcor)"/>
    <n v="5815"/>
    <n v="1132.1250513717666"/>
    <n v="3291.6535868634114"/>
  </r>
  <r>
    <x v="8"/>
    <s v="Purchases - Secondary"/>
    <x v="2"/>
    <x v="4"/>
    <s v="DB Energy Trading LLC"/>
    <n v="433233"/>
    <n v="1132.1250513717666"/>
    <n v="245236.96619047227"/>
  </r>
  <r>
    <x v="8"/>
    <s v="Purchases - Secondary"/>
    <x v="2"/>
    <x v="4"/>
    <s v="Douglas County PUD #1"/>
    <n v="305577"/>
    <n v="1132.1250513717666"/>
    <n v="172975.68841151518"/>
  </r>
  <r>
    <x v="8"/>
    <s v="Purchases - Secondary"/>
    <x v="2"/>
    <x v="4"/>
    <s v="EDF Trading NA LLC"/>
    <n v="163552"/>
    <n v="1132.1250513717666"/>
    <n v="92580.658200977588"/>
  </r>
  <r>
    <x v="8"/>
    <s v="Purchases - Secondary"/>
    <x v="2"/>
    <x v="4"/>
    <s v="Eugene Water &amp; Electric"/>
    <n v="14487"/>
    <n v="1132.1250513717666"/>
    <n v="8200.5478096113911"/>
  </r>
  <r>
    <x v="8"/>
    <s v="Purchases - Secondary"/>
    <x v="2"/>
    <x v="4"/>
    <s v="Exelon Generation Co LLC"/>
    <n v="60279"/>
    <n v="1132.1250513717666"/>
    <n v="34121.68298581936"/>
  </r>
  <r>
    <x v="8"/>
    <s v="Purchases - Secondary"/>
    <x v="2"/>
    <x v="4"/>
    <s v="Grant County PUD #2"/>
    <n v="27401"/>
    <n v="1132.1250513717666"/>
    <n v="15510.67926631889"/>
  </r>
  <r>
    <x v="8"/>
    <s v="Purchases - Secondary"/>
    <x v="2"/>
    <x v="4"/>
    <s v="Iberdrola Renewables (PPM Energy)"/>
    <n v="862192"/>
    <n v="1132.1250513717666"/>
    <n v="488054.58114616311"/>
  </r>
  <r>
    <x v="8"/>
    <s v="Purchases - Secondary"/>
    <x v="2"/>
    <x v="4"/>
    <s v="Idaho Power Company"/>
    <n v="8565"/>
    <n v="1132.1250513717666"/>
    <n v="4848.3255324995907"/>
  </r>
  <r>
    <x v="8"/>
    <s v="Purchases - Secondary"/>
    <x v="2"/>
    <x v="4"/>
    <s v="J. Aron &amp; Company"/>
    <n v="16200"/>
    <n v="1132.1250513717666"/>
    <n v="9170.2129161113098"/>
  </r>
  <r>
    <x v="8"/>
    <s v="Purchases - Secondary"/>
    <x v="2"/>
    <x v="4"/>
    <s v="JP Morgan Ventures Energy"/>
    <n v="1017850"/>
    <n v="1132.1250513717666"/>
    <n v="576166.74176937633"/>
  </r>
  <r>
    <x v="8"/>
    <s v="Purchases - Secondary"/>
    <x v="2"/>
    <x v="4"/>
    <s v="Morgan Stanley CG"/>
    <n v="2038800"/>
    <n v="1132.1250513717666"/>
    <n v="1154088.2773683788"/>
  </r>
  <r>
    <x v="8"/>
    <s v="Purchases - Secondary"/>
    <x v="2"/>
    <x v="4"/>
    <s v="Natur Ener USA"/>
    <n v="2"/>
    <n v="1132.1250513717666"/>
    <n v="1.1321250513717667"/>
  </r>
  <r>
    <x v="8"/>
    <s v="Purchases - Secondary"/>
    <x v="2"/>
    <x v="4"/>
    <s v="NextEra Energy Power Marketing"/>
    <n v="38830"/>
    <n v="1132.1250513717666"/>
    <n v="21980.207872382849"/>
  </r>
  <r>
    <x v="8"/>
    <s v="Purchases - Secondary"/>
    <x v="2"/>
    <x v="4"/>
    <s v="Noble Americas Energy Solutions"/>
    <n v="8800"/>
    <n v="1132.1250513717666"/>
    <n v="4981.3502260357727"/>
  </r>
  <r>
    <x v="8"/>
    <s v="Purchases - Secondary"/>
    <x v="2"/>
    <x v="4"/>
    <s v="Noble Americas Gas &amp; Power"/>
    <n v="400"/>
    <n v="1132.1250513717666"/>
    <n v="226.42501027435333"/>
  </r>
  <r>
    <x v="8"/>
    <s v="Purchases - Secondary"/>
    <x v="2"/>
    <x v="4"/>
    <s v="Northwestern Energy"/>
    <n v="26622"/>
    <n v="1132.1250513717666"/>
    <n v="15069.716558809585"/>
  </r>
  <r>
    <x v="8"/>
    <s v="Purchases - Secondary"/>
    <x v="2"/>
    <x v="4"/>
    <s v="Okanogan PUD"/>
    <n v="26282"/>
    <n v="1132.1250513717666"/>
    <n v="14877.255300076386"/>
  </r>
  <r>
    <x v="8"/>
    <s v="Purchases - Secondary"/>
    <x v="2"/>
    <x v="4"/>
    <s v="Pacificorp"/>
    <n v="82864"/>
    <n v="1132.1250513717666"/>
    <n v="46906.205128435038"/>
  </r>
  <r>
    <x v="8"/>
    <s v="Purchases - Secondary"/>
    <x v="2"/>
    <x v="4"/>
    <s v="Portland General Electric"/>
    <n v="43399"/>
    <n v="1132.1250513717666"/>
    <n v="24566.547552241649"/>
  </r>
  <r>
    <x v="8"/>
    <s v="Purchases - Secondary"/>
    <x v="2"/>
    <x v="4"/>
    <s v="Powerex Corp."/>
    <n v="176702"/>
    <n v="1132.1250513717666"/>
    <n v="100024.38041374696"/>
  </r>
  <r>
    <x v="8"/>
    <s v="Purchases - Secondary"/>
    <x v="2"/>
    <x v="4"/>
    <s v="Rainbow Energy Marketing"/>
    <n v="20918"/>
    <n v="1132.1250513717666"/>
    <n v="11840.895912297306"/>
  </r>
  <r>
    <x v="8"/>
    <s v="Purchases - Secondary"/>
    <x v="2"/>
    <x v="4"/>
    <s v="Sacramento Municipal"/>
    <n v="1700"/>
    <n v="1132.1250513717666"/>
    <n v="962.30629366600169"/>
  </r>
  <r>
    <x v="8"/>
    <s v="Purchases - Secondary"/>
    <x v="2"/>
    <x v="4"/>
    <s v="San Diego Gas &amp; Electric"/>
    <n v="76"/>
    <n v="1132.1250513717666"/>
    <n v="43.020751952127128"/>
  </r>
  <r>
    <x v="8"/>
    <s v="Purchases - Secondary"/>
    <x v="2"/>
    <x v="4"/>
    <s v="Seattle City Light Marketing"/>
    <n v="144546"/>
    <n v="1132.1250513717666"/>
    <n v="81822.0738377917"/>
  </r>
  <r>
    <x v="8"/>
    <s v="Purchases - Secondary"/>
    <x v="2"/>
    <x v="4"/>
    <s v="Shell Energy (Coral Pwr)"/>
    <n v="611302"/>
    <n v="1132.1250513717666"/>
    <n v="346035.15407683182"/>
  </r>
  <r>
    <x v="8"/>
    <s v="Purchases - Secondary"/>
    <x v="2"/>
    <x v="4"/>
    <s v="Snohomish County PUD #1"/>
    <n v="49476"/>
    <n v="1132.1250513717666"/>
    <n v="28006.509520834763"/>
  </r>
  <r>
    <x v="8"/>
    <s v="Purchases - Secondary"/>
    <x v="2"/>
    <x v="4"/>
    <s v="Southern Cal - Edison"/>
    <n v="49519"/>
    <n v="1132.1250513717666"/>
    <n v="28030.850209439257"/>
  </r>
  <r>
    <x v="8"/>
    <s v="Purchases - Secondary"/>
    <x v="2"/>
    <x v="4"/>
    <s v="Tacoma Power"/>
    <n v="104948"/>
    <n v="1132.1250513717666"/>
    <n v="59407.129945682078"/>
  </r>
  <r>
    <x v="8"/>
    <s v="Purchases - Secondary"/>
    <x v="2"/>
    <x v="4"/>
    <s v="Talen Energy (PPL Energy Plus)"/>
    <n v="172219"/>
    <n v="1132.1250513717666"/>
    <n v="97486.722111097144"/>
  </r>
  <r>
    <x v="8"/>
    <s v="Purchases - Secondary"/>
    <x v="2"/>
    <x v="4"/>
    <s v="Tenaska Power Services Co."/>
    <n v="5800"/>
    <n v="1132.1250513717666"/>
    <n v="3283.1626489781233"/>
  </r>
  <r>
    <x v="8"/>
    <s v="Purchases - Secondary"/>
    <x v="2"/>
    <x v="4"/>
    <s v="The Energy Authority"/>
    <n v="97683"/>
    <n v="1132.1250513717666"/>
    <n v="55294.685696574139"/>
  </r>
  <r>
    <x v="8"/>
    <s v="Purchases - Secondary"/>
    <x v="2"/>
    <x v="4"/>
    <s v="TransAlta Energy Marketing"/>
    <n v="1129071"/>
    <n v="1132.1250513717666"/>
    <n v="639124.78193868604"/>
  </r>
  <r>
    <x v="8"/>
    <s v="Purchases - Secondary"/>
    <x v="2"/>
    <x v="4"/>
    <s v="TransCanada Energy Sales Ltd"/>
    <n v="681"/>
    <n v="1132.1250513717666"/>
    <n v="385.4885799920865"/>
  </r>
  <r>
    <x v="8"/>
    <s v="Purchases - Secondary"/>
    <x v="2"/>
    <x v="4"/>
    <s v="Turlock Irrigation District"/>
    <n v="60816"/>
    <n v="1132.1250513717666"/>
    <n v="34425.65856211268"/>
  </r>
  <r>
    <x v="8"/>
    <s v="Purchases - Secondary"/>
    <x v="2"/>
    <x v="4"/>
    <s v="Vitol Inc."/>
    <n v="262136"/>
    <n v="1132.1250513717666"/>
    <n v="148385.36623319471"/>
  </r>
  <r>
    <x v="8"/>
    <s v="Interchange - In"/>
    <x v="2"/>
    <x v="4"/>
    <s v="Pacific Gas &amp; Elec - Exchange"/>
    <n v="413000"/>
    <n v="1132.1250513717666"/>
    <n v="233783.8231082698"/>
  </r>
  <r>
    <x v="8"/>
    <s v="Interchange - Out"/>
    <x v="2"/>
    <x v="4"/>
    <s v="Deviation"/>
    <n v="47848.936999999998"/>
    <n v="1132.1250513717666"/>
    <n v="27085.490129604714"/>
  </r>
  <r>
    <x v="8"/>
    <s v="Interchange - Out"/>
    <x v="2"/>
    <x v="4"/>
    <s v="Pacific Gas &amp; Elec - Exchange"/>
    <n v="-413000"/>
    <n v="1132.1250513717666"/>
    <n v="-233783.8231082698"/>
  </r>
  <r>
    <x v="8"/>
    <s v="Sales for Resale"/>
    <x v="2"/>
    <x v="4"/>
    <s v="Avista Corp. WWP Division"/>
    <n v="-45139"/>
    <n v="1132.1250513717666"/>
    <n v="-25551.496346935084"/>
  </r>
  <r>
    <x v="8"/>
    <s v="Sales for Resale"/>
    <x v="2"/>
    <x v="4"/>
    <s v="Barclays Bank Plc"/>
    <n v="-35"/>
    <n v="1132.1250513717666"/>
    <n v="-19.812188399005919"/>
  </r>
  <r>
    <x v="8"/>
    <s v="Sales for Resale"/>
    <x v="2"/>
    <x v="4"/>
    <s v="Black Hills Power"/>
    <n v="-1762"/>
    <n v="1132.1250513717666"/>
    <n v="-997.40217025852644"/>
  </r>
  <r>
    <x v="8"/>
    <s v="Sales for Resale"/>
    <x v="2"/>
    <x v="4"/>
    <s v="Book Outs - EITF 03-11"/>
    <n v="3361355"/>
    <n v="1132.1250513717666"/>
    <n v="1902737.1010268724"/>
  </r>
  <r>
    <x v="8"/>
    <s v="Sales for Resale"/>
    <x v="2"/>
    <x v="4"/>
    <s v="BP Energy Co."/>
    <n v="-297433"/>
    <n v="1132.1250513717666"/>
    <n v="-168365.67520232935"/>
  </r>
  <r>
    <x v="8"/>
    <s v="Sales for Resale"/>
    <x v="2"/>
    <x v="4"/>
    <s v="BPA"/>
    <n v="-165628"/>
    <n v="1132.1250513717666"/>
    <n v="-93755.804004301492"/>
  </r>
  <r>
    <x v="8"/>
    <s v="Sales for Resale"/>
    <x v="2"/>
    <x v="4"/>
    <s v="British Columbia Transmission Corp"/>
    <n v="-65"/>
    <n v="1132.1250513717666"/>
    <n v="-36.794064169582413"/>
  </r>
  <r>
    <x v="8"/>
    <s v="Sales for Resale"/>
    <x v="2"/>
    <x v="4"/>
    <s v="Brookfield Energy Marketing"/>
    <n v="-800"/>
    <n v="1132.1250513717666"/>
    <n v="-452.85002054870665"/>
  </r>
  <r>
    <x v="8"/>
    <s v="Sales for Resale"/>
    <x v="2"/>
    <x v="4"/>
    <s v="Burbank, City of"/>
    <n v="-2200"/>
    <n v="1132.1250513717666"/>
    <n v="-1245.3375565089432"/>
  </r>
  <r>
    <x v="8"/>
    <s v="Sales for Resale"/>
    <x v="2"/>
    <x v="4"/>
    <s v="California ISO"/>
    <n v="-8579"/>
    <n v="1132.1250513717666"/>
    <n v="-4856.2504078591928"/>
  </r>
  <r>
    <x v="8"/>
    <s v="Sales for Resale"/>
    <x v="2"/>
    <x v="4"/>
    <s v="Calpine Energy Services"/>
    <n v="-390795"/>
    <n v="1132.1250513717666"/>
    <n v="-221214.40472541479"/>
  </r>
  <r>
    <x v="8"/>
    <s v="Sales for Resale"/>
    <x v="2"/>
    <x v="4"/>
    <s v="Cargill Power Markets"/>
    <n v="-158112"/>
    <n v="1132.1250513717666"/>
    <n v="-89501.278061246383"/>
  </r>
  <r>
    <x v="8"/>
    <s v="Sales for Resale"/>
    <x v="2"/>
    <x v="4"/>
    <s v="Chelan County PUD #1"/>
    <n v="-25371"/>
    <n v="1132.1250513717666"/>
    <n v="-14361.572339176544"/>
  </r>
  <r>
    <x v="8"/>
    <s v="Sales for Resale"/>
    <x v="2"/>
    <x v="4"/>
    <s v="Citigroup Energy Inc"/>
    <n v="-60746"/>
    <n v="1132.1250513717666"/>
    <n v="-34386.034185314667"/>
  </r>
  <r>
    <x v="8"/>
    <s v="Sales for Resale"/>
    <x v="2"/>
    <x v="4"/>
    <s v="Clark Public Utilities"/>
    <n v="-18922"/>
    <n v="1132.1250513717666"/>
    <n v="-10711.035111028285"/>
  </r>
  <r>
    <x v="8"/>
    <s v="Sales for Resale"/>
    <x v="2"/>
    <x v="4"/>
    <s v="Clatskanie PUD"/>
    <n v="-5659"/>
    <n v="1132.1250513717666"/>
    <n v="-3203.3478328564138"/>
  </r>
  <r>
    <x v="8"/>
    <s v="Sales for Resale"/>
    <x v="2"/>
    <x v="4"/>
    <s v="Constellation Power Source, Inc."/>
    <n v="-1"/>
    <n v="1132.1250513717666"/>
    <n v="-0.56606252568588333"/>
  </r>
  <r>
    <x v="8"/>
    <s v="Sales for Resale"/>
    <x v="2"/>
    <x v="4"/>
    <s v="CP Energy Marketing (Epcor)"/>
    <n v="-1115"/>
    <n v="1132.1250513717666"/>
    <n v="-631.15971613975989"/>
  </r>
  <r>
    <x v="8"/>
    <s v="Sales for Resale"/>
    <x v="2"/>
    <x v="4"/>
    <s v="DB Energy Trading LLC"/>
    <n v="8"/>
    <n v="1132.1250513717666"/>
    <n v="4.5285002054870667"/>
  </r>
  <r>
    <x v="8"/>
    <s v="Sales for Resale"/>
    <x v="2"/>
    <x v="4"/>
    <s v="Douglas County PUD #1"/>
    <n v="-3025"/>
    <n v="1132.1250513717666"/>
    <n v="-1712.3391401997969"/>
  </r>
  <r>
    <x v="8"/>
    <s v="Sales for Resale"/>
    <x v="2"/>
    <x v="4"/>
    <s v="EDF Trading NA LLC"/>
    <n v="-40695"/>
    <n v="1132.1250513717666"/>
    <n v="-23035.914482787022"/>
  </r>
  <r>
    <x v="8"/>
    <s v="Sales for Resale"/>
    <x v="2"/>
    <x v="4"/>
    <s v="Eugene Water &amp; Electric"/>
    <n v="-35479"/>
    <n v="1132.1250513717666"/>
    <n v="-20083.332348809454"/>
  </r>
  <r>
    <x v="8"/>
    <s v="Sales for Resale"/>
    <x v="2"/>
    <x v="4"/>
    <s v="Exelon Generation Co LLC"/>
    <n v="-34998"/>
    <n v="1132.1250513717666"/>
    <n v="-19811.056273954546"/>
  </r>
  <r>
    <x v="8"/>
    <s v="Sales for Resale"/>
    <x v="2"/>
    <x v="4"/>
    <s v="Fortis BC"/>
    <n v="-144215"/>
    <n v="1132.1250513717666"/>
    <n v="-81634.707141789666"/>
  </r>
  <r>
    <x v="8"/>
    <s v="Sales for Resale"/>
    <x v="2"/>
    <x v="4"/>
    <s v="Grant County PUD #2"/>
    <n v="-26969"/>
    <n v="1132.1250513717666"/>
    <n v="-15266.140255222586"/>
  </r>
  <r>
    <x v="8"/>
    <s v="Sales for Resale"/>
    <x v="2"/>
    <x v="4"/>
    <s v="Iberdrola Renewables (PPM Energy)"/>
    <n v="-646518"/>
    <n v="1132.1250513717666"/>
    <n v="-365969.61198138591"/>
  </r>
  <r>
    <x v="8"/>
    <s v="Sales for Resale"/>
    <x v="2"/>
    <x v="4"/>
    <s v="Idaho Power Company"/>
    <n v="-27009"/>
    <n v="1132.1250513717666"/>
    <n v="-15288.782756250022"/>
  </r>
  <r>
    <x v="8"/>
    <s v="Sales for Resale"/>
    <x v="2"/>
    <x v="4"/>
    <s v="J. Aron &amp; Company"/>
    <n v="-52425"/>
    <n v="1132.1250513717666"/>
    <n v="-29675.827909082433"/>
  </r>
  <r>
    <x v="8"/>
    <s v="Sales for Resale"/>
    <x v="2"/>
    <x v="4"/>
    <s v="JP Morgan Ventures Energy"/>
    <n v="-54818"/>
    <n v="1132.1250513717666"/>
    <n v="-31030.415533048752"/>
  </r>
  <r>
    <x v="8"/>
    <s v="Sales for Resale"/>
    <x v="2"/>
    <x v="4"/>
    <s v="Morgan Stanley CG"/>
    <n v="-389258"/>
    <n v="1132.1250513717666"/>
    <n v="-220344.36662343555"/>
  </r>
  <r>
    <x v="8"/>
    <s v="Sales for Resale"/>
    <x v="2"/>
    <x v="4"/>
    <s v="Natur Ener USA"/>
    <n v="-9"/>
    <n v="1132.1250513717666"/>
    <n v="-5.0945627311729496"/>
  </r>
  <r>
    <x v="8"/>
    <s v="Sales for Resale"/>
    <x v="2"/>
    <x v="4"/>
    <s v="NextEra Energy Power Marketing"/>
    <n v="-1181"/>
    <n v="1132.1250513717666"/>
    <n v="-668.51984283502816"/>
  </r>
  <r>
    <x v="8"/>
    <s v="Sales for Resale"/>
    <x v="2"/>
    <x v="4"/>
    <s v="Noble Americas Energy Solutions"/>
    <n v="-5999"/>
    <n v="1132.1250513717666"/>
    <n v="-3395.8090915896137"/>
  </r>
  <r>
    <x v="8"/>
    <s v="Sales for Resale"/>
    <x v="2"/>
    <x v="4"/>
    <s v="Noble Americas Gas &amp; Power"/>
    <n v="-6600"/>
    <n v="1132.1250513717666"/>
    <n v="-3736.01266952683"/>
  </r>
  <r>
    <x v="8"/>
    <s v="Sales for Resale"/>
    <x v="2"/>
    <x v="4"/>
    <s v="NorthPoint Energy Solutions, Inc."/>
    <n v="-23745"/>
    <n v="1132.1250513717666"/>
    <n v="-13441.1546724113"/>
  </r>
  <r>
    <x v="8"/>
    <s v="Sales for Resale"/>
    <x v="2"/>
    <x v="4"/>
    <s v="Northwestern Energy"/>
    <n v="-83310"/>
    <n v="1132.1250513717666"/>
    <n v="-47158.66901489094"/>
  </r>
  <r>
    <x v="8"/>
    <s v="Sales for Resale"/>
    <x v="2"/>
    <x v="4"/>
    <s v="Okanogan PUD"/>
    <n v="-2675"/>
    <n v="1132.1250513717666"/>
    <n v="-1514.2172562097378"/>
  </r>
  <r>
    <x v="8"/>
    <s v="Sales for Resale"/>
    <x v="2"/>
    <x v="4"/>
    <s v="Pacificorp"/>
    <n v="-277031"/>
    <n v="1132.1250513717666"/>
    <n v="-156816.86755328593"/>
  </r>
  <r>
    <x v="8"/>
    <s v="Sales for Resale"/>
    <x v="2"/>
    <x v="4"/>
    <s v="Portland General Electric"/>
    <n v="-192170"/>
    <n v="1132.1250513717666"/>
    <n v="-108780.23556105619"/>
  </r>
  <r>
    <x v="8"/>
    <s v="Sales for Resale"/>
    <x v="2"/>
    <x v="4"/>
    <s v="Powerex Corp."/>
    <n v="-403044"/>
    <n v="1132.1250513717666"/>
    <n v="-228148.10460254113"/>
  </r>
  <r>
    <x v="8"/>
    <s v="Sales for Resale"/>
    <x v="2"/>
    <x v="4"/>
    <s v="Rainbow Energy Marketing"/>
    <n v="-35434"/>
    <n v="1132.1250513717666"/>
    <n v="-20057.859535153591"/>
  </r>
  <r>
    <x v="8"/>
    <s v="Sales for Resale"/>
    <x v="2"/>
    <x v="4"/>
    <s v="Sacramento Municipal"/>
    <n v="-7107"/>
    <n v="1132.1250513717666"/>
    <n v="-4023.0063700495725"/>
  </r>
  <r>
    <x v="8"/>
    <s v="Sales for Resale"/>
    <x v="2"/>
    <x v="4"/>
    <s v="San Diego Gas &amp; Electric"/>
    <n v="-975"/>
    <n v="1132.1250513717666"/>
    <n v="-551.91096254373622"/>
  </r>
  <r>
    <x v="8"/>
    <s v="Sales for Resale"/>
    <x v="2"/>
    <x v="4"/>
    <s v="Seattle City Light Marketing"/>
    <n v="-23533"/>
    <n v="1132.1250513717666"/>
    <n v="-13321.149416965893"/>
  </r>
  <r>
    <x v="8"/>
    <s v="Sales for Resale"/>
    <x v="2"/>
    <x v="4"/>
    <s v="Shell Energy (Coral Pwr)"/>
    <n v="-279421"/>
    <n v="1132.1250513717666"/>
    <n v="-158169.7569896752"/>
  </r>
  <r>
    <x v="8"/>
    <s v="Sales for Resale"/>
    <x v="2"/>
    <x v="4"/>
    <s v="Sierra Pacific Power"/>
    <n v="-2095"/>
    <n v="1132.1250513717666"/>
    <n v="-1185.9009913119255"/>
  </r>
  <r>
    <x v="8"/>
    <s v="Sales for Resale"/>
    <x v="2"/>
    <x v="4"/>
    <s v="Snohomish County PUD #1"/>
    <n v="-30000"/>
    <n v="1132.1250513717666"/>
    <n v="-16981.875770576498"/>
  </r>
  <r>
    <x v="8"/>
    <s v="Sales for Resale"/>
    <x v="2"/>
    <x v="4"/>
    <s v="Southern Cal - Edison"/>
    <n v="-175"/>
    <n v="1132.1250513717666"/>
    <n v="-99.06094199502958"/>
  </r>
  <r>
    <x v="8"/>
    <s v="Sales for Resale"/>
    <x v="2"/>
    <x v="4"/>
    <s v="Tacoma Power"/>
    <n v="-36049"/>
    <n v="1132.1250513717666"/>
    <n v="-20405.987988450408"/>
  </r>
  <r>
    <x v="8"/>
    <s v="Sales for Resale"/>
    <x v="2"/>
    <x v="4"/>
    <s v="Talen Energy (PPL Energy Plus)"/>
    <n v="-64235"/>
    <n v="1132.1250513717666"/>
    <n v="-36361.026337432711"/>
  </r>
  <r>
    <x v="8"/>
    <s v="Sales for Resale"/>
    <x v="2"/>
    <x v="4"/>
    <s v="Tenaska Power Services Co."/>
    <n v="-870"/>
    <n v="1132.1250513717666"/>
    <n v="-492.47439734671849"/>
  </r>
  <r>
    <x v="8"/>
    <s v="Sales for Resale"/>
    <x v="2"/>
    <x v="4"/>
    <s v="The Energy Authority"/>
    <n v="-43118"/>
    <n v="1132.1250513717666"/>
    <n v="-24407.483982523918"/>
  </r>
  <r>
    <x v="8"/>
    <s v="Sales for Resale"/>
    <x v="2"/>
    <x v="4"/>
    <s v="TransAlta Energy Marketing"/>
    <n v="-391631"/>
    <n v="1132.1250513717666"/>
    <n v="-221687.63299688816"/>
  </r>
  <r>
    <x v="8"/>
    <s v="Sales for Resale"/>
    <x v="2"/>
    <x v="4"/>
    <s v="TransCanada Energy Marketing"/>
    <n v="-3692"/>
    <n v="1132.1250513717666"/>
    <n v="-2089.9028448322811"/>
  </r>
  <r>
    <x v="8"/>
    <s v="Sales for Resale"/>
    <x v="2"/>
    <x v="4"/>
    <s v="TransCanada Energy Sales Ltd"/>
    <n v="-27429"/>
    <n v="1132.1250513717666"/>
    <n v="-15526.529017038094"/>
  </r>
  <r>
    <x v="8"/>
    <s v="Sales for Resale"/>
    <x v="2"/>
    <x v="4"/>
    <s v="Turlock Irrigation District"/>
    <n v="-3960"/>
    <n v="1132.1250513717666"/>
    <n v="-2241.6076017160981"/>
  </r>
  <r>
    <x v="8"/>
    <s v="Sales for Resale"/>
    <x v="2"/>
    <x v="4"/>
    <s v="Vitol Inc."/>
    <n v="-466011"/>
    <n v="1132.1250513717666"/>
    <n v="-263791.3636574042"/>
  </r>
  <r>
    <x v="9"/>
    <s v="Generation - Hydro"/>
    <x v="0"/>
    <x v="0"/>
    <s v="Electron"/>
    <n v="42364.24"/>
    <n v="0"/>
    <n v="0"/>
  </r>
  <r>
    <x v="9"/>
    <s v="Generation - Hydro"/>
    <x v="0"/>
    <x v="0"/>
    <s v="Lower Baker"/>
    <n v="429609.103"/>
    <n v="0"/>
    <n v="0"/>
  </r>
  <r>
    <x v="9"/>
    <s v="Generation - Hydro"/>
    <x v="0"/>
    <x v="0"/>
    <s v="Snoqualmie Falls #1"/>
    <n v="40375.218000000001"/>
    <n v="0"/>
    <n v="0"/>
  </r>
  <r>
    <x v="9"/>
    <s v="Generation - Hydro"/>
    <x v="0"/>
    <x v="0"/>
    <s v="Snoqualmie Falls #2"/>
    <n v="147766.71299999999"/>
    <n v="0"/>
    <n v="0"/>
  </r>
  <r>
    <x v="9"/>
    <s v="Generation - Hydro"/>
    <x v="0"/>
    <x v="0"/>
    <s v="Upper Baker"/>
    <n v="340085.38099999999"/>
    <n v="0"/>
    <n v="0"/>
  </r>
  <r>
    <x v="9"/>
    <s v="Generation - Steam"/>
    <x v="0"/>
    <x v="1"/>
    <s v="Colstrip 1 &amp; 2"/>
    <n v="2114046"/>
    <n v="2408.3042658485197"/>
    <n v="2545633"/>
  </r>
  <r>
    <x v="9"/>
    <s v="Generation - Steam"/>
    <x v="0"/>
    <x v="1"/>
    <s v="Colstrip 3 &amp; 4"/>
    <n v="2395521"/>
    <n v="2341.5632757967892"/>
    <n v="2804632"/>
  </r>
  <r>
    <x v="9"/>
    <s v="Generation - Steam"/>
    <x v="0"/>
    <x v="2"/>
    <s v="Encogen"/>
    <n v="218068.82899999997"/>
    <n v="1067.0003580483333"/>
    <n v="116339.75931109037"/>
  </r>
  <r>
    <x v="9"/>
    <s v="Generation - Steam"/>
    <x v="0"/>
    <x v="2"/>
    <s v="Ferndale Co-Generation"/>
    <n v="722557.11800000002"/>
    <n v="1015.5714207225303"/>
    <n v="366904.17944021849"/>
  </r>
  <r>
    <x v="9"/>
    <s v="Generation - Steam"/>
    <x v="0"/>
    <x v="2"/>
    <s v="Freddie #1"/>
    <n v="346742.94699999999"/>
    <n v="1725.3245108965496"/>
    <n v="299122.05271980161"/>
  </r>
  <r>
    <x v="9"/>
    <s v="Generation - Steam"/>
    <x v="0"/>
    <x v="2"/>
    <s v="Goldendale"/>
    <n v="1029457.112"/>
    <n v="828.58673039731809"/>
    <n v="426497.25125817279"/>
  </r>
  <r>
    <x v="9"/>
    <s v="Generation - Steam"/>
    <x v="0"/>
    <x v="2"/>
    <s v="Mint Farm"/>
    <n v="1284786.4339999999"/>
    <n v="871.89901865046033"/>
    <n v="560102.01549001213"/>
  </r>
  <r>
    <x v="9"/>
    <s v="Generation - Steam"/>
    <x v="0"/>
    <x v="2"/>
    <s v="Sumas"/>
    <n v="446064.98"/>
    <n v="1032.8886672668616"/>
    <n v="230367.73135330962"/>
  </r>
  <r>
    <x v="9"/>
    <s v="Generation - Oil/Gas/Wind"/>
    <x v="0"/>
    <x v="3"/>
    <s v="Crystal Mountain"/>
    <n v="357.8"/>
    <n v="1822.9319187566496"/>
    <n v="326.12252026556462"/>
  </r>
  <r>
    <x v="9"/>
    <s v="Generation - Oil/Gas/Wind"/>
    <x v="0"/>
    <x v="2"/>
    <s v="Fredonia"/>
    <n v="56804.9"/>
    <n v="1772.0470230151398"/>
    <n v="50330.476968836359"/>
  </r>
  <r>
    <x v="9"/>
    <s v="Generation - Oil/Gas/Wind"/>
    <x v="0"/>
    <x v="2"/>
    <s v="Fredonia 3 &amp; 4"/>
    <n v="11337.6"/>
    <n v="1329.4098394714711"/>
    <n v="7536.1584979958752"/>
  </r>
  <r>
    <x v="9"/>
    <s v="Generation - Oil/Gas/Wind"/>
    <x v="0"/>
    <x v="2"/>
    <s v="Fredrickson 1 &amp; 2"/>
    <n v="14347.32"/>
    <n v="3747.2792048698875"/>
    <n v="26881.706940806918"/>
  </r>
  <r>
    <x v="9"/>
    <s v="Generation - Oil/Gas/Wind"/>
    <x v="0"/>
    <x v="0"/>
    <s v="Hopkins Ridge (W184)"/>
    <n v="442302.62199999997"/>
    <n v="0"/>
    <n v="0"/>
  </r>
  <r>
    <x v="9"/>
    <s v="Generation - Oil/Gas/Wind"/>
    <x v="0"/>
    <x v="0"/>
    <s v="Lower Snake River"/>
    <n v="883474.77099999995"/>
    <n v="0"/>
    <n v="0"/>
  </r>
  <r>
    <x v="9"/>
    <s v="Generation - Oil/Gas/Wind"/>
    <x v="0"/>
    <x v="2"/>
    <s v="Whitehorn 2&amp;3"/>
    <n v="24458.1"/>
    <n v="2653.7287919374417"/>
    <n v="32452.582083042569"/>
  </r>
  <r>
    <x v="9"/>
    <s v="Generation - Oil/Gas/Wind"/>
    <x v="0"/>
    <x v="0"/>
    <s v="Wild Horse (W183)"/>
    <n v="649976.24100000004"/>
    <n v="0"/>
    <n v="0"/>
  </r>
  <r>
    <x v="9"/>
    <s v="Purchases - Firm"/>
    <x v="1"/>
    <x v="0"/>
    <s v="3 Bar G Wind Turbine #3 LLC"/>
    <n v="143.74799999999999"/>
    <n v="0"/>
    <n v="0"/>
  </r>
  <r>
    <x v="9"/>
    <s v="Purchases - Firm"/>
    <x v="1"/>
    <x v="4"/>
    <s v="Barclays Bank Plc"/>
    <n v="216079"/>
    <n v="1014"/>
    <n v="109552.053"/>
  </r>
  <r>
    <x v="9"/>
    <s v="Purchases - Firm"/>
    <x v="1"/>
    <x v="4"/>
    <s v="BC Hydro (Point Roberts)"/>
    <n v="20696.929"/>
    <n v="1014"/>
    <n v="10493.343003"/>
  </r>
  <r>
    <x v="9"/>
    <s v="Purchases - Firm"/>
    <x v="1"/>
    <x v="0"/>
    <s v="Bio Energy Washington (BEW)"/>
    <n v="13.750999999999999"/>
    <n v="0"/>
    <n v="0"/>
  </r>
  <r>
    <x v="9"/>
    <s v="Purchases - Firm"/>
    <x v="1"/>
    <x v="0"/>
    <s v="Black Creek Hydro Inc"/>
    <n v="14182.659"/>
    <n v="0"/>
    <n v="0"/>
  </r>
  <r>
    <x v="9"/>
    <s v="Purchases - Firm"/>
    <x v="1"/>
    <x v="7"/>
    <s v="Book Outs - EITF 03-11"/>
    <n v="-10172"/>
    <n v="0"/>
    <n v="0"/>
  </r>
  <r>
    <x v="9"/>
    <s v="Purchases - Firm"/>
    <x v="1"/>
    <x v="0"/>
    <s v="BPA"/>
    <n v="7000"/>
    <n v="0"/>
    <n v="0"/>
  </r>
  <r>
    <x v="9"/>
    <s v="Purchases - Firm"/>
    <x v="1"/>
    <x v="4"/>
    <s v="BPA Firm - WNP#3 Exchange"/>
    <n v="360022"/>
    <n v="1014"/>
    <n v="182531.15400000001"/>
  </r>
  <r>
    <x v="9"/>
    <s v="Purchases - Firm"/>
    <x v="1"/>
    <x v="0"/>
    <s v="CC Solar 1 and CC Solar 2"/>
    <n v="28.02"/>
    <n v="0"/>
    <n v="0"/>
  </r>
  <r>
    <x v="9"/>
    <s v="Purchases - Firm"/>
    <x v="1"/>
    <x v="0"/>
    <s v="Chelan PUD - RI &amp; RR"/>
    <n v="2323845"/>
    <n v="0"/>
    <n v="0"/>
  </r>
  <r>
    <x v="9"/>
    <s v="Purchases - Firm"/>
    <x v="1"/>
    <x v="0"/>
    <s v="Chelan PUD - Rock Island Syst #2"/>
    <n v="-38431"/>
    <n v="0"/>
    <n v="0"/>
  </r>
  <r>
    <x v="9"/>
    <s v="Purchases - Firm"/>
    <x v="1"/>
    <x v="0"/>
    <s v="Chelan PUD - Rocky Reach"/>
    <n v="-81380"/>
    <n v="0"/>
    <n v="0"/>
  </r>
  <r>
    <x v="9"/>
    <s v="Purchases - Firm"/>
    <x v="1"/>
    <x v="0"/>
    <s v="Douglas PUD - Wells Project"/>
    <n v="1048857"/>
    <n v="0"/>
    <n v="0"/>
  </r>
  <r>
    <x v="9"/>
    <s v="Purchases - Firm"/>
    <x v="1"/>
    <x v="0"/>
    <s v="Edaleen Dairy LLC"/>
    <n v="3733.9949999999999"/>
    <n v="0"/>
    <n v="0"/>
  </r>
  <r>
    <x v="9"/>
    <s v="Purchases - Firm"/>
    <x v="1"/>
    <x v="0"/>
    <s v="Farm Power Lynden LLC"/>
    <n v="4946.95"/>
    <n v="0"/>
    <n v="0"/>
  </r>
  <r>
    <x v="9"/>
    <s v="Purchases - Firm"/>
    <x v="1"/>
    <x v="0"/>
    <s v="Farm Power Rexville LLC"/>
    <n v="5241.9309999999996"/>
    <n v="0"/>
    <n v="0"/>
  </r>
  <r>
    <x v="9"/>
    <s v="Purchases - Firm"/>
    <x v="1"/>
    <x v="0"/>
    <s v="Grant PUD - Priest Rapids Project"/>
    <n v="50317"/>
    <n v="0"/>
    <n v="0"/>
  </r>
  <r>
    <x v="9"/>
    <s v="Purchases - Firm"/>
    <x v="1"/>
    <x v="0"/>
    <s v="Island Community Solar LLC"/>
    <n v="59.67"/>
    <n v="0"/>
    <n v="0"/>
  </r>
  <r>
    <x v="9"/>
    <s v="Purchases - Firm"/>
    <x v="1"/>
    <x v="2"/>
    <s v="Klamath Falls (Iberdrola)"/>
    <n v="1200"/>
    <n v="814.11824078403606"/>
    <n v="488.47094447042167"/>
  </r>
  <r>
    <x v="9"/>
    <s v="Purchases - Firm"/>
    <x v="1"/>
    <x v="0"/>
    <s v="Klondike Wind Power III"/>
    <n v="129205"/>
    <n v="0"/>
    <n v="0"/>
  </r>
  <r>
    <x v="9"/>
    <s v="Purchases - Firm"/>
    <x v="1"/>
    <x v="0"/>
    <s v="Knudsen Wind Turbine #1"/>
    <n v="151.547"/>
    <n v="0"/>
    <n v="0"/>
  </r>
  <r>
    <x v="9"/>
    <s v="Purchases - Firm"/>
    <x v="1"/>
    <x v="0"/>
    <s v="Qualco Energy"/>
    <n v="290"/>
    <n v="0"/>
    <n v="0"/>
  </r>
  <r>
    <x v="9"/>
    <s v="Purchases - Firm"/>
    <x v="1"/>
    <x v="0"/>
    <s v="Rainier Bio Gas"/>
    <n v="5027.634"/>
    <n v="0"/>
    <n v="0"/>
  </r>
  <r>
    <x v="9"/>
    <s v="Purchases - Firm"/>
    <x v="1"/>
    <x v="0"/>
    <s v="Skookumchuck Hydro"/>
    <n v="6471.0950000000003"/>
    <n v="0"/>
    <n v="0"/>
  </r>
  <r>
    <x v="9"/>
    <s v="Purchases - Firm"/>
    <x v="1"/>
    <x v="0"/>
    <s v="Smith Creek Hydro"/>
    <n v="174.334"/>
    <n v="0"/>
    <n v="0"/>
  </r>
  <r>
    <x v="9"/>
    <s v="Purchases - Firm"/>
    <x v="1"/>
    <x v="0"/>
    <s v="Swauk Wind"/>
    <n v="11215.539000000001"/>
    <n v="0"/>
    <n v="0"/>
  </r>
  <r>
    <x v="9"/>
    <s v="Purchases - Firm"/>
    <x v="1"/>
    <x v="1"/>
    <s v="Transalta Centralia Generation LLC"/>
    <n v="133020"/>
    <n v="2369.4801521895856"/>
    <n v="157594.12492212933"/>
  </r>
  <r>
    <x v="9"/>
    <s v="Purchases - Firm"/>
    <x v="1"/>
    <x v="0"/>
    <s v="Van Dyk - S Holsteins"/>
    <n v="2188.8200000000002"/>
    <n v="0"/>
    <n v="0"/>
  </r>
  <r>
    <x v="9"/>
    <s v="Purchases - Firm"/>
    <x v="1"/>
    <x v="0"/>
    <s v="VanderHaak Dairy Digester"/>
    <n v="3510.7820000000002"/>
    <n v="0"/>
    <n v="0"/>
  </r>
  <r>
    <x v="9"/>
    <s v="Purchases - PURPA"/>
    <x v="1"/>
    <x v="0"/>
    <s v="BIO FUEL WA"/>
    <n v="36676.847000000002"/>
    <n v="0"/>
    <n v="0"/>
  </r>
  <r>
    <x v="9"/>
    <s v="Purchases - PURPA"/>
    <x v="1"/>
    <x v="0"/>
    <s v="Electron Hydro, LLC"/>
    <n v="8568.0669999999991"/>
    <n v="0"/>
    <n v="0"/>
  </r>
  <r>
    <x v="9"/>
    <s v="Purchases - PURPA"/>
    <x v="1"/>
    <x v="0"/>
    <s v="Hutchinson Creek"/>
    <n v="233.12"/>
    <n v="0"/>
    <n v="0"/>
  </r>
  <r>
    <x v="9"/>
    <s v="Purchases - PURPA"/>
    <x v="1"/>
    <x v="0"/>
    <s v="Koma Kulshan Associates"/>
    <n v="48522.928999999996"/>
    <n v="0"/>
    <n v="0"/>
  </r>
  <r>
    <x v="9"/>
    <s v="Purchases - PURPA"/>
    <x v="1"/>
    <x v="0"/>
    <s v="Lake Washington -- Finn Hill"/>
    <n v="271.08"/>
    <n v="0"/>
    <n v="0"/>
  </r>
  <r>
    <x v="9"/>
    <s v="Purchases - PURPA"/>
    <x v="1"/>
    <x v="0"/>
    <s v="Nooksack"/>
    <n v="25212.421999999999"/>
    <n v="0"/>
    <n v="0"/>
  </r>
  <r>
    <x v="9"/>
    <s v="Purchases - PURPA"/>
    <x v="1"/>
    <x v="0"/>
    <s v="Sygitowicz Creek"/>
    <n v="1168.2139999999999"/>
    <n v="0"/>
    <n v="0"/>
  </r>
  <r>
    <x v="9"/>
    <s v="Purchases - PURPA"/>
    <x v="1"/>
    <x v="0"/>
    <s v="Twin Falls Hydro"/>
    <n v="92557.659"/>
    <n v="0"/>
    <n v="0"/>
  </r>
  <r>
    <x v="9"/>
    <s v="Purchases - PURPA"/>
    <x v="1"/>
    <x v="0"/>
    <s v="Weeks Falls"/>
    <n v="16407.221000000001"/>
    <n v="0"/>
    <n v="0"/>
  </r>
  <r>
    <x v="9"/>
    <s v="Purchases - Secondary"/>
    <x v="2"/>
    <x v="4"/>
    <s v="Avista Corp. WWP Division"/>
    <n v="321265"/>
    <n v="1014"/>
    <n v="162881.35500000001"/>
  </r>
  <r>
    <x v="9"/>
    <s v="Purchases - Secondary"/>
    <x v="2"/>
    <x v="4"/>
    <s v="Black Hills Power"/>
    <n v="875"/>
    <n v="1014"/>
    <n v="443.625"/>
  </r>
  <r>
    <x v="9"/>
    <s v="Purchases - Secondary"/>
    <x v="2"/>
    <x v="4"/>
    <s v="Book Outs - EITF 03-11"/>
    <n v="-2005870"/>
    <n v="1014"/>
    <n v="-1016976.09"/>
  </r>
  <r>
    <x v="9"/>
    <s v="Purchases - Secondary"/>
    <x v="2"/>
    <x v="4"/>
    <s v="BP Energy Co."/>
    <n v="1096755"/>
    <n v="1014"/>
    <n v="556054.78500000003"/>
  </r>
  <r>
    <x v="9"/>
    <s v="Purchases - Secondary"/>
    <x v="2"/>
    <x v="4"/>
    <s v="BPA"/>
    <n v="169672"/>
    <n v="1014"/>
    <n v="86023.703999999998"/>
  </r>
  <r>
    <x v="9"/>
    <s v="Purchases - Secondary"/>
    <x v="2"/>
    <x v="4"/>
    <s v="Burbank, City of"/>
    <n v="200"/>
    <n v="1014"/>
    <n v="101.4"/>
  </r>
  <r>
    <x v="9"/>
    <s v="Purchases - Secondary"/>
    <x v="2"/>
    <x v="4"/>
    <s v="California ISO"/>
    <n v="65176"/>
    <n v="1014"/>
    <n v="33044.232000000004"/>
  </r>
  <r>
    <x v="9"/>
    <s v="Purchases - Secondary"/>
    <x v="2"/>
    <x v="4"/>
    <s v="Calpine Energy Services"/>
    <n v="47482"/>
    <n v="1014"/>
    <n v="24073.374"/>
  </r>
  <r>
    <x v="9"/>
    <s v="Purchases - Secondary"/>
    <x v="2"/>
    <x v="4"/>
    <s v="Cargill Power Markets"/>
    <n v="609585"/>
    <n v="1014"/>
    <n v="309059.59499999997"/>
  </r>
  <r>
    <x v="9"/>
    <s v="Purchases - Secondary"/>
    <x v="2"/>
    <x v="4"/>
    <s v="Chelan County PUD #1"/>
    <n v="4821"/>
    <n v="1014"/>
    <n v="2444.2469999999998"/>
  </r>
  <r>
    <x v="9"/>
    <s v="Purchases - Secondary"/>
    <x v="2"/>
    <x v="4"/>
    <s v="Citigroup Energy Inc"/>
    <n v="145653"/>
    <n v="1014"/>
    <n v="73846.070999999996"/>
  </r>
  <r>
    <x v="9"/>
    <s v="Purchases - Secondary"/>
    <x v="2"/>
    <x v="4"/>
    <s v="City of Idaho Falls"/>
    <n v="10"/>
    <n v="1014"/>
    <n v="5.07"/>
  </r>
  <r>
    <x v="9"/>
    <s v="Purchases - Secondary"/>
    <x v="2"/>
    <x v="4"/>
    <s v="Clark Public Utilities"/>
    <n v="5396"/>
    <n v="1014"/>
    <n v="2735.7719999999999"/>
  </r>
  <r>
    <x v="9"/>
    <s v="Purchases - Secondary"/>
    <x v="2"/>
    <x v="4"/>
    <s v="Clatskanie PUD"/>
    <n v="2270"/>
    <n v="1014"/>
    <n v="1150.8900000000001"/>
  </r>
  <r>
    <x v="9"/>
    <s v="Purchases - Secondary"/>
    <x v="2"/>
    <x v="4"/>
    <s v="Constellation Power Source, Inc."/>
    <n v="20"/>
    <n v="1014"/>
    <n v="10.14"/>
  </r>
  <r>
    <x v="9"/>
    <s v="Purchases - Secondary"/>
    <x v="2"/>
    <x v="4"/>
    <s v="CP Energy Marketing (Epcor)"/>
    <n v="825"/>
    <n v="1014"/>
    <n v="418.27499999999998"/>
  </r>
  <r>
    <x v="9"/>
    <s v="Purchases - Secondary"/>
    <x v="2"/>
    <x v="4"/>
    <s v="Douglas County PUD #1"/>
    <n v="277023"/>
    <n v="1014"/>
    <n v="140450.66099999999"/>
  </r>
  <r>
    <x v="9"/>
    <s v="Purchases - Secondary"/>
    <x v="2"/>
    <x v="4"/>
    <s v="EDF Trading NA LLC"/>
    <n v="611857"/>
    <n v="1014"/>
    <n v="310211.49900000001"/>
  </r>
  <r>
    <x v="9"/>
    <s v="Purchases - Secondary"/>
    <x v="2"/>
    <x v="4"/>
    <s v="ENMAX Energy Marketing, Inc."/>
    <n v="100"/>
    <n v="1014"/>
    <n v="50.7"/>
  </r>
  <r>
    <x v="9"/>
    <s v="Purchases - Secondary"/>
    <x v="2"/>
    <x v="4"/>
    <s v="Eugene Water &amp; Electric"/>
    <n v="12875"/>
    <n v="1014"/>
    <n v="6527.625"/>
  </r>
  <r>
    <x v="9"/>
    <s v="Purchases - Secondary"/>
    <x v="2"/>
    <x v="4"/>
    <s v="Exelon Generation Co LLC"/>
    <n v="187630"/>
    <n v="1014"/>
    <n v="95128.41"/>
  </r>
  <r>
    <x v="9"/>
    <s v="Purchases - Secondary"/>
    <x v="2"/>
    <x v="4"/>
    <s v="Grant County PUD #2"/>
    <n v="12652"/>
    <n v="1014"/>
    <n v="6414.5640000000003"/>
  </r>
  <r>
    <x v="9"/>
    <s v="Purchases - Secondary"/>
    <x v="2"/>
    <x v="4"/>
    <s v="Iberdrola Renewables (PPM Energy)"/>
    <n v="716696"/>
    <n v="1014"/>
    <n v="363364.87199999997"/>
  </r>
  <r>
    <x v="9"/>
    <s v="Purchases - Secondary"/>
    <x v="2"/>
    <x v="4"/>
    <s v="Idaho Power Company"/>
    <n v="12466"/>
    <n v="1014"/>
    <n v="6320.2619999999997"/>
  </r>
  <r>
    <x v="9"/>
    <s v="Purchases - Secondary"/>
    <x v="2"/>
    <x v="4"/>
    <s v="J. Aron &amp; Company"/>
    <n v="20400"/>
    <n v="1014"/>
    <n v="10342.799999999999"/>
  </r>
  <r>
    <x v="9"/>
    <s v="Purchases - Secondary"/>
    <x v="2"/>
    <x v="4"/>
    <s v="JP Morgan Ventures Energy"/>
    <n v="156705"/>
    <n v="1014"/>
    <n v="79449.434999999998"/>
  </r>
  <r>
    <x v="9"/>
    <s v="Purchases - Secondary"/>
    <x v="2"/>
    <x v="4"/>
    <s v="Morgan Stanley CG"/>
    <n v="1790503"/>
    <n v="1014"/>
    <n v="907785.02099999995"/>
  </r>
  <r>
    <x v="9"/>
    <s v="Purchases - Secondary"/>
    <x v="2"/>
    <x v="4"/>
    <s v="Natur Ener USA"/>
    <n v="1"/>
    <n v="1014"/>
    <n v="0.50700000000000001"/>
  </r>
  <r>
    <x v="9"/>
    <s v="Purchases - Secondary"/>
    <x v="2"/>
    <x v="4"/>
    <s v="NextEra Energy Power Marketing"/>
    <n v="56233"/>
    <n v="1014"/>
    <n v="28510.131000000001"/>
  </r>
  <r>
    <x v="9"/>
    <s v="Purchases - Secondary"/>
    <x v="2"/>
    <x v="4"/>
    <s v="Noble Americas Energy Solutions"/>
    <n v="4000"/>
    <n v="1014"/>
    <n v="2028"/>
  </r>
  <r>
    <x v="9"/>
    <s v="Purchases - Secondary"/>
    <x v="2"/>
    <x v="4"/>
    <s v="Noble Americas Gas &amp; Power"/>
    <n v="4000"/>
    <n v="1014"/>
    <n v="2028"/>
  </r>
  <r>
    <x v="9"/>
    <s v="Purchases - Secondary"/>
    <x v="2"/>
    <x v="4"/>
    <s v="NorthPoint Energy Solutions, Inc."/>
    <n v="871"/>
    <n v="1014"/>
    <n v="441.59699999999998"/>
  </r>
  <r>
    <x v="9"/>
    <s v="Purchases - Secondary"/>
    <x v="2"/>
    <x v="4"/>
    <s v="Northwestern Energy"/>
    <n v="1948"/>
    <n v="1014"/>
    <n v="987.63599999999997"/>
  </r>
  <r>
    <x v="9"/>
    <s v="Purchases - Secondary"/>
    <x v="2"/>
    <x v="4"/>
    <s v="Okanogan PUD"/>
    <n v="7707"/>
    <n v="1014"/>
    <n v="3907.4490000000001"/>
  </r>
  <r>
    <x v="9"/>
    <s v="Purchases - Secondary"/>
    <x v="2"/>
    <x v="4"/>
    <s v="Pacificorp"/>
    <n v="71357"/>
    <n v="1014"/>
    <n v="36177.999000000003"/>
  </r>
  <r>
    <x v="9"/>
    <s v="Purchases - Secondary"/>
    <x v="2"/>
    <x v="4"/>
    <s v="Portland General Electric"/>
    <n v="183483"/>
    <n v="1014"/>
    <n v="93025.880999999994"/>
  </r>
  <r>
    <x v="9"/>
    <s v="Purchases - Secondary"/>
    <x v="2"/>
    <x v="4"/>
    <s v="Powerex Corp."/>
    <n v="100896"/>
    <n v="1014"/>
    <n v="51154.271999999997"/>
  </r>
  <r>
    <x v="9"/>
    <s v="Purchases - Secondary"/>
    <x v="2"/>
    <x v="4"/>
    <s v="Rainbow Energy Marketing"/>
    <n v="5071"/>
    <n v="1014"/>
    <n v="2570.9969999999998"/>
  </r>
  <r>
    <x v="9"/>
    <s v="Purchases - Secondary"/>
    <x v="2"/>
    <x v="4"/>
    <s v="Sacramento Municipal"/>
    <n v="2075"/>
    <n v="1014"/>
    <n v="1052.0250000000001"/>
  </r>
  <r>
    <x v="9"/>
    <s v="Purchases - Secondary"/>
    <x v="2"/>
    <x v="4"/>
    <s v="Seattle City Light Marketing"/>
    <n v="69998"/>
    <n v="1014"/>
    <n v="35488.985999999997"/>
  </r>
  <r>
    <x v="9"/>
    <s v="Purchases - Secondary"/>
    <x v="2"/>
    <x v="4"/>
    <s v="Shell Energy (Coral Pwr)"/>
    <n v="365203"/>
    <n v="1014"/>
    <n v="185157.921"/>
  </r>
  <r>
    <x v="9"/>
    <s v="Purchases - Secondary"/>
    <x v="2"/>
    <x v="4"/>
    <s v="Snohomish County PUD #1"/>
    <n v="20464"/>
    <n v="1014"/>
    <n v="10375.248"/>
  </r>
  <r>
    <x v="9"/>
    <s v="Purchases - Secondary"/>
    <x v="2"/>
    <x v="4"/>
    <s v="Southern Cal - Edison"/>
    <n v="47417"/>
    <n v="1014"/>
    <n v="24040.419000000002"/>
  </r>
  <r>
    <x v="9"/>
    <s v="Purchases - Secondary"/>
    <x v="2"/>
    <x v="4"/>
    <s v="Tacoma Power"/>
    <n v="151109"/>
    <n v="1014"/>
    <n v="76612.263000000006"/>
  </r>
  <r>
    <x v="9"/>
    <s v="Purchases - Secondary"/>
    <x v="2"/>
    <x v="4"/>
    <s v="Talen Energy (PPL Energy Plus)"/>
    <n v="235629"/>
    <n v="1014"/>
    <n v="119463.90300000001"/>
  </r>
  <r>
    <x v="9"/>
    <s v="Purchases - Secondary"/>
    <x v="2"/>
    <x v="4"/>
    <s v="Tenaska Power Services Co."/>
    <n v="4534"/>
    <n v="1014"/>
    <n v="2298.7379999999998"/>
  </r>
  <r>
    <x v="9"/>
    <s v="Purchases - Secondary"/>
    <x v="2"/>
    <x v="4"/>
    <s v="The Energy Authority"/>
    <n v="51948"/>
    <n v="1014"/>
    <n v="26337.635999999999"/>
  </r>
  <r>
    <x v="9"/>
    <s v="Purchases - Secondary"/>
    <x v="2"/>
    <x v="4"/>
    <s v="TransAlta Energy Marketing"/>
    <n v="1300789"/>
    <n v="1014"/>
    <n v="659500.02300000004"/>
  </r>
  <r>
    <x v="9"/>
    <s v="Purchases - Secondary"/>
    <x v="2"/>
    <x v="4"/>
    <s v="TransCanada Energy Sales Ltd"/>
    <n v="2410"/>
    <n v="1014"/>
    <n v="1221.8699999999999"/>
  </r>
  <r>
    <x v="9"/>
    <s v="Purchases - Secondary"/>
    <x v="2"/>
    <x v="4"/>
    <s v="Turlock Irrigation District"/>
    <n v="81172"/>
    <n v="1014"/>
    <n v="41154.203999999998"/>
  </r>
  <r>
    <x v="9"/>
    <s v="Purchases - Secondary"/>
    <x v="2"/>
    <x v="4"/>
    <s v="Vitol Inc."/>
    <n v="452905"/>
    <n v="1014"/>
    <n v="229622.83499999999"/>
  </r>
  <r>
    <x v="9"/>
    <s v="Interchange - In"/>
    <x v="2"/>
    <x v="4"/>
    <s v="Avista Nichols Pump"/>
    <n v="22326.400000000001"/>
    <n v="1014"/>
    <n v="11319.4848"/>
  </r>
  <r>
    <x v="9"/>
    <s v="Interchange - In"/>
    <x v="2"/>
    <x v="4"/>
    <s v="Pacific Gas &amp; Elec - Exchange"/>
    <n v="413000"/>
    <n v="1014"/>
    <n v="209391"/>
  </r>
  <r>
    <x v="9"/>
    <s v="Interchange - Out"/>
    <x v="2"/>
    <x v="4"/>
    <s v="Deviation"/>
    <n v="76073.797000000006"/>
    <n v="1014"/>
    <n v="38569.415079000006"/>
  </r>
  <r>
    <x v="9"/>
    <s v="Interchange - Out"/>
    <x v="2"/>
    <x v="4"/>
    <s v="Exelon Generation Co LLC"/>
    <n v="-25"/>
    <n v="1014"/>
    <n v="-12.675000000000001"/>
  </r>
  <r>
    <x v="9"/>
    <s v="Interchange - Out"/>
    <x v="2"/>
    <x v="4"/>
    <s v="Pacific Gas &amp; Elec - Exchange"/>
    <n v="-413000"/>
    <n v="1014"/>
    <n v="-209391"/>
  </r>
  <r>
    <x v="9"/>
    <s v="Sales for Resale"/>
    <x v="2"/>
    <x v="4"/>
    <s v="Avista Corp. WWP Division"/>
    <n v="-60183"/>
    <n v="1014"/>
    <n v="-30512.780999999999"/>
  </r>
  <r>
    <x v="9"/>
    <s v="Sales for Resale"/>
    <x v="2"/>
    <x v="4"/>
    <s v="Black Hills Power"/>
    <n v="-390"/>
    <n v="1014"/>
    <n v="-197.73"/>
  </r>
  <r>
    <x v="9"/>
    <s v="Sales for Resale"/>
    <x v="2"/>
    <x v="4"/>
    <s v="Book Outs - EITF 03-11"/>
    <n v="2016042"/>
    <n v="1014"/>
    <n v="1022133.294"/>
  </r>
  <r>
    <x v="9"/>
    <s v="Sales for Resale"/>
    <x v="2"/>
    <x v="4"/>
    <s v="BP Energy Co."/>
    <n v="-51111"/>
    <n v="1014"/>
    <n v="-25913.276999999998"/>
  </r>
  <r>
    <x v="9"/>
    <s v="Sales for Resale"/>
    <x v="2"/>
    <x v="4"/>
    <s v="BPA"/>
    <n v="-159211"/>
    <n v="1014"/>
    <n v="-80719.976999999999"/>
  </r>
  <r>
    <x v="9"/>
    <s v="Sales for Resale"/>
    <x v="2"/>
    <x v="4"/>
    <s v="British Columbia Transmission Corp"/>
    <n v="-49"/>
    <n v="1014"/>
    <n v="-24.843"/>
  </r>
  <r>
    <x v="9"/>
    <s v="Sales for Resale"/>
    <x v="2"/>
    <x v="4"/>
    <s v="Brookfield Energy Marketing"/>
    <n v="-800"/>
    <n v="1014"/>
    <n v="-405.6"/>
  </r>
  <r>
    <x v="9"/>
    <s v="Sales for Resale"/>
    <x v="2"/>
    <x v="4"/>
    <s v="Burbank, City of"/>
    <n v="-2400"/>
    <n v="1014"/>
    <n v="-1216.8"/>
  </r>
  <r>
    <x v="9"/>
    <s v="Sales for Resale"/>
    <x v="2"/>
    <x v="4"/>
    <s v="Calpine Energy Services"/>
    <n v="-117424"/>
    <n v="1014"/>
    <n v="-59533.968000000001"/>
  </r>
  <r>
    <x v="9"/>
    <s v="Sales for Resale"/>
    <x v="2"/>
    <x v="4"/>
    <s v="Cargill Power Markets"/>
    <n v="-190421"/>
    <n v="1014"/>
    <n v="-96543.447"/>
  </r>
  <r>
    <x v="9"/>
    <s v="Sales for Resale"/>
    <x v="2"/>
    <x v="4"/>
    <s v="Chelan County PUD #1"/>
    <n v="-16609"/>
    <n v="1014"/>
    <n v="-8420.7630000000008"/>
  </r>
  <r>
    <x v="9"/>
    <s v="Sales for Resale"/>
    <x v="2"/>
    <x v="4"/>
    <s v="Citigroup Energy Inc"/>
    <n v="-26800"/>
    <n v="1014"/>
    <n v="-13587.6"/>
  </r>
  <r>
    <x v="9"/>
    <s v="Sales for Resale"/>
    <x v="2"/>
    <x v="4"/>
    <s v="Clark Public Utilities"/>
    <n v="-9222"/>
    <n v="1014"/>
    <n v="-4675.5540000000001"/>
  </r>
  <r>
    <x v="9"/>
    <s v="Sales for Resale"/>
    <x v="2"/>
    <x v="4"/>
    <s v="Clatskanie PUD"/>
    <n v="-4124"/>
    <n v="1014"/>
    <n v="-2090.8679999999999"/>
  </r>
  <r>
    <x v="9"/>
    <s v="Sales for Resale"/>
    <x v="2"/>
    <x v="4"/>
    <s v="Conoco, Inc."/>
    <n v="-1200"/>
    <n v="1014"/>
    <n v="-608.4"/>
  </r>
  <r>
    <x v="9"/>
    <s v="Sales for Resale"/>
    <x v="2"/>
    <x v="4"/>
    <s v="Constellation Power Source, Inc."/>
    <n v="-119"/>
    <n v="1014"/>
    <n v="-60.332999999999998"/>
  </r>
  <r>
    <x v="9"/>
    <s v="Sales for Resale"/>
    <x v="2"/>
    <x v="4"/>
    <s v="CP Energy Marketing (Epcor)"/>
    <n v="-947"/>
    <n v="1014"/>
    <n v="-480.12900000000002"/>
  </r>
  <r>
    <x v="9"/>
    <s v="Sales for Resale"/>
    <x v="2"/>
    <x v="4"/>
    <s v="Douglas County PUD #1"/>
    <n v="-1819"/>
    <n v="1014"/>
    <n v="-922.23299999999995"/>
  </r>
  <r>
    <x v="9"/>
    <s v="Sales for Resale"/>
    <x v="2"/>
    <x v="4"/>
    <s v="EDF Trading NA LLC"/>
    <n v="-136984"/>
    <n v="1014"/>
    <n v="-69450.888000000006"/>
  </r>
  <r>
    <x v="9"/>
    <s v="Sales for Resale"/>
    <x v="2"/>
    <x v="4"/>
    <s v="Eugene Water &amp; Electric"/>
    <n v="-38757"/>
    <n v="1014"/>
    <n v="-19649.798999999999"/>
  </r>
  <r>
    <x v="9"/>
    <s v="Sales for Resale"/>
    <x v="2"/>
    <x v="4"/>
    <s v="Exelon Generation Co LLC"/>
    <n v="-16580"/>
    <n v="1014"/>
    <n v="-8406.06"/>
  </r>
  <r>
    <x v="9"/>
    <s v="Sales for Resale"/>
    <x v="2"/>
    <x v="4"/>
    <s v="Fortis BC"/>
    <n v="-27508"/>
    <n v="1014"/>
    <n v="-13946.556"/>
  </r>
  <r>
    <x v="9"/>
    <s v="Sales for Resale"/>
    <x v="2"/>
    <x v="4"/>
    <s v="Grant County PUD #2"/>
    <n v="-27899"/>
    <n v="1014"/>
    <n v="-14144.793"/>
  </r>
  <r>
    <x v="9"/>
    <s v="Sales for Resale"/>
    <x v="2"/>
    <x v="4"/>
    <s v="Iberdrola Renewables (PPM Energy)"/>
    <n v="-536036"/>
    <n v="1014"/>
    <n v="-271770.25199999998"/>
  </r>
  <r>
    <x v="9"/>
    <s v="Sales for Resale"/>
    <x v="2"/>
    <x v="4"/>
    <s v="Idaho Power Company"/>
    <n v="-15235"/>
    <n v="1014"/>
    <n v="-7724.1450000000004"/>
  </r>
  <r>
    <x v="9"/>
    <s v="Sales for Resale"/>
    <x v="2"/>
    <x v="4"/>
    <s v="J. Aron &amp; Company"/>
    <n v="-2600"/>
    <n v="1014"/>
    <n v="-1318.2"/>
  </r>
  <r>
    <x v="9"/>
    <s v="Sales for Resale"/>
    <x v="2"/>
    <x v="4"/>
    <s v="JP Morgan Ventures Energy"/>
    <n v="-5071"/>
    <n v="1014"/>
    <n v="-2570.9969999999998"/>
  </r>
  <r>
    <x v="9"/>
    <s v="Sales for Resale"/>
    <x v="2"/>
    <x v="4"/>
    <s v="Morgan Stanley CG"/>
    <n v="-332554"/>
    <n v="1014"/>
    <n v="-168604.878"/>
  </r>
  <r>
    <x v="9"/>
    <s v="Sales for Resale"/>
    <x v="2"/>
    <x v="4"/>
    <s v="Natur Ener USA"/>
    <n v="-24"/>
    <n v="1014"/>
    <n v="-12.167999999999999"/>
  </r>
  <r>
    <x v="9"/>
    <s v="Sales for Resale"/>
    <x v="2"/>
    <x v="4"/>
    <s v="Nevada Power Company"/>
    <n v="-159"/>
    <n v="1014"/>
    <n v="-80.613"/>
  </r>
  <r>
    <x v="9"/>
    <s v="Sales for Resale"/>
    <x v="2"/>
    <x v="4"/>
    <s v="NextEra Energy Power Marketing"/>
    <n v="-159"/>
    <n v="1014"/>
    <n v="-80.613"/>
  </r>
  <r>
    <x v="9"/>
    <s v="Sales for Resale"/>
    <x v="2"/>
    <x v="4"/>
    <s v="Noble Americas Gas &amp; Power"/>
    <n v="-400"/>
    <n v="1014"/>
    <n v="-202.8"/>
  </r>
  <r>
    <x v="9"/>
    <s v="Sales for Resale"/>
    <x v="2"/>
    <x v="4"/>
    <s v="NorthPoint Energy Solutions, Inc."/>
    <n v="-3481"/>
    <n v="1014"/>
    <n v="-1764.867"/>
  </r>
  <r>
    <x v="9"/>
    <s v="Sales for Resale"/>
    <x v="2"/>
    <x v="4"/>
    <s v="Northwestern Energy"/>
    <n v="-68236"/>
    <n v="1014"/>
    <n v="-34595.652000000002"/>
  </r>
  <r>
    <x v="9"/>
    <s v="Sales for Resale"/>
    <x v="2"/>
    <x v="4"/>
    <s v="Okanogan PUD"/>
    <n v="-1855"/>
    <n v="1014"/>
    <n v="-940.48500000000001"/>
  </r>
  <r>
    <x v="9"/>
    <s v="Sales for Resale"/>
    <x v="2"/>
    <x v="4"/>
    <s v="Pacificorp"/>
    <n v="-109675"/>
    <n v="1014"/>
    <n v="-55605.224999999999"/>
  </r>
  <r>
    <x v="9"/>
    <s v="Sales for Resale"/>
    <x v="2"/>
    <x v="4"/>
    <s v="Portland General Electric"/>
    <n v="-123272"/>
    <n v="1014"/>
    <n v="-62498.904000000002"/>
  </r>
  <r>
    <x v="9"/>
    <s v="Sales for Resale"/>
    <x v="2"/>
    <x v="4"/>
    <s v="Powerex Corp."/>
    <n v="-401453"/>
    <n v="1014"/>
    <n v="-203536.671"/>
  </r>
  <r>
    <x v="9"/>
    <s v="Sales for Resale"/>
    <x v="2"/>
    <x v="4"/>
    <s v="Rainbow Energy Marketing"/>
    <n v="-21430"/>
    <n v="1014"/>
    <n v="-10865.01"/>
  </r>
  <r>
    <x v="9"/>
    <s v="Sales for Resale"/>
    <x v="2"/>
    <x v="4"/>
    <s v="Sacramento Municipal"/>
    <n v="-4593"/>
    <n v="1014"/>
    <n v="-2328.6509999999998"/>
  </r>
  <r>
    <x v="9"/>
    <s v="Sales for Resale"/>
    <x v="2"/>
    <x v="4"/>
    <s v="Seattle City Light Marketing"/>
    <n v="-20865"/>
    <n v="1014"/>
    <n v="-10578.555"/>
  </r>
  <r>
    <x v="9"/>
    <s v="Sales for Resale"/>
    <x v="2"/>
    <x v="4"/>
    <s v="Shell Energy (Coral Pwr)"/>
    <n v="-210325"/>
    <n v="1014"/>
    <n v="-106634.77499999999"/>
  </r>
  <r>
    <x v="9"/>
    <s v="Sales for Resale"/>
    <x v="2"/>
    <x v="4"/>
    <s v="Snohomish County PUD #1"/>
    <n v="-12377"/>
    <n v="1014"/>
    <n v="-6275.1390000000001"/>
  </r>
  <r>
    <x v="9"/>
    <s v="Sales for Resale"/>
    <x v="2"/>
    <x v="4"/>
    <s v="Tacoma Power"/>
    <n v="-14402"/>
    <n v="1014"/>
    <n v="-7301.8140000000003"/>
  </r>
  <r>
    <x v="9"/>
    <s v="Sales for Resale"/>
    <x v="2"/>
    <x v="4"/>
    <s v="Talen Energy (PPL Energy Plus)"/>
    <n v="-52930"/>
    <n v="1014"/>
    <n v="-26835.51"/>
  </r>
  <r>
    <x v="9"/>
    <s v="Sales for Resale"/>
    <x v="2"/>
    <x v="4"/>
    <s v="Tenaska Power Services Co."/>
    <n v="-512"/>
    <n v="1014"/>
    <n v="-259.584"/>
  </r>
  <r>
    <x v="9"/>
    <s v="Sales for Resale"/>
    <x v="2"/>
    <x v="4"/>
    <s v="The Energy Authority"/>
    <n v="-36276"/>
    <n v="1014"/>
    <n v="-18391.932000000001"/>
  </r>
  <r>
    <x v="9"/>
    <s v="Sales for Resale"/>
    <x v="2"/>
    <x v="4"/>
    <s v="TransAlta Energy Marketing"/>
    <n v="-302261"/>
    <n v="1014"/>
    <n v="-153246.32699999999"/>
  </r>
  <r>
    <x v="9"/>
    <s v="Sales for Resale"/>
    <x v="2"/>
    <x v="4"/>
    <s v="TransCanada Energy Sales Ltd"/>
    <n v="-20682"/>
    <n v="1014"/>
    <n v="-10485.773999999999"/>
  </r>
  <r>
    <x v="9"/>
    <s v="Sales for Resale"/>
    <x v="2"/>
    <x v="4"/>
    <s v="Turlock Irrigation District"/>
    <n v="-311"/>
    <n v="1014"/>
    <n v="-157.67699999999999"/>
  </r>
  <r>
    <x v="9"/>
    <s v="Sales for Resale"/>
    <x v="2"/>
    <x v="4"/>
    <s v="Vitol Inc."/>
    <n v="-221200"/>
    <n v="1014"/>
    <n v="-112148.4"/>
  </r>
  <r>
    <x v="10"/>
    <s v="Generation - Hydro"/>
    <x v="0"/>
    <x v="0"/>
    <s v="Lower Baker"/>
    <n v="308611.20000000001"/>
    <n v="0"/>
    <n v="0"/>
  </r>
  <r>
    <x v="10"/>
    <s v="Generation - Hydro"/>
    <x v="0"/>
    <x v="0"/>
    <s v="Snoqualmie Falls #1"/>
    <n v="17890.858"/>
    <n v="0"/>
    <n v="0"/>
  </r>
  <r>
    <x v="10"/>
    <s v="Generation - Hydro"/>
    <x v="0"/>
    <x v="0"/>
    <s v="Snoqualmie Falls #2"/>
    <n v="100979.7"/>
    <n v="0"/>
    <n v="0"/>
  </r>
  <r>
    <x v="10"/>
    <s v="Generation - Hydro"/>
    <x v="0"/>
    <x v="0"/>
    <s v="Upper Baker"/>
    <n v="278749.55"/>
    <n v="0"/>
    <n v="0"/>
  </r>
  <r>
    <x v="10"/>
    <s v="Generation - Steam"/>
    <x v="0"/>
    <x v="1"/>
    <s v="Colstrip 1 &amp; 2"/>
    <n v="1756858"/>
    <n v="2594.5160621974005"/>
    <n v="2279098.1500000004"/>
  </r>
  <r>
    <x v="10"/>
    <s v="Generation - Steam"/>
    <x v="0"/>
    <x v="1"/>
    <s v="Colstrip 3 &amp; 4"/>
    <n v="2738174"/>
    <n v="2358.8187967601766"/>
    <n v="3229428.15"/>
  </r>
  <r>
    <x v="10"/>
    <s v="Generation - Oil/Gas/Wind"/>
    <x v="0"/>
    <x v="3"/>
    <s v="Crystal Mountain"/>
    <n v="293.68"/>
    <n v="1822.9137276553097"/>
    <n v="267.67665176890569"/>
  </r>
  <r>
    <x v="10"/>
    <s v="Generation - Oil/Gas/Wind"/>
    <x v="0"/>
    <x v="2"/>
    <s v="Encogen"/>
    <n v="297657.59999999998"/>
    <n v="1058.9334859919586"/>
    <n v="157599.79999999999"/>
  </r>
  <r>
    <x v="10"/>
    <s v="Generation - Oil/Gas/Wind"/>
    <x v="0"/>
    <x v="2"/>
    <s v="Ferndale Co-Generation"/>
    <n v="868466.83199999994"/>
    <n v="1028.8920279686629"/>
    <n v="446779.3"/>
  </r>
  <r>
    <x v="10"/>
    <s v="Generation - Oil/Gas/Wind"/>
    <x v="0"/>
    <x v="2"/>
    <s v="Freddie #1"/>
    <n v="623181.11300000001"/>
    <n v="875.14295254323611"/>
    <n v="272686.27960000001"/>
  </r>
  <r>
    <x v="10"/>
    <s v="Generation - Oil/Gas/Wind"/>
    <x v="0"/>
    <x v="2"/>
    <s v="Fredonia"/>
    <n v="113691.1"/>
    <n v="1576.637719260428"/>
    <n v="89624.838302104617"/>
  </r>
  <r>
    <x v="10"/>
    <s v="Generation - Oil/Gas/Wind"/>
    <x v="0"/>
    <x v="2"/>
    <s v="Fredonia 3 &amp; 4"/>
    <n v="47603.8"/>
    <n v="1200.1394846629889"/>
    <n v="28565.599999999995"/>
  </r>
  <r>
    <x v="10"/>
    <s v="Generation - Oil/Gas/Wind"/>
    <x v="0"/>
    <x v="2"/>
    <s v="Fredrickson 1 &amp; 2"/>
    <n v="39935.4"/>
    <n v="2385.4498602543363"/>
    <n v="47631.947174600515"/>
  </r>
  <r>
    <x v="10"/>
    <s v="Generation - Oil/Gas/Wind"/>
    <x v="0"/>
    <x v="2"/>
    <s v="Goldendale"/>
    <n v="1498666"/>
    <n v="810.75730015894135"/>
    <n v="607527.19999999995"/>
  </r>
  <r>
    <x v="10"/>
    <s v="Generation - Oil/Gas/Wind"/>
    <x v="0"/>
    <x v="0"/>
    <s v="Hopkins Ridge (W184)"/>
    <n v="364779.478"/>
    <n v="0"/>
    <n v="0"/>
  </r>
  <r>
    <x v="10"/>
    <s v="Generation - Oil/Gas/Wind"/>
    <x v="0"/>
    <x v="0"/>
    <s v="Lower Snake River"/>
    <n v="741767.96"/>
    <n v="0"/>
    <n v="0"/>
  </r>
  <r>
    <x v="10"/>
    <s v="Generation - Oil/Gas/Wind"/>
    <x v="0"/>
    <x v="2"/>
    <s v="Mint Farm"/>
    <n v="1701035.9"/>
    <n v="887.90330644991093"/>
    <n v="755177.7"/>
  </r>
  <r>
    <x v="10"/>
    <s v="Generation - Oil/Gas/Wind"/>
    <x v="0"/>
    <x v="2"/>
    <s v="Sumas"/>
    <n v="601052.9"/>
    <n v="1035.8728824035288"/>
    <n v="311307.2"/>
  </r>
  <r>
    <x v="10"/>
    <s v="Generation - Oil/Gas/Wind"/>
    <x v="0"/>
    <x v="2"/>
    <s v="Whitehorn 2&amp;3"/>
    <n v="38733.300000000003"/>
    <n v="1952.6062775910088"/>
    <n v="37815.442365907918"/>
  </r>
  <r>
    <x v="10"/>
    <s v="Generation - Oil/Gas/Wind"/>
    <x v="0"/>
    <x v="0"/>
    <s v="Wild Horse (W183)"/>
    <n v="608885.75"/>
    <n v="0"/>
    <n v="0"/>
  </r>
  <r>
    <x v="10"/>
    <s v="Purchases - Firm"/>
    <x v="1"/>
    <x v="0"/>
    <s v="3 Bar G Wind Turbine #3 LLC"/>
    <n v="138.036"/>
    <n v="0"/>
    <n v="0"/>
  </r>
  <r>
    <x v="10"/>
    <s v="Purchases - Firm"/>
    <x v="1"/>
    <x v="4"/>
    <s v="Barclays Bank Plc"/>
    <n v="106200"/>
    <n v="1074"/>
    <n v="57029.4"/>
  </r>
  <r>
    <x v="10"/>
    <s v="Purchases - Firm"/>
    <x v="1"/>
    <x v="4"/>
    <s v="BC Hydro (Point Roberts)"/>
    <n v="19583.703000000001"/>
    <n v="1074"/>
    <n v="10516.448511000001"/>
  </r>
  <r>
    <x v="10"/>
    <s v="Purchases - Firm"/>
    <x v="1"/>
    <x v="0"/>
    <s v="Bio Energy Washington (BEW)"/>
    <n v="1.859"/>
    <n v="0"/>
    <n v="0"/>
  </r>
  <r>
    <x v="10"/>
    <s v="Purchases - Firm"/>
    <x v="1"/>
    <x v="0"/>
    <s v="Black Creek Hydro Inc"/>
    <n v="6365.9970000000003"/>
    <n v="0"/>
    <n v="0"/>
  </r>
  <r>
    <x v="10"/>
    <s v="Purchases - Firm"/>
    <x v="1"/>
    <x v="7"/>
    <s v="Book Outs - EITF 03-11"/>
    <n v="-2253"/>
    <n v="0"/>
    <n v="0"/>
  </r>
  <r>
    <x v="10"/>
    <s v="Purchases - Firm"/>
    <x v="1"/>
    <x v="0"/>
    <s v="BPA"/>
    <n v="7000"/>
    <n v="0"/>
    <n v="0"/>
  </r>
  <r>
    <x v="10"/>
    <s v="Purchases - Firm"/>
    <x v="1"/>
    <x v="4"/>
    <s v="BPA Firm - WNP#3 Exchange"/>
    <n v="343584"/>
    <n v="1074"/>
    <n v="184504.60800000001"/>
  </r>
  <r>
    <x v="10"/>
    <s v="Purchases - Firm"/>
    <x v="1"/>
    <x v="0"/>
    <s v="CC Solar 1 and CC Solar 2"/>
    <n v="22.84"/>
    <n v="0"/>
    <n v="0"/>
  </r>
  <r>
    <x v="10"/>
    <s v="Purchases - Firm"/>
    <x v="1"/>
    <x v="0"/>
    <s v="Chelan PUD - RI &amp; RR"/>
    <n v="2299343"/>
    <n v="0"/>
    <n v="0"/>
  </r>
  <r>
    <x v="10"/>
    <s v="Purchases - Firm"/>
    <x v="1"/>
    <x v="0"/>
    <s v="Chelan PUD - Rock Island Syst #2"/>
    <n v="-39940"/>
    <n v="0"/>
    <n v="0"/>
  </r>
  <r>
    <x v="10"/>
    <s v="Purchases - Firm"/>
    <x v="1"/>
    <x v="0"/>
    <s v="Chelan PUD - Rocky Reach"/>
    <n v="-82401"/>
    <n v="0"/>
    <n v="0"/>
  </r>
  <r>
    <x v="10"/>
    <s v="Purchases - Firm"/>
    <x v="1"/>
    <x v="0"/>
    <s v="Douglas PUD - Wells Project"/>
    <n v="1094705"/>
    <n v="0"/>
    <n v="0"/>
  </r>
  <r>
    <x v="10"/>
    <s v="Purchases - Firm"/>
    <x v="1"/>
    <x v="0"/>
    <s v="Edaleen Dairy LLC"/>
    <n v="4697.4279999999999"/>
    <n v="0"/>
    <n v="0"/>
  </r>
  <r>
    <x v="10"/>
    <s v="Purchases - Firm"/>
    <x v="1"/>
    <x v="0"/>
    <s v="Farm Power Lynden LLC"/>
    <n v="4857.8090000000002"/>
    <n v="0"/>
    <n v="0"/>
  </r>
  <r>
    <x v="10"/>
    <s v="Purchases - Firm"/>
    <x v="1"/>
    <x v="0"/>
    <s v="Farm Power Rexville LLC"/>
    <n v="4485.2"/>
    <n v="0"/>
    <n v="0"/>
  </r>
  <r>
    <x v="10"/>
    <s v="Purchases - Firm"/>
    <x v="1"/>
    <x v="0"/>
    <s v="Grant PUD - Priest Rapids Project"/>
    <n v="53743"/>
    <n v="0"/>
    <n v="0"/>
  </r>
  <r>
    <x v="10"/>
    <s v="Purchases - Firm"/>
    <x v="1"/>
    <x v="0"/>
    <s v="Island Community Solar LLC"/>
    <n v="61.71"/>
    <n v="0"/>
    <n v="0"/>
  </r>
  <r>
    <x v="10"/>
    <s v="Purchases - Firm"/>
    <x v="1"/>
    <x v="2"/>
    <s v="Klamath Falls (Iberdrola)"/>
    <n v="400"/>
    <n v="806.28252911890797"/>
    <n v="161.25650582378159"/>
  </r>
  <r>
    <x v="10"/>
    <s v="Purchases - Firm"/>
    <x v="1"/>
    <x v="0"/>
    <s v="Klondike Wind Power III"/>
    <n v="119141"/>
    <n v="0"/>
    <n v="0"/>
  </r>
  <r>
    <x v="10"/>
    <s v="Purchases - Firm"/>
    <x v="1"/>
    <x v="0"/>
    <s v="Knudsen Wind Turbine #1"/>
    <n v="129.62800000000001"/>
    <n v="0"/>
    <n v="0"/>
  </r>
  <r>
    <x v="10"/>
    <s v="Purchases - Firm"/>
    <x v="1"/>
    <x v="0"/>
    <s v="Rainier Bio Gas"/>
    <n v="4950.2660000000005"/>
    <n v="0"/>
    <n v="0"/>
  </r>
  <r>
    <x v="10"/>
    <s v="Purchases - Firm"/>
    <x v="1"/>
    <x v="0"/>
    <s v="Skookumchuck Hydro"/>
    <n v="4961.1959999999999"/>
    <n v="0"/>
    <n v="0"/>
  </r>
  <r>
    <x v="10"/>
    <s v="Purchases - Firm"/>
    <x v="1"/>
    <x v="0"/>
    <s v="Smith Creek Hydro"/>
    <n v="162.84899999999999"/>
    <n v="0"/>
    <n v="0"/>
  </r>
  <r>
    <x v="10"/>
    <s v="Purchases - Firm"/>
    <x v="1"/>
    <x v="0"/>
    <s v="Swauk Wind"/>
    <n v="11368.796"/>
    <n v="0"/>
    <n v="0"/>
  </r>
  <r>
    <x v="10"/>
    <s v="Purchases - Firm"/>
    <x v="1"/>
    <x v="1"/>
    <s v="Transalta Centralia Generation LLC"/>
    <n v="1651177"/>
    <n v="2406.7107411405805"/>
    <n v="1986952.7107121402"/>
  </r>
  <r>
    <x v="10"/>
    <s v="Purchases - Firm"/>
    <x v="1"/>
    <x v="0"/>
    <s v="Van Dyk - S Holsteins"/>
    <n v="1619.28"/>
    <n v="0"/>
    <n v="0"/>
  </r>
  <r>
    <x v="10"/>
    <s v="Purchases - Firm"/>
    <x v="1"/>
    <x v="0"/>
    <s v="VanderHaak Dairy Digester"/>
    <n v="3455.4459999999999"/>
    <n v="0"/>
    <n v="0"/>
  </r>
  <r>
    <x v="10"/>
    <s v="Purchases - PURPA"/>
    <x v="1"/>
    <x v="0"/>
    <s v="BIO FUEL WA"/>
    <n v="32656.922999999999"/>
    <n v="0"/>
    <n v="0"/>
  </r>
  <r>
    <x v="10"/>
    <s v="Purchases - PURPA"/>
    <x v="1"/>
    <x v="0"/>
    <s v="Electron Hydro, LLC"/>
    <n v="62833.254000000001"/>
    <n v="0"/>
    <n v="0"/>
  </r>
  <r>
    <x v="10"/>
    <s v="Purchases - PURPA"/>
    <x v="1"/>
    <x v="0"/>
    <s v="Emerald City Renewables"/>
    <n v="1087.0940000000001"/>
    <n v="0"/>
    <n v="0"/>
  </r>
  <r>
    <x v="10"/>
    <s v="Purchases - PURPA"/>
    <x v="1"/>
    <x v="0"/>
    <s v="Hutchinson Creek"/>
    <n v="744.32"/>
    <n v="0"/>
    <n v="0"/>
  </r>
  <r>
    <x v="10"/>
    <s v="Purchases - PURPA"/>
    <x v="1"/>
    <x v="0"/>
    <s v="Koma Kulshan Associates"/>
    <n v="36094.142"/>
    <n v="0"/>
    <n v="0"/>
  </r>
  <r>
    <x v="10"/>
    <s v="Purchases - PURPA"/>
    <x v="1"/>
    <x v="0"/>
    <s v="Lake Washington -- Finn Hill"/>
    <n v="278.68"/>
    <n v="0"/>
    <n v="0"/>
  </r>
  <r>
    <x v="10"/>
    <s v="Purchases - PURPA"/>
    <x v="1"/>
    <x v="0"/>
    <s v="Nooksack"/>
    <n v="22257.173999999999"/>
    <n v="0"/>
    <n v="0"/>
  </r>
  <r>
    <x v="10"/>
    <s v="Purchases - PURPA"/>
    <x v="1"/>
    <x v="0"/>
    <s v="Sygitowicz Creek"/>
    <n v="738.61900000000003"/>
    <n v="0"/>
    <n v="0"/>
  </r>
  <r>
    <x v="10"/>
    <s v="Purchases - PURPA"/>
    <x v="1"/>
    <x v="0"/>
    <s v="Twin Falls Hydro"/>
    <n v="52604.395000000004"/>
    <n v="0"/>
    <n v="0"/>
  </r>
  <r>
    <x v="10"/>
    <s v="Purchases - PURPA"/>
    <x v="1"/>
    <x v="0"/>
    <s v="Weeks Falls"/>
    <n v="8526.616"/>
    <n v="0"/>
    <n v="0"/>
  </r>
  <r>
    <x v="10"/>
    <s v="Purchases - Secondary"/>
    <x v="2"/>
    <x v="4"/>
    <s v="Avista Corp. WWP Division"/>
    <n v="127355"/>
    <n v="1074"/>
    <n v="68389.634999999995"/>
  </r>
  <r>
    <x v="10"/>
    <s v="Purchases - Secondary"/>
    <x v="2"/>
    <x v="4"/>
    <s v="Barclays Bank Plc"/>
    <n v="-30"/>
    <n v="1074"/>
    <n v="-16.11"/>
  </r>
  <r>
    <x v="10"/>
    <s v="Purchases - Secondary"/>
    <x v="2"/>
    <x v="4"/>
    <s v="Black Hills Power"/>
    <n v="1200"/>
    <n v="1074"/>
    <n v="644.4"/>
  </r>
  <r>
    <x v="10"/>
    <s v="Purchases - Secondary"/>
    <x v="2"/>
    <x v="4"/>
    <s v="Book Outs - EITF 03-11"/>
    <n v="-5721875"/>
    <n v="1074"/>
    <n v="-3072646.875"/>
  </r>
  <r>
    <x v="10"/>
    <s v="Purchases - Secondary"/>
    <x v="2"/>
    <x v="4"/>
    <s v="BP Energy Co."/>
    <n v="340839"/>
    <n v="1074"/>
    <n v="183030.54300000001"/>
  </r>
  <r>
    <x v="10"/>
    <s v="Purchases - Secondary"/>
    <x v="2"/>
    <x v="4"/>
    <s v="BPA"/>
    <n v="141462"/>
    <n v="1074"/>
    <n v="75965.093999999997"/>
  </r>
  <r>
    <x v="10"/>
    <s v="Purchases - Secondary"/>
    <x v="2"/>
    <x v="4"/>
    <s v="British Columbia Transmission Corp"/>
    <n v="67"/>
    <n v="1074"/>
    <n v="35.978999999999999"/>
  </r>
  <r>
    <x v="10"/>
    <s v="Purchases - Secondary"/>
    <x v="2"/>
    <x v="4"/>
    <s v="CAISO EESC Load Undistributed Costs"/>
    <n v="0"/>
    <n v="1074"/>
    <n v="0"/>
  </r>
  <r>
    <x v="10"/>
    <s v="Purchases - Secondary"/>
    <x v="2"/>
    <x v="4"/>
    <s v="California ISO"/>
    <n v="12114"/>
    <n v="1074"/>
    <n v="6505.2179999999998"/>
  </r>
  <r>
    <x v="10"/>
    <s v="Purchases - Secondary"/>
    <x v="2"/>
    <x v="4"/>
    <s v="Calpine Energy Services"/>
    <n v="350294"/>
    <n v="1074"/>
    <n v="188107.878"/>
  </r>
  <r>
    <x v="10"/>
    <s v="Purchases - Secondary"/>
    <x v="2"/>
    <x v="4"/>
    <s v="Cargill (Financial)"/>
    <n v="0"/>
    <n v="1074"/>
    <n v="0"/>
  </r>
  <r>
    <x v="10"/>
    <s v="Purchases - Secondary"/>
    <x v="2"/>
    <x v="4"/>
    <s v="Cargill Power Markets"/>
    <n v="779739"/>
    <n v="1074"/>
    <n v="418719.84299999999"/>
  </r>
  <r>
    <x v="10"/>
    <s v="Purchases - Secondary"/>
    <x v="2"/>
    <x v="4"/>
    <s v="Chelan County PUD #1"/>
    <n v="857"/>
    <n v="1074"/>
    <n v="460.209"/>
  </r>
  <r>
    <x v="10"/>
    <s v="Purchases - Secondary"/>
    <x v="2"/>
    <x v="4"/>
    <s v="Citigroup Energy (Financial)"/>
    <n v="0"/>
    <n v="1074"/>
    <n v="0"/>
  </r>
  <r>
    <x v="10"/>
    <s v="Purchases - Secondary"/>
    <x v="2"/>
    <x v="4"/>
    <s v="Citigroup Energy Inc"/>
    <n v="507518"/>
    <n v="1074"/>
    <n v="272537.16600000003"/>
  </r>
  <r>
    <x v="10"/>
    <s v="Purchases - Secondary"/>
    <x v="2"/>
    <x v="4"/>
    <s v="Clark Public Utilities"/>
    <n v="5045"/>
    <n v="1074"/>
    <n v="2709.165"/>
  </r>
  <r>
    <x v="10"/>
    <s v="Purchases - Secondary"/>
    <x v="2"/>
    <x v="4"/>
    <s v="Clatskanie PUD"/>
    <n v="2021"/>
    <n v="1074"/>
    <n v="1085.277"/>
  </r>
  <r>
    <x v="10"/>
    <s v="Purchases - Secondary"/>
    <x v="2"/>
    <x v="4"/>
    <s v="Conoco, Inc."/>
    <n v="2000"/>
    <n v="1074"/>
    <n v="1074"/>
  </r>
  <r>
    <x v="10"/>
    <s v="Purchases - Secondary"/>
    <x v="2"/>
    <x v="4"/>
    <s v="Constellation Power Source, Inc."/>
    <n v="7"/>
    <n v="1074"/>
    <n v="3.7589999999999999"/>
  </r>
  <r>
    <x v="10"/>
    <s v="Purchases - Secondary"/>
    <x v="2"/>
    <x v="4"/>
    <s v="Douglas County PUD #1"/>
    <n v="271759"/>
    <n v="1074"/>
    <n v="145934.58300000001"/>
  </r>
  <r>
    <x v="10"/>
    <s v="Purchases - Secondary"/>
    <x v="2"/>
    <x v="4"/>
    <s v="EDF Trading (Financial)"/>
    <n v="0"/>
    <n v="1074"/>
    <n v="0"/>
  </r>
  <r>
    <x v="10"/>
    <s v="Purchases - Secondary"/>
    <x v="2"/>
    <x v="4"/>
    <s v="EDF Trading NA LLC"/>
    <n v="2085606"/>
    <n v="1074"/>
    <n v="1119970.422"/>
  </r>
  <r>
    <x v="10"/>
    <s v="Purchases - Secondary"/>
    <x v="2"/>
    <x v="4"/>
    <s v="ENMAX Energy Marketing, Inc."/>
    <n v="990"/>
    <n v="1074"/>
    <n v="531.63"/>
  </r>
  <r>
    <x v="10"/>
    <s v="Purchases - Secondary"/>
    <x v="2"/>
    <x v="4"/>
    <s v="Eugene Water &amp; Electric"/>
    <n v="10905"/>
    <n v="1074"/>
    <n v="5855.9849999999997"/>
  </r>
  <r>
    <x v="10"/>
    <s v="Purchases - Secondary"/>
    <x v="2"/>
    <x v="4"/>
    <s v="Exelon Generation (Financial)"/>
    <n v="0"/>
    <n v="1074"/>
    <n v="0"/>
  </r>
  <r>
    <x v="10"/>
    <s v="Purchases - Secondary"/>
    <x v="2"/>
    <x v="4"/>
    <s v="Exelon Generation Co LLC"/>
    <n v="183085"/>
    <n v="1074"/>
    <n v="98316.645000000004"/>
  </r>
  <r>
    <x v="10"/>
    <s v="Purchases - Secondary"/>
    <x v="2"/>
    <x v="4"/>
    <s v="Grant County PUD #2"/>
    <n v="14148"/>
    <n v="1074"/>
    <n v="7597.4759999999997"/>
  </r>
  <r>
    <x v="10"/>
    <s v="Purchases - Secondary"/>
    <x v="2"/>
    <x v="4"/>
    <s v="Iberdrola Renewables (PPM Energy)"/>
    <n v="677785"/>
    <n v="1074"/>
    <n v="363970.54499999998"/>
  </r>
  <r>
    <x v="10"/>
    <s v="Purchases - Secondary"/>
    <x v="2"/>
    <x v="4"/>
    <s v="Idaho Power Company"/>
    <n v="14768"/>
    <n v="1074"/>
    <n v="7930.4160000000002"/>
  </r>
  <r>
    <x v="10"/>
    <s v="Purchases - Secondary"/>
    <x v="2"/>
    <x v="4"/>
    <s v="J. Aron &amp; Company"/>
    <n v="10400"/>
    <n v="1074"/>
    <n v="5584.8"/>
  </r>
  <r>
    <x v="10"/>
    <s v="Purchases - Secondary"/>
    <x v="2"/>
    <x v="4"/>
    <s v="JP Morgan Ventures Energy"/>
    <n v="67092"/>
    <n v="1074"/>
    <n v="36028.404000000002"/>
  </r>
  <r>
    <x v="10"/>
    <s v="Purchases - Secondary"/>
    <x v="2"/>
    <x v="4"/>
    <s v="Morgan Stanley CG"/>
    <n v="1304649"/>
    <n v="1074"/>
    <n v="700596.51300000004"/>
  </r>
  <r>
    <x v="10"/>
    <s v="Purchases - Secondary"/>
    <x v="2"/>
    <x v="4"/>
    <s v="Morgan Stanley CG (Financial)"/>
    <n v="0"/>
    <n v="1074"/>
    <n v="0"/>
  </r>
  <r>
    <x v="10"/>
    <s v="Purchases - Secondary"/>
    <x v="2"/>
    <x v="4"/>
    <s v="NextEra Energy Power Marketing"/>
    <n v="113998"/>
    <n v="1074"/>
    <n v="61216.925999999999"/>
  </r>
  <r>
    <x v="10"/>
    <s v="Purchases - Secondary"/>
    <x v="2"/>
    <x v="4"/>
    <s v="Noble Americas Energy Solutions"/>
    <n v="800"/>
    <n v="1074"/>
    <n v="429.6"/>
  </r>
  <r>
    <x v="10"/>
    <s v="Purchases - Secondary"/>
    <x v="2"/>
    <x v="4"/>
    <s v="NorthPoint Energy Solutions, Inc."/>
    <n v="300"/>
    <n v="1074"/>
    <n v="161.1"/>
  </r>
  <r>
    <x v="10"/>
    <s v="Purchases - Secondary"/>
    <x v="2"/>
    <x v="4"/>
    <s v="Northwestern Energy"/>
    <n v="10619"/>
    <n v="1074"/>
    <n v="5702.4030000000002"/>
  </r>
  <r>
    <x v="10"/>
    <s v="Purchases - Secondary"/>
    <x v="2"/>
    <x v="4"/>
    <s v="Okanogan PUD"/>
    <n v="15430"/>
    <n v="1074"/>
    <n v="8285.91"/>
  </r>
  <r>
    <x v="10"/>
    <s v="Purchases - Secondary"/>
    <x v="2"/>
    <x v="4"/>
    <s v="Pacificorp"/>
    <n v="26590"/>
    <n v="1074"/>
    <n v="14278.83"/>
  </r>
  <r>
    <x v="10"/>
    <s v="Purchases - Secondary"/>
    <x v="2"/>
    <x v="4"/>
    <s v="Portland General Electric"/>
    <n v="109691"/>
    <n v="1074"/>
    <n v="58904.067000000003"/>
  </r>
  <r>
    <x v="10"/>
    <s v="Purchases - Secondary"/>
    <x v="2"/>
    <x v="4"/>
    <s v="Powerex Corp."/>
    <n v="144388"/>
    <n v="1074"/>
    <n v="77536.356"/>
  </r>
  <r>
    <x v="10"/>
    <s v="Purchases - Secondary"/>
    <x v="2"/>
    <x v="4"/>
    <s v="Public Service of Colorado"/>
    <n v="800"/>
    <n v="1074"/>
    <n v="429.6"/>
  </r>
  <r>
    <x v="10"/>
    <s v="Purchases - Secondary"/>
    <x v="2"/>
    <x v="4"/>
    <s v="Rainbow Energy Marketing"/>
    <n v="12393"/>
    <n v="1074"/>
    <n v="6655.0410000000002"/>
  </r>
  <r>
    <x v="10"/>
    <s v="Purchases - Secondary"/>
    <x v="2"/>
    <x v="4"/>
    <s v="Sacramento Municipal"/>
    <n v="5966"/>
    <n v="1074"/>
    <n v="3203.7420000000002"/>
  </r>
  <r>
    <x v="10"/>
    <s v="Purchases - Secondary"/>
    <x v="2"/>
    <x v="4"/>
    <s v="Seattle City Light Marketing"/>
    <n v="96380"/>
    <n v="1074"/>
    <n v="51756.06"/>
  </r>
  <r>
    <x v="10"/>
    <s v="Purchases - Secondary"/>
    <x v="2"/>
    <x v="4"/>
    <s v="Shell Energy (Coral Pwr)"/>
    <n v="309247"/>
    <n v="1074"/>
    <n v="166065.639"/>
  </r>
  <r>
    <x v="10"/>
    <s v="Purchases - Secondary"/>
    <x v="2"/>
    <x v="4"/>
    <s v="Shell Energy NA (Financial)"/>
    <n v="0"/>
    <n v="1074"/>
    <n v="0"/>
  </r>
  <r>
    <x v="10"/>
    <s v="Purchases - Secondary"/>
    <x v="2"/>
    <x v="4"/>
    <s v="Snohomish County PUD #1"/>
    <n v="18557"/>
    <n v="1074"/>
    <n v="9965.1090000000004"/>
  </r>
  <r>
    <x v="10"/>
    <s v="Purchases - Secondary"/>
    <x v="2"/>
    <x v="4"/>
    <s v="Southern Cal - Edison"/>
    <n v="42837"/>
    <n v="1074"/>
    <n v="23003.469000000001"/>
  </r>
  <r>
    <x v="10"/>
    <s v="Purchases - Secondary"/>
    <x v="2"/>
    <x v="4"/>
    <s v="Tacoma Power"/>
    <n v="38385"/>
    <n v="1074"/>
    <n v="20612.744999999999"/>
  </r>
  <r>
    <x v="10"/>
    <s v="Purchases - Secondary"/>
    <x v="2"/>
    <x v="4"/>
    <s v="Talen Energy (PPL Energy Plus)"/>
    <n v="242781"/>
    <n v="1074"/>
    <n v="130373.397"/>
  </r>
  <r>
    <x v="10"/>
    <s v="Purchases - Secondary"/>
    <x v="2"/>
    <x v="4"/>
    <s v="Tenaska Power Services Co."/>
    <n v="297"/>
    <n v="1074"/>
    <n v="159.489"/>
  </r>
  <r>
    <x v="10"/>
    <s v="Purchases - Secondary"/>
    <x v="2"/>
    <x v="4"/>
    <s v="The Energy Authority"/>
    <n v="57242"/>
    <n v="1074"/>
    <n v="30738.954000000002"/>
  </r>
  <r>
    <x v="10"/>
    <s v="Purchases - Secondary"/>
    <x v="2"/>
    <x v="4"/>
    <s v="TransAlta Energy Marketing"/>
    <n v="1275174"/>
    <n v="1074"/>
    <n v="684768.43799999997"/>
  </r>
  <r>
    <x v="10"/>
    <s v="Purchases - Secondary"/>
    <x v="2"/>
    <x v="4"/>
    <s v="TransCanada Energy Sales Ltd"/>
    <n v="15993"/>
    <n v="1074"/>
    <n v="8588.241"/>
  </r>
  <r>
    <x v="10"/>
    <s v="Purchases - Secondary"/>
    <x v="2"/>
    <x v="4"/>
    <s v="Turlock Irrigation District"/>
    <n v="24277"/>
    <n v="1074"/>
    <n v="13036.749"/>
  </r>
  <r>
    <x v="10"/>
    <s v="Purchases - Secondary"/>
    <x v="2"/>
    <x v="4"/>
    <s v="Vitol Inc."/>
    <n v="1563318"/>
    <n v="1074"/>
    <n v="839501.76599999995"/>
  </r>
  <r>
    <x v="10"/>
    <s v="Purchases - Secondary"/>
    <x v="2"/>
    <x v="4"/>
    <s v="Western Area Power Association"/>
    <n v="3"/>
    <n v="1074"/>
    <n v="1.611"/>
  </r>
  <r>
    <x v="10"/>
    <s v="Interchange - In"/>
    <x v="2"/>
    <x v="4"/>
    <s v="Avista Nichols Pump"/>
    <n v="22743.040000000001"/>
    <n v="1074"/>
    <n v="12213.012480000001"/>
  </r>
  <r>
    <x v="10"/>
    <s v="Interchange - In"/>
    <x v="2"/>
    <x v="4"/>
    <s v="Constellation Power Source, Inc."/>
    <n v="0"/>
    <n v="1074"/>
    <n v="0"/>
  </r>
  <r>
    <x v="10"/>
    <s v="Interchange - Out"/>
    <x v="2"/>
    <x v="4"/>
    <s v="Pacific Gas &amp; Elec - Exchange"/>
    <n v="413000"/>
    <n v="1074"/>
    <n v="221781"/>
  </r>
  <r>
    <x v="10"/>
    <s v="Purchases - Secondary"/>
    <x v="2"/>
    <x v="4"/>
    <s v="Interchange-out deviation"/>
    <n v="52886.561999999998"/>
    <n v="1074"/>
    <n v="28400.083793999998"/>
  </r>
  <r>
    <x v="10"/>
    <s v="Interchange - Out"/>
    <x v="2"/>
    <x v="4"/>
    <s v="Pacific Gas &amp; Elec - Exchange"/>
    <n v="-413000"/>
    <n v="1074"/>
    <n v="-221781"/>
  </r>
  <r>
    <x v="10"/>
    <s v="Sales for Resale"/>
    <x v="2"/>
    <x v="4"/>
    <s v="Avista Corp. WWP Division"/>
    <n v="-59334"/>
    <n v="1074"/>
    <n v="-31862.358"/>
  </r>
  <r>
    <x v="10"/>
    <s v="Sales for Resale"/>
    <x v="2"/>
    <x v="4"/>
    <s v="Black Hills Power"/>
    <n v="-30"/>
    <n v="1074"/>
    <n v="-16.11"/>
  </r>
  <r>
    <x v="10"/>
    <s v="Sales for Resale"/>
    <x v="2"/>
    <x v="4"/>
    <s v="Book Outs - EITF 03-11"/>
    <n v="5724128"/>
    <n v="1074"/>
    <n v="3073856.736"/>
  </r>
  <r>
    <x v="10"/>
    <s v="Sales for Resale"/>
    <x v="2"/>
    <x v="4"/>
    <s v="BP Energy Co."/>
    <n v="-303763"/>
    <n v="1074"/>
    <n v="-163120.731"/>
  </r>
  <r>
    <x v="10"/>
    <s v="Sales for Resale"/>
    <x v="2"/>
    <x v="4"/>
    <s v="BPA"/>
    <n v="-284002"/>
    <n v="1074"/>
    <n v="-152509.07399999999"/>
  </r>
  <r>
    <x v="10"/>
    <s v="Sales for Resale"/>
    <x v="2"/>
    <x v="4"/>
    <s v="British Columbia Transmission Corp"/>
    <n v="-28"/>
    <n v="1074"/>
    <n v="-15.036"/>
  </r>
  <r>
    <x v="10"/>
    <s v="Sales for Resale"/>
    <x v="2"/>
    <x v="4"/>
    <s v="Calpine Energy Services"/>
    <n v="-117995"/>
    <n v="1074"/>
    <n v="-63363.315000000002"/>
  </r>
  <r>
    <x v="10"/>
    <s v="Sales for Resale"/>
    <x v="2"/>
    <x v="4"/>
    <s v="Cargill Power Markets"/>
    <n v="-176345"/>
    <n v="1074"/>
    <n v="-94697.264999999999"/>
  </r>
  <r>
    <x v="10"/>
    <s v="Sales for Resale"/>
    <x v="2"/>
    <x v="4"/>
    <s v="Chelan County PUD #1"/>
    <n v="-4207"/>
    <n v="1074"/>
    <n v="-2259.1590000000001"/>
  </r>
  <r>
    <x v="10"/>
    <s v="Sales for Resale"/>
    <x v="2"/>
    <x v="4"/>
    <s v="Citigroup Energy Inc"/>
    <n v="-327954"/>
    <n v="1074"/>
    <n v="-176111.29800000001"/>
  </r>
  <r>
    <x v="10"/>
    <s v="Sales for Resale"/>
    <x v="2"/>
    <x v="4"/>
    <s v="Clark Public Utilities"/>
    <n v="-6032"/>
    <n v="1074"/>
    <n v="-3239.1840000000002"/>
  </r>
  <r>
    <x v="10"/>
    <s v="Sales for Resale"/>
    <x v="2"/>
    <x v="4"/>
    <s v="Clatskanie PUD"/>
    <n v="-3692"/>
    <n v="1074"/>
    <n v="-1982.604"/>
  </r>
  <r>
    <x v="10"/>
    <s v="Sales for Resale"/>
    <x v="2"/>
    <x v="4"/>
    <s v="Conoco, Inc."/>
    <n v="-5200"/>
    <n v="1074"/>
    <n v="-2792.4"/>
  </r>
  <r>
    <x v="10"/>
    <s v="Purchases - Secondary"/>
    <x v="2"/>
    <x v="4"/>
    <s v="Constellation Power Source, Inc."/>
    <n v="-89"/>
    <n v="1074"/>
    <n v="-47.792999999999999"/>
  </r>
  <r>
    <x v="10"/>
    <s v="Sales for Resale"/>
    <x v="2"/>
    <x v="4"/>
    <s v="CP Energy Marketing (Epcor)"/>
    <n v="-902"/>
    <n v="1074"/>
    <n v="-484.37400000000002"/>
  </r>
  <r>
    <x v="10"/>
    <s v="Sales for Resale"/>
    <x v="2"/>
    <x v="4"/>
    <s v="Douglas County PUD #1"/>
    <n v="-2350"/>
    <n v="1074"/>
    <n v="-1261.95"/>
  </r>
  <r>
    <x v="10"/>
    <s v="Sales for Resale"/>
    <x v="2"/>
    <x v="4"/>
    <s v="EDF Trading NA LLC"/>
    <n v="-1158465"/>
    <n v="1074"/>
    <n v="-622095.70499999996"/>
  </r>
  <r>
    <x v="10"/>
    <s v="Sales for Resale"/>
    <x v="2"/>
    <x v="4"/>
    <s v="ENMAX Energy Marketing, Inc."/>
    <n v="-346"/>
    <n v="1074"/>
    <n v="-185.80199999999999"/>
  </r>
  <r>
    <x v="10"/>
    <s v="Sales for Resale"/>
    <x v="2"/>
    <x v="4"/>
    <s v="Eugene Water &amp; Electric"/>
    <n v="-22601"/>
    <n v="1074"/>
    <n v="-12136.736999999999"/>
  </r>
  <r>
    <x v="10"/>
    <s v="Sales for Resale"/>
    <x v="2"/>
    <x v="4"/>
    <s v="Exelon Generation Co LLC"/>
    <n v="-154413"/>
    <n v="1074"/>
    <n v="-82919.781000000003"/>
  </r>
  <r>
    <x v="10"/>
    <s v="Sales for Resale"/>
    <x v="2"/>
    <x v="4"/>
    <s v="Fortis BC"/>
    <n v="-13980"/>
    <n v="1074"/>
    <n v="-7507.26"/>
  </r>
  <r>
    <x v="10"/>
    <s v="Sales for Resale"/>
    <x v="2"/>
    <x v="4"/>
    <s v="Grant County PUD #2"/>
    <n v="-34904"/>
    <n v="1074"/>
    <n v="-18743.448"/>
  </r>
  <r>
    <x v="10"/>
    <s v="Sales for Resale"/>
    <x v="2"/>
    <x v="4"/>
    <s v="Iberdrola Renewables (PPM Energy)"/>
    <n v="-465716"/>
    <n v="1074"/>
    <n v="-250089.492"/>
  </r>
  <r>
    <x v="10"/>
    <s v="Sales for Resale"/>
    <x v="2"/>
    <x v="4"/>
    <s v="Idaho Power Company"/>
    <n v="-28166"/>
    <n v="1074"/>
    <n v="-15125.142"/>
  </r>
  <r>
    <x v="10"/>
    <s v="Sales for Resale"/>
    <x v="2"/>
    <x v="4"/>
    <s v="J. Aron &amp; Company"/>
    <n v="-10000"/>
    <n v="1074"/>
    <n v="-5370"/>
  </r>
  <r>
    <x v="10"/>
    <s v="Sales for Resale"/>
    <x v="2"/>
    <x v="4"/>
    <s v="JP Morgan Ventures Energy"/>
    <n v="-64335"/>
    <n v="1074"/>
    <n v="-34547.894999999997"/>
  </r>
  <r>
    <x v="10"/>
    <s v="Sales for Resale"/>
    <x v="2"/>
    <x v="4"/>
    <s v="Morgan Stanley CG"/>
    <n v="-799848"/>
    <n v="1074"/>
    <n v="-429518.37599999999"/>
  </r>
  <r>
    <x v="10"/>
    <s v="Sales for Resale"/>
    <x v="2"/>
    <x v="4"/>
    <s v="Natur Ener USA"/>
    <n v="-61"/>
    <n v="1074"/>
    <n v="-32.756999999999998"/>
  </r>
  <r>
    <x v="10"/>
    <s v="Sales for Resale"/>
    <x v="2"/>
    <x v="4"/>
    <s v="Nevada Power Company"/>
    <n v="-1267"/>
    <n v="1074"/>
    <n v="-680.37900000000002"/>
  </r>
  <r>
    <x v="10"/>
    <s v="Sales for Resale"/>
    <x v="2"/>
    <x v="4"/>
    <s v="NextEra Energy Power Marketing"/>
    <n v="-1748"/>
    <n v="1074"/>
    <n v="-938.67600000000004"/>
  </r>
  <r>
    <x v="10"/>
    <s v="Sales for Resale"/>
    <x v="2"/>
    <x v="4"/>
    <s v="NorthPoint Energy Solutions, Inc."/>
    <n v="-50"/>
    <n v="1074"/>
    <n v="-26.85"/>
  </r>
  <r>
    <x v="10"/>
    <s v="Sales for Resale"/>
    <x v="2"/>
    <x v="4"/>
    <s v="Northwestern Energy"/>
    <n v="-27585"/>
    <n v="1074"/>
    <n v="-14813.145"/>
  </r>
  <r>
    <x v="10"/>
    <s v="Sales for Resale"/>
    <x v="2"/>
    <x v="4"/>
    <s v="Okanogan PUD"/>
    <n v="-1425"/>
    <n v="1074"/>
    <n v="-765.22500000000002"/>
  </r>
  <r>
    <x v="10"/>
    <s v="Sales for Resale"/>
    <x v="2"/>
    <x v="4"/>
    <s v="Pacificorp"/>
    <n v="-270353"/>
    <n v="1074"/>
    <n v="-145179.56099999999"/>
  </r>
  <r>
    <x v="10"/>
    <s v="Sales for Resale"/>
    <x v="2"/>
    <x v="4"/>
    <s v="Portland General Electric"/>
    <n v="-154103"/>
    <n v="1074"/>
    <n v="-82753.311000000002"/>
  </r>
  <r>
    <x v="10"/>
    <s v="Sales for Resale"/>
    <x v="2"/>
    <x v="4"/>
    <s v="Powerex Corp."/>
    <n v="-165730"/>
    <n v="1074"/>
    <n v="-88997.01"/>
  </r>
  <r>
    <x v="10"/>
    <s v="Sales for Resale"/>
    <x v="2"/>
    <x v="4"/>
    <s v="Public Service of Colorado"/>
    <n v="-600"/>
    <n v="1074"/>
    <n v="-322.2"/>
  </r>
  <r>
    <x v="10"/>
    <s v="Sales for Resale"/>
    <x v="2"/>
    <x v="4"/>
    <s v="Rainbow Energy Marketing"/>
    <n v="-5067"/>
    <n v="1074"/>
    <n v="-2720.9789999999998"/>
  </r>
  <r>
    <x v="10"/>
    <s v="Sales for Resale"/>
    <x v="2"/>
    <x v="4"/>
    <s v="Sacramento Municipal"/>
    <n v="-15711"/>
    <n v="1074"/>
    <n v="-8436.8070000000007"/>
  </r>
  <r>
    <x v="10"/>
    <s v="Sales for Resale"/>
    <x v="2"/>
    <x v="4"/>
    <s v="Seattle City Light Marketing"/>
    <n v="-34982"/>
    <n v="1074"/>
    <n v="-18785.333999999999"/>
  </r>
  <r>
    <x v="10"/>
    <s v="Sales for Resale"/>
    <x v="2"/>
    <x v="4"/>
    <s v="Shell Energy (Coral Pwr)"/>
    <n v="-349844"/>
    <n v="1074"/>
    <n v="-187866.228"/>
  </r>
  <r>
    <x v="10"/>
    <s v="Sales for Resale"/>
    <x v="2"/>
    <x v="4"/>
    <s v="Snohomish County PUD #1"/>
    <n v="-7576"/>
    <n v="1074"/>
    <n v="-4068.3119999999999"/>
  </r>
  <r>
    <x v="10"/>
    <s v="Sales for Resale"/>
    <x v="2"/>
    <x v="4"/>
    <s v="Southern Cal - Edison"/>
    <n v="-200"/>
    <n v="1074"/>
    <n v="-107.4"/>
  </r>
  <r>
    <x v="10"/>
    <s v="Sales for Resale"/>
    <x v="2"/>
    <x v="4"/>
    <s v="Tacoma Power"/>
    <n v="-15061"/>
    <n v="1074"/>
    <n v="-8087.7569999999996"/>
  </r>
  <r>
    <x v="10"/>
    <s v="Sales for Resale"/>
    <x v="2"/>
    <x v="4"/>
    <s v="Talen Energy (PPL Energy Plus)"/>
    <n v="-70877"/>
    <n v="1074"/>
    <n v="-38060.949000000001"/>
  </r>
  <r>
    <x v="10"/>
    <s v="Sales for Resale"/>
    <x v="2"/>
    <x v="4"/>
    <s v="Tenaska Power Services Co."/>
    <n v="-828"/>
    <n v="1074"/>
    <n v="-444.63600000000002"/>
  </r>
  <r>
    <x v="10"/>
    <s v="Sales for Resale"/>
    <x v="2"/>
    <x v="4"/>
    <s v="The Energy Authority"/>
    <n v="-41339"/>
    <n v="1074"/>
    <n v="-22199.043000000001"/>
  </r>
  <r>
    <x v="10"/>
    <s v="Sales for Resale"/>
    <x v="2"/>
    <x v="4"/>
    <s v="TransAlta Energy Marketing"/>
    <n v="-637562"/>
    <n v="1074"/>
    <n v="-342370.79399999999"/>
  </r>
  <r>
    <x v="10"/>
    <s v="Sales for Resale"/>
    <x v="2"/>
    <x v="4"/>
    <s v="TransCanada Energy Sales Ltd"/>
    <n v="-7621"/>
    <n v="1074"/>
    <n v="-4092.4769999999999"/>
  </r>
  <r>
    <x v="10"/>
    <s v="Sales for Resale"/>
    <x v="2"/>
    <x v="4"/>
    <s v="Turlock Irrigation District"/>
    <n v="-208"/>
    <n v="1074"/>
    <n v="-111.696"/>
  </r>
  <r>
    <x v="10"/>
    <s v="Sales for Resale"/>
    <x v="2"/>
    <x v="4"/>
    <s v="Vitol Inc."/>
    <n v="-1812075"/>
    <n v="1074"/>
    <n v="-973084.27500000002"/>
  </r>
  <r>
    <x v="10"/>
    <s v="Sales for Resale"/>
    <x v="2"/>
    <x v="4"/>
    <s v="Western Area Power Association"/>
    <n v="-2"/>
    <n v="1074"/>
    <n v="-1.0740000000000001"/>
  </r>
  <r>
    <x v="11"/>
    <s v="Generation - Hydro"/>
    <x v="0"/>
    <x v="0"/>
    <s v="Lower Baker"/>
    <n v="358832.6"/>
    <n v="0"/>
    <n v="0"/>
  </r>
  <r>
    <x v="11"/>
    <s v="Generation - Hydro"/>
    <x v="0"/>
    <x v="0"/>
    <s v="Snoqualmie Falls #1"/>
    <n v="53046.2"/>
    <n v="0"/>
    <n v="0"/>
  </r>
  <r>
    <x v="11"/>
    <s v="Generation - Hydro"/>
    <x v="0"/>
    <x v="0"/>
    <s v="Snoqualmie Falls #2"/>
    <n v="152538"/>
    <n v="0"/>
    <n v="0"/>
  </r>
  <r>
    <x v="11"/>
    <s v="Generation - Hydro"/>
    <x v="0"/>
    <x v="0"/>
    <s v="Upper Baker"/>
    <n v="369104.94"/>
    <n v="0"/>
    <n v="0"/>
  </r>
  <r>
    <x v="11"/>
    <s v="Generation - Steam"/>
    <x v="0"/>
    <x v="1"/>
    <s v="Colstrip 1 &amp; 2"/>
    <n v="1958039"/>
    <n v="2336.8605017571153"/>
    <n v="2287832"/>
  </r>
  <r>
    <x v="11"/>
    <s v="Generation - Steam"/>
    <x v="0"/>
    <x v="1"/>
    <s v="Colstrip 3 &amp; 4"/>
    <n v="2571140"/>
    <n v="2171.5425842233408"/>
    <n v="2791670"/>
  </r>
  <r>
    <x v="11"/>
    <s v="Generation - Steam, Oil &amp; Gas"/>
    <x v="0"/>
    <x v="2"/>
    <s v="Encogen"/>
    <n v="212390.3"/>
    <n v="1075.436710157667"/>
    <n v="114206.16275069995"/>
  </r>
  <r>
    <x v="11"/>
    <s v="Generation - Steam, Oil &amp; Gas"/>
    <x v="0"/>
    <x v="2"/>
    <s v="Ferndale Co-Generation"/>
    <n v="741136.76800000004"/>
    <n v="1052.3786961958094"/>
    <n v="389978.27280530805"/>
  </r>
  <r>
    <x v="11"/>
    <s v="Generation - Steam, Oil &amp; Gas"/>
    <x v="0"/>
    <x v="2"/>
    <s v="Freddie #1"/>
    <n v="417524.85800000001"/>
    <n v="868.74358243637118"/>
    <n v="181361.02044757857"/>
  </r>
  <r>
    <x v="11"/>
    <s v="Generation - Steam, Oil &amp; Gas"/>
    <x v="0"/>
    <x v="2"/>
    <s v="Goldendale"/>
    <n v="1028475"/>
    <n v="825.04107853225662"/>
    <n v="424267.06162173132"/>
  </r>
  <r>
    <x v="11"/>
    <s v="Generation - Steam, Oil &amp; Gas"/>
    <x v="0"/>
    <x v="2"/>
    <s v="Mint Farm"/>
    <n v="1057946.8"/>
    <n v="902.32806474225731"/>
    <n v="477307.54432213202"/>
  </r>
  <r>
    <x v="11"/>
    <s v="Generation - Steam, Oil &amp; Gas"/>
    <x v="0"/>
    <x v="2"/>
    <s v="Sumas"/>
    <n v="394996.2"/>
    <n v="1073.7249160133433"/>
    <n v="212058.6308352949"/>
  </r>
  <r>
    <x v="11"/>
    <s v="Generation - Oil/Gas/Wind"/>
    <x v="0"/>
    <x v="8"/>
    <s v="Crystal Mountain"/>
    <n v="196.41"/>
    <n v="1732.2011450560933"/>
    <n v="170.11081345023362"/>
  </r>
  <r>
    <x v="11"/>
    <s v="Generation - Oil/Gas/Wind"/>
    <x v="0"/>
    <x v="2"/>
    <s v="Fredonia"/>
    <n v="108950.5"/>
    <n v="1751.4121464534605"/>
    <n v="95408.614531088868"/>
  </r>
  <r>
    <x v="11"/>
    <s v="Generation - Oil/Gas/Wind"/>
    <x v="0"/>
    <x v="2"/>
    <s v="Fredonia 3 &amp; 4"/>
    <n v="136862.6"/>
    <n v="1240.2361539035342"/>
    <n v="84870.972318618922"/>
  </r>
  <r>
    <x v="11"/>
    <s v="Generation - Oil/Gas/Wind"/>
    <x v="0"/>
    <x v="2"/>
    <s v="Fredrickson 1 &amp; 2"/>
    <n v="19942.310000000001"/>
    <n v="3345.749389215272"/>
    <n v="33360.985751020809"/>
  </r>
  <r>
    <x v="11"/>
    <s v="Generation - Oil/Gas/Wind"/>
    <x v="0"/>
    <x v="0"/>
    <s v="Hopkins Ridge (W184)"/>
    <n v="417242.31400000001"/>
    <n v="0"/>
    <n v="0"/>
  </r>
  <r>
    <x v="11"/>
    <s v="Generation - Oil/Gas/Wind"/>
    <x v="0"/>
    <x v="0"/>
    <s v="Lower Snake River"/>
    <n v="873260.06099999999"/>
    <n v="0"/>
    <n v="0"/>
  </r>
  <r>
    <x v="11"/>
    <s v="Generation - Oil/Gas/Wind"/>
    <x v="0"/>
    <x v="2"/>
    <s v="Whitehorn 2&amp;3"/>
    <n v="33783.050000000003"/>
    <n v="2930.2857219472094"/>
    <n v="49496.99452941434"/>
  </r>
  <r>
    <x v="11"/>
    <s v="Generation - Oil/Gas/Wind"/>
    <x v="0"/>
    <x v="0"/>
    <s v="Wild Horse (W183)"/>
    <n v="672199.75300000003"/>
    <n v="0"/>
    <n v="0"/>
  </r>
  <r>
    <x v="11"/>
    <s v="Purchases - Firm"/>
    <x v="1"/>
    <x v="0"/>
    <s v="3 Bar G Wind Turbine #3 LLC"/>
    <n v="147.732"/>
    <n v="0"/>
    <n v="0"/>
  </r>
  <r>
    <x v="11"/>
    <s v="Purchases - Firm"/>
    <x v="1"/>
    <x v="4"/>
    <s v="BC Hydro (Point Roberts)"/>
    <n v="19758.352999999999"/>
    <n v="895"/>
    <n v="8841.8629674999993"/>
  </r>
  <r>
    <x v="11"/>
    <s v="Purchases - Firm"/>
    <x v="1"/>
    <x v="0"/>
    <s v="Bio Energy Washington (BEW)"/>
    <n v="5.2510000000000003"/>
    <n v="0"/>
    <n v="0"/>
  </r>
  <r>
    <x v="11"/>
    <s v="Purchases - Firm"/>
    <x v="1"/>
    <x v="0"/>
    <s v="Black Creek Hydro Inc"/>
    <n v="12262.769"/>
    <n v="0"/>
    <n v="0"/>
  </r>
  <r>
    <x v="11"/>
    <s v="Purchases - Firm"/>
    <x v="1"/>
    <x v="7"/>
    <s v="Book Outs - EITF 03-11"/>
    <n v="0"/>
    <n v="0"/>
    <n v="0"/>
  </r>
  <r>
    <x v="11"/>
    <s v="Purchases - Firm"/>
    <x v="1"/>
    <x v="0"/>
    <s v="BPA"/>
    <n v="7084"/>
    <n v="0"/>
    <n v="0"/>
  </r>
  <r>
    <x v="11"/>
    <s v="Purchases - Firm"/>
    <x v="1"/>
    <x v="4"/>
    <s v="BPA Firm - WNP#3 Exchange"/>
    <n v="398392"/>
    <n v="895"/>
    <n v="178280.42"/>
  </r>
  <r>
    <x v="11"/>
    <s v="Purchases - Firm"/>
    <x v="1"/>
    <x v="0"/>
    <s v="CC Solar 1 and CC Solar 2"/>
    <n v="28.61"/>
    <n v="0"/>
    <n v="0"/>
  </r>
  <r>
    <x v="11"/>
    <s v="Purchases - Firm"/>
    <x v="1"/>
    <x v="0"/>
    <s v="Chelan PUD - RI &amp; RR"/>
    <n v="2313083"/>
    <n v="0"/>
    <n v="0"/>
  </r>
  <r>
    <x v="11"/>
    <s v="Purchases - Firm"/>
    <x v="1"/>
    <x v="0"/>
    <s v="Chelan PUD - Rock Island Syst #2"/>
    <n v="-39689"/>
    <n v="0"/>
    <n v="0"/>
  </r>
  <r>
    <x v="11"/>
    <s v="Purchases - Firm"/>
    <x v="1"/>
    <x v="0"/>
    <s v="Chelan PUD - Rocky Reach"/>
    <n v="-82394"/>
    <n v="0"/>
    <n v="0"/>
  </r>
  <r>
    <x v="11"/>
    <s v="Purchases - Firm"/>
    <x v="1"/>
    <x v="0"/>
    <s v="Douglas PUD - Wells Project"/>
    <n v="1120584"/>
    <n v="0"/>
    <n v="0"/>
  </r>
  <r>
    <x v="11"/>
    <s v="Purchases - Firm"/>
    <x v="1"/>
    <x v="0"/>
    <s v="Edaleen Dairy LLC"/>
    <n v="4644.826"/>
    <n v="0"/>
    <n v="0"/>
  </r>
  <r>
    <x v="11"/>
    <s v="Purchases - Firm"/>
    <x v="1"/>
    <x v="0"/>
    <s v="Farm Power Lynden LLC"/>
    <n v="4514.4679999999998"/>
    <n v="0"/>
    <n v="0"/>
  </r>
  <r>
    <x v="11"/>
    <s v="Purchases - Firm"/>
    <x v="1"/>
    <x v="0"/>
    <s v="Farm Power Rexville LLC"/>
    <n v="5137.9570000000003"/>
    <n v="0"/>
    <n v="0"/>
  </r>
  <r>
    <x v="11"/>
    <s v="Purchases - Firm"/>
    <x v="1"/>
    <x v="0"/>
    <s v="Grant PUD - Priest Rapids Project"/>
    <n v="60243"/>
    <n v="0"/>
    <n v="0"/>
  </r>
  <r>
    <x v="11"/>
    <s v="Purchases - Firm"/>
    <x v="1"/>
    <x v="0"/>
    <s v="Island Community Solar LLC"/>
    <n v="59.14"/>
    <n v="0"/>
    <n v="0"/>
  </r>
  <r>
    <x v="11"/>
    <s v="Purchases - Firm"/>
    <x v="1"/>
    <x v="2"/>
    <s v="Klamath Falls (Iberdrola)"/>
    <n v="200"/>
    <n v="807.0783351867201"/>
    <n v="80.707833518672004"/>
  </r>
  <r>
    <x v="11"/>
    <s v="Purchases - Firm"/>
    <x v="1"/>
    <x v="0"/>
    <s v="Klondike Wind Power III"/>
    <n v="126694"/>
    <n v="0"/>
    <n v="0"/>
  </r>
  <r>
    <x v="11"/>
    <s v="Purchases - Firm"/>
    <x v="1"/>
    <x v="0"/>
    <s v="Knudsen Wind Turbine #1"/>
    <n v="128.57599999999999"/>
    <n v="0"/>
    <n v="0"/>
  </r>
  <r>
    <x v="11"/>
    <s v="Purchases - Firm"/>
    <x v="1"/>
    <x v="0"/>
    <s v="Rainier Bio Gas"/>
    <n v="4372.0810000000001"/>
    <n v="0"/>
    <n v="0"/>
  </r>
  <r>
    <x v="11"/>
    <s v="Purchases - Firm"/>
    <x v="1"/>
    <x v="0"/>
    <s v="Skookumchuck Hydro"/>
    <n v="4450.1899999999996"/>
    <n v="0"/>
    <n v="0"/>
  </r>
  <r>
    <x v="11"/>
    <s v="Purchases - Firm"/>
    <x v="1"/>
    <x v="0"/>
    <s v="Smith Creek Hydro"/>
    <n v="193.251"/>
    <n v="0"/>
    <n v="0"/>
  </r>
  <r>
    <x v="11"/>
    <s v="Purchases - Firm"/>
    <x v="1"/>
    <x v="0"/>
    <s v="Swauk Wind"/>
    <n v="11177.98"/>
    <n v="0"/>
    <n v="0"/>
  </r>
  <r>
    <x v="11"/>
    <s v="Purchases - Firm"/>
    <x v="1"/>
    <x v="1"/>
    <s v="Transalta Centralia Generation LLC"/>
    <n v="1568805"/>
    <n v="2411.0775219632751"/>
    <n v="1891255.235921798"/>
  </r>
  <r>
    <x v="11"/>
    <s v="Purchases - Firm"/>
    <x v="1"/>
    <x v="0"/>
    <s v="Van Dyk - S Holsteins"/>
    <n v="3115.201"/>
    <n v="0"/>
    <n v="0"/>
  </r>
  <r>
    <x v="11"/>
    <s v="Purchases - Firm"/>
    <x v="1"/>
    <x v="0"/>
    <s v="VanderHaak Dairy Digester"/>
    <n v="3277.547"/>
    <n v="0"/>
    <n v="0"/>
  </r>
  <r>
    <x v="11"/>
    <s v="Purchases - PURPA"/>
    <x v="1"/>
    <x v="0"/>
    <s v="Electron Hydro, LLC"/>
    <n v="166693.777"/>
    <n v="0"/>
    <n v="0"/>
  </r>
  <r>
    <x v="11"/>
    <s v="Purchases - PURPA"/>
    <x v="1"/>
    <x v="0"/>
    <s v="Emerald City Renewables"/>
    <n v="36724.080999999998"/>
    <n v="0"/>
    <n v="0"/>
  </r>
  <r>
    <x v="11"/>
    <s v="Purchases - PURPA"/>
    <x v="1"/>
    <x v="0"/>
    <s v="Koma Kulshan Associates"/>
    <n v="46042.635999999999"/>
    <n v="0"/>
    <n v="0"/>
  </r>
  <r>
    <x v="11"/>
    <s v="Purchases - PURPA"/>
    <x v="1"/>
    <x v="0"/>
    <s v="Lake Washington -- Finn Hill"/>
    <n v="292.56"/>
    <n v="0"/>
    <n v="0"/>
  </r>
  <r>
    <x v="11"/>
    <s v="Purchases - PURPA"/>
    <x v="1"/>
    <x v="0"/>
    <s v="Nooksack"/>
    <n v="24374.06"/>
    <n v="0"/>
    <n v="0"/>
  </r>
  <r>
    <x v="11"/>
    <s v="Purchases - PURPA"/>
    <x v="1"/>
    <x v="0"/>
    <s v="Sygitowicz Creek"/>
    <n v="907.41"/>
    <n v="0"/>
    <n v="0"/>
  </r>
  <r>
    <x v="11"/>
    <s v="Purchases - PURPA"/>
    <x v="1"/>
    <x v="0"/>
    <s v="Twin Falls Hydro"/>
    <n v="79876.214000000007"/>
    <n v="0"/>
    <n v="0"/>
  </r>
  <r>
    <x v="11"/>
    <s v="Purchases - PURPA"/>
    <x v="1"/>
    <x v="0"/>
    <s v="Weeks Falls"/>
    <n v="11111.191000000001"/>
    <n v="0"/>
    <n v="0"/>
  </r>
  <r>
    <x v="11"/>
    <s v="Purchases - Firm"/>
    <x v="1"/>
    <x v="4"/>
    <s v="Transalta Centralia Generation LLC - Bookout Source Other Adjustment"/>
    <n v="965098"/>
    <n v="895"/>
    <n v="431881.35499999998"/>
  </r>
  <r>
    <x v="11"/>
    <s v="Net-by-Counterparty"/>
    <x v="2"/>
    <x v="4"/>
    <s v="Avista Corp. WWP Division"/>
    <n v="33590"/>
    <n v="895"/>
    <n v="15031.525"/>
  </r>
  <r>
    <x v="11"/>
    <s v="Net-by-Counterparty"/>
    <x v="2"/>
    <x v="4"/>
    <s v="Avista Nichols Pump"/>
    <n v="21796.48"/>
    <n v="895"/>
    <n v="9753.9247999999989"/>
  </r>
  <r>
    <x v="11"/>
    <s v="Net-by-Counterparty"/>
    <x v="2"/>
    <x v="4"/>
    <s v="Black Hills Power"/>
    <n v="201"/>
    <n v="895"/>
    <n v="89.947500000000005"/>
  </r>
  <r>
    <x v="11"/>
    <s v="Net-by-Counterparty"/>
    <x v="2"/>
    <x v="4"/>
    <s v="Book Outs - EITF 03-11"/>
    <n v="2580"/>
    <n v="895"/>
    <n v="1154.55"/>
  </r>
  <r>
    <x v="11"/>
    <s v="Net-by-Counterparty"/>
    <x v="2"/>
    <x v="4"/>
    <s v="BP Energy Co."/>
    <n v="215742"/>
    <n v="895"/>
    <n v="96544.544999999998"/>
  </r>
  <r>
    <x v="11"/>
    <s v="Net-by-Counterparty"/>
    <x v="2"/>
    <x v="4"/>
    <s v="BPA"/>
    <n v="258423"/>
    <n v="895"/>
    <n v="115644.2925"/>
  </r>
  <r>
    <x v="11"/>
    <s v="Net-by-Counterparty"/>
    <x v="2"/>
    <x v="4"/>
    <s v="BPA - CA Wind Integration"/>
    <n v="1952.7380000000001"/>
    <n v="895"/>
    <n v="873.85025500000006"/>
  </r>
  <r>
    <x v="11"/>
    <s v="Net-by-Counterparty"/>
    <x v="2"/>
    <x v="4"/>
    <s v="BPA - NWPP Reserve Sharing Energy"/>
    <n v="-159"/>
    <n v="1046.0391339805128"/>
    <n v="-83.160111151450764"/>
  </r>
  <r>
    <x v="11"/>
    <s v="Net-by-Counterparty"/>
    <x v="2"/>
    <x v="4"/>
    <s v="BPA - PTP Transactions"/>
    <n v="39252"/>
    <n v="895"/>
    <n v="17565.27"/>
  </r>
  <r>
    <x v="11"/>
    <s v="Net-by-Counterparty"/>
    <x v="2"/>
    <x v="4"/>
    <s v="BPA - Spin Reserv Requirement"/>
    <n v="5037220.18"/>
    <n v="895"/>
    <n v="2254156.0305499998"/>
  </r>
  <r>
    <x v="11"/>
    <s v="Net-by-Counterparty"/>
    <x v="2"/>
    <x v="4"/>
    <s v="BPA IS - Hourly Non-Firm"/>
    <n v="194"/>
    <n v="895"/>
    <n v="86.814999999999998"/>
  </r>
  <r>
    <x v="11"/>
    <s v="Net-by-Counterparty"/>
    <x v="2"/>
    <x v="4"/>
    <s v="British Columbia Transmission Corp"/>
    <n v="15"/>
    <n v="895"/>
    <n v="6.7125000000000004"/>
  </r>
  <r>
    <x v="11"/>
    <s v="Net-by-Counterparty"/>
    <x v="2"/>
    <x v="4"/>
    <s v="CAISO EESC Load Undistributed Costs"/>
    <n v="-39390.894"/>
    <n v="1046.0391339805128"/>
    <n v="-20602.208323239087"/>
  </r>
  <r>
    <x v="11"/>
    <s v="Net-by-Counterparty"/>
    <x v="2"/>
    <x v="4"/>
    <s v="CAISO PRSC Undistributed Costs"/>
    <n v="17560.87"/>
    <n v="895"/>
    <n v="7858.4893249999996"/>
  </r>
  <r>
    <x v="11"/>
    <s v="Net-by-Counterparty"/>
    <x v="2"/>
    <x v="4"/>
    <s v="California ISO"/>
    <n v="33095"/>
    <n v="895"/>
    <n v="14810.012500000001"/>
  </r>
  <r>
    <x v="11"/>
    <s v="Net-by-Counterparty"/>
    <x v="2"/>
    <x v="4"/>
    <s v="Calpine Energy Services"/>
    <n v="-29780"/>
    <n v="1046.0391339805128"/>
    <n v="-15575.522704969837"/>
  </r>
  <r>
    <x v="11"/>
    <s v="Net-by-Counterparty"/>
    <x v="2"/>
    <x v="4"/>
    <s v="Cargill Power Markets"/>
    <n v="470528"/>
    <n v="895"/>
    <n v="210561.28"/>
  </r>
  <r>
    <x v="11"/>
    <s v="Net-by-Counterparty"/>
    <x v="2"/>
    <x v="4"/>
    <s v="Chelan County PUD #1"/>
    <n v="62405"/>
    <n v="895"/>
    <n v="27926.237499999999"/>
  </r>
  <r>
    <x v="11"/>
    <s v="Net-by-Counterparty"/>
    <x v="2"/>
    <x v="4"/>
    <s v="Citigroup Energy Inc"/>
    <n v="122525"/>
    <n v="895"/>
    <n v="54829.9375"/>
  </r>
  <r>
    <x v="11"/>
    <s v="Net-by-Counterparty"/>
    <x v="2"/>
    <x v="4"/>
    <s v="Clark Public Utilities"/>
    <n v="157"/>
    <n v="895"/>
    <n v="70.257499999999993"/>
  </r>
  <r>
    <x v="11"/>
    <s v="Net-by-Counterparty"/>
    <x v="2"/>
    <x v="4"/>
    <s v="Clatskanie PUD"/>
    <n v="1009"/>
    <n v="895"/>
    <n v="451.52749999999997"/>
  </r>
  <r>
    <x v="11"/>
    <s v="Net-by-Counterparty"/>
    <x v="2"/>
    <x v="4"/>
    <s v="Colstrip - Energy Imbalance Market"/>
    <n v="-22440.600999999999"/>
    <n v="1046.0391339805128"/>
    <n v="-11736.873418021114"/>
  </r>
  <r>
    <x v="11"/>
    <s v="Net-by-Counterparty"/>
    <x v="2"/>
    <x v="4"/>
    <s v="Conoco, Inc."/>
    <n v="-3825"/>
    <n v="1046.0391339805128"/>
    <n v="-2000.5498437377307"/>
  </r>
  <r>
    <x v="11"/>
    <s v="Net-by-Counterparty"/>
    <x v="2"/>
    <x v="4"/>
    <s v="Constellation Power Source, Inc."/>
    <n v="-7"/>
    <n v="1046.0391339805128"/>
    <n v="-3.6611369689317947"/>
  </r>
  <r>
    <x v="11"/>
    <s v="Net-by-Counterparty"/>
    <x v="2"/>
    <x v="4"/>
    <s v="CP Energy Marketing (Epcor)"/>
    <n v="-1642"/>
    <n v="1046.0391339805128"/>
    <n v="-858.79812899800095"/>
  </r>
  <r>
    <x v="11"/>
    <s v="Net-by-Counterparty"/>
    <x v="2"/>
    <x v="4"/>
    <s v="Deviation"/>
    <n v="18141.771000000001"/>
    <n v="895"/>
    <n v="8118.4425224999995"/>
  </r>
  <r>
    <x v="11"/>
    <s v="Net-by-Counterparty"/>
    <x v="2"/>
    <x v="4"/>
    <s v="Douglas County PUD #1"/>
    <n v="279149"/>
    <n v="895"/>
    <n v="124919.17750000001"/>
  </r>
  <r>
    <x v="11"/>
    <s v="Net-by-Counterparty"/>
    <x v="2"/>
    <x v="4"/>
    <s v="EDF Trading NA LLC"/>
    <n v="-287573"/>
    <n v="1046.0391339805128"/>
    <n v="-150406.305938089"/>
  </r>
  <r>
    <x v="11"/>
    <s v="Net-by-Counterparty"/>
    <x v="2"/>
    <x v="4"/>
    <s v="Encogen"/>
    <n v="-321.65099999999984"/>
    <n v="1046.0391339805128"/>
    <n v="-168.2297667419829"/>
  </r>
  <r>
    <x v="11"/>
    <s v="Net-by-Counterparty"/>
    <x v="2"/>
    <x v="4"/>
    <s v="Eugene Water &amp; Electric"/>
    <n v="-42733"/>
    <n v="1046.0391339805128"/>
    <n v="-22350.195156194626"/>
  </r>
  <r>
    <x v="11"/>
    <s v="Net-by-Counterparty"/>
    <x v="2"/>
    <x v="4"/>
    <s v="Exelon Generation Co LLC"/>
    <n v="80290"/>
    <n v="895"/>
    <n v="35929.775000000001"/>
  </r>
  <r>
    <x v="11"/>
    <s v="Net-by-Counterparty"/>
    <x v="2"/>
    <x v="4"/>
    <s v="Ferndale Co-Generation"/>
    <n v="1025.3830000000016"/>
    <n v="895"/>
    <n v="458.85889250000071"/>
  </r>
  <r>
    <x v="11"/>
    <s v="Net-by-Counterparty"/>
    <x v="2"/>
    <x v="4"/>
    <s v="Freddie #1"/>
    <n v="-2196.0230000000001"/>
    <n v="1046.0391339805128"/>
    <n v="-1148.562998560644"/>
  </r>
  <r>
    <x v="11"/>
    <s v="Net-by-Counterparty"/>
    <x v="2"/>
    <x v="4"/>
    <s v="Fredonia - Energy Imbalance Market"/>
    <n v="1209.79"/>
    <n v="895"/>
    <n v="541.38102500000002"/>
  </r>
  <r>
    <x v="11"/>
    <s v="Net-by-Counterparty"/>
    <x v="2"/>
    <x v="4"/>
    <s v="Fredrickson 1 &amp; 2"/>
    <n v="690.89700000000005"/>
    <n v="895"/>
    <n v="309.17640750000004"/>
  </r>
  <r>
    <x v="11"/>
    <s v="Net-by-Counterparty"/>
    <x v="2"/>
    <x v="4"/>
    <s v="Goldendale"/>
    <n v="25209.396000000001"/>
    <n v="895"/>
    <n v="11281.204710000002"/>
  </r>
  <r>
    <x v="11"/>
    <s v="Net-by-Counterparty"/>
    <x v="2"/>
    <x v="4"/>
    <s v="Grant County PUD #2"/>
    <n v="20"/>
    <n v="895"/>
    <n v="8.9499999999999993"/>
  </r>
  <r>
    <x v="11"/>
    <s v="Net-by-Counterparty"/>
    <x v="2"/>
    <x v="4"/>
    <s v="GRIDFORCE ENERGY MANAGEMENT, LLC."/>
    <n v="-68"/>
    <n v="1046.0391339805128"/>
    <n v="-35.565330555337439"/>
  </r>
  <r>
    <x v="11"/>
    <s v="Net-by-Counterparty"/>
    <x v="2"/>
    <x v="4"/>
    <s v="Iberdrola Renewables (PPM Energy)"/>
    <n v="106424"/>
    <n v="895"/>
    <n v="47624.74"/>
  </r>
  <r>
    <x v="11"/>
    <s v="Net-by-Counterparty"/>
    <x v="2"/>
    <x v="4"/>
    <s v="Idaho Power Company"/>
    <n v="-338626"/>
    <n v="1046.0391339805128"/>
    <n v="-177108.02389164257"/>
  </r>
  <r>
    <x v="11"/>
    <s v="Net-by-Counterparty"/>
    <x v="2"/>
    <x v="4"/>
    <s v="Lower Baker"/>
    <n v="752.99099999999999"/>
    <n v="895"/>
    <n v="336.96347249999997"/>
  </r>
  <r>
    <x v="11"/>
    <s v="Net-by-Counterparty"/>
    <x v="2"/>
    <x v="4"/>
    <s v="MID-C for Energy Imbalance Market"/>
    <n v="5932.5579999999973"/>
    <n v="895"/>
    <n v="2654.8197049999985"/>
  </r>
  <r>
    <x v="11"/>
    <s v="Net-by-Counterparty"/>
    <x v="2"/>
    <x v="4"/>
    <s v="Mint Farm"/>
    <n v="1351.0280000000002"/>
    <n v="895"/>
    <n v="604.58503000000019"/>
  </r>
  <r>
    <x v="11"/>
    <s v="Net-by-Counterparty"/>
    <x v="2"/>
    <x v="4"/>
    <s v="Morgan Stanley CG"/>
    <n v="-1070455"/>
    <n v="1046.0391339805128"/>
    <n v="-559868.91058255499"/>
  </r>
  <r>
    <x v="11"/>
    <s v="Net-by-Counterparty"/>
    <x v="2"/>
    <x v="4"/>
    <s v="Natur Ener USA"/>
    <n v="-22"/>
    <n v="1046.0391339805128"/>
    <n v="-11.50643047378564"/>
  </r>
  <r>
    <x v="11"/>
    <s v="Net-by-Counterparty"/>
    <x v="2"/>
    <x v="4"/>
    <s v="Nevada Power Company"/>
    <n v="-116"/>
    <n v="1046.0391339805128"/>
    <n v="-60.670269770869744"/>
  </r>
  <r>
    <x v="11"/>
    <s v="Net-by-Counterparty"/>
    <x v="2"/>
    <x v="4"/>
    <s v="NextEra Energy Power Marketing"/>
    <n v="38701"/>
    <n v="895"/>
    <n v="17318.697499999998"/>
  </r>
  <r>
    <x v="11"/>
    <s v="Net-by-Counterparty"/>
    <x v="2"/>
    <x v="4"/>
    <s v="Noble Americas Gas &amp; Power"/>
    <n v="1200"/>
    <n v="895"/>
    <n v="537"/>
  </r>
  <r>
    <x v="11"/>
    <s v="Net-by-Counterparty"/>
    <x v="2"/>
    <x v="4"/>
    <s v="NorthPoint Energy Solutions, Inc."/>
    <n v="336"/>
    <n v="895"/>
    <n v="150.36000000000001"/>
  </r>
  <r>
    <x v="11"/>
    <s v="Net-by-Counterparty"/>
    <x v="2"/>
    <x v="4"/>
    <s v="Northwestern Energy"/>
    <n v="54623"/>
    <n v="895"/>
    <n v="24443.7925"/>
  </r>
  <r>
    <x v="11"/>
    <s v="Net-by-Counterparty"/>
    <x v="2"/>
    <x v="4"/>
    <s v="Okanogan PUD"/>
    <n v="6305"/>
    <n v="895"/>
    <n v="2821.4875000000002"/>
  </r>
  <r>
    <x v="11"/>
    <s v="Net-by-Counterparty"/>
    <x v="2"/>
    <x v="4"/>
    <s v="Pacific Gas &amp; Elec - Exchange"/>
    <n v="0"/>
    <n v="1046.0391339805128"/>
    <n v="0"/>
  </r>
  <r>
    <x v="11"/>
    <s v="Net-by-Counterparty"/>
    <x v="2"/>
    <x v="4"/>
    <s v="Pacificorp"/>
    <n v="-393958"/>
    <n v="1046.0391339805128"/>
    <n v="-206047.74257234743"/>
  </r>
  <r>
    <x v="11"/>
    <s v="Net-by-Counterparty"/>
    <x v="2"/>
    <x v="4"/>
    <s v="Portland General Electric"/>
    <n v="295929"/>
    <n v="895"/>
    <n v="132428.22750000001"/>
  </r>
  <r>
    <x v="11"/>
    <s v="Net-by-Counterparty"/>
    <x v="2"/>
    <x v="4"/>
    <s v="Powerex Corp."/>
    <n v="-1978155"/>
    <n v="1046.0391339805128"/>
    <n v="-1034613.7715396106"/>
  </r>
  <r>
    <x v="11"/>
    <s v="Net-by-Counterparty"/>
    <x v="2"/>
    <x v="4"/>
    <s v="Public Service of Colorado"/>
    <n v="-28595"/>
    <n v="1046.0391339805128"/>
    <n v="-14955.744518086382"/>
  </r>
  <r>
    <x v="11"/>
    <s v="Net-by-Counterparty"/>
    <x v="2"/>
    <x v="4"/>
    <s v="Rainbow Energy Marketing"/>
    <n v="-21688"/>
    <n v="1046.0391339805128"/>
    <n v="-11343.248368884681"/>
  </r>
  <r>
    <x v="11"/>
    <s v="Net-by-Counterparty"/>
    <x v="2"/>
    <x v="4"/>
    <s v="Sacramento Municipal"/>
    <n v="143"/>
    <n v="895"/>
    <n v="63.9925"/>
  </r>
  <r>
    <x v="11"/>
    <s v="Net-by-Counterparty"/>
    <x v="2"/>
    <x v="4"/>
    <s v="Seattle City Light Marketing"/>
    <n v="60520"/>
    <n v="895"/>
    <n v="27082.7"/>
  </r>
  <r>
    <x v="11"/>
    <s v="Net-by-Counterparty"/>
    <x v="2"/>
    <x v="4"/>
    <s v="Shell Energy (Coral Pwr)"/>
    <n v="83099"/>
    <n v="895"/>
    <n v="37186.802499999998"/>
  </r>
  <r>
    <x v="11"/>
    <s v="Net-by-Counterparty"/>
    <x v="2"/>
    <x v="4"/>
    <s v="Snohomish County PUD #1"/>
    <n v="19380"/>
    <n v="895"/>
    <n v="8672.5499999999993"/>
  </r>
  <r>
    <x v="11"/>
    <s v="Net-by-Counterparty"/>
    <x v="2"/>
    <x v="4"/>
    <s v="Snoqualmie-Energy Imbalance Market"/>
    <n v="3163.4"/>
    <n v="895"/>
    <n v="1415.6215"/>
  </r>
  <r>
    <x v="11"/>
    <s v="Net-by-Counterparty"/>
    <x v="2"/>
    <x v="4"/>
    <s v="Southern Cal - Edison"/>
    <n v="100"/>
    <n v="895"/>
    <n v="44.75"/>
  </r>
  <r>
    <x v="11"/>
    <s v="Net-by-Counterparty"/>
    <x v="2"/>
    <x v="4"/>
    <s v="Sumas"/>
    <n v="4619.1450000000004"/>
    <n v="895"/>
    <n v="2067.0673875000002"/>
  </r>
  <r>
    <x v="11"/>
    <s v="Net-by-Counterparty"/>
    <x v="2"/>
    <x v="4"/>
    <s v="Tacoma Power"/>
    <n v="25553"/>
    <n v="895"/>
    <n v="11434.967500000001"/>
  </r>
  <r>
    <x v="11"/>
    <s v="Net-by-Counterparty"/>
    <x v="2"/>
    <x v="4"/>
    <s v="Talen Energy (PPL Energy Plus)"/>
    <n v="165789"/>
    <n v="895"/>
    <n v="74190.577499999999"/>
  </r>
  <r>
    <x v="11"/>
    <s v="Net-by-Counterparty"/>
    <x v="2"/>
    <x v="4"/>
    <s v="Tenaska Power Services Co."/>
    <n v="958"/>
    <n v="895"/>
    <n v="428.70499999999998"/>
  </r>
  <r>
    <x v="11"/>
    <s v="Net-by-Counterparty"/>
    <x v="2"/>
    <x v="4"/>
    <s v="The Energy Authority"/>
    <n v="676328"/>
    <n v="895"/>
    <n v="302656.78000000003"/>
  </r>
  <r>
    <x v="11"/>
    <s v="Net-by-Counterparty"/>
    <x v="2"/>
    <x v="4"/>
    <s v="Transalta Centralia Generation LLC"/>
    <n v="-2206"/>
    <n v="1046.0391339805128"/>
    <n v="-1153.7811647805056"/>
  </r>
  <r>
    <x v="11"/>
    <s v="Net-by-Counterparty"/>
    <x v="2"/>
    <x v="4"/>
    <s v="TransAlta Energy Marketing"/>
    <n v="-39336"/>
    <n v="1046.0391339805128"/>
    <n v="-20573.497687128725"/>
  </r>
  <r>
    <x v="11"/>
    <s v="Net-by-Counterparty"/>
    <x v="2"/>
    <x v="4"/>
    <s v="TransCanada Energy Sales Ltd"/>
    <n v="-7308"/>
    <n v="1046.0391339805128"/>
    <n v="-3822.2269955647939"/>
  </r>
  <r>
    <x v="11"/>
    <s v="Net-by-Counterparty"/>
    <x v="2"/>
    <x v="4"/>
    <s v="Turlock Irrigation District"/>
    <n v="18516"/>
    <n v="895"/>
    <n v="8285.91"/>
  </r>
  <r>
    <x v="11"/>
    <s v="Net-by-Counterparty"/>
    <x v="2"/>
    <x v="4"/>
    <s v="Upper Baker"/>
    <n v="5749.4269999999997"/>
    <n v="895"/>
    <n v="2572.8685825000002"/>
  </r>
  <r>
    <x v="11"/>
    <s v="Net-by-Counterparty"/>
    <x v="2"/>
    <x v="4"/>
    <s v="Vitol Inc."/>
    <n v="192747"/>
    <n v="895"/>
    <n v="86254.282500000001"/>
  </r>
  <r>
    <x v="11"/>
    <s v="Net-by-Counterparty"/>
    <x v="2"/>
    <x v="4"/>
    <s v="Whitehorn 2&amp;3"/>
    <n v="342.471"/>
    <n v="895"/>
    <n v="153.25577249999998"/>
  </r>
  <r>
    <x v="11"/>
    <s v="Net-by-Counterparty"/>
    <x v="2"/>
    <x v="4"/>
    <s v="Wild Horse (W183)"/>
    <n v="-15814.602999999999"/>
    <n v="1046.0391339805128"/>
    <n v="-8271.346813182808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5" cacheId="15"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L13:T22" firstHeaderRow="1" firstDataRow="3" firstDataCol="1"/>
  <pivotFields count="8">
    <pivotField axis="axisRow" showAll="0">
      <items count="15">
        <item h="1" x="0"/>
        <item h="1" x="1"/>
        <item h="1" x="2"/>
        <item h="1" x="3"/>
        <item h="1" x="4"/>
        <item h="1" x="5"/>
        <item h="1" x="6"/>
        <item h="1" x="7"/>
        <item h="1" x="8"/>
        <item h="1" x="9"/>
        <item h="1" x="10"/>
        <item h="1" x="11"/>
        <item x="12"/>
        <item h="1" x="13"/>
        <item t="default"/>
      </items>
    </pivotField>
    <pivotField showAll="0"/>
    <pivotField axis="axisCol" showAll="0">
      <items count="5">
        <item x="1"/>
        <item x="0"/>
        <item x="2"/>
        <item x="3"/>
        <item t="default"/>
      </items>
    </pivotField>
    <pivotField axis="axisRow" showAll="0">
      <items count="11">
        <item x="5"/>
        <item x="1"/>
        <item x="3"/>
        <item x="2"/>
        <item x="6"/>
        <item x="7"/>
        <item x="8"/>
        <item x="0"/>
        <item x="4"/>
        <item x="9"/>
        <item t="default"/>
      </items>
    </pivotField>
    <pivotField showAll="0"/>
    <pivotField dataField="1" showAll="0"/>
    <pivotField showAll="0"/>
    <pivotField dataField="1" numFmtId="4" showAll="0"/>
  </pivotFields>
  <rowFields count="2">
    <field x="0"/>
    <field x="3"/>
  </rowFields>
  <rowItems count="7">
    <i>
      <x v="12"/>
    </i>
    <i r="1">
      <x v="1"/>
    </i>
    <i r="1">
      <x v="2"/>
    </i>
    <i r="1">
      <x v="3"/>
    </i>
    <i r="1">
      <x v="7"/>
    </i>
    <i r="1">
      <x v="8"/>
    </i>
    <i t="grand">
      <x/>
    </i>
  </rowItems>
  <colFields count="2">
    <field x="-2"/>
    <field x="2"/>
  </colFields>
  <colItems count="8">
    <i>
      <x/>
      <x/>
    </i>
    <i r="1">
      <x v="1"/>
    </i>
    <i r="1">
      <x v="2"/>
    </i>
    <i i="1">
      <x v="1"/>
      <x/>
    </i>
    <i r="1" i="1">
      <x v="1"/>
    </i>
    <i r="1" i="1">
      <x v="2"/>
    </i>
    <i t="grand">
      <x/>
    </i>
    <i t="grand" i="1">
      <x/>
    </i>
  </colItems>
  <dataFields count="2">
    <dataField name="Sum of MWh" fld="5" baseField="0" baseItem="0"/>
    <dataField name="Sum of Short Tons CO2" fld="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1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L1:T11" firstHeaderRow="1" firstDataRow="3" firstDataCol="1"/>
  <pivotFields count="8">
    <pivotField axis="axisRow" showAll="0">
      <items count="13">
        <item h="1" x="0"/>
        <item h="1" x="1"/>
        <item h="1" x="2"/>
        <item h="1" x="3"/>
        <item h="1" x="4"/>
        <item h="1" x="5"/>
        <item h="1" x="6"/>
        <item h="1" x="7"/>
        <item h="1" x="8"/>
        <item h="1" x="9"/>
        <item h="1" x="10"/>
        <item x="11"/>
        <item t="default"/>
      </items>
    </pivotField>
    <pivotField showAll="0"/>
    <pivotField axis="axisCol" showAll="0">
      <items count="4">
        <item x="1"/>
        <item x="0"/>
        <item x="2"/>
        <item t="default"/>
      </items>
    </pivotField>
    <pivotField axis="axisRow" showAll="0">
      <items count="10">
        <item x="5"/>
        <item x="1"/>
        <item x="3"/>
        <item x="2"/>
        <item x="6"/>
        <item x="7"/>
        <item x="8"/>
        <item x="0"/>
        <item x="4"/>
        <item t="default"/>
      </items>
    </pivotField>
    <pivotField showAll="0"/>
    <pivotField dataField="1" numFmtId="4" showAll="0"/>
    <pivotField numFmtId="4" showAll="0"/>
    <pivotField dataField="1" numFmtId="4" showAll="0"/>
  </pivotFields>
  <rowFields count="2">
    <field x="0"/>
    <field x="3"/>
  </rowFields>
  <rowItems count="8">
    <i>
      <x v="11"/>
    </i>
    <i r="1">
      <x v="1"/>
    </i>
    <i r="1">
      <x v="3"/>
    </i>
    <i r="1">
      <x v="5"/>
    </i>
    <i r="1">
      <x v="6"/>
    </i>
    <i r="1">
      <x v="7"/>
    </i>
    <i r="1">
      <x v="8"/>
    </i>
    <i t="grand">
      <x/>
    </i>
  </rowItems>
  <colFields count="2">
    <field x="-2"/>
    <field x="2"/>
  </colFields>
  <colItems count="8">
    <i>
      <x/>
      <x/>
    </i>
    <i r="1">
      <x v="1"/>
    </i>
    <i r="1">
      <x v="2"/>
    </i>
    <i i="1">
      <x v="1"/>
      <x/>
    </i>
    <i r="1" i="1">
      <x v="1"/>
    </i>
    <i r="1" i="1">
      <x v="2"/>
    </i>
    <i t="grand">
      <x/>
    </i>
    <i t="grand" i="1">
      <x/>
    </i>
  </colItems>
  <dataFields count="2">
    <dataField name="Sum of MWh" fld="5" baseField="0" baseItem="0"/>
    <dataField name="Sum of Short Tons CO2" fld="7" baseField="0" baseItem="0"/>
  </dataFields>
  <formats count="1">
    <format dxfId="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6" cacheId="1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B1:J91" firstHeaderRow="1" firstDataRow="3" firstDataCol="1"/>
  <pivotFields count="9">
    <pivotField showAll="0"/>
    <pivotField axis="axisRow" showAll="0">
      <items count="12">
        <item x="0"/>
        <item x="1"/>
        <item x="2"/>
        <item x="3"/>
        <item x="4"/>
        <item x="5"/>
        <item x="6"/>
        <item x="7"/>
        <item x="8"/>
        <item x="9"/>
        <item x="10"/>
        <item t="default"/>
      </items>
    </pivotField>
    <pivotField showAll="0"/>
    <pivotField axis="axisCol" showAll="0">
      <items count="4">
        <item x="1"/>
        <item x="0"/>
        <item x="2"/>
        <item t="default"/>
      </items>
    </pivotField>
    <pivotField axis="axisRow" showAll="0">
      <items count="9">
        <item x="5"/>
        <item x="1"/>
        <item x="3"/>
        <item x="2"/>
        <item x="6"/>
        <item x="7"/>
        <item x="0"/>
        <item x="4"/>
        <item t="default"/>
      </items>
    </pivotField>
    <pivotField showAll="0"/>
    <pivotField dataField="1" numFmtId="4" showAll="0"/>
    <pivotField numFmtId="4" showAll="0"/>
    <pivotField dataField="1" numFmtId="4" showAll="0"/>
  </pivotFields>
  <rowFields count="2">
    <field x="1"/>
    <field x="4"/>
  </rowFields>
  <rowItems count="88">
    <i>
      <x/>
    </i>
    <i r="1">
      <x/>
    </i>
    <i r="1">
      <x v="1"/>
    </i>
    <i r="1">
      <x v="2"/>
    </i>
    <i r="1">
      <x v="3"/>
    </i>
    <i r="1">
      <x v="4"/>
    </i>
    <i r="1">
      <x v="6"/>
    </i>
    <i r="1">
      <x v="7"/>
    </i>
    <i>
      <x v="1"/>
    </i>
    <i r="1">
      <x/>
    </i>
    <i r="1">
      <x v="1"/>
    </i>
    <i r="1">
      <x v="2"/>
    </i>
    <i r="1">
      <x v="3"/>
    </i>
    <i r="1">
      <x v="4"/>
    </i>
    <i r="1">
      <x v="6"/>
    </i>
    <i r="1">
      <x v="7"/>
    </i>
    <i>
      <x v="2"/>
    </i>
    <i r="1">
      <x/>
    </i>
    <i r="1">
      <x v="1"/>
    </i>
    <i r="1">
      <x v="2"/>
    </i>
    <i r="1">
      <x v="3"/>
    </i>
    <i r="1">
      <x v="4"/>
    </i>
    <i r="1">
      <x v="6"/>
    </i>
    <i r="1">
      <x v="7"/>
    </i>
    <i>
      <x v="3"/>
    </i>
    <i r="1">
      <x/>
    </i>
    <i r="1">
      <x v="1"/>
    </i>
    <i r="1">
      <x v="2"/>
    </i>
    <i r="1">
      <x v="3"/>
    </i>
    <i r="1">
      <x v="4"/>
    </i>
    <i r="1">
      <x v="6"/>
    </i>
    <i r="1">
      <x v="7"/>
    </i>
    <i>
      <x v="4"/>
    </i>
    <i r="1">
      <x/>
    </i>
    <i r="1">
      <x v="1"/>
    </i>
    <i r="1">
      <x v="2"/>
    </i>
    <i r="1">
      <x v="3"/>
    </i>
    <i r="1">
      <x v="4"/>
    </i>
    <i r="1">
      <x v="6"/>
    </i>
    <i r="1">
      <x v="7"/>
    </i>
    <i>
      <x v="5"/>
    </i>
    <i r="1">
      <x/>
    </i>
    <i r="1">
      <x v="1"/>
    </i>
    <i r="1">
      <x v="2"/>
    </i>
    <i r="1">
      <x v="3"/>
    </i>
    <i r="1">
      <x v="4"/>
    </i>
    <i r="1">
      <x v="5"/>
    </i>
    <i r="1">
      <x v="6"/>
    </i>
    <i r="1">
      <x v="7"/>
    </i>
    <i>
      <x v="6"/>
    </i>
    <i r="1">
      <x/>
    </i>
    <i r="1">
      <x v="1"/>
    </i>
    <i r="1">
      <x v="2"/>
    </i>
    <i r="1">
      <x v="3"/>
    </i>
    <i r="1">
      <x v="4"/>
    </i>
    <i r="1">
      <x v="5"/>
    </i>
    <i r="1">
      <x v="6"/>
    </i>
    <i r="1">
      <x v="7"/>
    </i>
    <i>
      <x v="7"/>
    </i>
    <i r="1">
      <x/>
    </i>
    <i r="1">
      <x v="1"/>
    </i>
    <i r="1">
      <x v="2"/>
    </i>
    <i r="1">
      <x v="3"/>
    </i>
    <i r="1">
      <x v="5"/>
    </i>
    <i r="1">
      <x v="6"/>
    </i>
    <i r="1">
      <x v="7"/>
    </i>
    <i>
      <x v="8"/>
    </i>
    <i r="1">
      <x v="1"/>
    </i>
    <i r="1">
      <x v="2"/>
    </i>
    <i r="1">
      <x v="3"/>
    </i>
    <i r="1">
      <x v="5"/>
    </i>
    <i r="1">
      <x v="6"/>
    </i>
    <i r="1">
      <x v="7"/>
    </i>
    <i>
      <x v="9"/>
    </i>
    <i r="1">
      <x v="1"/>
    </i>
    <i r="1">
      <x v="2"/>
    </i>
    <i r="1">
      <x v="3"/>
    </i>
    <i r="1">
      <x v="5"/>
    </i>
    <i r="1">
      <x v="6"/>
    </i>
    <i r="1">
      <x v="7"/>
    </i>
    <i>
      <x v="10"/>
    </i>
    <i r="1">
      <x v="1"/>
    </i>
    <i r="1">
      <x v="2"/>
    </i>
    <i r="1">
      <x v="3"/>
    </i>
    <i r="1">
      <x v="5"/>
    </i>
    <i r="1">
      <x v="6"/>
    </i>
    <i r="1">
      <x v="7"/>
    </i>
    <i t="grand">
      <x/>
    </i>
  </rowItems>
  <colFields count="2">
    <field x="-2"/>
    <field x="3"/>
  </colFields>
  <colItems count="8">
    <i>
      <x/>
      <x/>
    </i>
    <i r="1">
      <x v="1"/>
    </i>
    <i r="1">
      <x v="2"/>
    </i>
    <i i="1">
      <x v="1"/>
      <x/>
    </i>
    <i r="1" i="1">
      <x v="1"/>
    </i>
    <i r="1" i="1">
      <x v="2"/>
    </i>
    <i t="grand">
      <x/>
    </i>
    <i t="grand" i="1">
      <x/>
    </i>
  </colItems>
  <dataFields count="2">
    <dataField name="Sum of MWh" fld="6" baseField="0" baseItem="0"/>
    <dataField name="Sum of Short Tons CO2" fld="8" baseField="0" baseItem="0"/>
  </dataFields>
  <formats count="2">
    <format dxfId="2">
      <pivotArea outline="0" collapsedLevelsAreSubtotals="1" fieldPosition="0"/>
    </format>
    <format dxfId="1">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6BE12"/>
    <pageSetUpPr fitToPage="1"/>
  </sheetPr>
  <dimension ref="A1:AO212"/>
  <sheetViews>
    <sheetView showGridLines="0" topLeftCell="M113" workbookViewId="0">
      <pane xSplit="3660" topLeftCell="AD1" activePane="topRight"/>
      <selection activeCell="L145" sqref="L145:L151"/>
      <selection pane="topRight" activeCell="Z110" sqref="Z110"/>
    </sheetView>
  </sheetViews>
  <sheetFormatPr defaultRowHeight="15" x14ac:dyDescent="0.25"/>
  <cols>
    <col min="1" max="1" width="9.140625" style="2"/>
    <col min="2" max="2" width="39.85546875" style="2" customWidth="1"/>
    <col min="3" max="3" width="16.28515625" style="2" bestFit="1" customWidth="1"/>
    <col min="4" max="4" width="14.85546875" style="2" customWidth="1"/>
    <col min="5" max="5" width="11.5703125" style="2" customWidth="1"/>
    <col min="6" max="6" width="21.140625" style="2" customWidth="1"/>
    <col min="7" max="7" width="14.85546875" style="2" customWidth="1"/>
    <col min="8" max="8" width="11.5703125" style="2" customWidth="1"/>
    <col min="9" max="9" width="17.7109375" style="2" customWidth="1"/>
    <col min="10" max="10" width="26.28515625" style="2" bestFit="1" customWidth="1"/>
    <col min="11" max="11" width="21.140625" style="2" customWidth="1"/>
    <col min="12" max="12" width="39.85546875" style="2" customWidth="1"/>
    <col min="13" max="13" width="16.28515625" style="2" customWidth="1"/>
    <col min="14" max="14" width="14.85546875" style="2" customWidth="1"/>
    <col min="15" max="15" width="12" style="2" customWidth="1"/>
    <col min="16" max="16" width="21.140625" style="2" customWidth="1"/>
    <col min="17" max="17" width="14.85546875" style="2" customWidth="1"/>
    <col min="18" max="18" width="12" style="2" customWidth="1"/>
    <col min="19" max="19" width="17.7109375" style="2" customWidth="1"/>
    <col min="20" max="20" width="26.28515625" style="2" customWidth="1"/>
    <col min="21" max="29" width="17.140625" style="2" customWidth="1"/>
    <col min="30" max="30" width="11.5703125" style="2" customWidth="1"/>
    <col min="31" max="31" width="24.7109375" style="2" customWidth="1"/>
    <col min="32" max="32" width="12" style="2" customWidth="1"/>
    <col min="33" max="33" width="12" style="2" bestFit="1" customWidth="1"/>
    <col min="34" max="34" width="13.28515625" style="2" bestFit="1" customWidth="1"/>
    <col min="35" max="35" width="12.5703125" style="2" bestFit="1" customWidth="1"/>
    <col min="36" max="36" width="14.28515625" style="2" bestFit="1" customWidth="1"/>
    <col min="37" max="38" width="11.7109375" style="2" bestFit="1" customWidth="1"/>
    <col min="39" max="41" width="12" style="2" bestFit="1" customWidth="1"/>
    <col min="42" max="42" width="11.7109375" style="2" bestFit="1" customWidth="1"/>
    <col min="43" max="44" width="12" style="2" bestFit="1" customWidth="1"/>
    <col min="45" max="45" width="9" style="2" customWidth="1"/>
    <col min="46" max="48" width="12" style="2" bestFit="1" customWidth="1"/>
    <col min="49" max="49" width="11" style="2" bestFit="1" customWidth="1"/>
    <col min="50" max="52" width="12" style="2" bestFit="1" customWidth="1"/>
    <col min="53" max="53" width="11" style="2" bestFit="1" customWidth="1"/>
    <col min="54" max="54" width="10" style="2" bestFit="1" customWidth="1"/>
    <col min="55" max="57" width="12" style="2" bestFit="1" customWidth="1"/>
    <col min="58" max="58" width="11" style="2" bestFit="1" customWidth="1"/>
    <col min="59" max="68" width="12" style="2" bestFit="1" customWidth="1"/>
    <col min="69" max="70" width="11" style="2" bestFit="1" customWidth="1"/>
    <col min="71" max="79" width="12" style="2" bestFit="1" customWidth="1"/>
    <col min="80" max="80" width="11" style="2" bestFit="1" customWidth="1"/>
    <col min="81" max="86" width="12" style="2" bestFit="1" customWidth="1"/>
    <col min="87" max="87" width="11" style="2" bestFit="1" customWidth="1"/>
    <col min="88" max="94" width="12" style="2" bestFit="1" customWidth="1"/>
    <col min="95" max="95" width="9.140625" style="2"/>
    <col min="96" max="103" width="12" style="2" bestFit="1" customWidth="1"/>
    <col min="104" max="104" width="11" style="2" bestFit="1" customWidth="1"/>
    <col min="105" max="105" width="12" style="2" bestFit="1" customWidth="1"/>
    <col min="106" max="106" width="11" style="2" bestFit="1" customWidth="1"/>
    <col min="107" max="108" width="12" style="2" bestFit="1" customWidth="1"/>
    <col min="109" max="109" width="11" style="2" bestFit="1" customWidth="1"/>
    <col min="110" max="114" width="12" style="2" bestFit="1" customWidth="1"/>
    <col min="115" max="115" width="11" style="2" bestFit="1" customWidth="1"/>
    <col min="116" max="116" width="10.140625" style="2" bestFit="1" customWidth="1"/>
    <col min="117" max="117" width="12" style="2" bestFit="1" customWidth="1"/>
    <col min="118" max="118" width="10.140625" style="2" bestFit="1" customWidth="1"/>
    <col min="119" max="129" width="12" style="2" bestFit="1" customWidth="1"/>
    <col min="130" max="130" width="11" style="2" bestFit="1" customWidth="1"/>
    <col min="131" max="132" width="12" style="2" bestFit="1" customWidth="1"/>
    <col min="133" max="133" width="11" style="2" bestFit="1" customWidth="1"/>
    <col min="134" max="135" width="12" style="2" bestFit="1" customWidth="1"/>
    <col min="136" max="136" width="10.140625" style="2" bestFit="1" customWidth="1"/>
    <col min="137" max="146" width="12" style="2" bestFit="1" customWidth="1"/>
    <col min="147" max="147" width="10.140625" style="2" bestFit="1" customWidth="1"/>
    <col min="148" max="164" width="12" style="2" bestFit="1" customWidth="1"/>
    <col min="165" max="165" width="11.7109375" style="2" bestFit="1" customWidth="1"/>
    <col min="166" max="167" width="12" style="2" bestFit="1" customWidth="1"/>
    <col min="168" max="168" width="11.7109375" style="2" bestFit="1" customWidth="1"/>
    <col min="169" max="177" width="12" style="2" bestFit="1" customWidth="1"/>
    <col min="178" max="178" width="39.85546875" style="2" bestFit="1" customWidth="1"/>
    <col min="179" max="181" width="10.85546875" style="2" bestFit="1" customWidth="1"/>
    <col min="182" max="182" width="9.85546875" style="2" bestFit="1" customWidth="1"/>
    <col min="183" max="183" width="8.85546875" style="2" customWidth="1"/>
    <col min="184" max="184" width="43" style="2" bestFit="1" customWidth="1"/>
    <col min="185" max="185" width="12.85546875" style="2" bestFit="1" customWidth="1"/>
    <col min="186" max="191" width="9.85546875" style="2" bestFit="1" customWidth="1"/>
    <col min="192" max="192" width="8.85546875" style="2" customWidth="1"/>
    <col min="193" max="196" width="7.28515625" style="2" customWidth="1"/>
    <col min="197" max="200" width="4.5703125" style="2" customWidth="1"/>
    <col min="201" max="214" width="5.5703125" style="2" customWidth="1"/>
    <col min="215" max="242" width="6.5703125" style="2" customWidth="1"/>
    <col min="243" max="318" width="8.140625" style="2" customWidth="1"/>
    <col min="319" max="403" width="9.140625" style="2"/>
    <col min="404" max="481" width="10.140625" style="2" bestFit="1" customWidth="1"/>
    <col min="482" max="507" width="11.7109375" style="2" bestFit="1" customWidth="1"/>
    <col min="508" max="508" width="16" style="2" bestFit="1" customWidth="1"/>
    <col min="509" max="516" width="12.7109375" style="2" bestFit="1" customWidth="1"/>
    <col min="517" max="517" width="12.42578125" style="2" bestFit="1" customWidth="1"/>
    <col min="518" max="523" width="12.7109375" style="2" bestFit="1" customWidth="1"/>
    <col min="524" max="525" width="12.42578125" style="2" bestFit="1" customWidth="1"/>
    <col min="526" max="540" width="12.7109375" style="2" bestFit="1" customWidth="1"/>
    <col min="541" max="542" width="11.7109375" style="2" bestFit="1" customWidth="1"/>
    <col min="543" max="565" width="12.7109375" style="2" bestFit="1" customWidth="1"/>
    <col min="566" max="566" width="11.7109375" style="2" bestFit="1" customWidth="1"/>
    <col min="567" max="569" width="12.7109375" style="2" bestFit="1" customWidth="1"/>
    <col min="570" max="570" width="11.7109375" style="2" bestFit="1" customWidth="1"/>
    <col min="571" max="579" width="12.7109375" style="2" bestFit="1" customWidth="1"/>
    <col min="580" max="580" width="11.7109375" style="2" bestFit="1" customWidth="1"/>
    <col min="581" max="607" width="12.7109375" style="2" bestFit="1" customWidth="1"/>
    <col min="608" max="608" width="11.7109375" style="2" bestFit="1" customWidth="1"/>
    <col min="609" max="626" width="12.7109375" style="2" bestFit="1" customWidth="1"/>
    <col min="627" max="627" width="11.7109375" style="2" bestFit="1" customWidth="1"/>
    <col min="628" max="634" width="12.7109375" style="2" bestFit="1" customWidth="1"/>
    <col min="635" max="635" width="11.7109375" style="2" bestFit="1" customWidth="1"/>
    <col min="636" max="644" width="12.7109375" style="2" bestFit="1" customWidth="1"/>
    <col min="645" max="645" width="11.7109375" style="2" bestFit="1" customWidth="1"/>
    <col min="646" max="671" width="12.7109375" style="2" bestFit="1" customWidth="1"/>
    <col min="672" max="672" width="11.7109375" style="2" bestFit="1" customWidth="1"/>
    <col min="673" max="688" width="12.7109375" style="2" bestFit="1" customWidth="1"/>
    <col min="689" max="689" width="11.7109375" style="2" bestFit="1" customWidth="1"/>
    <col min="690" max="691" width="12.7109375" style="2" bestFit="1" customWidth="1"/>
    <col min="692" max="692" width="11.7109375" style="2" bestFit="1" customWidth="1"/>
    <col min="693" max="693" width="12.7109375" style="2" bestFit="1" customWidth="1"/>
    <col min="694" max="694" width="11.7109375" style="2" bestFit="1" customWidth="1"/>
    <col min="695" max="705" width="12.7109375" style="2" bestFit="1" customWidth="1"/>
    <col min="706" max="706" width="11.7109375" style="2" bestFit="1" customWidth="1"/>
    <col min="707" max="707" width="12.7109375" style="2" bestFit="1" customWidth="1"/>
    <col min="708" max="708" width="11.7109375" style="2" bestFit="1" customWidth="1"/>
    <col min="709" max="713" width="12.7109375" style="2" bestFit="1" customWidth="1"/>
    <col min="714" max="714" width="11.7109375" style="2" bestFit="1" customWidth="1"/>
    <col min="715" max="716" width="12.7109375" style="2" bestFit="1" customWidth="1"/>
    <col min="717" max="717" width="11.7109375" style="2" bestFit="1" customWidth="1"/>
    <col min="718" max="720" width="12.7109375" style="2" bestFit="1" customWidth="1"/>
    <col min="721" max="721" width="11.7109375" style="2" bestFit="1" customWidth="1"/>
    <col min="722" max="730" width="12.7109375" style="2" bestFit="1" customWidth="1"/>
    <col min="731" max="731" width="11.7109375" style="2" bestFit="1" customWidth="1"/>
    <col min="732" max="751" width="12.7109375" style="2" bestFit="1" customWidth="1"/>
    <col min="752" max="752" width="9.85546875" style="2" bestFit="1" customWidth="1"/>
    <col min="753" max="784" width="12.7109375" style="2" bestFit="1" customWidth="1"/>
    <col min="785" max="785" width="11.7109375" style="2" bestFit="1" customWidth="1"/>
    <col min="786" max="806" width="12.7109375" style="2" bestFit="1" customWidth="1"/>
    <col min="807" max="807" width="11.7109375" style="2" bestFit="1" customWidth="1"/>
    <col min="808" max="811" width="12.7109375" style="2" bestFit="1" customWidth="1"/>
    <col min="812" max="812" width="10.7109375" style="2" bestFit="1" customWidth="1"/>
    <col min="813" max="842" width="12.7109375" style="2" bestFit="1" customWidth="1"/>
    <col min="843" max="843" width="11.7109375" style="2" bestFit="1" customWidth="1"/>
    <col min="844" max="847" width="12.7109375" style="2" bestFit="1" customWidth="1"/>
    <col min="848" max="848" width="11.7109375" style="2" bestFit="1" customWidth="1"/>
    <col min="849" max="850" width="12.7109375" style="2" bestFit="1" customWidth="1"/>
    <col min="851" max="851" width="11.7109375" style="2" bestFit="1" customWidth="1"/>
    <col min="852" max="868" width="12.7109375" style="2" bestFit="1" customWidth="1"/>
    <col min="869" max="869" width="11.7109375" style="2" bestFit="1" customWidth="1"/>
    <col min="870" max="881" width="12.7109375" style="2" bestFit="1" customWidth="1"/>
    <col min="882" max="882" width="10.7109375" style="2" bestFit="1" customWidth="1"/>
    <col min="883" max="890" width="12.7109375" style="2" bestFit="1" customWidth="1"/>
    <col min="891" max="891" width="11.7109375" style="2" bestFit="1" customWidth="1"/>
    <col min="892" max="900" width="12.7109375" style="2" bestFit="1" customWidth="1"/>
    <col min="901" max="902" width="11.7109375" style="2" bestFit="1" customWidth="1"/>
    <col min="903" max="904" width="12.7109375" style="2" bestFit="1" customWidth="1"/>
    <col min="905" max="905" width="11.7109375" style="2" bestFit="1" customWidth="1"/>
    <col min="906" max="914" width="12.7109375" style="2" bestFit="1" customWidth="1"/>
    <col min="915" max="915" width="11.7109375" style="2" bestFit="1" customWidth="1"/>
    <col min="916" max="924" width="12.7109375" style="2" bestFit="1" customWidth="1"/>
    <col min="925" max="925" width="11.7109375" style="2" bestFit="1" customWidth="1"/>
    <col min="926" max="933" width="12.7109375" style="2" bestFit="1" customWidth="1"/>
    <col min="934" max="934" width="11.7109375" style="2" bestFit="1" customWidth="1"/>
    <col min="935" max="935" width="10.7109375" style="2" bestFit="1" customWidth="1"/>
    <col min="936" max="936" width="12.7109375" style="2" bestFit="1" customWidth="1"/>
    <col min="937" max="937" width="11.7109375" style="2" bestFit="1" customWidth="1"/>
    <col min="938" max="938" width="12.7109375" style="2" bestFit="1" customWidth="1"/>
    <col min="939" max="939" width="11.7109375" style="2" bestFit="1" customWidth="1"/>
    <col min="940" max="941" width="12.7109375" style="2" bestFit="1" customWidth="1"/>
    <col min="942" max="943" width="11.7109375" style="2" bestFit="1" customWidth="1"/>
    <col min="944" max="945" width="12.7109375" style="2" bestFit="1" customWidth="1"/>
    <col min="946" max="946" width="11.7109375" style="2" bestFit="1" customWidth="1"/>
    <col min="947" max="959" width="12.7109375" style="2" bestFit="1" customWidth="1"/>
    <col min="960" max="960" width="11.7109375" style="2" bestFit="1" customWidth="1"/>
    <col min="961" max="961" width="12.7109375" style="2" bestFit="1" customWidth="1"/>
    <col min="962" max="962" width="11.7109375" style="2" bestFit="1" customWidth="1"/>
    <col min="963" max="976" width="12.7109375" style="2" bestFit="1" customWidth="1"/>
    <col min="977" max="977" width="11.7109375" style="2" bestFit="1" customWidth="1"/>
    <col min="978" max="980" width="12.7109375" style="2" bestFit="1" customWidth="1"/>
    <col min="981" max="981" width="11.7109375" style="2" bestFit="1" customWidth="1"/>
    <col min="982" max="983" width="12.7109375" style="2" bestFit="1" customWidth="1"/>
    <col min="984" max="984" width="11.7109375" style="2" bestFit="1" customWidth="1"/>
    <col min="985" max="986" width="12.7109375" style="2" bestFit="1" customWidth="1"/>
    <col min="987" max="987" width="11.7109375" style="2" bestFit="1" customWidth="1"/>
    <col min="988" max="1000" width="12.7109375" style="2" bestFit="1" customWidth="1"/>
    <col min="1001" max="1001" width="11.7109375" style="2" bestFit="1" customWidth="1"/>
    <col min="1002" max="1005" width="12.7109375" style="2" bestFit="1" customWidth="1"/>
    <col min="1006" max="1006" width="10.7109375" style="2" bestFit="1" customWidth="1"/>
    <col min="1007" max="1011" width="12.7109375" style="2" bestFit="1" customWidth="1"/>
    <col min="1012" max="1012" width="11.7109375" style="2" bestFit="1" customWidth="1"/>
    <col min="1013" max="1013" width="12.7109375" style="2" bestFit="1" customWidth="1"/>
    <col min="1014" max="1014" width="9.7109375" style="2" bestFit="1" customWidth="1"/>
    <col min="1015" max="1015" width="12.7109375" style="2" bestFit="1" customWidth="1"/>
    <col min="1016" max="1016" width="11.7109375" style="2" bestFit="1" customWidth="1"/>
    <col min="1017" max="1025" width="12.7109375" style="2" bestFit="1" customWidth="1"/>
    <col min="1026" max="1026" width="11.7109375" style="2" bestFit="1" customWidth="1"/>
    <col min="1027" max="1061" width="12.7109375" style="2" bestFit="1" customWidth="1"/>
    <col min="1062" max="1062" width="11.7109375" style="2" bestFit="1" customWidth="1"/>
    <col min="1063" max="1070" width="12.7109375" style="2" bestFit="1" customWidth="1"/>
    <col min="1071" max="1071" width="11.7109375" style="2" bestFit="1" customWidth="1"/>
    <col min="1072" max="1084" width="12.7109375" style="2" bestFit="1" customWidth="1"/>
    <col min="1085" max="1085" width="9.7109375" style="2" bestFit="1" customWidth="1"/>
    <col min="1086" max="1087" width="12.7109375" style="2" bestFit="1" customWidth="1"/>
    <col min="1088" max="1088" width="11.7109375" style="2" bestFit="1" customWidth="1"/>
    <col min="1089" max="1092" width="12.7109375" style="2" bestFit="1" customWidth="1"/>
    <col min="1093" max="1093" width="11.7109375" style="2" bestFit="1" customWidth="1"/>
    <col min="1094" max="1097" width="12.7109375" style="2" bestFit="1" customWidth="1"/>
    <col min="1098" max="1098" width="11.7109375" style="2" bestFit="1" customWidth="1"/>
    <col min="1099" max="1105" width="12.7109375" style="2" bestFit="1" customWidth="1"/>
    <col min="1106" max="1106" width="11.7109375" style="2" bestFit="1" customWidth="1"/>
    <col min="1107" max="1107" width="9.7109375" style="2" bestFit="1" customWidth="1"/>
    <col min="1108" max="1108" width="12.7109375" style="2" bestFit="1" customWidth="1"/>
    <col min="1109" max="1109" width="11.7109375" style="2" bestFit="1" customWidth="1"/>
    <col min="1110" max="1110" width="10.7109375" style="2" bestFit="1" customWidth="1"/>
    <col min="1111" max="1114" width="12.7109375" style="2" bestFit="1" customWidth="1"/>
    <col min="1115" max="1115" width="10.7109375" style="2" bestFit="1" customWidth="1"/>
    <col min="1116" max="1116" width="11.7109375" style="2" bestFit="1" customWidth="1"/>
    <col min="1117" max="1122" width="12.7109375" style="2" bestFit="1" customWidth="1"/>
    <col min="1123" max="1123" width="11.7109375" style="2" bestFit="1" customWidth="1"/>
    <col min="1124" max="1131" width="12.7109375" style="2" bestFit="1" customWidth="1"/>
    <col min="1132" max="1132" width="11.7109375" style="2" bestFit="1" customWidth="1"/>
    <col min="1133" max="1134" width="12.7109375" style="2" bestFit="1" customWidth="1"/>
    <col min="1135" max="1135" width="11.7109375" style="2" bestFit="1" customWidth="1"/>
    <col min="1136" max="1154" width="12.7109375" style="2" bestFit="1" customWidth="1"/>
    <col min="1155" max="1155" width="11.7109375" style="2" bestFit="1" customWidth="1"/>
    <col min="1156" max="1156" width="12.7109375" style="2" bestFit="1" customWidth="1"/>
    <col min="1157" max="1157" width="11.7109375" style="2" bestFit="1" customWidth="1"/>
    <col min="1158" max="1160" width="12.7109375" style="2" bestFit="1" customWidth="1"/>
    <col min="1161" max="1162" width="11.7109375" style="2" bestFit="1" customWidth="1"/>
    <col min="1163" max="1163" width="12.7109375" style="2" bestFit="1" customWidth="1"/>
    <col min="1164" max="1164" width="11.7109375" style="2" bestFit="1" customWidth="1"/>
    <col min="1165" max="1165" width="10.7109375" style="2" bestFit="1" customWidth="1"/>
    <col min="1166" max="1169" width="12.7109375" style="2" bestFit="1" customWidth="1"/>
    <col min="1170" max="1170" width="11.7109375" style="2" bestFit="1" customWidth="1"/>
    <col min="1171" max="1174" width="12.7109375" style="2" bestFit="1" customWidth="1"/>
    <col min="1175" max="1175" width="10.7109375" style="2" bestFit="1" customWidth="1"/>
    <col min="1176" max="1180" width="12.7109375" style="2" bestFit="1" customWidth="1"/>
    <col min="1181" max="1183" width="11.7109375" style="2" bestFit="1" customWidth="1"/>
    <col min="1184" max="1185" width="12.7109375" style="2" bestFit="1" customWidth="1"/>
    <col min="1186" max="1186" width="11.7109375" style="2" bestFit="1" customWidth="1"/>
    <col min="1187" max="1187" width="12.7109375" style="2" bestFit="1" customWidth="1"/>
    <col min="1188" max="1188" width="10.7109375" style="2" bestFit="1" customWidth="1"/>
    <col min="1189" max="1205" width="12.7109375" style="2" bestFit="1" customWidth="1"/>
    <col min="1206" max="1206" width="10.7109375" style="2" bestFit="1" customWidth="1"/>
    <col min="1207" max="1207" width="11.7109375" style="2" bestFit="1" customWidth="1"/>
    <col min="1208" max="1210" width="12.7109375" style="2" bestFit="1" customWidth="1"/>
    <col min="1211" max="1211" width="4.5703125" style="2" customWidth="1"/>
    <col min="1212" max="1225" width="12" style="2" bestFit="1" customWidth="1"/>
    <col min="1226" max="1226" width="11" style="2" bestFit="1" customWidth="1"/>
    <col min="1227" max="1227" width="10" style="2" bestFit="1" customWidth="1"/>
    <col min="1228" max="1230" width="12" style="2" bestFit="1" customWidth="1"/>
    <col min="1231" max="1232" width="10" style="2" bestFit="1" customWidth="1"/>
    <col min="1233" max="1233" width="11" style="2" bestFit="1" customWidth="1"/>
    <col min="1234" max="1234" width="12" style="2" bestFit="1" customWidth="1"/>
    <col min="1235" max="1235" width="11" style="2" bestFit="1" customWidth="1"/>
    <col min="1236" max="1237" width="12" style="2" bestFit="1" customWidth="1"/>
    <col min="1238" max="1238" width="11" style="2" bestFit="1" customWidth="1"/>
    <col min="1239" max="1248" width="12" style="2" bestFit="1" customWidth="1"/>
    <col min="1249" max="1249" width="11" style="2" bestFit="1" customWidth="1"/>
    <col min="1250" max="1277" width="12" style="2" bestFit="1" customWidth="1"/>
    <col min="1278" max="1278" width="10" style="2" bestFit="1" customWidth="1"/>
    <col min="1279" max="1283" width="12" style="2" bestFit="1" customWidth="1"/>
    <col min="1284" max="1284" width="11" style="2" bestFit="1" customWidth="1"/>
    <col min="1285" max="1293" width="12" style="2" bestFit="1" customWidth="1"/>
    <col min="1294" max="1295" width="11" style="2" bestFit="1" customWidth="1"/>
    <col min="1296" max="1296" width="10" style="2" bestFit="1" customWidth="1"/>
    <col min="1297" max="1303" width="12" style="2" bestFit="1" customWidth="1"/>
    <col min="1304" max="1304" width="10" style="2" bestFit="1" customWidth="1"/>
    <col min="1305" max="1312" width="12" style="2" bestFit="1" customWidth="1"/>
    <col min="1313" max="1313" width="11" style="2" bestFit="1" customWidth="1"/>
    <col min="1314" max="1315" width="12" style="2" bestFit="1" customWidth="1"/>
    <col min="1316" max="1316" width="11" style="2" bestFit="1" customWidth="1"/>
    <col min="1317" max="1317" width="12" style="2" bestFit="1" customWidth="1"/>
    <col min="1318" max="1318" width="11" style="2" bestFit="1" customWidth="1"/>
    <col min="1319" max="1333" width="12" style="2" bestFit="1" customWidth="1"/>
    <col min="1334" max="1334" width="11" style="2" bestFit="1" customWidth="1"/>
    <col min="1335" max="1335" width="12" style="2" bestFit="1" customWidth="1"/>
    <col min="1336" max="1336" width="11" style="2" bestFit="1" customWidth="1"/>
    <col min="1337" max="1338" width="12" style="2" bestFit="1" customWidth="1"/>
    <col min="1339" max="1339" width="11" style="2" bestFit="1" customWidth="1"/>
    <col min="1340" max="1341" width="12" style="2" bestFit="1" customWidth="1"/>
    <col min="1342" max="1342" width="11" style="2" bestFit="1" customWidth="1"/>
    <col min="1343" max="1343" width="12" style="2" bestFit="1" customWidth="1"/>
    <col min="1344" max="1345" width="11" style="2" bestFit="1" customWidth="1"/>
    <col min="1346" max="1351" width="12" style="2" bestFit="1" customWidth="1"/>
    <col min="1352" max="1352" width="11" style="2" bestFit="1" customWidth="1"/>
    <col min="1353" max="1357" width="12" style="2" bestFit="1" customWidth="1"/>
    <col min="1358" max="1358" width="11" style="2" bestFit="1" customWidth="1"/>
    <col min="1359" max="1360" width="12" style="2" bestFit="1" customWidth="1"/>
    <col min="1361" max="1361" width="11" style="2" bestFit="1" customWidth="1"/>
    <col min="1362" max="1391" width="12" style="2" bestFit="1" customWidth="1"/>
    <col min="1392" max="1393" width="11" style="2" bestFit="1" customWidth="1"/>
    <col min="1394" max="1406" width="12" style="2" bestFit="1" customWidth="1"/>
    <col min="1407" max="1407" width="11" style="2" bestFit="1" customWidth="1"/>
    <col min="1408" max="1419" width="12" style="2" bestFit="1" customWidth="1"/>
    <col min="1420" max="1420" width="11" style="2" bestFit="1" customWidth="1"/>
    <col min="1421" max="1424" width="12" style="2" bestFit="1" customWidth="1"/>
    <col min="1425" max="1425" width="11" style="2" bestFit="1" customWidth="1"/>
    <col min="1426" max="1429" width="12" style="2" bestFit="1" customWidth="1"/>
    <col min="1430" max="1430" width="11" style="2" bestFit="1" customWidth="1"/>
    <col min="1431" max="1433" width="12" style="2" bestFit="1" customWidth="1"/>
    <col min="1434" max="1434" width="11" style="2" bestFit="1" customWidth="1"/>
    <col min="1435" max="1436" width="12" style="2" bestFit="1" customWidth="1"/>
    <col min="1437" max="1437" width="11" style="2" bestFit="1" customWidth="1"/>
    <col min="1438" max="1442" width="12" style="2" bestFit="1" customWidth="1"/>
    <col min="1443" max="1443" width="10" style="2" bestFit="1" customWidth="1"/>
    <col min="1444" max="1444" width="11" style="2" bestFit="1" customWidth="1"/>
    <col min="1445" max="1453" width="12" style="2" bestFit="1" customWidth="1"/>
    <col min="1454" max="1454" width="11" style="2" bestFit="1" customWidth="1"/>
    <col min="1455" max="1466" width="12" style="2" bestFit="1" customWidth="1"/>
    <col min="1467" max="1467" width="11" style="2" bestFit="1" customWidth="1"/>
    <col min="1468" max="1470" width="12" style="2" bestFit="1" customWidth="1"/>
    <col min="1471" max="1471" width="10" style="2" bestFit="1" customWidth="1"/>
    <col min="1472" max="1479" width="12" style="2" bestFit="1" customWidth="1"/>
    <col min="1480" max="1480" width="11" style="2" bestFit="1" customWidth="1"/>
    <col min="1481" max="1486" width="12" style="2" bestFit="1" customWidth="1"/>
    <col min="1487" max="1487" width="10" style="2" bestFit="1" customWidth="1"/>
    <col min="1488" max="1496" width="12" style="2" bestFit="1" customWidth="1"/>
    <col min="1497" max="1497" width="11" style="2" bestFit="1" customWidth="1"/>
    <col min="1498" max="1503" width="12" style="2" bestFit="1" customWidth="1"/>
    <col min="1504" max="1504" width="11" style="2" bestFit="1" customWidth="1"/>
    <col min="1505" max="1509" width="12" style="2" bestFit="1" customWidth="1"/>
    <col min="1510" max="1510" width="10" style="2" bestFit="1" customWidth="1"/>
    <col min="1511" max="1512" width="12" style="2" bestFit="1" customWidth="1"/>
    <col min="1513" max="1513" width="11" style="2" bestFit="1" customWidth="1"/>
    <col min="1514" max="1517" width="12" style="2" bestFit="1" customWidth="1"/>
    <col min="1518" max="1518" width="11" style="2" bestFit="1" customWidth="1"/>
    <col min="1519" max="1535" width="12" style="2" bestFit="1" customWidth="1"/>
    <col min="1536" max="1536" width="11" style="2" bestFit="1" customWidth="1"/>
    <col min="1537" max="1560" width="12" style="2" bestFit="1" customWidth="1"/>
    <col min="1561" max="1561" width="11" style="2" bestFit="1" customWidth="1"/>
    <col min="1562" max="1570" width="12" style="2" bestFit="1" customWidth="1"/>
    <col min="1571" max="1571" width="11" style="2" bestFit="1" customWidth="1"/>
    <col min="1572" max="1574" width="12" style="2" bestFit="1" customWidth="1"/>
    <col min="1575" max="1575" width="11" style="2" bestFit="1" customWidth="1"/>
    <col min="1576" max="1576" width="12" style="2" bestFit="1" customWidth="1"/>
    <col min="1577" max="1577" width="11" style="2" bestFit="1" customWidth="1"/>
    <col min="1578" max="1583" width="12" style="2" bestFit="1" customWidth="1"/>
    <col min="1584" max="1584" width="11" style="2" bestFit="1" customWidth="1"/>
    <col min="1585" max="1596" width="12" style="2" bestFit="1" customWidth="1"/>
    <col min="1597" max="1597" width="11" style="2" bestFit="1" customWidth="1"/>
    <col min="1598" max="1598" width="12" style="2" bestFit="1" customWidth="1"/>
    <col min="1599" max="1599" width="10" style="2" bestFit="1" customWidth="1"/>
    <col min="1600" max="1612" width="12" style="2" bestFit="1" customWidth="1"/>
    <col min="1613" max="1613" width="11" style="2" bestFit="1" customWidth="1"/>
    <col min="1614" max="1615" width="12" style="2" bestFit="1" customWidth="1"/>
    <col min="1616" max="1616" width="11" style="2" bestFit="1" customWidth="1"/>
    <col min="1617" max="1617" width="10" style="2" bestFit="1" customWidth="1"/>
    <col min="1618" max="1630" width="12" style="2" bestFit="1" customWidth="1"/>
    <col min="1631" max="1631" width="11" style="2" bestFit="1" customWidth="1"/>
    <col min="1632" max="1634" width="12" style="2" bestFit="1" customWidth="1"/>
    <col min="1635" max="1635" width="11" style="2" bestFit="1" customWidth="1"/>
    <col min="1636" max="1639" width="12" style="2" bestFit="1" customWidth="1"/>
    <col min="1640" max="1640" width="11" style="2" bestFit="1" customWidth="1"/>
    <col min="1641" max="1644" width="12" style="2" bestFit="1" customWidth="1"/>
    <col min="1645" max="1645" width="11" style="2" bestFit="1" customWidth="1"/>
    <col min="1646" max="1651" width="12" style="2" bestFit="1" customWidth="1"/>
    <col min="1652" max="1652" width="11" style="2" bestFit="1" customWidth="1"/>
    <col min="1653" max="1656" width="12" style="2" bestFit="1" customWidth="1"/>
    <col min="1657" max="1657" width="11" style="2" bestFit="1" customWidth="1"/>
    <col min="1658" max="1658" width="12" style="2" bestFit="1" customWidth="1"/>
    <col min="1659" max="1659" width="11" style="2" bestFit="1" customWidth="1"/>
    <col min="1660" max="1662" width="12" style="2" bestFit="1" customWidth="1"/>
    <col min="1663" max="1663" width="11" style="2" bestFit="1" customWidth="1"/>
    <col min="1664" max="1669" width="12" style="2" bestFit="1" customWidth="1"/>
    <col min="1670" max="1670" width="10" style="2" bestFit="1" customWidth="1"/>
    <col min="1671" max="1680" width="12" style="2" bestFit="1" customWidth="1"/>
    <col min="1681" max="1681" width="11" style="2" bestFit="1" customWidth="1"/>
    <col min="1682" max="1685" width="12" style="2" bestFit="1" customWidth="1"/>
    <col min="1686" max="1686" width="11" style="2" bestFit="1" customWidth="1"/>
    <col min="1687" max="1695" width="12" style="2" bestFit="1" customWidth="1"/>
    <col min="1696" max="1696" width="11" style="2" bestFit="1" customWidth="1"/>
    <col min="1697" max="1704" width="12" style="2" bestFit="1" customWidth="1"/>
    <col min="1705" max="1705" width="11" style="2" bestFit="1" customWidth="1"/>
    <col min="1706" max="1730" width="12" style="2" bestFit="1" customWidth="1"/>
    <col min="1731" max="1731" width="11" style="2" bestFit="1" customWidth="1"/>
    <col min="1732" max="1734" width="12" style="2" bestFit="1" customWidth="1"/>
    <col min="1735" max="1735" width="10.140625" style="2" bestFit="1" customWidth="1"/>
    <col min="1736" max="1758" width="12" style="2" bestFit="1" customWidth="1"/>
    <col min="1759" max="1760" width="11" style="2" bestFit="1" customWidth="1"/>
    <col min="1761" max="1775" width="12" style="2" bestFit="1" customWidth="1"/>
    <col min="1776" max="1777" width="11" style="2" bestFit="1" customWidth="1"/>
    <col min="1778" max="1779" width="12" style="2" bestFit="1" customWidth="1"/>
    <col min="1780" max="1780" width="11" style="2" bestFit="1" customWidth="1"/>
    <col min="1781" max="1804" width="12" style="2" bestFit="1" customWidth="1"/>
    <col min="1805" max="1806" width="11" style="2" bestFit="1" customWidth="1"/>
    <col min="1807" max="1812" width="12" style="2" bestFit="1" customWidth="1"/>
    <col min="1813" max="1813" width="10.140625" style="2" bestFit="1" customWidth="1"/>
    <col min="1814" max="1826" width="12" style="2" bestFit="1" customWidth="1"/>
    <col min="1827" max="1827" width="11" style="2" bestFit="1" customWidth="1"/>
    <col min="1828" max="1837" width="12" style="2" bestFit="1" customWidth="1"/>
    <col min="1838" max="1838" width="11" style="2" bestFit="1" customWidth="1"/>
    <col min="1839" max="1848" width="12" style="2" bestFit="1" customWidth="1"/>
    <col min="1849" max="1849" width="11" style="2" bestFit="1" customWidth="1"/>
    <col min="1850" max="1850" width="12" style="2" bestFit="1" customWidth="1"/>
    <col min="1851" max="1851" width="10.140625" style="2" bestFit="1" customWidth="1"/>
    <col min="1852" max="1892" width="12" style="2" bestFit="1" customWidth="1"/>
    <col min="1893" max="1893" width="11" style="2" bestFit="1" customWidth="1"/>
    <col min="1894" max="1903" width="12" style="2" bestFit="1" customWidth="1"/>
    <col min="1904" max="1904" width="11" style="2" bestFit="1" customWidth="1"/>
    <col min="1905" max="1912" width="12" style="2" bestFit="1" customWidth="1"/>
    <col min="1913" max="1913" width="11" style="2" bestFit="1" customWidth="1"/>
    <col min="1914" max="1929" width="12" style="2" bestFit="1" customWidth="1"/>
    <col min="1930" max="1930" width="11.7109375" style="2" bestFit="1" customWidth="1"/>
    <col min="1931" max="1931" width="12" style="2" bestFit="1" customWidth="1"/>
    <col min="1932" max="1932" width="11.7109375" style="2" bestFit="1" customWidth="1"/>
    <col min="1933" max="1938" width="12" style="2" bestFit="1" customWidth="1"/>
    <col min="1939" max="1939" width="11.7109375" style="2" bestFit="1" customWidth="1"/>
    <col min="1940" max="1941" width="12" style="2" bestFit="1" customWidth="1"/>
    <col min="1942" max="1942" width="11.7109375" style="2" bestFit="1" customWidth="1"/>
    <col min="1943" max="1948" width="12" style="2" bestFit="1" customWidth="1"/>
    <col min="1949" max="1949" width="11.7109375" style="2" bestFit="1" customWidth="1"/>
    <col min="1950" max="1952" width="12" style="2" bestFit="1" customWidth="1"/>
    <col min="1953" max="1953" width="11.7109375" style="2" bestFit="1" customWidth="1"/>
    <col min="1954" max="1954" width="12" style="2" bestFit="1" customWidth="1"/>
    <col min="1955" max="1955" width="11.7109375" style="2" bestFit="1" customWidth="1"/>
    <col min="1956" max="1965" width="12" style="2" bestFit="1" customWidth="1"/>
    <col min="1966" max="1966" width="12.28515625" style="2" bestFit="1" customWidth="1"/>
    <col min="1967" max="1967" width="12" style="2" bestFit="1" customWidth="1"/>
    <col min="1968" max="16384" width="9.140625" style="2"/>
  </cols>
  <sheetData>
    <row r="1" spans="2:20" x14ac:dyDescent="0.25">
      <c r="C1" s="8" t="s">
        <v>273</v>
      </c>
      <c r="M1" s="8" t="s">
        <v>273</v>
      </c>
    </row>
    <row r="2" spans="2:20" x14ac:dyDescent="0.25">
      <c r="C2" s="2" t="s">
        <v>279</v>
      </c>
      <c r="F2" s="2" t="s">
        <v>274</v>
      </c>
      <c r="I2" s="2" t="s">
        <v>280</v>
      </c>
      <c r="J2" s="2" t="s">
        <v>281</v>
      </c>
      <c r="M2" s="2" t="s">
        <v>279</v>
      </c>
      <c r="P2" s="2" t="s">
        <v>274</v>
      </c>
      <c r="S2" s="2" t="s">
        <v>280</v>
      </c>
      <c r="T2" s="2" t="s">
        <v>281</v>
      </c>
    </row>
    <row r="3" spans="2:20" x14ac:dyDescent="0.25">
      <c r="B3" s="8" t="s">
        <v>271</v>
      </c>
      <c r="C3" s="2" t="s">
        <v>219</v>
      </c>
      <c r="D3" s="2" t="s">
        <v>215</v>
      </c>
      <c r="E3" s="2" t="s">
        <v>216</v>
      </c>
      <c r="F3" s="2" t="s">
        <v>219</v>
      </c>
      <c r="G3" s="2" t="s">
        <v>215</v>
      </c>
      <c r="H3" s="2" t="s">
        <v>216</v>
      </c>
      <c r="L3" s="8" t="s">
        <v>271</v>
      </c>
      <c r="M3" s="2" t="s">
        <v>219</v>
      </c>
      <c r="N3" s="2" t="s">
        <v>215</v>
      </c>
      <c r="O3" s="2" t="s">
        <v>216</v>
      </c>
      <c r="P3" s="2" t="s">
        <v>219</v>
      </c>
      <c r="Q3" s="2" t="s">
        <v>215</v>
      </c>
      <c r="R3" s="2" t="s">
        <v>216</v>
      </c>
    </row>
    <row r="4" spans="2:20" x14ac:dyDescent="0.25">
      <c r="B4" s="9">
        <v>2005</v>
      </c>
      <c r="C4" s="6">
        <v>9606879.6719999984</v>
      </c>
      <c r="D4" s="6">
        <v>6902039.0300000003</v>
      </c>
      <c r="E4" s="6">
        <v>5412132</v>
      </c>
      <c r="F4" s="6">
        <v>2551297.2626505713</v>
      </c>
      <c r="G4" s="6">
        <v>6575681.2955433326</v>
      </c>
      <c r="H4" s="6">
        <v>2731255.7714585862</v>
      </c>
      <c r="I4" s="6">
        <v>21921050.702</v>
      </c>
      <c r="J4" s="6">
        <v>11858234.329652492</v>
      </c>
      <c r="L4" s="9">
        <v>2016</v>
      </c>
      <c r="M4" s="20">
        <v>6877395.8609999996</v>
      </c>
      <c r="N4" s="20">
        <v>11577607.664000001</v>
      </c>
      <c r="O4" s="20">
        <v>4166128.7529999991</v>
      </c>
      <c r="P4" s="20">
        <v>2510339.5817228169</v>
      </c>
      <c r="Q4" s="20">
        <v>7141988.3707263377</v>
      </c>
      <c r="R4" s="20">
        <v>1537613.5712462435</v>
      </c>
      <c r="S4" s="20">
        <v>22621132.277999997</v>
      </c>
      <c r="T4" s="20">
        <v>11189941.523695398</v>
      </c>
    </row>
    <row r="5" spans="2:20" x14ac:dyDescent="0.25">
      <c r="B5" s="9" t="s">
        <v>225</v>
      </c>
      <c r="C5" s="6">
        <v>2498.48</v>
      </c>
      <c r="D5" s="6"/>
      <c r="E5" s="6"/>
      <c r="F5" s="6">
        <v>1231.4827957641385</v>
      </c>
      <c r="G5" s="6"/>
      <c r="H5" s="6"/>
      <c r="I5" s="6">
        <v>2498.48</v>
      </c>
      <c r="J5" s="6">
        <v>1231.4827957641385</v>
      </c>
      <c r="L5" s="9" t="s">
        <v>122</v>
      </c>
      <c r="M5" s="20">
        <v>1568805</v>
      </c>
      <c r="N5" s="20">
        <v>4529179</v>
      </c>
      <c r="O5" s="20"/>
      <c r="P5" s="20">
        <v>1891255.235921798</v>
      </c>
      <c r="Q5" s="20">
        <v>5079502</v>
      </c>
      <c r="R5" s="20"/>
      <c r="S5" s="20">
        <v>6097984</v>
      </c>
      <c r="T5" s="20">
        <v>6970757.2359217983</v>
      </c>
    </row>
    <row r="6" spans="2:20" x14ac:dyDescent="0.25">
      <c r="B6" s="9" t="s">
        <v>122</v>
      </c>
      <c r="C6" s="6">
        <v>801043</v>
      </c>
      <c r="D6" s="6">
        <v>5175799</v>
      </c>
      <c r="E6" s="6"/>
      <c r="F6" s="6">
        <v>883019.27632686915</v>
      </c>
      <c r="G6" s="6">
        <v>6219220.6749999998</v>
      </c>
      <c r="H6" s="6"/>
      <c r="I6" s="6">
        <v>5976842</v>
      </c>
      <c r="J6" s="6">
        <v>7102239.9513268694</v>
      </c>
      <c r="L6" s="9" t="s">
        <v>123</v>
      </c>
      <c r="M6" s="20">
        <v>200</v>
      </c>
      <c r="N6" s="20">
        <v>4152008.3859999999</v>
      </c>
      <c r="O6" s="20"/>
      <c r="P6" s="20">
        <v>80.707833518672004</v>
      </c>
      <c r="Q6" s="20">
        <v>2062316.2599128878</v>
      </c>
      <c r="R6" s="20"/>
      <c r="S6" s="20">
        <v>4152208.3859999999</v>
      </c>
      <c r="T6" s="20">
        <v>2062396.9677464066</v>
      </c>
    </row>
    <row r="7" spans="2:20" x14ac:dyDescent="0.25">
      <c r="B7" s="9" t="s">
        <v>124</v>
      </c>
      <c r="C7" s="6"/>
      <c r="D7" s="6">
        <v>59.29</v>
      </c>
      <c r="E7" s="6"/>
      <c r="F7" s="6"/>
      <c r="G7" s="6">
        <v>59.906220000000005</v>
      </c>
      <c r="H7" s="6"/>
      <c r="I7" s="6">
        <v>59.29</v>
      </c>
      <c r="J7" s="6">
        <v>59.906220000000005</v>
      </c>
      <c r="L7" s="9" t="s">
        <v>230</v>
      </c>
      <c r="M7" s="20">
        <v>0</v>
      </c>
      <c r="N7" s="20"/>
      <c r="O7" s="20"/>
      <c r="P7" s="20">
        <v>0</v>
      </c>
      <c r="Q7" s="20"/>
      <c r="R7" s="20"/>
      <c r="S7" s="20">
        <v>0</v>
      </c>
      <c r="T7" s="20">
        <v>0</v>
      </c>
    </row>
    <row r="8" spans="2:20" x14ac:dyDescent="0.25">
      <c r="B8" s="9" t="s">
        <v>123</v>
      </c>
      <c r="C8" s="6">
        <v>2572432.5499999998</v>
      </c>
      <c r="D8" s="6">
        <v>813018.02</v>
      </c>
      <c r="E8" s="6"/>
      <c r="F8" s="6">
        <v>1079936.0822371738</v>
      </c>
      <c r="G8" s="6">
        <v>356400.71432333259</v>
      </c>
      <c r="H8" s="6"/>
      <c r="I8" s="6">
        <v>3385450.57</v>
      </c>
      <c r="J8" s="6">
        <v>1436336.7965605063</v>
      </c>
      <c r="L8" s="9" t="s">
        <v>293</v>
      </c>
      <c r="M8" s="20"/>
      <c r="N8" s="20">
        <v>196.41</v>
      </c>
      <c r="O8" s="20"/>
      <c r="P8" s="20"/>
      <c r="Q8" s="20">
        <v>170.11081345023362</v>
      </c>
      <c r="R8" s="20"/>
      <c r="S8" s="20">
        <v>196.41</v>
      </c>
      <c r="T8" s="20">
        <v>170.11081345023362</v>
      </c>
    </row>
    <row r="9" spans="2:20" x14ac:dyDescent="0.25">
      <c r="B9" s="9" t="s">
        <v>227</v>
      </c>
      <c r="C9" s="6">
        <v>147314</v>
      </c>
      <c r="D9" s="6"/>
      <c r="E9" s="6"/>
      <c r="F9" s="6">
        <v>325192.46961035137</v>
      </c>
      <c r="G9" s="6"/>
      <c r="H9" s="6"/>
      <c r="I9" s="6">
        <v>147314</v>
      </c>
      <c r="J9" s="6">
        <v>325192.46961035137</v>
      </c>
      <c r="L9" s="9" t="s">
        <v>125</v>
      </c>
      <c r="M9" s="20">
        <v>3925142.5079999999</v>
      </c>
      <c r="N9" s="20">
        <v>2896223.8680000002</v>
      </c>
      <c r="O9" s="20"/>
      <c r="P9" s="20">
        <v>0</v>
      </c>
      <c r="Q9" s="20">
        <v>0</v>
      </c>
      <c r="R9" s="20"/>
      <c r="S9" s="20">
        <v>6821366.3760000002</v>
      </c>
      <c r="T9" s="20">
        <v>0</v>
      </c>
    </row>
    <row r="10" spans="2:20" x14ac:dyDescent="0.25">
      <c r="B10" s="9" t="s">
        <v>125</v>
      </c>
      <c r="C10" s="6">
        <v>5564586.9619999994</v>
      </c>
      <c r="D10" s="6">
        <v>913162.72</v>
      </c>
      <c r="E10" s="6"/>
      <c r="F10" s="6">
        <v>0</v>
      </c>
      <c r="G10" s="6">
        <v>0</v>
      </c>
      <c r="H10" s="6"/>
      <c r="I10" s="6">
        <v>6477749.6819999991</v>
      </c>
      <c r="J10" s="6">
        <v>0</v>
      </c>
      <c r="L10" s="9" t="s">
        <v>217</v>
      </c>
      <c r="M10" s="20">
        <v>1383248.3529999999</v>
      </c>
      <c r="N10" s="20"/>
      <c r="O10" s="20">
        <v>4166128.7529999991</v>
      </c>
      <c r="P10" s="20">
        <v>619003.63796750002</v>
      </c>
      <c r="Q10" s="20"/>
      <c r="R10" s="20">
        <v>1537613.5712462435</v>
      </c>
      <c r="S10" s="20">
        <v>5549377.1059999987</v>
      </c>
      <c r="T10" s="20">
        <v>2156617.2092137435</v>
      </c>
    </row>
    <row r="11" spans="2:20" x14ac:dyDescent="0.25">
      <c r="B11" s="9" t="s">
        <v>217</v>
      </c>
      <c r="C11" s="6">
        <v>519004.68</v>
      </c>
      <c r="D11" s="6"/>
      <c r="E11" s="6">
        <v>5412132</v>
      </c>
      <c r="F11" s="6">
        <v>261917.95168041281</v>
      </c>
      <c r="G11" s="6"/>
      <c r="H11" s="6">
        <v>2731255.7714585862</v>
      </c>
      <c r="I11" s="6">
        <v>5931136.6799999997</v>
      </c>
      <c r="J11" s="6">
        <v>2993173.7231389992</v>
      </c>
      <c r="L11" s="9" t="s">
        <v>272</v>
      </c>
      <c r="M11" s="20">
        <v>6877395.8609999996</v>
      </c>
      <c r="N11" s="20">
        <v>11577607.664000001</v>
      </c>
      <c r="O11" s="20">
        <v>4166128.7529999991</v>
      </c>
      <c r="P11" s="20">
        <v>2510339.5817228169</v>
      </c>
      <c r="Q11" s="20">
        <v>7141988.3707263377</v>
      </c>
      <c r="R11" s="20">
        <v>1537613.5712462435</v>
      </c>
      <c r="S11" s="20">
        <v>22621132.277999997</v>
      </c>
      <c r="T11" s="20">
        <v>11189941.523695398</v>
      </c>
    </row>
    <row r="12" spans="2:20" x14ac:dyDescent="0.25">
      <c r="B12" s="9">
        <v>2006</v>
      </c>
      <c r="C12" s="6">
        <v>9625380.9640000015</v>
      </c>
      <c r="D12" s="6">
        <v>6845322.9799999995</v>
      </c>
      <c r="E12" s="6">
        <v>6117349.1699999999</v>
      </c>
      <c r="F12" s="6">
        <v>2446847.9900212507</v>
      </c>
      <c r="G12" s="6">
        <v>6256354.5743399505</v>
      </c>
      <c r="H12" s="6">
        <v>3101015.7505617333</v>
      </c>
      <c r="I12" s="6">
        <v>22588053.114</v>
      </c>
      <c r="J12" s="6">
        <v>11804218.314922934</v>
      </c>
    </row>
    <row r="13" spans="2:20" x14ac:dyDescent="0.25">
      <c r="B13" s="9" t="s">
        <v>225</v>
      </c>
      <c r="C13" s="6">
        <v>1847.0640000000001</v>
      </c>
      <c r="D13" s="6"/>
      <c r="E13" s="6"/>
      <c r="F13" s="6">
        <v>975.57609693433164</v>
      </c>
      <c r="G13" s="6"/>
      <c r="H13" s="6"/>
      <c r="I13" s="6">
        <v>1847.0640000000001</v>
      </c>
      <c r="J13" s="6">
        <v>975.57609693433164</v>
      </c>
      <c r="L13"/>
      <c r="M13" s="112" t="s">
        <v>273</v>
      </c>
      <c r="N13"/>
      <c r="O13"/>
      <c r="P13"/>
      <c r="Q13"/>
      <c r="R13"/>
      <c r="S13"/>
      <c r="T13"/>
    </row>
    <row r="14" spans="2:20" x14ac:dyDescent="0.25">
      <c r="B14" s="9" t="s">
        <v>122</v>
      </c>
      <c r="C14" s="6">
        <v>723917</v>
      </c>
      <c r="D14" s="6">
        <v>4800028</v>
      </c>
      <c r="E14" s="6"/>
      <c r="F14" s="6">
        <v>892481.8924064904</v>
      </c>
      <c r="G14" s="6">
        <v>5917719.9500000002</v>
      </c>
      <c r="H14" s="6"/>
      <c r="I14" s="6">
        <v>5523945</v>
      </c>
      <c r="J14" s="6">
        <v>6810201.8424064908</v>
      </c>
      <c r="L14"/>
      <c r="M14" t="s">
        <v>279</v>
      </c>
      <c r="N14"/>
      <c r="O14"/>
      <c r="P14" t="s">
        <v>274</v>
      </c>
      <c r="Q14"/>
      <c r="R14"/>
      <c r="S14" t="s">
        <v>280</v>
      </c>
      <c r="T14" t="s">
        <v>281</v>
      </c>
    </row>
    <row r="15" spans="2:20" x14ac:dyDescent="0.25">
      <c r="B15" s="9" t="s">
        <v>124</v>
      </c>
      <c r="C15" s="6"/>
      <c r="D15" s="6">
        <v>1060.42</v>
      </c>
      <c r="E15" s="6"/>
      <c r="F15" s="6"/>
      <c r="G15" s="6">
        <v>911.52864</v>
      </c>
      <c r="H15" s="6"/>
      <c r="I15" s="6">
        <v>1060.42</v>
      </c>
      <c r="J15" s="6">
        <v>911.52864</v>
      </c>
      <c r="L15" s="112" t="s">
        <v>271</v>
      </c>
      <c r="M15" t="s">
        <v>219</v>
      </c>
      <c r="N15" t="s">
        <v>215</v>
      </c>
      <c r="O15" t="s">
        <v>216</v>
      </c>
      <c r="P15" t="s">
        <v>219</v>
      </c>
      <c r="Q15" t="s">
        <v>215</v>
      </c>
      <c r="R15" t="s">
        <v>216</v>
      </c>
      <c r="S15"/>
      <c r="T15"/>
    </row>
    <row r="16" spans="2:20" x14ac:dyDescent="0.25">
      <c r="B16" s="9" t="s">
        <v>123</v>
      </c>
      <c r="C16" s="6">
        <v>2407681.58</v>
      </c>
      <c r="D16" s="6">
        <v>722129.85000000009</v>
      </c>
      <c r="E16" s="6"/>
      <c r="F16" s="6">
        <v>989931.32207078417</v>
      </c>
      <c r="G16" s="6">
        <v>337723.09569995</v>
      </c>
      <c r="H16" s="6"/>
      <c r="I16" s="6">
        <v>3129811.43</v>
      </c>
      <c r="J16" s="6">
        <v>1327654.4177707341</v>
      </c>
      <c r="L16" s="113">
        <v>2017</v>
      </c>
      <c r="M16" s="114">
        <v>7436664.8689999999</v>
      </c>
      <c r="N16" s="114">
        <v>10927610.038999999</v>
      </c>
      <c r="O16" s="114">
        <v>2534322.9180000001</v>
      </c>
      <c r="P16" s="114">
        <v>3215517.8491177419</v>
      </c>
      <c r="Q16" s="114">
        <v>6813858.4258896364</v>
      </c>
      <c r="R16" s="114">
        <v>1188668.7804200475</v>
      </c>
      <c r="S16" s="114">
        <v>20898597.826000001</v>
      </c>
      <c r="T16" s="114">
        <v>11218045.055427425</v>
      </c>
    </row>
    <row r="17" spans="2:20" x14ac:dyDescent="0.25">
      <c r="B17" s="9" t="s">
        <v>227</v>
      </c>
      <c r="C17" s="6">
        <v>141325</v>
      </c>
      <c r="D17" s="6"/>
      <c r="E17" s="6"/>
      <c r="F17" s="6">
        <v>323187.78152580658</v>
      </c>
      <c r="G17" s="6"/>
      <c r="H17" s="6"/>
      <c r="I17" s="6">
        <v>141325</v>
      </c>
      <c r="J17" s="6">
        <v>323187.78152580658</v>
      </c>
      <c r="L17" s="115" t="s">
        <v>122</v>
      </c>
      <c r="M17" s="114">
        <v>2070958</v>
      </c>
      <c r="N17" s="114">
        <v>4463705</v>
      </c>
      <c r="O17" s="114"/>
      <c r="P17" s="114">
        <v>2449181.3466417422</v>
      </c>
      <c r="Q17" s="114">
        <v>4907711.8175352756</v>
      </c>
      <c r="R17" s="114"/>
      <c r="S17" s="114">
        <v>6534663</v>
      </c>
      <c r="T17" s="114">
        <v>7356893.1641770173</v>
      </c>
    </row>
    <row r="18" spans="2:20" x14ac:dyDescent="0.25">
      <c r="B18" s="9" t="s">
        <v>125</v>
      </c>
      <c r="C18" s="6">
        <v>5876628.8000000007</v>
      </c>
      <c r="D18" s="6">
        <v>1322104.7100000002</v>
      </c>
      <c r="E18" s="6"/>
      <c r="F18" s="6">
        <v>0</v>
      </c>
      <c r="G18" s="6">
        <v>0</v>
      </c>
      <c r="H18" s="6"/>
      <c r="I18" s="6">
        <v>7198733.5100000007</v>
      </c>
      <c r="J18" s="6">
        <v>0</v>
      </c>
      <c r="L18" s="115" t="s">
        <v>124</v>
      </c>
      <c r="M18" s="114"/>
      <c r="N18" s="114">
        <v>395.71</v>
      </c>
      <c r="O18" s="114"/>
      <c r="P18" s="114"/>
      <c r="Q18" s="114">
        <v>367.80096306048716</v>
      </c>
      <c r="R18" s="114"/>
      <c r="S18" s="114">
        <v>395.71</v>
      </c>
      <c r="T18" s="114">
        <v>367.80096306048716</v>
      </c>
    </row>
    <row r="19" spans="2:20" x14ac:dyDescent="0.25">
      <c r="B19" s="9" t="s">
        <v>217</v>
      </c>
      <c r="C19" s="6">
        <v>473981.52</v>
      </c>
      <c r="D19" s="6"/>
      <c r="E19" s="6">
        <v>6117349.1699999999</v>
      </c>
      <c r="F19" s="6">
        <v>240271.41792123514</v>
      </c>
      <c r="G19" s="6"/>
      <c r="H19" s="6">
        <v>3101015.7505617333</v>
      </c>
      <c r="I19" s="6">
        <v>6591330.6899999995</v>
      </c>
      <c r="J19" s="6">
        <v>3341287.1684829686</v>
      </c>
      <c r="L19" s="115" t="s">
        <v>123</v>
      </c>
      <c r="M19" s="114"/>
      <c r="N19" s="114">
        <v>3923897.7079999992</v>
      </c>
      <c r="O19" s="114"/>
      <c r="P19" s="114"/>
      <c r="Q19" s="114">
        <v>1905778.8073912996</v>
      </c>
      <c r="R19" s="114"/>
      <c r="S19" s="114">
        <v>3923897.7079999992</v>
      </c>
      <c r="T19" s="114">
        <v>1905778.8073912996</v>
      </c>
    </row>
    <row r="20" spans="2:20" x14ac:dyDescent="0.25">
      <c r="B20" s="9">
        <v>2007</v>
      </c>
      <c r="C20" s="6">
        <v>9353823.7499999981</v>
      </c>
      <c r="D20" s="6">
        <v>8623094.3959999997</v>
      </c>
      <c r="E20" s="6">
        <v>5220403</v>
      </c>
      <c r="F20" s="6">
        <v>2293500.6884536538</v>
      </c>
      <c r="G20" s="6">
        <v>6802511.1224073516</v>
      </c>
      <c r="H20" s="6">
        <v>3136942.2095350744</v>
      </c>
      <c r="I20" s="6">
        <v>23197321.146000002</v>
      </c>
      <c r="J20" s="6">
        <v>12232954.02039608</v>
      </c>
      <c r="L20" s="115" t="s">
        <v>125</v>
      </c>
      <c r="M20" s="114">
        <v>3839140.1310000001</v>
      </c>
      <c r="N20" s="114">
        <v>2539611.6209999998</v>
      </c>
      <c r="O20" s="114"/>
      <c r="P20" s="114">
        <v>0</v>
      </c>
      <c r="Q20" s="114">
        <v>0</v>
      </c>
      <c r="R20" s="114"/>
      <c r="S20" s="114">
        <v>6378751.7520000003</v>
      </c>
      <c r="T20" s="114">
        <v>0</v>
      </c>
    </row>
    <row r="21" spans="2:20" x14ac:dyDescent="0.25">
      <c r="B21" s="9" t="s">
        <v>225</v>
      </c>
      <c r="C21" s="6">
        <v>2611.3200000000002</v>
      </c>
      <c r="D21" s="6"/>
      <c r="E21" s="6"/>
      <c r="F21" s="6">
        <v>1398.058879629659</v>
      </c>
      <c r="G21" s="6"/>
      <c r="H21" s="6"/>
      <c r="I21" s="6">
        <v>2611.3200000000002</v>
      </c>
      <c r="J21" s="6">
        <v>1398.058879629659</v>
      </c>
      <c r="L21" s="115" t="s">
        <v>217</v>
      </c>
      <c r="M21" s="114">
        <v>1526566.7379999999</v>
      </c>
      <c r="N21" s="114"/>
      <c r="O21" s="114">
        <v>2534322.9180000001</v>
      </c>
      <c r="P21" s="114">
        <v>766336.50247599999</v>
      </c>
      <c r="Q21" s="114"/>
      <c r="R21" s="114">
        <v>1188668.7804200475</v>
      </c>
      <c r="S21" s="114">
        <v>4060889.656</v>
      </c>
      <c r="T21" s="114">
        <v>1955005.2828960475</v>
      </c>
    </row>
    <row r="22" spans="2:20" x14ac:dyDescent="0.25">
      <c r="B22" s="9" t="s">
        <v>122</v>
      </c>
      <c r="C22" s="6">
        <v>744477</v>
      </c>
      <c r="D22" s="6">
        <v>5142912</v>
      </c>
      <c r="E22" s="6"/>
      <c r="F22" s="6">
        <v>916275.60337272473</v>
      </c>
      <c r="G22" s="6">
        <v>6329711.7249999996</v>
      </c>
      <c r="H22" s="6"/>
      <c r="I22" s="6">
        <v>5887389</v>
      </c>
      <c r="J22" s="6">
        <v>7245987.3283727244</v>
      </c>
      <c r="L22" s="113" t="s">
        <v>272</v>
      </c>
      <c r="M22" s="114">
        <v>7436664.8689999999</v>
      </c>
      <c r="N22" s="114">
        <v>10927610.038999999</v>
      </c>
      <c r="O22" s="114">
        <v>2534322.9180000001</v>
      </c>
      <c r="P22" s="114">
        <v>3215517.8491177419</v>
      </c>
      <c r="Q22" s="114">
        <v>6813858.4258896364</v>
      </c>
      <c r="R22" s="114">
        <v>1188668.7804200475</v>
      </c>
      <c r="S22" s="114">
        <v>20898597.826000001</v>
      </c>
      <c r="T22" s="114">
        <v>11218045.055427425</v>
      </c>
    </row>
    <row r="23" spans="2:20" x14ac:dyDescent="0.25">
      <c r="B23" s="9" t="s">
        <v>124</v>
      </c>
      <c r="C23" s="6"/>
      <c r="D23" s="6">
        <v>313.42</v>
      </c>
      <c r="E23" s="6"/>
      <c r="F23" s="6"/>
      <c r="G23" s="6">
        <v>307.68385032000003</v>
      </c>
      <c r="H23" s="6"/>
      <c r="I23" s="6">
        <v>313.42</v>
      </c>
      <c r="J23" s="6">
        <v>307.68385032000003</v>
      </c>
      <c r="L23"/>
      <c r="M23"/>
      <c r="N23"/>
      <c r="O23"/>
      <c r="P23"/>
      <c r="Q23"/>
      <c r="R23"/>
      <c r="S23"/>
      <c r="T23"/>
    </row>
    <row r="24" spans="2:20" x14ac:dyDescent="0.25">
      <c r="B24" s="9" t="s">
        <v>123</v>
      </c>
      <c r="C24" s="6">
        <v>1983398.75</v>
      </c>
      <c r="D24" s="6">
        <v>1310311.5999999999</v>
      </c>
      <c r="E24" s="6"/>
      <c r="F24" s="6">
        <v>787209.47268651798</v>
      </c>
      <c r="G24" s="6">
        <v>472491.71355703153</v>
      </c>
      <c r="H24" s="6"/>
      <c r="I24" s="6">
        <v>3293710.3499999996</v>
      </c>
      <c r="J24" s="6">
        <v>1259701.1862435495</v>
      </c>
      <c r="L24"/>
      <c r="M24"/>
      <c r="N24" s="119"/>
    </row>
    <row r="25" spans="2:20" x14ac:dyDescent="0.25">
      <c r="B25" s="9" t="s">
        <v>227</v>
      </c>
      <c r="C25" s="6">
        <v>141747</v>
      </c>
      <c r="D25" s="6"/>
      <c r="E25" s="6"/>
      <c r="F25" s="6">
        <v>317244.06214928423</v>
      </c>
      <c r="G25" s="6"/>
      <c r="H25" s="6"/>
      <c r="I25" s="6">
        <v>141747</v>
      </c>
      <c r="J25" s="6">
        <v>317244.06214928423</v>
      </c>
      <c r="L25"/>
      <c r="M25"/>
      <c r="N25"/>
    </row>
    <row r="26" spans="2:20" x14ac:dyDescent="0.25">
      <c r="B26" s="9" t="s">
        <v>125</v>
      </c>
      <c r="C26" s="6">
        <v>6029978.2399999993</v>
      </c>
      <c r="D26" s="6">
        <v>2169557.3760000002</v>
      </c>
      <c r="E26" s="6"/>
      <c r="F26" s="6">
        <v>0</v>
      </c>
      <c r="G26" s="6">
        <v>0</v>
      </c>
      <c r="H26" s="6"/>
      <c r="I26" s="6">
        <v>8199535.6159999995</v>
      </c>
      <c r="J26" s="6">
        <v>0</v>
      </c>
      <c r="L26"/>
      <c r="M26"/>
      <c r="N26"/>
    </row>
    <row r="27" spans="2:20" x14ac:dyDescent="0.25">
      <c r="B27" s="9" t="s">
        <v>217</v>
      </c>
      <c r="C27" s="6">
        <v>451611.44</v>
      </c>
      <c r="D27" s="6"/>
      <c r="E27" s="6">
        <v>5220403</v>
      </c>
      <c r="F27" s="6">
        <v>271373.49136549741</v>
      </c>
      <c r="G27" s="6"/>
      <c r="H27" s="6">
        <v>3136942.2095350744</v>
      </c>
      <c r="I27" s="6">
        <v>5672014.4400000004</v>
      </c>
      <c r="J27" s="6">
        <v>3408315.7009005719</v>
      </c>
      <c r="L27"/>
      <c r="M27"/>
      <c r="N27"/>
    </row>
    <row r="28" spans="2:20" x14ac:dyDescent="0.25">
      <c r="B28" s="9">
        <v>2008</v>
      </c>
      <c r="C28" s="6">
        <v>8711074.8719999995</v>
      </c>
      <c r="D28" s="6">
        <v>9419375.256000001</v>
      </c>
      <c r="E28" s="6">
        <v>5441422.0399999991</v>
      </c>
      <c r="F28" s="6">
        <v>1929074.4436774186</v>
      </c>
      <c r="G28" s="6">
        <v>6862868.9862101311</v>
      </c>
      <c r="H28" s="6">
        <v>2787286.6950858752</v>
      </c>
      <c r="I28" s="6">
        <v>23571872.167999998</v>
      </c>
      <c r="J28" s="6">
        <v>11579230.124973424</v>
      </c>
      <c r="L28"/>
      <c r="M28"/>
      <c r="N28"/>
    </row>
    <row r="29" spans="2:20" x14ac:dyDescent="0.25">
      <c r="B29" s="9" t="s">
        <v>225</v>
      </c>
      <c r="C29" s="6">
        <v>2366.1799999999998</v>
      </c>
      <c r="D29" s="6"/>
      <c r="E29" s="6"/>
      <c r="F29" s="6">
        <v>2986.0614799693917</v>
      </c>
      <c r="G29" s="6"/>
      <c r="H29" s="6"/>
      <c r="I29" s="6">
        <v>2366.1799999999998</v>
      </c>
      <c r="J29" s="6">
        <v>2986.0614799693917</v>
      </c>
      <c r="L29"/>
      <c r="M29"/>
      <c r="N29"/>
    </row>
    <row r="30" spans="2:20" x14ac:dyDescent="0.25">
      <c r="B30" s="9" t="s">
        <v>122</v>
      </c>
      <c r="C30" s="6">
        <v>795395</v>
      </c>
      <c r="D30" s="6">
        <v>5067445</v>
      </c>
      <c r="E30" s="6"/>
      <c r="F30" s="6">
        <v>801889.75558233028</v>
      </c>
      <c r="G30" s="6">
        <v>6130795</v>
      </c>
      <c r="H30" s="6"/>
      <c r="I30" s="6">
        <v>5862840</v>
      </c>
      <c r="J30" s="6">
        <v>6932684.7555823307</v>
      </c>
      <c r="L30"/>
      <c r="M30"/>
      <c r="N30"/>
    </row>
    <row r="31" spans="2:20" x14ac:dyDescent="0.25">
      <c r="B31" s="9" t="s">
        <v>124</v>
      </c>
      <c r="C31" s="6"/>
      <c r="D31" s="6">
        <v>360.91</v>
      </c>
      <c r="E31" s="6"/>
      <c r="F31" s="6"/>
      <c r="G31" s="6">
        <v>304.82562487979681</v>
      </c>
      <c r="H31" s="6"/>
      <c r="I31" s="6">
        <v>360.91</v>
      </c>
      <c r="J31" s="6">
        <v>304.82562487979681</v>
      </c>
    </row>
    <row r="32" spans="2:20" x14ac:dyDescent="0.25">
      <c r="B32" s="9" t="s">
        <v>123</v>
      </c>
      <c r="C32" s="6">
        <v>1514540.69</v>
      </c>
      <c r="D32" s="6">
        <v>2269225.3870000001</v>
      </c>
      <c r="E32" s="6"/>
      <c r="F32" s="6">
        <v>579075.31787353021</v>
      </c>
      <c r="G32" s="6">
        <v>731769.16058525152</v>
      </c>
      <c r="H32" s="6"/>
      <c r="I32" s="6">
        <v>3783766.077</v>
      </c>
      <c r="J32" s="6">
        <v>1310844.4784587817</v>
      </c>
    </row>
    <row r="33" spans="2:10" x14ac:dyDescent="0.25">
      <c r="B33" s="9" t="s">
        <v>227</v>
      </c>
      <c r="C33" s="6">
        <v>128135</v>
      </c>
      <c r="D33" s="6"/>
      <c r="E33" s="6"/>
      <c r="F33" s="6">
        <v>295317.37971501006</v>
      </c>
      <c r="G33" s="6"/>
      <c r="H33" s="6"/>
      <c r="I33" s="6">
        <v>128135</v>
      </c>
      <c r="J33" s="6">
        <v>295317.37971501006</v>
      </c>
    </row>
    <row r="34" spans="2:10" x14ac:dyDescent="0.25">
      <c r="B34" s="9" t="s">
        <v>125</v>
      </c>
      <c r="C34" s="6">
        <v>5782959.6119999997</v>
      </c>
      <c r="D34" s="6">
        <v>2082343.959</v>
      </c>
      <c r="E34" s="6"/>
      <c r="F34" s="6">
        <v>0</v>
      </c>
      <c r="G34" s="6">
        <v>0</v>
      </c>
      <c r="H34" s="6"/>
      <c r="I34" s="6">
        <v>7865303.5709999995</v>
      </c>
      <c r="J34" s="6">
        <v>0</v>
      </c>
    </row>
    <row r="35" spans="2:10" x14ac:dyDescent="0.25">
      <c r="B35" s="9" t="s">
        <v>217</v>
      </c>
      <c r="C35" s="6">
        <v>487678.39</v>
      </c>
      <c r="D35" s="6"/>
      <c r="E35" s="6">
        <v>5441422.0399999991</v>
      </c>
      <c r="F35" s="6">
        <v>249805.92902657881</v>
      </c>
      <c r="G35" s="6"/>
      <c r="H35" s="6">
        <v>2787286.6950858752</v>
      </c>
      <c r="I35" s="6">
        <v>5929100.4299999988</v>
      </c>
      <c r="J35" s="6">
        <v>3037092.6241124542</v>
      </c>
    </row>
    <row r="36" spans="2:10" x14ac:dyDescent="0.25">
      <c r="B36" s="9">
        <v>2009</v>
      </c>
      <c r="C36" s="6">
        <v>8285761.1199999992</v>
      </c>
      <c r="D36" s="6">
        <v>10748523.222000001</v>
      </c>
      <c r="E36" s="6">
        <v>4408167.4979999997</v>
      </c>
      <c r="F36" s="6">
        <v>1851999.8338317021</v>
      </c>
      <c r="G36" s="6">
        <v>7380275.407573442</v>
      </c>
      <c r="H36" s="6">
        <v>2465915.3735550479</v>
      </c>
      <c r="I36" s="6">
        <v>23442451.84</v>
      </c>
      <c r="J36" s="6">
        <v>11698190.614960192</v>
      </c>
    </row>
    <row r="37" spans="2:10" x14ac:dyDescent="0.25">
      <c r="B37" s="9" t="s">
        <v>225</v>
      </c>
      <c r="C37" s="6">
        <v>1816.9169999999999</v>
      </c>
      <c r="D37" s="6"/>
      <c r="E37" s="6"/>
      <c r="F37" s="6">
        <v>907.40749162907605</v>
      </c>
      <c r="G37" s="6"/>
      <c r="H37" s="6"/>
      <c r="I37" s="6">
        <v>1816.9169999999999</v>
      </c>
      <c r="J37" s="6">
        <v>907.40749162907605</v>
      </c>
    </row>
    <row r="38" spans="2:10" x14ac:dyDescent="0.25">
      <c r="B38" s="9" t="s">
        <v>122</v>
      </c>
      <c r="C38" s="6">
        <v>591921</v>
      </c>
      <c r="D38" s="6">
        <v>4451104</v>
      </c>
      <c r="E38" s="6"/>
      <c r="F38" s="6">
        <v>716565.09146554756</v>
      </c>
      <c r="G38" s="6">
        <v>5258788</v>
      </c>
      <c r="H38" s="6"/>
      <c r="I38" s="6">
        <v>5043025</v>
      </c>
      <c r="J38" s="6">
        <v>5975353.0914655477</v>
      </c>
    </row>
    <row r="39" spans="2:10" x14ac:dyDescent="0.25">
      <c r="B39" s="9" t="s">
        <v>124</v>
      </c>
      <c r="C39" s="6"/>
      <c r="D39" s="6">
        <v>419.45</v>
      </c>
      <c r="E39" s="6"/>
      <c r="F39" s="6"/>
      <c r="G39" s="6">
        <v>382.60538600584221</v>
      </c>
      <c r="H39" s="6"/>
      <c r="I39" s="6">
        <v>419.45</v>
      </c>
      <c r="J39" s="6">
        <v>382.60538600584221</v>
      </c>
    </row>
    <row r="40" spans="2:10" x14ac:dyDescent="0.25">
      <c r="B40" s="9" t="s">
        <v>123</v>
      </c>
      <c r="C40" s="6">
        <v>1862312.49</v>
      </c>
      <c r="D40" s="6">
        <v>4362726.5999999996</v>
      </c>
      <c r="E40" s="6"/>
      <c r="F40" s="6">
        <v>737668.52580339019</v>
      </c>
      <c r="G40" s="6">
        <v>2121104.8021874363</v>
      </c>
      <c r="H40" s="6"/>
      <c r="I40" s="6">
        <v>6225039.0899999999</v>
      </c>
      <c r="J40" s="6">
        <v>2858773.3279908262</v>
      </c>
    </row>
    <row r="41" spans="2:10" x14ac:dyDescent="0.25">
      <c r="B41" s="9" t="s">
        <v>227</v>
      </c>
      <c r="C41" s="6">
        <v>133987</v>
      </c>
      <c r="D41" s="6"/>
      <c r="E41" s="6"/>
      <c r="F41" s="6">
        <v>113963.07081369704</v>
      </c>
      <c r="G41" s="6"/>
      <c r="H41" s="6"/>
      <c r="I41" s="6">
        <v>133987</v>
      </c>
      <c r="J41" s="6">
        <v>113963.07081369704</v>
      </c>
    </row>
    <row r="42" spans="2:10" x14ac:dyDescent="0.25">
      <c r="B42" s="9" t="s">
        <v>125</v>
      </c>
      <c r="C42" s="6">
        <v>5190008.1429999992</v>
      </c>
      <c r="D42" s="6">
        <v>1934273.1719999998</v>
      </c>
      <c r="E42" s="6"/>
      <c r="F42" s="6">
        <v>0</v>
      </c>
      <c r="G42" s="6">
        <v>0</v>
      </c>
      <c r="H42" s="6"/>
      <c r="I42" s="6">
        <v>7124281.3149999995</v>
      </c>
      <c r="J42" s="6">
        <v>0</v>
      </c>
    </row>
    <row r="43" spans="2:10" x14ac:dyDescent="0.25">
      <c r="B43" s="9" t="s">
        <v>217</v>
      </c>
      <c r="C43" s="6">
        <v>505715.57</v>
      </c>
      <c r="D43" s="6"/>
      <c r="E43" s="6">
        <v>4408167.4979999997</v>
      </c>
      <c r="F43" s="6">
        <v>282895.73825743812</v>
      </c>
      <c r="G43" s="6"/>
      <c r="H43" s="6">
        <v>2465915.3735550479</v>
      </c>
      <c r="I43" s="6">
        <v>4913883.068</v>
      </c>
      <c r="J43" s="6">
        <v>2748811.1118124858</v>
      </c>
    </row>
    <row r="44" spans="2:10" x14ac:dyDescent="0.25">
      <c r="B44" s="9">
        <v>2010</v>
      </c>
      <c r="C44" s="6">
        <v>8188156.1829999993</v>
      </c>
      <c r="D44" s="6">
        <v>11220934.612</v>
      </c>
      <c r="E44" s="6">
        <v>3185182.9120000005</v>
      </c>
      <c r="F44" s="6">
        <v>2809923.0662289783</v>
      </c>
      <c r="G44" s="6">
        <v>7882134.7687044293</v>
      </c>
      <c r="H44" s="6">
        <v>1897917.2298310385</v>
      </c>
      <c r="I44" s="6">
        <v>22594273.707000002</v>
      </c>
      <c r="J44" s="6">
        <v>12589975.064764446</v>
      </c>
    </row>
    <row r="45" spans="2:10" x14ac:dyDescent="0.25">
      <c r="B45" s="9" t="s">
        <v>225</v>
      </c>
      <c r="C45" s="6">
        <v>2886.24</v>
      </c>
      <c r="D45" s="6"/>
      <c r="E45" s="6"/>
      <c r="F45" s="6">
        <v>1492.4700177178058</v>
      </c>
      <c r="G45" s="6"/>
      <c r="H45" s="6"/>
      <c r="I45" s="6">
        <v>2886.24</v>
      </c>
      <c r="J45" s="6">
        <v>1492.4700177178058</v>
      </c>
    </row>
    <row r="46" spans="2:10" x14ac:dyDescent="0.25">
      <c r="B46" s="9" t="s">
        <v>122</v>
      </c>
      <c r="C46" s="6">
        <v>788313</v>
      </c>
      <c r="D46" s="6">
        <v>5198105</v>
      </c>
      <c r="E46" s="6"/>
      <c r="F46" s="6">
        <v>850105.93071991508</v>
      </c>
      <c r="G46" s="6">
        <v>6093354.7435887642</v>
      </c>
      <c r="H46" s="6"/>
      <c r="I46" s="6">
        <v>5986418</v>
      </c>
      <c r="J46" s="6">
        <v>6943460.6743086791</v>
      </c>
    </row>
    <row r="47" spans="2:10" x14ac:dyDescent="0.25">
      <c r="B47" s="9" t="s">
        <v>124</v>
      </c>
      <c r="C47" s="6"/>
      <c r="D47" s="6">
        <v>113.77</v>
      </c>
      <c r="E47" s="6"/>
      <c r="F47" s="6"/>
      <c r="G47" s="6">
        <v>119.08045835423978</v>
      </c>
      <c r="H47" s="6"/>
      <c r="I47" s="6">
        <v>113.77</v>
      </c>
      <c r="J47" s="6">
        <v>119.08045835423978</v>
      </c>
    </row>
    <row r="48" spans="2:10" x14ac:dyDescent="0.25">
      <c r="B48" s="9" t="s">
        <v>123</v>
      </c>
      <c r="C48" s="6">
        <v>1733966.8559999999</v>
      </c>
      <c r="D48" s="6">
        <v>4102193.2009999999</v>
      </c>
      <c r="E48" s="6"/>
      <c r="F48" s="6">
        <v>674202.60194222</v>
      </c>
      <c r="G48" s="6">
        <v>1788660.9446573111</v>
      </c>
      <c r="H48" s="6"/>
      <c r="I48" s="6">
        <v>5836160.057</v>
      </c>
      <c r="J48" s="6">
        <v>2462863.5465995311</v>
      </c>
    </row>
    <row r="49" spans="2:10" x14ac:dyDescent="0.25">
      <c r="B49" s="9" t="s">
        <v>227</v>
      </c>
      <c r="C49" s="6">
        <v>141480</v>
      </c>
      <c r="D49" s="6"/>
      <c r="E49" s="6"/>
      <c r="F49" s="6">
        <v>326048.28221025318</v>
      </c>
      <c r="G49" s="6"/>
      <c r="H49" s="6"/>
      <c r="I49" s="6">
        <v>141480</v>
      </c>
      <c r="J49" s="6">
        <v>326048.28221025318</v>
      </c>
    </row>
    <row r="50" spans="2:10" x14ac:dyDescent="0.25">
      <c r="B50" s="9" t="s">
        <v>230</v>
      </c>
      <c r="C50" s="6">
        <v>-753803</v>
      </c>
      <c r="D50" s="6"/>
      <c r="E50" s="6"/>
      <c r="F50" s="6">
        <v>0</v>
      </c>
      <c r="G50" s="6"/>
      <c r="H50" s="6"/>
      <c r="I50" s="6">
        <v>-753803</v>
      </c>
      <c r="J50" s="6">
        <v>0</v>
      </c>
    </row>
    <row r="51" spans="2:10" x14ac:dyDescent="0.25">
      <c r="B51" s="9" t="s">
        <v>125</v>
      </c>
      <c r="C51" s="6">
        <v>4667424.0869999994</v>
      </c>
      <c r="D51" s="6">
        <v>1920522.6410000003</v>
      </c>
      <c r="E51" s="6"/>
      <c r="F51" s="6">
        <v>0</v>
      </c>
      <c r="G51" s="6">
        <v>0</v>
      </c>
      <c r="H51" s="6"/>
      <c r="I51" s="6">
        <v>6587946.7280000001</v>
      </c>
      <c r="J51" s="6">
        <v>0</v>
      </c>
    </row>
    <row r="52" spans="2:10" x14ac:dyDescent="0.25">
      <c r="B52" s="9" t="s">
        <v>217</v>
      </c>
      <c r="C52" s="6">
        <v>1607889</v>
      </c>
      <c r="D52" s="6"/>
      <c r="E52" s="6">
        <v>3185182.9120000005</v>
      </c>
      <c r="F52" s="6">
        <v>958073.7813388725</v>
      </c>
      <c r="G52" s="6"/>
      <c r="H52" s="6">
        <v>1897917.2298310385</v>
      </c>
      <c r="I52" s="6">
        <v>4793071.9120000005</v>
      </c>
      <c r="J52" s="6">
        <v>2855991.0111699109</v>
      </c>
    </row>
    <row r="53" spans="2:10" x14ac:dyDescent="0.25">
      <c r="B53" s="9">
        <v>2011</v>
      </c>
      <c r="C53" s="6">
        <v>8193854.9389999993</v>
      </c>
      <c r="D53" s="6">
        <v>7881574.3710000003</v>
      </c>
      <c r="E53" s="6">
        <v>6774737.6720000021</v>
      </c>
      <c r="F53" s="6">
        <v>1403027.9792066067</v>
      </c>
      <c r="G53" s="6">
        <v>5842925.6222130014</v>
      </c>
      <c r="H53" s="6">
        <v>3064415.2106302725</v>
      </c>
      <c r="I53" s="6">
        <v>22850166.982000001</v>
      </c>
      <c r="J53" s="6">
        <v>10310368.812049881</v>
      </c>
    </row>
    <row r="54" spans="2:10" x14ac:dyDescent="0.25">
      <c r="B54" s="9" t="s">
        <v>225</v>
      </c>
      <c r="C54" s="6">
        <v>2962.03</v>
      </c>
      <c r="D54" s="6"/>
      <c r="E54" s="6"/>
      <c r="F54" s="6">
        <v>1535.8182765536974</v>
      </c>
      <c r="G54" s="6"/>
      <c r="H54" s="6"/>
      <c r="I54" s="6">
        <v>2962.03</v>
      </c>
      <c r="J54" s="6">
        <v>1535.8182765536974</v>
      </c>
    </row>
    <row r="55" spans="2:10" x14ac:dyDescent="0.25">
      <c r="B55" s="9" t="s">
        <v>122</v>
      </c>
      <c r="C55" s="6"/>
      <c r="D55" s="6">
        <v>4210583</v>
      </c>
      <c r="E55" s="6"/>
      <c r="F55" s="6"/>
      <c r="G55" s="6">
        <v>4959800.6776280543</v>
      </c>
      <c r="H55" s="6"/>
      <c r="I55" s="6">
        <v>4210583</v>
      </c>
      <c r="J55" s="6">
        <v>4959800.6776280543</v>
      </c>
    </row>
    <row r="56" spans="2:10" x14ac:dyDescent="0.25">
      <c r="B56" s="9" t="s">
        <v>124</v>
      </c>
      <c r="C56" s="6"/>
      <c r="D56" s="6">
        <v>273.13</v>
      </c>
      <c r="E56" s="6"/>
      <c r="F56" s="6"/>
      <c r="G56" s="6">
        <v>250.56210081464044</v>
      </c>
      <c r="H56" s="6"/>
      <c r="I56" s="6">
        <v>273.13</v>
      </c>
      <c r="J56" s="6">
        <v>250.56210081464044</v>
      </c>
    </row>
    <row r="57" spans="2:10" x14ac:dyDescent="0.25">
      <c r="B57" s="9" t="s">
        <v>123</v>
      </c>
      <c r="C57" s="6">
        <v>851082.18599999987</v>
      </c>
      <c r="D57" s="6">
        <v>1822863.2229999998</v>
      </c>
      <c r="E57" s="6"/>
      <c r="F57" s="6">
        <v>305660.80967053678</v>
      </c>
      <c r="G57" s="6">
        <v>882874.38248413219</v>
      </c>
      <c r="H57" s="6"/>
      <c r="I57" s="6">
        <v>2673945.4089999995</v>
      </c>
      <c r="J57" s="6">
        <v>1188535.192154669</v>
      </c>
    </row>
    <row r="58" spans="2:10" x14ac:dyDescent="0.25">
      <c r="B58" s="9" t="s">
        <v>227</v>
      </c>
      <c r="C58" s="6">
        <v>143386</v>
      </c>
      <c r="D58" s="6"/>
      <c r="E58" s="6"/>
      <c r="F58" s="6">
        <v>321649.30524197931</v>
      </c>
      <c r="G58" s="6"/>
      <c r="H58" s="6"/>
      <c r="I58" s="6">
        <v>143386</v>
      </c>
      <c r="J58" s="6">
        <v>321649.30524197931</v>
      </c>
    </row>
    <row r="59" spans="2:10" x14ac:dyDescent="0.25">
      <c r="B59" s="9" t="s">
        <v>230</v>
      </c>
      <c r="C59" s="6">
        <v>-509390</v>
      </c>
      <c r="D59" s="6"/>
      <c r="E59" s="6"/>
      <c r="F59" s="6">
        <v>0</v>
      </c>
      <c r="G59" s="6"/>
      <c r="H59" s="6"/>
      <c r="I59" s="6">
        <v>-509390</v>
      </c>
      <c r="J59" s="6">
        <v>0</v>
      </c>
    </row>
    <row r="60" spans="2:10" x14ac:dyDescent="0.25">
      <c r="B60" s="9" t="s">
        <v>125</v>
      </c>
      <c r="C60" s="6">
        <v>5994271.1129999999</v>
      </c>
      <c r="D60" s="6">
        <v>1847855.0180000002</v>
      </c>
      <c r="E60" s="6"/>
      <c r="F60" s="6">
        <v>0</v>
      </c>
      <c r="G60" s="6">
        <v>0</v>
      </c>
      <c r="H60" s="6"/>
      <c r="I60" s="6">
        <v>7842126.1310000001</v>
      </c>
      <c r="J60" s="6">
        <v>0</v>
      </c>
    </row>
    <row r="61" spans="2:10" x14ac:dyDescent="0.25">
      <c r="B61" s="9" t="s">
        <v>217</v>
      </c>
      <c r="C61" s="6">
        <v>1711543.6099999999</v>
      </c>
      <c r="D61" s="6"/>
      <c r="E61" s="6">
        <v>6774737.6720000021</v>
      </c>
      <c r="F61" s="6">
        <v>774182.04601753689</v>
      </c>
      <c r="G61" s="6"/>
      <c r="H61" s="6">
        <v>3064415.2106302725</v>
      </c>
      <c r="I61" s="6">
        <v>8486281.2820000015</v>
      </c>
      <c r="J61" s="6">
        <v>3838597.2566478094</v>
      </c>
    </row>
    <row r="62" spans="2:10" x14ac:dyDescent="0.25">
      <c r="B62" s="9">
        <v>2012</v>
      </c>
      <c r="C62" s="6">
        <v>5689270.9849999994</v>
      </c>
      <c r="D62" s="6">
        <v>8999413.1689999998</v>
      </c>
      <c r="E62" s="6">
        <v>7727006.4249999989</v>
      </c>
      <c r="F62" s="6">
        <v>790339.50099061977</v>
      </c>
      <c r="G62" s="6">
        <v>5992139.5133056827</v>
      </c>
      <c r="H62" s="6">
        <v>3489259.0462222076</v>
      </c>
      <c r="I62" s="6">
        <v>22415690.578999996</v>
      </c>
      <c r="J62" s="6">
        <v>10271738.060518511</v>
      </c>
    </row>
    <row r="63" spans="2:10" x14ac:dyDescent="0.25">
      <c r="B63" s="9" t="s">
        <v>225</v>
      </c>
      <c r="C63" s="6">
        <v>1475.0070000000001</v>
      </c>
      <c r="D63" s="6"/>
      <c r="E63" s="6"/>
      <c r="F63" s="6">
        <v>729.13873272206047</v>
      </c>
      <c r="G63" s="6"/>
      <c r="H63" s="6"/>
      <c r="I63" s="6">
        <v>1475.0070000000001</v>
      </c>
      <c r="J63" s="6">
        <v>729.13873272206047</v>
      </c>
    </row>
    <row r="64" spans="2:10" x14ac:dyDescent="0.25">
      <c r="B64" s="9" t="s">
        <v>122</v>
      </c>
      <c r="C64" s="6"/>
      <c r="D64" s="6">
        <v>3809524.0120000001</v>
      </c>
      <c r="E64" s="6"/>
      <c r="F64" s="6"/>
      <c r="G64" s="6">
        <v>4528259.9126447653</v>
      </c>
      <c r="H64" s="6"/>
      <c r="I64" s="6">
        <v>3809524.0120000001</v>
      </c>
      <c r="J64" s="6">
        <v>4528259.9126447653</v>
      </c>
    </row>
    <row r="65" spans="2:10" x14ac:dyDescent="0.25">
      <c r="B65" s="9" t="s">
        <v>124</v>
      </c>
      <c r="C65" s="6"/>
      <c r="D65" s="6">
        <v>298.26</v>
      </c>
      <c r="E65" s="6"/>
      <c r="F65" s="6"/>
      <c r="G65" s="6">
        <v>10823.367798362837</v>
      </c>
      <c r="H65" s="6"/>
      <c r="I65" s="6">
        <v>298.26</v>
      </c>
      <c r="J65" s="6">
        <v>10823.367798362837</v>
      </c>
    </row>
    <row r="66" spans="2:10" x14ac:dyDescent="0.25">
      <c r="B66" s="9" t="s">
        <v>123</v>
      </c>
      <c r="C66" s="6">
        <v>500</v>
      </c>
      <c r="D66" s="6">
        <v>2620038.1639999999</v>
      </c>
      <c r="E66" s="6"/>
      <c r="F66" s="6">
        <v>200.4699648575542</v>
      </c>
      <c r="G66" s="6">
        <v>1453056.232862554</v>
      </c>
      <c r="H66" s="6"/>
      <c r="I66" s="6">
        <v>2620538.1639999999</v>
      </c>
      <c r="J66" s="6">
        <v>1453256.7028274115</v>
      </c>
    </row>
    <row r="67" spans="2:10" x14ac:dyDescent="0.25">
      <c r="B67" s="9" t="s">
        <v>230</v>
      </c>
      <c r="C67" s="6">
        <v>-449210</v>
      </c>
      <c r="D67" s="6"/>
      <c r="E67" s="6"/>
      <c r="F67" s="6">
        <v>0</v>
      </c>
      <c r="G67" s="6"/>
      <c r="H67" s="6"/>
      <c r="I67" s="6">
        <v>-449210</v>
      </c>
      <c r="J67" s="6">
        <v>0</v>
      </c>
    </row>
    <row r="68" spans="2:10" x14ac:dyDescent="0.25">
      <c r="B68" s="9" t="s">
        <v>125</v>
      </c>
      <c r="C68" s="6">
        <v>4388348.2089999998</v>
      </c>
      <c r="D68" s="6">
        <v>2569552.733</v>
      </c>
      <c r="E68" s="6"/>
      <c r="F68" s="6">
        <v>0</v>
      </c>
      <c r="G68" s="6">
        <v>0</v>
      </c>
      <c r="H68" s="6"/>
      <c r="I68" s="6">
        <v>6957900.9419999998</v>
      </c>
      <c r="J68" s="6">
        <v>0</v>
      </c>
    </row>
    <row r="69" spans="2:10" x14ac:dyDescent="0.25">
      <c r="B69" s="9" t="s">
        <v>217</v>
      </c>
      <c r="C69" s="6">
        <v>1748157.7689999999</v>
      </c>
      <c r="D69" s="6"/>
      <c r="E69" s="6">
        <v>7727006.4249999989</v>
      </c>
      <c r="F69" s="6">
        <v>789409.89229304017</v>
      </c>
      <c r="G69" s="6"/>
      <c r="H69" s="6">
        <v>3489259.0462222076</v>
      </c>
      <c r="I69" s="6">
        <v>9475164.1939999983</v>
      </c>
      <c r="J69" s="6">
        <v>4278668.9385152478</v>
      </c>
    </row>
    <row r="70" spans="2:10" x14ac:dyDescent="0.25">
      <c r="B70" s="9">
        <v>2013</v>
      </c>
      <c r="C70" s="6">
        <v>4504274.6399999997</v>
      </c>
      <c r="D70" s="6">
        <v>12421625.879000001</v>
      </c>
      <c r="E70" s="6">
        <v>5877232.977</v>
      </c>
      <c r="F70" s="6">
        <v>502839.85990095843</v>
      </c>
      <c r="G70" s="6">
        <v>7821469.4536749981</v>
      </c>
      <c r="H70" s="6">
        <v>3326881.3430049806</v>
      </c>
      <c r="I70" s="6">
        <v>22803133.495999999</v>
      </c>
      <c r="J70" s="6">
        <v>11651190.656580936</v>
      </c>
    </row>
    <row r="71" spans="2:10" x14ac:dyDescent="0.25">
      <c r="B71" s="9" t="s">
        <v>122</v>
      </c>
      <c r="C71" s="6"/>
      <c r="D71" s="6">
        <v>4346208</v>
      </c>
      <c r="E71" s="6"/>
      <c r="F71" s="6"/>
      <c r="G71" s="6">
        <v>5145052.1554388432</v>
      </c>
      <c r="H71" s="6"/>
      <c r="I71" s="6">
        <v>4346208</v>
      </c>
      <c r="J71" s="6">
        <v>5145052.1554388432</v>
      </c>
    </row>
    <row r="72" spans="2:10" x14ac:dyDescent="0.25">
      <c r="B72" s="9" t="s">
        <v>124</v>
      </c>
      <c r="C72" s="6"/>
      <c r="D72" s="6">
        <v>48.722000000000001</v>
      </c>
      <c r="E72" s="6"/>
      <c r="F72" s="6"/>
      <c r="G72" s="6">
        <v>64.047447282446456</v>
      </c>
      <c r="H72" s="6"/>
      <c r="I72" s="6">
        <v>48.722000000000001</v>
      </c>
      <c r="J72" s="6">
        <v>64.047447282446456</v>
      </c>
    </row>
    <row r="73" spans="2:10" x14ac:dyDescent="0.25">
      <c r="B73" s="9" t="s">
        <v>123</v>
      </c>
      <c r="C73" s="6">
        <v>8450</v>
      </c>
      <c r="D73" s="6">
        <v>5355199.6630000006</v>
      </c>
      <c r="E73" s="6"/>
      <c r="F73" s="6">
        <v>3411.3448018121003</v>
      </c>
      <c r="G73" s="6">
        <v>2676353.2507888721</v>
      </c>
      <c r="H73" s="6"/>
      <c r="I73" s="6">
        <v>5363649.6630000006</v>
      </c>
      <c r="J73" s="6">
        <v>2679764.5955906841</v>
      </c>
    </row>
    <row r="74" spans="2:10" x14ac:dyDescent="0.25">
      <c r="B74" s="9" t="s">
        <v>230</v>
      </c>
      <c r="C74" s="6">
        <v>-204155</v>
      </c>
      <c r="D74" s="6"/>
      <c r="E74" s="6"/>
      <c r="F74" s="6">
        <v>0</v>
      </c>
      <c r="G74" s="6"/>
      <c r="H74" s="6"/>
      <c r="I74" s="6">
        <v>-204155</v>
      </c>
      <c r="J74" s="6">
        <v>0</v>
      </c>
    </row>
    <row r="75" spans="2:10" x14ac:dyDescent="0.25">
      <c r="B75" s="9" t="s">
        <v>125</v>
      </c>
      <c r="C75" s="6">
        <v>3817694.5699999994</v>
      </c>
      <c r="D75" s="6">
        <v>2720169.4939999999</v>
      </c>
      <c r="E75" s="6"/>
      <c r="F75" s="6">
        <v>0</v>
      </c>
      <c r="G75" s="6">
        <v>0</v>
      </c>
      <c r="H75" s="6"/>
      <c r="I75" s="6">
        <v>6537864.0639999993</v>
      </c>
      <c r="J75" s="6">
        <v>0</v>
      </c>
    </row>
    <row r="76" spans="2:10" x14ac:dyDescent="0.25">
      <c r="B76" s="9" t="s">
        <v>217</v>
      </c>
      <c r="C76" s="6">
        <v>882285.07000000007</v>
      </c>
      <c r="D76" s="6"/>
      <c r="E76" s="6">
        <v>5877232.977</v>
      </c>
      <c r="F76" s="6">
        <v>499428.51509914635</v>
      </c>
      <c r="G76" s="6"/>
      <c r="H76" s="6">
        <v>3326881.3430049806</v>
      </c>
      <c r="I76" s="6">
        <v>6759518.0470000003</v>
      </c>
      <c r="J76" s="6">
        <v>3826309.858104127</v>
      </c>
    </row>
    <row r="77" spans="2:10" x14ac:dyDescent="0.25">
      <c r="B77" s="9">
        <v>2014</v>
      </c>
      <c r="C77" s="6">
        <v>4447256.9629999995</v>
      </c>
      <c r="D77" s="6">
        <v>11640504.429000001</v>
      </c>
      <c r="E77" s="6">
        <v>6189748.1970000006</v>
      </c>
      <c r="F77" s="6">
        <v>460659.14586959977</v>
      </c>
      <c r="G77" s="6">
        <v>7467125.0365835521</v>
      </c>
      <c r="H77" s="6">
        <v>3138202.3358790041</v>
      </c>
      <c r="I77" s="6">
        <v>22277509.589000002</v>
      </c>
      <c r="J77" s="6">
        <v>11065986.518332155</v>
      </c>
    </row>
    <row r="78" spans="2:10" x14ac:dyDescent="0.25">
      <c r="B78" s="9" t="s">
        <v>122</v>
      </c>
      <c r="C78" s="6">
        <v>133020</v>
      </c>
      <c r="D78" s="6">
        <v>4509567</v>
      </c>
      <c r="E78" s="6"/>
      <c r="F78" s="6">
        <v>157594.12492212933</v>
      </c>
      <c r="G78" s="6">
        <v>5350265</v>
      </c>
      <c r="H78" s="6"/>
      <c r="I78" s="6">
        <v>4642587</v>
      </c>
      <c r="J78" s="6">
        <v>5507859.1249221293</v>
      </c>
    </row>
    <row r="79" spans="2:10" x14ac:dyDescent="0.25">
      <c r="B79" s="9" t="s">
        <v>124</v>
      </c>
      <c r="C79" s="6"/>
      <c r="D79" s="6">
        <v>357.8</v>
      </c>
      <c r="E79" s="6"/>
      <c r="F79" s="6"/>
      <c r="G79" s="6">
        <v>326.12252026556462</v>
      </c>
      <c r="H79" s="6"/>
      <c r="I79" s="6">
        <v>357.8</v>
      </c>
      <c r="J79" s="6">
        <v>326.12252026556462</v>
      </c>
    </row>
    <row r="80" spans="2:10" x14ac:dyDescent="0.25">
      <c r="B80" s="9" t="s">
        <v>123</v>
      </c>
      <c r="C80" s="6">
        <v>1200</v>
      </c>
      <c r="D80" s="6">
        <v>4154625.34</v>
      </c>
      <c r="E80" s="6"/>
      <c r="F80" s="6">
        <v>488.47094447042167</v>
      </c>
      <c r="G80" s="6">
        <v>2116533.9140632865</v>
      </c>
      <c r="H80" s="6"/>
      <c r="I80" s="6">
        <v>4155825.34</v>
      </c>
      <c r="J80" s="6">
        <v>2117022.3850077568</v>
      </c>
    </row>
    <row r="81" spans="1:10" x14ac:dyDescent="0.25">
      <c r="B81" s="9" t="s">
        <v>230</v>
      </c>
      <c r="C81" s="6">
        <v>-10172</v>
      </c>
      <c r="D81" s="6"/>
      <c r="E81" s="6"/>
      <c r="F81" s="6">
        <v>0</v>
      </c>
      <c r="G81" s="6"/>
      <c r="H81" s="6"/>
      <c r="I81" s="6">
        <v>-10172</v>
      </c>
      <c r="J81" s="6">
        <v>0</v>
      </c>
    </row>
    <row r="82" spans="1:10" x14ac:dyDescent="0.25">
      <c r="B82" s="9" t="s">
        <v>125</v>
      </c>
      <c r="C82" s="6">
        <v>3726411.0339999995</v>
      </c>
      <c r="D82" s="6">
        <v>2975954.2889999999</v>
      </c>
      <c r="E82" s="6"/>
      <c r="F82" s="6">
        <v>0</v>
      </c>
      <c r="G82" s="6">
        <v>0</v>
      </c>
      <c r="H82" s="6"/>
      <c r="I82" s="6">
        <v>6702365.3229999989</v>
      </c>
      <c r="J82" s="6">
        <v>0</v>
      </c>
    </row>
    <row r="83" spans="1:10" x14ac:dyDescent="0.25">
      <c r="B83" s="9" t="s">
        <v>217</v>
      </c>
      <c r="C83" s="6">
        <v>596797.929</v>
      </c>
      <c r="D83" s="6"/>
      <c r="E83" s="6">
        <v>6189748.1970000006</v>
      </c>
      <c r="F83" s="6">
        <v>302576.55000300001</v>
      </c>
      <c r="G83" s="6"/>
      <c r="H83" s="6">
        <v>3138202.3358790041</v>
      </c>
      <c r="I83" s="6">
        <v>6786546.1260000002</v>
      </c>
      <c r="J83" s="6">
        <v>3440778.8858820042</v>
      </c>
    </row>
    <row r="84" spans="1:10" x14ac:dyDescent="0.25">
      <c r="B84" s="9">
        <v>2015</v>
      </c>
      <c r="C84" s="6">
        <v>5835382.2599999998</v>
      </c>
      <c r="D84" s="6">
        <v>12747014.120999999</v>
      </c>
      <c r="E84" s="6">
        <v>3448451.602</v>
      </c>
      <c r="F84" s="6">
        <v>2239164.4237289638</v>
      </c>
      <c r="G84" s="6">
        <v>8263509.284094383</v>
      </c>
      <c r="H84" s="6">
        <v>1851818.5102739995</v>
      </c>
      <c r="I84" s="6">
        <v>22030847.982999999</v>
      </c>
      <c r="J84" s="6">
        <v>12354492.218097348</v>
      </c>
    </row>
    <row r="85" spans="1:10" x14ac:dyDescent="0.25">
      <c r="B85" s="9" t="s">
        <v>122</v>
      </c>
      <c r="C85" s="6">
        <v>1651177</v>
      </c>
      <c r="D85" s="6">
        <v>4495032</v>
      </c>
      <c r="E85" s="6"/>
      <c r="F85" s="6">
        <v>1986952.7107121402</v>
      </c>
      <c r="G85" s="6">
        <v>5508526.3000000007</v>
      </c>
      <c r="H85" s="6"/>
      <c r="I85" s="6">
        <v>6146209</v>
      </c>
      <c r="J85" s="6">
        <v>7495479.0107121412</v>
      </c>
    </row>
    <row r="86" spans="1:10" x14ac:dyDescent="0.25">
      <c r="B86" s="9" t="s">
        <v>124</v>
      </c>
      <c r="C86" s="6"/>
      <c r="D86" s="6">
        <v>293.68</v>
      </c>
      <c r="E86" s="6"/>
      <c r="F86" s="6"/>
      <c r="G86" s="6">
        <v>267.67665176890569</v>
      </c>
      <c r="H86" s="6"/>
      <c r="I86" s="6">
        <v>293.68</v>
      </c>
      <c r="J86" s="6">
        <v>267.67665176890569</v>
      </c>
    </row>
    <row r="87" spans="1:10" x14ac:dyDescent="0.25">
      <c r="B87" s="9" t="s">
        <v>123</v>
      </c>
      <c r="C87" s="6">
        <v>400</v>
      </c>
      <c r="D87" s="6">
        <v>5830023.9449999994</v>
      </c>
      <c r="E87" s="6"/>
      <c r="F87" s="6">
        <v>161.25650582378159</v>
      </c>
      <c r="G87" s="6">
        <v>2754715.3074426129</v>
      </c>
      <c r="H87" s="6"/>
      <c r="I87" s="6">
        <v>5830423.9449999994</v>
      </c>
      <c r="J87" s="6">
        <v>2754876.5639484366</v>
      </c>
    </row>
    <row r="88" spans="1:10" x14ac:dyDescent="0.25">
      <c r="B88" s="9" t="s">
        <v>230</v>
      </c>
      <c r="C88" s="6">
        <v>-2253</v>
      </c>
      <c r="D88" s="6"/>
      <c r="E88" s="6"/>
      <c r="F88" s="6">
        <v>0</v>
      </c>
      <c r="G88" s="6"/>
      <c r="H88" s="6"/>
      <c r="I88" s="6">
        <v>-2253</v>
      </c>
      <c r="J88" s="6">
        <v>0</v>
      </c>
    </row>
    <row r="89" spans="1:10" x14ac:dyDescent="0.25">
      <c r="B89" s="9" t="s">
        <v>125</v>
      </c>
      <c r="C89" s="6">
        <v>3716690.5569999996</v>
      </c>
      <c r="D89" s="6">
        <v>2421664.4959999998</v>
      </c>
      <c r="E89" s="6"/>
      <c r="F89" s="6">
        <v>0</v>
      </c>
      <c r="G89" s="6">
        <v>0</v>
      </c>
      <c r="H89" s="6"/>
      <c r="I89" s="6">
        <v>6138355.0529999994</v>
      </c>
      <c r="J89" s="6">
        <v>0</v>
      </c>
    </row>
    <row r="90" spans="1:10" x14ac:dyDescent="0.25">
      <c r="B90" s="9" t="s">
        <v>217</v>
      </c>
      <c r="C90" s="6">
        <v>469367.70299999998</v>
      </c>
      <c r="D90" s="6"/>
      <c r="E90" s="6">
        <v>3448451.602</v>
      </c>
      <c r="F90" s="6">
        <v>252050.456511</v>
      </c>
      <c r="G90" s="6"/>
      <c r="H90" s="6">
        <v>1851818.5102739995</v>
      </c>
      <c r="I90" s="6">
        <v>3917819.3049999997</v>
      </c>
      <c r="J90" s="6">
        <v>2103868.9667849997</v>
      </c>
    </row>
    <row r="91" spans="1:10" x14ac:dyDescent="0.25">
      <c r="B91" s="9" t="s">
        <v>272</v>
      </c>
      <c r="C91" s="6">
        <v>82441116.347999975</v>
      </c>
      <c r="D91" s="6">
        <v>107449421.46500002</v>
      </c>
      <c r="E91" s="6">
        <v>59801833.493000001</v>
      </c>
      <c r="F91" s="6">
        <v>19278674.194560323</v>
      </c>
      <c r="G91" s="6">
        <v>77146995.064650267</v>
      </c>
      <c r="H91" s="6">
        <v>30990909.476037819</v>
      </c>
      <c r="I91" s="6">
        <v>249692371.30600002</v>
      </c>
      <c r="J91" s="6">
        <v>127416578.73524839</v>
      </c>
    </row>
    <row r="93" spans="1:10" x14ac:dyDescent="0.25">
      <c r="C93" s="2" t="str">
        <f t="shared" ref="C93:J93" si="0">C2</f>
        <v>Sum of MWh</v>
      </c>
      <c r="F93" s="2" t="str">
        <f t="shared" si="0"/>
        <v>Sum of Short Tons CO2</v>
      </c>
      <c r="I93" s="2" t="str">
        <f t="shared" si="0"/>
        <v>Total Sum of MWh</v>
      </c>
      <c r="J93" s="2" t="str">
        <f t="shared" si="0"/>
        <v>Total Sum of Short Tons CO2</v>
      </c>
    </row>
    <row r="94" spans="1:10" x14ac:dyDescent="0.25">
      <c r="C94" s="2" t="str">
        <f t="shared" ref="C94:H94" si="1">C3</f>
        <v>Firm Primary</v>
      </c>
      <c r="D94" s="2" t="str">
        <f t="shared" si="1"/>
        <v>PSE Generation</v>
      </c>
      <c r="E94" s="2" t="str">
        <f t="shared" si="1"/>
        <v>Secondary</v>
      </c>
      <c r="F94" s="2" t="str">
        <f t="shared" si="1"/>
        <v>Firm Primary</v>
      </c>
      <c r="G94" s="2" t="str">
        <f t="shared" si="1"/>
        <v>PSE Generation</v>
      </c>
      <c r="H94" s="2" t="str">
        <f t="shared" si="1"/>
        <v>Secondary</v>
      </c>
    </row>
    <row r="95" spans="1:10" x14ac:dyDescent="0.25">
      <c r="A95" s="2">
        <f>B12</f>
        <v>2006</v>
      </c>
      <c r="B95" s="2" t="s">
        <v>282</v>
      </c>
      <c r="C95" s="7">
        <f t="shared" ref="C95:J95" si="2">C12</f>
        <v>9625380.9640000015</v>
      </c>
      <c r="D95" s="7">
        <f t="shared" si="2"/>
        <v>6845322.9799999995</v>
      </c>
      <c r="E95" s="7">
        <f t="shared" si="2"/>
        <v>6117349.1699999999</v>
      </c>
      <c r="F95" s="7">
        <f t="shared" si="2"/>
        <v>2446847.9900212507</v>
      </c>
      <c r="G95" s="7">
        <f t="shared" si="2"/>
        <v>6256354.5743399505</v>
      </c>
      <c r="H95" s="7">
        <f t="shared" si="2"/>
        <v>3101015.7505617333</v>
      </c>
      <c r="I95" s="7">
        <f t="shared" si="2"/>
        <v>22588053.114</v>
      </c>
      <c r="J95" s="7">
        <f t="shared" si="2"/>
        <v>11804218.314922934</v>
      </c>
    </row>
    <row r="96" spans="1:10" x14ac:dyDescent="0.25">
      <c r="A96" s="2">
        <v>2006</v>
      </c>
      <c r="B96" s="2" t="str">
        <f t="shared" ref="B96:J96" si="3">B14</f>
        <v>Coal</v>
      </c>
      <c r="C96" s="7">
        <f t="shared" si="3"/>
        <v>723917</v>
      </c>
      <c r="D96" s="7">
        <f t="shared" si="3"/>
        <v>4800028</v>
      </c>
      <c r="E96" s="7">
        <f t="shared" si="3"/>
        <v>0</v>
      </c>
      <c r="F96" s="7">
        <f t="shared" si="3"/>
        <v>892481.8924064904</v>
      </c>
      <c r="G96" s="7">
        <f t="shared" si="3"/>
        <v>5917719.9500000002</v>
      </c>
      <c r="H96" s="7">
        <f t="shared" si="3"/>
        <v>0</v>
      </c>
      <c r="I96" s="7">
        <f t="shared" si="3"/>
        <v>5523945</v>
      </c>
      <c r="J96" s="7">
        <f t="shared" si="3"/>
        <v>6810201.8424064908</v>
      </c>
    </row>
    <row r="97" spans="1:41" x14ac:dyDescent="0.25">
      <c r="A97" s="2">
        <v>2006</v>
      </c>
      <c r="B97" s="2" t="str">
        <f t="shared" ref="B97:J97" si="4">B16</f>
        <v>Gas</v>
      </c>
      <c r="C97" s="7">
        <f t="shared" si="4"/>
        <v>2407681.58</v>
      </c>
      <c r="D97" s="7">
        <f t="shared" si="4"/>
        <v>722129.85000000009</v>
      </c>
      <c r="E97" s="7">
        <f t="shared" si="4"/>
        <v>0</v>
      </c>
      <c r="F97" s="7">
        <f t="shared" si="4"/>
        <v>989931.32207078417</v>
      </c>
      <c r="G97" s="7">
        <f t="shared" si="4"/>
        <v>337723.09569995</v>
      </c>
      <c r="H97" s="7">
        <f t="shared" si="4"/>
        <v>0</v>
      </c>
      <c r="I97" s="7">
        <f t="shared" si="4"/>
        <v>3129811.43</v>
      </c>
      <c r="J97" s="7">
        <f t="shared" si="4"/>
        <v>1327654.4177707341</v>
      </c>
    </row>
    <row r="98" spans="1:41" x14ac:dyDescent="0.25">
      <c r="B98" s="2" t="s">
        <v>283</v>
      </c>
      <c r="C98" s="7">
        <f>C95-C96-C97</f>
        <v>6493782.3840000015</v>
      </c>
      <c r="D98" s="7">
        <f>D95-D96-D97</f>
        <v>1323165.1299999994</v>
      </c>
      <c r="E98" s="7">
        <f t="shared" ref="E98:H98" si="5">E95-E96-E97</f>
        <v>6117349.1699999999</v>
      </c>
      <c r="F98" s="7">
        <f t="shared" si="5"/>
        <v>564434.77554397611</v>
      </c>
      <c r="G98" s="7">
        <f t="shared" si="5"/>
        <v>911.52864000026602</v>
      </c>
      <c r="H98" s="7">
        <f t="shared" si="5"/>
        <v>3101015.7505617333</v>
      </c>
      <c r="I98" s="7"/>
      <c r="J98" s="7"/>
      <c r="W98" s="2" t="s">
        <v>367</v>
      </c>
    </row>
    <row r="99" spans="1:41" x14ac:dyDescent="0.25">
      <c r="C99" s="7"/>
      <c r="D99" s="7"/>
      <c r="E99" s="7"/>
      <c r="F99" s="7"/>
      <c r="G99" s="7"/>
      <c r="H99" s="7"/>
      <c r="I99" s="7"/>
      <c r="J99" s="7"/>
      <c r="L99" s="128"/>
      <c r="M99" s="129" t="s">
        <v>308</v>
      </c>
      <c r="N99" s="129" t="s">
        <v>308</v>
      </c>
      <c r="O99" s="129" t="s">
        <v>308</v>
      </c>
      <c r="P99" s="129" t="s">
        <v>308</v>
      </c>
      <c r="Q99" s="129" t="s">
        <v>308</v>
      </c>
      <c r="R99" s="129" t="s">
        <v>308</v>
      </c>
      <c r="S99" s="129" t="s">
        <v>308</v>
      </c>
      <c r="T99" s="129" t="s">
        <v>308</v>
      </c>
      <c r="U99" s="129" t="s">
        <v>308</v>
      </c>
      <c r="V99" s="129" t="s">
        <v>308</v>
      </c>
      <c r="W99" s="129" t="s">
        <v>308</v>
      </c>
      <c r="X99" s="129" t="s">
        <v>308</v>
      </c>
      <c r="Y99" s="130" t="s">
        <v>368</v>
      </c>
    </row>
    <row r="100" spans="1:41" x14ac:dyDescent="0.25">
      <c r="A100" s="2">
        <f>B20</f>
        <v>2007</v>
      </c>
      <c r="B100" s="2" t="s">
        <v>282</v>
      </c>
      <c r="C100" s="7">
        <f t="shared" ref="C100:J100" si="6">C20</f>
        <v>9353823.7499999981</v>
      </c>
      <c r="D100" s="7">
        <f t="shared" si="6"/>
        <v>8623094.3959999997</v>
      </c>
      <c r="E100" s="7">
        <f t="shared" si="6"/>
        <v>5220403</v>
      </c>
      <c r="F100" s="7">
        <f t="shared" si="6"/>
        <v>2293500.6884536538</v>
      </c>
      <c r="G100" s="7">
        <f t="shared" si="6"/>
        <v>6802511.1224073516</v>
      </c>
      <c r="H100" s="7">
        <f t="shared" si="6"/>
        <v>3136942.2095350744</v>
      </c>
      <c r="I100" s="7">
        <f t="shared" si="6"/>
        <v>23197321.146000002</v>
      </c>
      <c r="J100" s="7">
        <f t="shared" si="6"/>
        <v>12232954.02039608</v>
      </c>
      <c r="L100" s="128"/>
      <c r="M100" s="129">
        <v>2006</v>
      </c>
      <c r="N100" s="129">
        <v>2007</v>
      </c>
      <c r="O100" s="129">
        <v>2008</v>
      </c>
      <c r="P100" s="129">
        <v>2009</v>
      </c>
      <c r="Q100" s="129">
        <v>2010</v>
      </c>
      <c r="R100" s="129">
        <v>2011</v>
      </c>
      <c r="S100" s="129">
        <v>2012</v>
      </c>
      <c r="T100" s="129">
        <v>2013</v>
      </c>
      <c r="U100" s="129">
        <v>2014</v>
      </c>
      <c r="V100" s="129">
        <v>2015</v>
      </c>
      <c r="W100" s="129">
        <v>2016</v>
      </c>
      <c r="X100" s="129">
        <v>2017</v>
      </c>
      <c r="Y100" s="129" t="s">
        <v>292</v>
      </c>
    </row>
    <row r="101" spans="1:41" x14ac:dyDescent="0.25">
      <c r="A101" s="2">
        <v>2007</v>
      </c>
      <c r="B101" s="2" t="str">
        <f t="shared" ref="B101:J101" si="7">B22</f>
        <v>Coal</v>
      </c>
      <c r="C101" s="7">
        <f t="shared" si="7"/>
        <v>744477</v>
      </c>
      <c r="D101" s="7">
        <f t="shared" si="7"/>
        <v>5142912</v>
      </c>
      <c r="E101" s="7">
        <f t="shared" si="7"/>
        <v>0</v>
      </c>
      <c r="F101" s="7">
        <f t="shared" si="7"/>
        <v>916275.60337272473</v>
      </c>
      <c r="G101" s="7">
        <f t="shared" si="7"/>
        <v>6329711.7249999996</v>
      </c>
      <c r="H101" s="7">
        <f t="shared" si="7"/>
        <v>0</v>
      </c>
      <c r="I101" s="7">
        <f t="shared" si="7"/>
        <v>5887389</v>
      </c>
      <c r="J101" s="7">
        <f t="shared" si="7"/>
        <v>7245987.3283727244</v>
      </c>
      <c r="L101" s="146" t="s">
        <v>284</v>
      </c>
      <c r="M101" s="131">
        <f>G96</f>
        <v>5917719.9500000002</v>
      </c>
      <c r="N101" s="24">
        <f>G101</f>
        <v>6329711.7249999996</v>
      </c>
      <c r="O101" s="24">
        <f>G106</f>
        <v>6130795</v>
      </c>
      <c r="P101" s="24">
        <f>G111</f>
        <v>5258788</v>
      </c>
      <c r="Q101" s="24">
        <f>G116</f>
        <v>6093354.7435887642</v>
      </c>
      <c r="R101" s="24">
        <f>G121</f>
        <v>4959800.6776280543</v>
      </c>
      <c r="S101" s="24">
        <f>G126</f>
        <v>4528259.9126447653</v>
      </c>
      <c r="T101" s="24">
        <f>G131</f>
        <v>5145052.1554388432</v>
      </c>
      <c r="U101" s="24">
        <f>G136</f>
        <v>5350265</v>
      </c>
      <c r="V101" s="24">
        <f>G141</f>
        <v>5508526.3000000007</v>
      </c>
      <c r="W101" s="24">
        <f>GETPIVOTDATA("Sum of Short Tons CO2",$L$1,"Year",2016,"Primary / Secondary Claim","PSE Generation","Fuel (Primary)","Coal")</f>
        <v>5079502</v>
      </c>
      <c r="X101" s="24">
        <f>GETPIVOTDATA("Sum of Short Tons CO2",$L$13,"Year",2017,"Primary / Secondary Claim","PSE Generation","Fuel (Primary)","Coal")</f>
        <v>4907711.8175352756</v>
      </c>
      <c r="Y101" s="132">
        <f>SUM(O101:X101)</f>
        <v>52962055.606835701</v>
      </c>
    </row>
    <row r="102" spans="1:41" x14ac:dyDescent="0.25">
      <c r="A102" s="2">
        <v>2007</v>
      </c>
      <c r="B102" s="2" t="str">
        <f t="shared" ref="B102:J102" si="8">B24</f>
        <v>Gas</v>
      </c>
      <c r="C102" s="7">
        <f t="shared" si="8"/>
        <v>1983398.75</v>
      </c>
      <c r="D102" s="7">
        <f t="shared" si="8"/>
        <v>1310311.5999999999</v>
      </c>
      <c r="E102" s="7">
        <f t="shared" si="8"/>
        <v>0</v>
      </c>
      <c r="F102" s="7">
        <f t="shared" si="8"/>
        <v>787209.47268651798</v>
      </c>
      <c r="G102" s="7">
        <f t="shared" si="8"/>
        <v>472491.71355703153</v>
      </c>
      <c r="H102" s="7">
        <f t="shared" si="8"/>
        <v>0</v>
      </c>
      <c r="I102" s="7">
        <f t="shared" si="8"/>
        <v>3293710.3499999996</v>
      </c>
      <c r="J102" s="7">
        <f t="shared" si="8"/>
        <v>1259701.1862435495</v>
      </c>
      <c r="L102" s="146" t="s">
        <v>285</v>
      </c>
      <c r="M102" s="131">
        <f>F96</f>
        <v>892481.8924064904</v>
      </c>
      <c r="N102" s="24">
        <f>F101</f>
        <v>916275.60337272473</v>
      </c>
      <c r="O102" s="24">
        <f>F106</f>
        <v>801889.75558233028</v>
      </c>
      <c r="P102" s="24">
        <f>F111</f>
        <v>716565.09146554756</v>
      </c>
      <c r="Q102" s="24">
        <f>F116</f>
        <v>850105.93071991508</v>
      </c>
      <c r="R102" s="24">
        <f>F121</f>
        <v>0</v>
      </c>
      <c r="S102" s="24">
        <f>F126</f>
        <v>0</v>
      </c>
      <c r="T102" s="24">
        <f>F131</f>
        <v>0</v>
      </c>
      <c r="U102" s="24">
        <f>F136</f>
        <v>157594.12492212933</v>
      </c>
      <c r="V102" s="24">
        <f>F141</f>
        <v>1986952.7107121402</v>
      </c>
      <c r="W102" s="24">
        <f>GETPIVOTDATA("Sum of Short Tons CO2",$L$1,"Year",2016,"Primary / Secondary Claim","Firm Primary","Fuel (Primary)","Coal")</f>
        <v>1891255.235921798</v>
      </c>
      <c r="X102" s="24">
        <f>GETPIVOTDATA("Sum of Short Tons CO2",$L$13,"Year",2017,"Primary / Secondary Claim","Firm Primary","Fuel (Primary)","Coal")</f>
        <v>2449181.3466417422</v>
      </c>
      <c r="Y102" s="132">
        <f t="shared" ref="Y102:Y109" si="9">SUM(O102:X102)</f>
        <v>8853544.195965603</v>
      </c>
      <c r="Z102" s="21">
        <f>(Y102+Y101)/Z104</f>
        <v>0.74828489325261116</v>
      </c>
    </row>
    <row r="103" spans="1:41" x14ac:dyDescent="0.25">
      <c r="B103" s="2" t="s">
        <v>283</v>
      </c>
      <c r="C103" s="7">
        <f>C100-C101-C102</f>
        <v>6625947.9999999981</v>
      </c>
      <c r="D103" s="7">
        <f>D100-D101-D102</f>
        <v>2169870.7960000001</v>
      </c>
      <c r="E103" s="7">
        <f t="shared" ref="E103" si="10">E100-E101-E102</f>
        <v>5220403</v>
      </c>
      <c r="F103" s="7">
        <f t="shared" ref="F103" si="11">F100-F101-F102</f>
        <v>590015.61239441112</v>
      </c>
      <c r="G103" s="7">
        <f t="shared" ref="G103" si="12">G100-G101-G102</f>
        <v>307.68385032046353</v>
      </c>
      <c r="H103" s="7">
        <f t="shared" ref="H103" si="13">H100-H101-H102</f>
        <v>3136942.2095350744</v>
      </c>
      <c r="I103" s="7"/>
      <c r="J103" s="7"/>
      <c r="L103" s="146" t="s">
        <v>286</v>
      </c>
      <c r="M103" s="131">
        <f>G97</f>
        <v>337723.09569995</v>
      </c>
      <c r="N103" s="24">
        <f>G102</f>
        <v>472491.71355703153</v>
      </c>
      <c r="O103" s="24">
        <f>G107</f>
        <v>731769.16058525152</v>
      </c>
      <c r="P103" s="24">
        <f>G112</f>
        <v>2121104.8021874363</v>
      </c>
      <c r="Q103" s="24">
        <f>G117</f>
        <v>1788660.9446573111</v>
      </c>
      <c r="R103" s="24">
        <f>G122</f>
        <v>882874.38248413219</v>
      </c>
      <c r="S103" s="24">
        <f>G127</f>
        <v>1453056.232862554</v>
      </c>
      <c r="T103" s="24">
        <f>G132</f>
        <v>2676353.2507888721</v>
      </c>
      <c r="U103" s="24">
        <f>G137</f>
        <v>2116533.9140632865</v>
      </c>
      <c r="V103" s="24">
        <f>G142</f>
        <v>2754715.3074426129</v>
      </c>
      <c r="W103" s="24">
        <f>GETPIVOTDATA("Sum of Short Tons CO2",$L$1,"Year",2016,"Primary / Secondary Claim","PSE Generation","Fuel (Primary)","Gas")</f>
        <v>2062316.2599128878</v>
      </c>
      <c r="X103" s="24">
        <f>GETPIVOTDATA("Sum of Short Tons CO2",$L$13,"Year",2017,"Primary / Secondary Claim","PSE Generation","Fuel (Primary)","Gas")</f>
        <v>1905778.8073912996</v>
      </c>
      <c r="Y103" s="132">
        <f t="shared" si="9"/>
        <v>18493163.062375642</v>
      </c>
    </row>
    <row r="104" spans="1:41" x14ac:dyDescent="0.25">
      <c r="C104" s="7"/>
      <c r="D104" s="7"/>
      <c r="E104" s="7"/>
      <c r="F104" s="7"/>
      <c r="G104" s="7"/>
      <c r="H104" s="7"/>
      <c r="I104" s="7"/>
      <c r="J104" s="7"/>
      <c r="L104" s="146" t="s">
        <v>287</v>
      </c>
      <c r="M104" s="131">
        <f>F97</f>
        <v>989931.32207078417</v>
      </c>
      <c r="N104" s="24">
        <f>F102</f>
        <v>787209.47268651798</v>
      </c>
      <c r="O104" s="24">
        <f>F107</f>
        <v>579075.31787353021</v>
      </c>
      <c r="P104" s="24">
        <f>F112</f>
        <v>737668.52580339019</v>
      </c>
      <c r="Q104" s="24">
        <f>F117</f>
        <v>674202.60194222</v>
      </c>
      <c r="R104" s="24">
        <f>F122</f>
        <v>305660.80967053678</v>
      </c>
      <c r="S104" s="24">
        <f>F127</f>
        <v>200.4699648575542</v>
      </c>
      <c r="T104" s="24">
        <f>F132</f>
        <v>3411.3448018121003</v>
      </c>
      <c r="U104" s="24">
        <f>F137</f>
        <v>488.47094447042167</v>
      </c>
      <c r="V104" s="24">
        <f>F142</f>
        <v>161.25650582378159</v>
      </c>
      <c r="W104" s="24">
        <f>GETPIVOTDATA("Sum of Short Tons CO2",$L$1,"Year",2016,"Primary / Secondary Claim","Firm Primary","Fuel (Primary)","Gas")</f>
        <v>80.707833518672004</v>
      </c>
      <c r="X104" s="24">
        <f>GETPIVOTDATA("Sum of Short Tons CO2",$L$13,"Year",2017,"Primary / Secondary Claim","Firm Primary","Fuel (Primary)","Gas")</f>
        <v>0</v>
      </c>
      <c r="Y104" s="132">
        <f t="shared" si="9"/>
        <v>2300949.5053401599</v>
      </c>
      <c r="Z104" s="6">
        <f>SUM(Y101:Y104)</f>
        <v>82609712.370517105</v>
      </c>
    </row>
    <row r="105" spans="1:41" x14ac:dyDescent="0.25">
      <c r="A105" s="2">
        <f>B28</f>
        <v>2008</v>
      </c>
      <c r="B105" s="2" t="s">
        <v>282</v>
      </c>
      <c r="C105" s="7">
        <f t="shared" ref="C105:J105" si="14">C28</f>
        <v>8711074.8719999995</v>
      </c>
      <c r="D105" s="7">
        <f t="shared" si="14"/>
        <v>9419375.256000001</v>
      </c>
      <c r="E105" s="7">
        <f t="shared" si="14"/>
        <v>5441422.0399999991</v>
      </c>
      <c r="F105" s="7">
        <f t="shared" si="14"/>
        <v>1929074.4436774186</v>
      </c>
      <c r="G105" s="7">
        <f t="shared" si="14"/>
        <v>6862868.9862101311</v>
      </c>
      <c r="H105" s="7">
        <f t="shared" si="14"/>
        <v>2787286.6950858752</v>
      </c>
      <c r="I105" s="7">
        <f t="shared" si="14"/>
        <v>23571872.167999998</v>
      </c>
      <c r="J105" s="7">
        <f t="shared" si="14"/>
        <v>11579230.124973424</v>
      </c>
      <c r="L105" s="146" t="s">
        <v>288</v>
      </c>
      <c r="M105" s="131">
        <f>G98</f>
        <v>911.52864000026602</v>
      </c>
      <c r="N105" s="24">
        <f>G103</f>
        <v>307.68385032046353</v>
      </c>
      <c r="O105" s="24">
        <f>G108</f>
        <v>304.82562487956602</v>
      </c>
      <c r="P105" s="24">
        <f>G113</f>
        <v>382.60538600571454</v>
      </c>
      <c r="Q105" s="24">
        <f>G118</f>
        <v>119.08045835397206</v>
      </c>
      <c r="R105" s="24">
        <f>G123</f>
        <v>250.56210081488825</v>
      </c>
      <c r="S105" s="24">
        <f>G128</f>
        <v>10823.367798363324</v>
      </c>
      <c r="T105" s="24">
        <f>G133</f>
        <v>64.04744728282094</v>
      </c>
      <c r="U105" s="24">
        <f>G138</f>
        <v>326.1225202656351</v>
      </c>
      <c r="V105" s="24">
        <f>G143</f>
        <v>267.67665176931769</v>
      </c>
      <c r="W105" s="24">
        <f>GETPIVOTDATA("Sum of Short Tons CO2",$L$1,"Year",2016,"Primary / Secondary Claim","PSE Generation","Fuel (Primary)","Oil")</f>
        <v>170.11081345023362</v>
      </c>
      <c r="X105" s="24">
        <f>GETPIVOTDATA("Sum of Short Tons CO2",$L$13,"Year",2017,"Primary / Secondary Claim","PSE Generation","Fuel (Primary)","Diesel")</f>
        <v>367.80096306048716</v>
      </c>
      <c r="Y105" s="132">
        <f t="shared" si="9"/>
        <v>13076.199764245959</v>
      </c>
    </row>
    <row r="106" spans="1:41" x14ac:dyDescent="0.25">
      <c r="A106" s="2">
        <v>2008</v>
      </c>
      <c r="B106" s="2" t="str">
        <f t="shared" ref="B106:J106" si="15">B30</f>
        <v>Coal</v>
      </c>
      <c r="C106" s="7">
        <f t="shared" si="15"/>
        <v>795395</v>
      </c>
      <c r="D106" s="7">
        <f t="shared" si="15"/>
        <v>5067445</v>
      </c>
      <c r="E106" s="7">
        <f t="shared" si="15"/>
        <v>0</v>
      </c>
      <c r="F106" s="7">
        <f t="shared" si="15"/>
        <v>801889.75558233028</v>
      </c>
      <c r="G106" s="7">
        <f t="shared" si="15"/>
        <v>6130795</v>
      </c>
      <c r="H106" s="7">
        <f t="shared" si="15"/>
        <v>0</v>
      </c>
      <c r="I106" s="7">
        <f t="shared" si="15"/>
        <v>5862840</v>
      </c>
      <c r="J106" s="7">
        <f t="shared" si="15"/>
        <v>6932684.7555823307</v>
      </c>
      <c r="L106" s="146" t="s">
        <v>289</v>
      </c>
      <c r="M106" s="131">
        <f>F98</f>
        <v>564434.77554397611</v>
      </c>
      <c r="N106" s="24">
        <f>F103</f>
        <v>590015.61239441112</v>
      </c>
      <c r="O106" s="24">
        <f>F108</f>
        <v>548109.37022155814</v>
      </c>
      <c r="P106" s="24">
        <f>F113</f>
        <v>397766.21656276449</v>
      </c>
      <c r="Q106" s="24">
        <f>F118</f>
        <v>1285614.5335668433</v>
      </c>
      <c r="R106" s="24">
        <f>F123</f>
        <v>1097367.16953607</v>
      </c>
      <c r="S106" s="24">
        <f>F128</f>
        <v>790139.0310257622</v>
      </c>
      <c r="T106" s="24">
        <f>F133</f>
        <v>499428.51509914635</v>
      </c>
      <c r="U106" s="24">
        <f>F138</f>
        <v>302576.55000300001</v>
      </c>
      <c r="V106" s="24">
        <f>F143</f>
        <v>252050.45651099985</v>
      </c>
      <c r="W106" s="24">
        <f>GETPIVOTDATA("Sum of Short Tons CO2",$L$1,"Year",2016,"Primary / Secondary Claim","Firm Primary","Fuel (Primary)","System")</f>
        <v>619003.63796750002</v>
      </c>
      <c r="X106" s="24">
        <f>GETPIVOTDATA("Sum of Short Tons CO2",$L$13,"Year",2017,"Primary / Secondary Claim","Firm Primary","Fuel (Primary)","System")</f>
        <v>766336.50247599999</v>
      </c>
      <c r="Y106" s="132">
        <f t="shared" si="9"/>
        <v>6558391.9829696445</v>
      </c>
    </row>
    <row r="107" spans="1:41" x14ac:dyDescent="0.25">
      <c r="A107" s="2">
        <v>2008</v>
      </c>
      <c r="B107" s="2" t="str">
        <f t="shared" ref="B107:J107" si="16">B32</f>
        <v>Gas</v>
      </c>
      <c r="C107" s="7">
        <f t="shared" si="16"/>
        <v>1514540.69</v>
      </c>
      <c r="D107" s="7">
        <f t="shared" si="16"/>
        <v>2269225.3870000001</v>
      </c>
      <c r="E107" s="7">
        <f t="shared" si="16"/>
        <v>0</v>
      </c>
      <c r="F107" s="7">
        <f t="shared" si="16"/>
        <v>579075.31787353021</v>
      </c>
      <c r="G107" s="7">
        <f t="shared" si="16"/>
        <v>731769.16058525152</v>
      </c>
      <c r="H107" s="7">
        <f t="shared" si="16"/>
        <v>0</v>
      </c>
      <c r="I107" s="7">
        <f t="shared" si="16"/>
        <v>3783766.077</v>
      </c>
      <c r="J107" s="7">
        <f t="shared" si="16"/>
        <v>1310844.4784587817</v>
      </c>
      <c r="L107" s="146" t="s">
        <v>350</v>
      </c>
      <c r="M107" s="131">
        <f>H98</f>
        <v>3101015.7505617333</v>
      </c>
      <c r="N107" s="24">
        <f>H103</f>
        <v>3136942.2095350744</v>
      </c>
      <c r="O107" s="24">
        <f>H108</f>
        <v>2787286.6950858752</v>
      </c>
      <c r="P107" s="24">
        <f>H113</f>
        <v>2465915.3735550479</v>
      </c>
      <c r="Q107" s="24">
        <f>H118</f>
        <v>1897917.2298310385</v>
      </c>
      <c r="R107" s="24">
        <f>H123</f>
        <v>3064415.2106302725</v>
      </c>
      <c r="S107" s="24">
        <f>H128</f>
        <v>3489259.0462222076</v>
      </c>
      <c r="T107" s="24">
        <f>H133</f>
        <v>3326881.3430049806</v>
      </c>
      <c r="U107" s="24">
        <f>H138</f>
        <v>3138202.3358790041</v>
      </c>
      <c r="V107" s="24">
        <f>H143</f>
        <v>1851818.5102739995</v>
      </c>
      <c r="W107" s="24">
        <f>GETPIVOTDATA("Sum of Short Tons CO2",$L$1,"Year",2016,"Primary / Secondary Claim","Secondary","Fuel (Primary)","System")</f>
        <v>1537613.5712462435</v>
      </c>
      <c r="X107" s="24">
        <f>GETPIVOTDATA("Sum of Short Tons CO2",$L$13,"Year",2017,"Primary / Secondary Claim","Secondary","Fuel (Primary)","System")</f>
        <v>1188668.7804200475</v>
      </c>
      <c r="Y107" s="132">
        <f t="shared" si="9"/>
        <v>24747978.096148718</v>
      </c>
    </row>
    <row r="108" spans="1:41" x14ac:dyDescent="0.25">
      <c r="B108" s="2" t="s">
        <v>283</v>
      </c>
      <c r="C108" s="7">
        <f>C105-C106-C107</f>
        <v>6401139.182</v>
      </c>
      <c r="D108" s="7">
        <f>D105-D106-D107</f>
        <v>2082704.8690000009</v>
      </c>
      <c r="E108" s="7">
        <f t="shared" ref="E108" si="17">E105-E106-E107</f>
        <v>5441422.0399999991</v>
      </c>
      <c r="F108" s="7">
        <f t="shared" ref="F108" si="18">F105-F106-F107</f>
        <v>548109.37022155814</v>
      </c>
      <c r="G108" s="7">
        <f t="shared" ref="G108" si="19">G105-G106-G107</f>
        <v>304.82562487956602</v>
      </c>
      <c r="H108" s="7">
        <f t="shared" ref="H108" si="20">H105-H106-H107</f>
        <v>2787286.6950858752</v>
      </c>
      <c r="I108" s="7"/>
      <c r="J108" s="7"/>
      <c r="L108" s="146" t="s">
        <v>332</v>
      </c>
      <c r="M108" s="24">
        <v>6946064.2630194854</v>
      </c>
      <c r="N108" s="24">
        <v>6946064.2630194854</v>
      </c>
      <c r="O108" s="24">
        <v>6946064.2630194854</v>
      </c>
      <c r="P108" s="24">
        <v>6946064.2630194854</v>
      </c>
      <c r="Q108" s="24">
        <v>6946064.2630194854</v>
      </c>
      <c r="R108" s="24">
        <v>6946064.2630194854</v>
      </c>
      <c r="S108" s="24">
        <v>6946064.2630194854</v>
      </c>
      <c r="T108" s="24">
        <v>6946064.2630194854</v>
      </c>
      <c r="U108" s="24">
        <v>6946064.2630194854</v>
      </c>
      <c r="V108" s="24">
        <v>6946064.2630194854</v>
      </c>
      <c r="W108" s="24">
        <v>6946064.2630194854</v>
      </c>
      <c r="X108" s="24">
        <v>6946064.2630194854</v>
      </c>
      <c r="Y108" s="132"/>
    </row>
    <row r="109" spans="1:41" x14ac:dyDescent="0.25">
      <c r="C109" s="7"/>
      <c r="D109" s="7"/>
      <c r="E109" s="7"/>
      <c r="F109" s="7"/>
      <c r="G109" s="7"/>
      <c r="H109" s="7"/>
      <c r="I109" s="7"/>
      <c r="J109" s="7"/>
      <c r="L109" s="146" t="s">
        <v>331</v>
      </c>
      <c r="M109" s="131">
        <f t="shared" ref="M109:W109" si="21">SUM(M101:M107)</f>
        <v>11804218.314922934</v>
      </c>
      <c r="N109" s="131">
        <f t="shared" si="21"/>
        <v>12232954.02039608</v>
      </c>
      <c r="O109" s="131">
        <f t="shared" si="21"/>
        <v>11579230.124973426</v>
      </c>
      <c r="P109" s="131">
        <f t="shared" si="21"/>
        <v>11698190.614960192</v>
      </c>
      <c r="Q109" s="131">
        <f t="shared" si="21"/>
        <v>12589975.064764448</v>
      </c>
      <c r="R109" s="131">
        <f t="shared" si="21"/>
        <v>10310368.812049881</v>
      </c>
      <c r="S109" s="131">
        <f t="shared" si="21"/>
        <v>10271738.060518509</v>
      </c>
      <c r="T109" s="131">
        <f t="shared" si="21"/>
        <v>11651190.656580938</v>
      </c>
      <c r="U109" s="131">
        <f t="shared" si="21"/>
        <v>11065986.518332155</v>
      </c>
      <c r="V109" s="131">
        <f t="shared" si="21"/>
        <v>12354492.218097348</v>
      </c>
      <c r="W109" s="131">
        <f t="shared" si="21"/>
        <v>11189941.5236954</v>
      </c>
      <c r="X109" s="133">
        <f t="shared" ref="X109" si="22">SUM(X101:X107)</f>
        <v>11218045.055427425</v>
      </c>
      <c r="Y109" s="132">
        <f t="shared" si="9"/>
        <v>113929158.6493997</v>
      </c>
    </row>
    <row r="110" spans="1:41" x14ac:dyDescent="0.25">
      <c r="A110" s="2">
        <f>B36</f>
        <v>2009</v>
      </c>
      <c r="B110" s="2" t="s">
        <v>282</v>
      </c>
      <c r="C110" s="7">
        <f t="shared" ref="C110:J110" si="23">C36</f>
        <v>8285761.1199999992</v>
      </c>
      <c r="D110" s="7">
        <f t="shared" si="23"/>
        <v>10748523.222000001</v>
      </c>
      <c r="E110" s="7">
        <f t="shared" si="23"/>
        <v>4408167.4979999997</v>
      </c>
      <c r="F110" s="7">
        <f t="shared" si="23"/>
        <v>1851999.8338317021</v>
      </c>
      <c r="G110" s="7">
        <f t="shared" si="23"/>
        <v>7380275.407573442</v>
      </c>
      <c r="H110" s="7">
        <f t="shared" si="23"/>
        <v>2465915.3735550479</v>
      </c>
      <c r="I110" s="7">
        <f t="shared" si="23"/>
        <v>23442451.84</v>
      </c>
      <c r="J110" s="7">
        <f t="shared" si="23"/>
        <v>11698190.614960192</v>
      </c>
      <c r="M110" s="10"/>
      <c r="N110" s="10"/>
      <c r="O110" s="10"/>
      <c r="P110" s="10"/>
      <c r="Q110" s="10"/>
      <c r="R110" s="10"/>
      <c r="S110" s="10"/>
      <c r="T110" s="10"/>
      <c r="U110" s="10"/>
      <c r="V110" s="10"/>
      <c r="W110" s="10"/>
      <c r="X110" s="10"/>
    </row>
    <row r="111" spans="1:41" ht="16.5" thickBot="1" x14ac:dyDescent="0.3">
      <c r="A111" s="2">
        <v>2009</v>
      </c>
      <c r="B111" s="2" t="str">
        <f t="shared" ref="B111:J111" si="24">B38</f>
        <v>Coal</v>
      </c>
      <c r="C111" s="7">
        <f t="shared" si="24"/>
        <v>591921</v>
      </c>
      <c r="D111" s="7">
        <f t="shared" si="24"/>
        <v>4451104</v>
      </c>
      <c r="E111" s="7">
        <f t="shared" si="24"/>
        <v>0</v>
      </c>
      <c r="F111" s="7">
        <f t="shared" si="24"/>
        <v>716565.09146554756</v>
      </c>
      <c r="G111" s="7">
        <f t="shared" si="24"/>
        <v>5258788</v>
      </c>
      <c r="H111" s="7">
        <f t="shared" si="24"/>
        <v>0</v>
      </c>
      <c r="I111" s="7">
        <f t="shared" si="24"/>
        <v>5043025</v>
      </c>
      <c r="J111" s="7">
        <f t="shared" si="24"/>
        <v>5975353.0914655477</v>
      </c>
      <c r="M111" s="10"/>
      <c r="N111" s="10"/>
      <c r="O111" s="10"/>
      <c r="P111" s="10"/>
      <c r="Q111" s="10"/>
      <c r="R111" s="10"/>
      <c r="S111" s="10"/>
      <c r="T111" s="10"/>
      <c r="U111" s="10"/>
      <c r="V111" s="10"/>
      <c r="W111" s="10"/>
      <c r="X111" s="22"/>
      <c r="AE111" s="42" t="s">
        <v>370</v>
      </c>
      <c r="AN111" s="3"/>
      <c r="AO111" s="3"/>
    </row>
    <row r="112" spans="1:41" x14ac:dyDescent="0.25">
      <c r="A112" s="2">
        <v>2009</v>
      </c>
      <c r="B112" s="2" t="str">
        <f t="shared" ref="B112:J112" si="25">B40</f>
        <v>Gas</v>
      </c>
      <c r="C112" s="7">
        <f t="shared" si="25"/>
        <v>1862312.49</v>
      </c>
      <c r="D112" s="7">
        <f t="shared" si="25"/>
        <v>4362726.5999999996</v>
      </c>
      <c r="E112" s="7">
        <f t="shared" si="25"/>
        <v>0</v>
      </c>
      <c r="F112" s="7">
        <f t="shared" si="25"/>
        <v>737668.52580339019</v>
      </c>
      <c r="G112" s="7">
        <f t="shared" si="25"/>
        <v>2121104.8021874363</v>
      </c>
      <c r="H112" s="7">
        <f t="shared" si="25"/>
        <v>0</v>
      </c>
      <c r="I112" s="7">
        <f t="shared" si="25"/>
        <v>6225039.0899999999</v>
      </c>
      <c r="J112" s="7">
        <f t="shared" si="25"/>
        <v>2858773.3279908262</v>
      </c>
      <c r="M112" s="22" t="s">
        <v>309</v>
      </c>
      <c r="N112" s="22" t="s">
        <v>309</v>
      </c>
      <c r="O112" s="22" t="s">
        <v>309</v>
      </c>
      <c r="P112" s="22" t="s">
        <v>309</v>
      </c>
      <c r="Q112" s="22" t="s">
        <v>309</v>
      </c>
      <c r="R112" s="22" t="s">
        <v>309</v>
      </c>
      <c r="S112" s="22" t="s">
        <v>309</v>
      </c>
      <c r="T112" s="22" t="s">
        <v>309</v>
      </c>
      <c r="U112" s="22" t="s">
        <v>309</v>
      </c>
      <c r="V112" s="22" t="s">
        <v>309</v>
      </c>
      <c r="W112" s="22" t="s">
        <v>309</v>
      </c>
      <c r="X112" s="22" t="s">
        <v>309</v>
      </c>
      <c r="Y112" s="43" t="s">
        <v>368</v>
      </c>
      <c r="AE112" s="14"/>
      <c r="AF112" s="61"/>
      <c r="AG112" s="62"/>
      <c r="AH112" s="63"/>
      <c r="AI112" s="64"/>
      <c r="AJ112" s="65"/>
      <c r="AK112" s="62"/>
      <c r="AL112" s="63"/>
      <c r="AM112" s="64"/>
      <c r="AN112" s="13"/>
      <c r="AO112" s="3"/>
    </row>
    <row r="113" spans="1:41" ht="45.75" thickBot="1" x14ac:dyDescent="0.3">
      <c r="B113" s="2" t="s">
        <v>283</v>
      </c>
      <c r="C113" s="7">
        <f>C110-C111-C112</f>
        <v>5831527.629999999</v>
      </c>
      <c r="D113" s="7">
        <f>D110-D111-D112</f>
        <v>1934692.6220000014</v>
      </c>
      <c r="E113" s="7">
        <f t="shared" ref="E113" si="26">E110-E111-E112</f>
        <v>4408167.4979999997</v>
      </c>
      <c r="F113" s="7">
        <f t="shared" ref="F113" si="27">F110-F111-F112</f>
        <v>397766.21656276449</v>
      </c>
      <c r="G113" s="7">
        <f t="shared" ref="G113" si="28">G110-G111-G112</f>
        <v>382.60538600571454</v>
      </c>
      <c r="H113" s="7">
        <f t="shared" ref="H113" si="29">H110-H111-H112</f>
        <v>2465915.3735550479</v>
      </c>
      <c r="I113" s="7"/>
      <c r="J113" s="7"/>
      <c r="L113" s="3"/>
      <c r="M113" s="4">
        <v>2006</v>
      </c>
      <c r="N113" s="4">
        <v>2007</v>
      </c>
      <c r="O113" s="4">
        <v>2008</v>
      </c>
      <c r="P113" s="4">
        <v>2009</v>
      </c>
      <c r="Q113" s="4">
        <v>2010</v>
      </c>
      <c r="R113" s="4">
        <v>2011</v>
      </c>
      <c r="S113" s="4">
        <v>2012</v>
      </c>
      <c r="T113" s="4">
        <v>2013</v>
      </c>
      <c r="U113" s="4">
        <v>2014</v>
      </c>
      <c r="V113" s="4">
        <v>2015</v>
      </c>
      <c r="W113" s="4">
        <v>2016</v>
      </c>
      <c r="X113" s="10">
        <v>2017</v>
      </c>
      <c r="Y113" s="4" t="s">
        <v>292</v>
      </c>
      <c r="Z113" s="116" t="s">
        <v>345</v>
      </c>
      <c r="AA113" s="3" t="s">
        <v>322</v>
      </c>
      <c r="AB113" s="123" t="s">
        <v>342</v>
      </c>
      <c r="AC113" s="124" t="s">
        <v>391</v>
      </c>
      <c r="AE113" s="71" t="s">
        <v>346</v>
      </c>
      <c r="AF113" s="66" t="s">
        <v>343</v>
      </c>
      <c r="AG113" s="67" t="str">
        <f>Z113</f>
        <v>% PSE Only (All Owned)</v>
      </c>
      <c r="AH113" s="68" t="str">
        <f>AB113</f>
        <v>% PSE Only Thermal</v>
      </c>
      <c r="AI113" s="69" t="str">
        <f t="shared" ref="AI113:AI120" si="30">AA113</f>
        <v>% of Total</v>
      </c>
      <c r="AJ113" s="70" t="s">
        <v>344</v>
      </c>
      <c r="AK113" s="67" t="str">
        <f>Z144</f>
        <v>% PSE Only (All Owned)</v>
      </c>
      <c r="AL113" s="68" t="str">
        <f>AB144</f>
        <v>% PSE Only Thermal</v>
      </c>
      <c r="AM113" s="69" t="str">
        <f t="shared" ref="AM113:AM120" si="31">AA144</f>
        <v>% of Total</v>
      </c>
      <c r="AN113" s="3"/>
      <c r="AO113" s="3"/>
    </row>
    <row r="114" spans="1:41" x14ac:dyDescent="0.25">
      <c r="C114" s="7"/>
      <c r="D114" s="7"/>
      <c r="E114" s="7"/>
      <c r="F114" s="7"/>
      <c r="G114" s="7"/>
      <c r="H114" s="7"/>
      <c r="I114" s="7"/>
      <c r="J114" s="7"/>
      <c r="L114" s="146" t="s">
        <v>284</v>
      </c>
      <c r="M114" s="24">
        <f>D96</f>
        <v>4800028</v>
      </c>
      <c r="N114" s="24">
        <f>D101</f>
        <v>5142912</v>
      </c>
      <c r="O114" s="24">
        <f>D106</f>
        <v>5067445</v>
      </c>
      <c r="P114" s="24">
        <f>D111</f>
        <v>4451104</v>
      </c>
      <c r="Q114" s="24">
        <f>D116</f>
        <v>5198105</v>
      </c>
      <c r="R114" s="24">
        <f>D121</f>
        <v>4210583</v>
      </c>
      <c r="S114" s="24">
        <f>D126</f>
        <v>3809524.0120000001</v>
      </c>
      <c r="T114" s="24">
        <f>D131</f>
        <v>4346208</v>
      </c>
      <c r="U114" s="24">
        <f>D136</f>
        <v>4509567</v>
      </c>
      <c r="V114" s="24">
        <f>D141</f>
        <v>4495032</v>
      </c>
      <c r="W114" s="24">
        <f>GETPIVOTDATA("Sum of MWh",$L$1,"Year",2016,"Primary / Secondary Claim","PSE Generation","Fuel (Primary)","Coal")</f>
        <v>4529179</v>
      </c>
      <c r="X114" s="24">
        <f>GETPIVOTDATA("Sum of MWh",$L$13,"Year",2017,"Primary / Secondary Claim","PSE Generation","Fuel (Primary)","Coal")</f>
        <v>4463705</v>
      </c>
      <c r="Y114" s="24">
        <f>SUM(O114:X114)</f>
        <v>45080452.012000002</v>
      </c>
      <c r="Z114" s="45">
        <f>Y114/Y122</f>
        <v>0.41902490547079707</v>
      </c>
      <c r="AA114" s="28">
        <f t="shared" ref="AA114:AA120" si="32">Y114/$Y$121</f>
        <v>0.19990828045694556</v>
      </c>
      <c r="AB114" s="21">
        <f>Y114/(Y114+Y116)</f>
        <v>0.53876776696031026</v>
      </c>
      <c r="AC114" s="122" t="s">
        <v>389</v>
      </c>
      <c r="AE114" s="37" t="str">
        <f t="shared" ref="AE114:AE121" si="33">L114</f>
        <v>PSE Owned Coal</v>
      </c>
      <c r="AF114" s="35">
        <f t="shared" ref="AF114:AF124" si="34">Y114</f>
        <v>45080452.012000002</v>
      </c>
      <c r="AG114" s="57">
        <f>Z114</f>
        <v>0.41902490547079707</v>
      </c>
      <c r="AH114" s="54">
        <f>AB114</f>
        <v>0.53876776696031026</v>
      </c>
      <c r="AI114" s="48">
        <f t="shared" si="30"/>
        <v>0.19990828045694556</v>
      </c>
      <c r="AJ114" s="49">
        <f t="shared" ref="AJ114:AJ120" si="35">Y101</f>
        <v>52962055.606835701</v>
      </c>
      <c r="AK114" s="57">
        <f>Z145</f>
        <v>0.74105665601694015</v>
      </c>
      <c r="AL114" s="54">
        <f>AB145</f>
        <v>0.74119226829342855</v>
      </c>
      <c r="AM114" s="48">
        <f t="shared" si="31"/>
        <v>0.4648683114550039</v>
      </c>
      <c r="AN114" s="3"/>
      <c r="AO114" s="3"/>
    </row>
    <row r="115" spans="1:41" x14ac:dyDescent="0.25">
      <c r="A115" s="2">
        <f>B44</f>
        <v>2010</v>
      </c>
      <c r="B115" s="2" t="s">
        <v>282</v>
      </c>
      <c r="C115" s="7">
        <f t="shared" ref="C115:J115" si="36">C44</f>
        <v>8188156.1829999993</v>
      </c>
      <c r="D115" s="7">
        <f t="shared" si="36"/>
        <v>11220934.612</v>
      </c>
      <c r="E115" s="7">
        <f t="shared" si="36"/>
        <v>3185182.9120000005</v>
      </c>
      <c r="F115" s="7">
        <f t="shared" si="36"/>
        <v>2809923.0662289783</v>
      </c>
      <c r="G115" s="7">
        <f t="shared" si="36"/>
        <v>7882134.7687044293</v>
      </c>
      <c r="H115" s="7">
        <f t="shared" si="36"/>
        <v>1897917.2298310385</v>
      </c>
      <c r="I115" s="7">
        <f t="shared" si="36"/>
        <v>22594273.707000002</v>
      </c>
      <c r="J115" s="7">
        <f t="shared" si="36"/>
        <v>12589975.064764446</v>
      </c>
      <c r="L115" s="146" t="s">
        <v>427</v>
      </c>
      <c r="M115" s="24">
        <f>C96</f>
        <v>723917</v>
      </c>
      <c r="N115" s="24">
        <f>C101</f>
        <v>744477</v>
      </c>
      <c r="O115" s="24">
        <f>C106</f>
        <v>795395</v>
      </c>
      <c r="P115" s="24">
        <f>C111</f>
        <v>591921</v>
      </c>
      <c r="Q115" s="24">
        <f>C116</f>
        <v>788313</v>
      </c>
      <c r="R115" s="24">
        <f>C121</f>
        <v>0</v>
      </c>
      <c r="S115" s="24">
        <f>C126</f>
        <v>0</v>
      </c>
      <c r="T115" s="24">
        <f>C131</f>
        <v>0</v>
      </c>
      <c r="U115" s="24">
        <f>C136</f>
        <v>133020</v>
      </c>
      <c r="V115" s="24">
        <f>C141</f>
        <v>1651177</v>
      </c>
      <c r="W115" s="24">
        <f>GETPIVOTDATA("Sum of MWh",$L$1,"Year",2016,"Primary / Secondary Claim","Firm Primary","Fuel (Primary)","Coal")</f>
        <v>1568805</v>
      </c>
      <c r="X115" s="24">
        <f>GETPIVOTDATA("Sum of MWh",$L$13,"Year",2017,"Primary / Secondary Claim","Firm Primary","Fuel (Primary)","Coal")</f>
        <v>2070958</v>
      </c>
      <c r="Y115" s="24">
        <f t="shared" ref="Y115:Y121" si="37">SUM(O115:X115)</f>
        <v>7599589</v>
      </c>
      <c r="Z115" s="46"/>
      <c r="AA115" s="28">
        <f t="shared" si="32"/>
        <v>3.3700211541027043E-2</v>
      </c>
      <c r="AB115" s="29"/>
      <c r="AC115" s="122" t="s">
        <v>390</v>
      </c>
      <c r="AE115" s="72" t="str">
        <f t="shared" si="33"/>
        <v>Firm Coal</v>
      </c>
      <c r="AF115" s="73">
        <f t="shared" si="34"/>
        <v>7599589</v>
      </c>
      <c r="AG115" s="74"/>
      <c r="AH115" s="75"/>
      <c r="AI115" s="76">
        <f t="shared" si="30"/>
        <v>3.3700211541027043E-2</v>
      </c>
      <c r="AJ115" s="77">
        <f t="shared" si="35"/>
        <v>8853544.195965603</v>
      </c>
      <c r="AK115" s="74"/>
      <c r="AL115" s="75"/>
      <c r="AM115" s="76">
        <f t="shared" si="31"/>
        <v>7.771095916903141E-2</v>
      </c>
      <c r="AN115" s="3"/>
      <c r="AO115" s="3"/>
    </row>
    <row r="116" spans="1:41" x14ac:dyDescent="0.25">
      <c r="A116" s="2">
        <v>2010</v>
      </c>
      <c r="B116" s="2" t="str">
        <f t="shared" ref="B116:J116" si="38">B46</f>
        <v>Coal</v>
      </c>
      <c r="C116" s="7">
        <f t="shared" si="38"/>
        <v>788313</v>
      </c>
      <c r="D116" s="7">
        <f t="shared" si="38"/>
        <v>5198105</v>
      </c>
      <c r="E116" s="7">
        <f t="shared" si="38"/>
        <v>0</v>
      </c>
      <c r="F116" s="7">
        <f t="shared" si="38"/>
        <v>850105.93071991508</v>
      </c>
      <c r="G116" s="7">
        <f t="shared" si="38"/>
        <v>6093354.7435887642</v>
      </c>
      <c r="H116" s="7">
        <f t="shared" si="38"/>
        <v>0</v>
      </c>
      <c r="I116" s="7">
        <f t="shared" si="38"/>
        <v>5986418</v>
      </c>
      <c r="J116" s="7">
        <f t="shared" si="38"/>
        <v>6943460.6743086791</v>
      </c>
      <c r="L116" s="146" t="s">
        <v>286</v>
      </c>
      <c r="M116" s="24">
        <f>D97</f>
        <v>722129.85000000009</v>
      </c>
      <c r="N116" s="24">
        <f>D102</f>
        <v>1310311.5999999999</v>
      </c>
      <c r="O116" s="24">
        <f>D107</f>
        <v>2269225.3870000001</v>
      </c>
      <c r="P116" s="24">
        <f>D112</f>
        <v>4362726.5999999996</v>
      </c>
      <c r="Q116" s="24">
        <f>D117</f>
        <v>4102193.2009999999</v>
      </c>
      <c r="R116" s="24">
        <f>D122</f>
        <v>1822863.2229999998</v>
      </c>
      <c r="S116" s="24">
        <f>D127</f>
        <v>2620038.1639999999</v>
      </c>
      <c r="T116" s="24">
        <f>D132</f>
        <v>5355199.6630000006</v>
      </c>
      <c r="U116" s="24">
        <f>D137</f>
        <v>4154625.34</v>
      </c>
      <c r="V116" s="24">
        <f>D142</f>
        <v>5830023.9449999994</v>
      </c>
      <c r="W116" s="24">
        <f>GETPIVOTDATA("Sum of MWh",$L$1,"Year",2016,"Primary / Secondary Claim","PSE Generation","Fuel (Primary)","Gas")</f>
        <v>4152008.3859999999</v>
      </c>
      <c r="X116" s="24">
        <f>GETPIVOTDATA("Sum of MWh",$L$13,"Year",2017,"Primary / Secondary Claim","PSE Generation","Fuel (Primary)","Gas")</f>
        <v>3923897.7079999992</v>
      </c>
      <c r="Y116" s="24">
        <f t="shared" si="37"/>
        <v>38592801.616999991</v>
      </c>
      <c r="Z116" s="45">
        <f>Y116/Y122</f>
        <v>0.35872189225414114</v>
      </c>
      <c r="AA116" s="28">
        <f t="shared" si="32"/>
        <v>0.17113893638903241</v>
      </c>
      <c r="AB116" s="21">
        <f>Y116/(Y114+Y116)</f>
        <v>0.46123223303968974</v>
      </c>
      <c r="AC116" s="122" t="s">
        <v>389</v>
      </c>
      <c r="AE116" s="37" t="str">
        <f t="shared" si="33"/>
        <v>PSE Owned Gas</v>
      </c>
      <c r="AF116" s="35">
        <f t="shared" si="34"/>
        <v>38592801.616999991</v>
      </c>
      <c r="AG116" s="57">
        <f>Z116</f>
        <v>0.35872189225414114</v>
      </c>
      <c r="AH116" s="54">
        <f>AB116</f>
        <v>0.46123223303968974</v>
      </c>
      <c r="AI116" s="48">
        <f t="shared" si="30"/>
        <v>0.17113893638903241</v>
      </c>
      <c r="AJ116" s="49">
        <f t="shared" si="35"/>
        <v>18493163.062375642</v>
      </c>
      <c r="AK116" s="57">
        <f>Z147</f>
        <v>0.258760378938375</v>
      </c>
      <c r="AL116" s="54">
        <f>AB147</f>
        <v>0.25880773170657145</v>
      </c>
      <c r="AM116" s="48">
        <f t="shared" si="31"/>
        <v>0.16232159775080621</v>
      </c>
      <c r="AN116" s="3"/>
      <c r="AO116" s="3"/>
    </row>
    <row r="117" spans="1:41" x14ac:dyDescent="0.25">
      <c r="A117" s="2">
        <v>2010</v>
      </c>
      <c r="B117" s="2" t="str">
        <f t="shared" ref="B117:J117" si="39">B48</f>
        <v>Gas</v>
      </c>
      <c r="C117" s="7">
        <f t="shared" si="39"/>
        <v>1733966.8559999999</v>
      </c>
      <c r="D117" s="7">
        <f t="shared" si="39"/>
        <v>4102193.2009999999</v>
      </c>
      <c r="E117" s="7">
        <f t="shared" si="39"/>
        <v>0</v>
      </c>
      <c r="F117" s="7">
        <f t="shared" si="39"/>
        <v>674202.60194222</v>
      </c>
      <c r="G117" s="7">
        <f t="shared" si="39"/>
        <v>1788660.9446573111</v>
      </c>
      <c r="H117" s="7">
        <f t="shared" si="39"/>
        <v>0</v>
      </c>
      <c r="I117" s="7">
        <f t="shared" si="39"/>
        <v>5836160.057</v>
      </c>
      <c r="J117" s="7">
        <f t="shared" si="39"/>
        <v>2462863.5465995311</v>
      </c>
      <c r="L117" s="146" t="s">
        <v>428</v>
      </c>
      <c r="M117" s="24">
        <f>C97</f>
        <v>2407681.58</v>
      </c>
      <c r="N117" s="24">
        <f>C102</f>
        <v>1983398.75</v>
      </c>
      <c r="O117" s="24">
        <f>C107</f>
        <v>1514540.69</v>
      </c>
      <c r="P117" s="24">
        <f>C112</f>
        <v>1862312.49</v>
      </c>
      <c r="Q117" s="24">
        <f>C117</f>
        <v>1733966.8559999999</v>
      </c>
      <c r="R117" s="24">
        <f>C122</f>
        <v>851082.18599999987</v>
      </c>
      <c r="S117" s="24">
        <f>C127</f>
        <v>500</v>
      </c>
      <c r="T117" s="24">
        <f>C132</f>
        <v>8450</v>
      </c>
      <c r="U117" s="24">
        <f>C137</f>
        <v>1200</v>
      </c>
      <c r="V117" s="24">
        <f>C142</f>
        <v>400</v>
      </c>
      <c r="W117" s="24">
        <f>GETPIVOTDATA("Sum of MWh",$L$1,"Year",2016,"Primary / Secondary Claim","Firm Primary","Fuel (Primary)","Gas")</f>
        <v>200</v>
      </c>
      <c r="X117" s="24">
        <f>GETPIVOTDATA("Sum of MWh",$L$13,"Year",2017,"Primary / Secondary Claim","Firm Primary","Fuel (Primary)","Gas")</f>
        <v>0</v>
      </c>
      <c r="Y117" s="24">
        <f t="shared" si="37"/>
        <v>5972652.2219999991</v>
      </c>
      <c r="Z117" s="46"/>
      <c r="AA117" s="28">
        <f t="shared" si="32"/>
        <v>2.6485595910829548E-2</v>
      </c>
      <c r="AB117" s="29"/>
      <c r="AC117" s="122" t="s">
        <v>389</v>
      </c>
      <c r="AE117" s="72" t="str">
        <f t="shared" si="33"/>
        <v>Firm Gas</v>
      </c>
      <c r="AF117" s="73">
        <f t="shared" si="34"/>
        <v>5972652.2219999991</v>
      </c>
      <c r="AG117" s="74"/>
      <c r="AH117" s="75"/>
      <c r="AI117" s="76">
        <f t="shared" si="30"/>
        <v>2.6485595910829548E-2</v>
      </c>
      <c r="AJ117" s="77">
        <f t="shared" si="35"/>
        <v>2300949.5053401599</v>
      </c>
      <c r="AK117" s="74"/>
      <c r="AL117" s="75"/>
      <c r="AM117" s="76">
        <f t="shared" si="31"/>
        <v>2.0196317892779269E-2</v>
      </c>
      <c r="AN117" s="3"/>
      <c r="AO117" s="3"/>
    </row>
    <row r="118" spans="1:41" x14ac:dyDescent="0.25">
      <c r="B118" s="2" t="s">
        <v>283</v>
      </c>
      <c r="C118" s="7">
        <f>C115-C116-C117</f>
        <v>5665876.3269999996</v>
      </c>
      <c r="D118" s="7">
        <f>D115-D116-D117</f>
        <v>1920636.4109999998</v>
      </c>
      <c r="E118" s="7">
        <f t="shared" ref="E118" si="40">E115-E116-E117</f>
        <v>3185182.9120000005</v>
      </c>
      <c r="F118" s="7">
        <f t="shared" ref="F118" si="41">F115-F116-F117</f>
        <v>1285614.5335668433</v>
      </c>
      <c r="G118" s="7">
        <f t="shared" ref="G118" si="42">G115-G116-G117</f>
        <v>119.08045835397206</v>
      </c>
      <c r="H118" s="7">
        <f t="shared" ref="H118" si="43">H115-H116-H117</f>
        <v>1897917.2298310385</v>
      </c>
      <c r="I118" s="7"/>
      <c r="J118" s="7"/>
      <c r="L118" s="146" t="s">
        <v>288</v>
      </c>
      <c r="M118" s="24">
        <f>D98</f>
        <v>1323165.1299999994</v>
      </c>
      <c r="N118" s="24">
        <f>D103</f>
        <v>2169870.7960000001</v>
      </c>
      <c r="O118" s="24">
        <f>D108</f>
        <v>2082704.8690000009</v>
      </c>
      <c r="P118" s="24">
        <f>D113</f>
        <v>1934692.6220000014</v>
      </c>
      <c r="Q118" s="24">
        <f>D118</f>
        <v>1920636.4109999998</v>
      </c>
      <c r="R118" s="24">
        <f>D123</f>
        <v>1848128.1480000005</v>
      </c>
      <c r="S118" s="24">
        <f>D128</f>
        <v>2569850.9929999998</v>
      </c>
      <c r="T118" s="24">
        <f>D133</f>
        <v>2720218.216</v>
      </c>
      <c r="U118" s="24">
        <f>D138</f>
        <v>2976312.0890000015</v>
      </c>
      <c r="V118" s="24">
        <f>D143</f>
        <v>2421958.176</v>
      </c>
      <c r="W118" s="24">
        <f>GETPIVOTDATA("Sum of MWh",$L$1,"Year",2016,"Primary / Secondary Claim","PSE Generation","Fuel (Primary)","Oil")+GETPIVOTDATA("Sum of MWh",$L$1,"Year",2016,"Primary / Secondary Claim","PSE Generation","Fuel (Primary)","Renewable")</f>
        <v>2896420.2780000004</v>
      </c>
      <c r="X118" s="24">
        <f>GETPIVOTDATA("Sum of MWh",$L$13,"Year",2017,"Primary / Secondary Claim","PSE Generation","Fuel (Primary)","Renewable")+GETPIVOTDATA("Sum of MWh",$L$13,"Year",2017,"Primary / Secondary Claim","PSE Generation","Fuel (Primary)","Diesel")</f>
        <v>2540007.3309999998</v>
      </c>
      <c r="Y118" s="24">
        <f t="shared" si="37"/>
        <v>23910929.133000005</v>
      </c>
      <c r="Z118" s="45">
        <f>Y118/Y122</f>
        <v>0.22225320227506182</v>
      </c>
      <c r="AA118" s="28">
        <f t="shared" si="32"/>
        <v>0.10603249332623206</v>
      </c>
      <c r="AB118" s="29"/>
      <c r="AC118" s="122" t="s">
        <v>389</v>
      </c>
      <c r="AE118" s="37" t="str">
        <f t="shared" si="33"/>
        <v>PSE Own All Other</v>
      </c>
      <c r="AF118" s="35">
        <f t="shared" si="34"/>
        <v>23910929.133000005</v>
      </c>
      <c r="AG118" s="57">
        <f>Z118</f>
        <v>0.22225320227506182</v>
      </c>
      <c r="AH118" s="54"/>
      <c r="AI118" s="48">
        <f t="shared" si="30"/>
        <v>0.10603249332623206</v>
      </c>
      <c r="AJ118" s="49">
        <f t="shared" si="35"/>
        <v>13076.199764245959</v>
      </c>
      <c r="AK118" s="57">
        <f>Z149</f>
        <v>1.8296504468476326E-4</v>
      </c>
      <c r="AL118" s="54"/>
      <c r="AM118" s="48">
        <f t="shared" si="31"/>
        <v>1.1477482954549014E-4</v>
      </c>
      <c r="AN118" s="3"/>
      <c r="AO118" s="3"/>
    </row>
    <row r="119" spans="1:41" x14ac:dyDescent="0.25">
      <c r="C119" s="7"/>
      <c r="D119" s="7"/>
      <c r="E119" s="7"/>
      <c r="F119" s="7"/>
      <c r="G119" s="7"/>
      <c r="H119" s="7"/>
      <c r="I119" s="7"/>
      <c r="J119" s="7"/>
      <c r="L119" s="146" t="s">
        <v>429</v>
      </c>
      <c r="M119" s="24">
        <f>C98</f>
        <v>6493782.3840000015</v>
      </c>
      <c r="N119" s="24">
        <f>C103</f>
        <v>6625947.9999999981</v>
      </c>
      <c r="O119" s="24">
        <f>C108</f>
        <v>6401139.182</v>
      </c>
      <c r="P119" s="24">
        <f>C113</f>
        <v>5831527.629999999</v>
      </c>
      <c r="Q119" s="24">
        <f>C118</f>
        <v>5665876.3269999996</v>
      </c>
      <c r="R119" s="24">
        <f>C123</f>
        <v>7342772.7529999996</v>
      </c>
      <c r="S119" s="24">
        <f>C128</f>
        <v>5688770.9849999994</v>
      </c>
      <c r="T119" s="24">
        <f>C133</f>
        <v>4495824.6399999997</v>
      </c>
      <c r="U119" s="24">
        <f>C138</f>
        <v>4313036.9629999995</v>
      </c>
      <c r="V119" s="24">
        <f>C143</f>
        <v>4183805.26</v>
      </c>
      <c r="W119" s="24">
        <f>GETPIVOTDATA("Sum of MWh",$L$1,"Year",2016,"Primary / Secondary Claim","Firm Primary","Fuel (Primary)","Renewable")+GETPIVOTDATA("Sum of MWh",$L$1,"Year",2016,"Primary / Secondary Claim","Firm Primary","Fuel (Primary)","System")</f>
        <v>5308390.8609999996</v>
      </c>
      <c r="X119" s="24">
        <f>GETPIVOTDATA("Sum of MWh",$L$13,"Year",2017,"Primary / Secondary Claim","Firm Primary","Fuel (Primary)","Renewable")+GETPIVOTDATA("Sum of MWh",$L$13,"Year",2017,"Primary / Secondary Claim","Firm Primary","Fuel (Primary)","System")</f>
        <v>5365706.8689999999</v>
      </c>
      <c r="Y119" s="24">
        <f t="shared" si="37"/>
        <v>54596851.469999999</v>
      </c>
      <c r="Z119" s="46"/>
      <c r="AA119" s="28">
        <f t="shared" si="32"/>
        <v>0.24210854613493354</v>
      </c>
      <c r="AB119" s="29"/>
      <c r="AC119" s="122" t="s">
        <v>390</v>
      </c>
      <c r="AE119" s="72" t="str">
        <f t="shared" si="33"/>
        <v>Firm All Other (Renewable)</v>
      </c>
      <c r="AF119" s="73">
        <f t="shared" si="34"/>
        <v>54596851.469999999</v>
      </c>
      <c r="AG119" s="74"/>
      <c r="AH119" s="75"/>
      <c r="AI119" s="76">
        <f t="shared" si="30"/>
        <v>0.24210854613493354</v>
      </c>
      <c r="AJ119" s="77">
        <f t="shared" si="35"/>
        <v>6558391.9829696445</v>
      </c>
      <c r="AK119" s="74"/>
      <c r="AL119" s="75"/>
      <c r="AM119" s="76">
        <f t="shared" si="31"/>
        <v>5.7565526338627097E-2</v>
      </c>
      <c r="AN119" s="3"/>
      <c r="AO119" s="3"/>
    </row>
    <row r="120" spans="1:41" x14ac:dyDescent="0.25">
      <c r="A120" s="2">
        <f>B53</f>
        <v>2011</v>
      </c>
      <c r="B120" s="2" t="s">
        <v>282</v>
      </c>
      <c r="C120" s="7">
        <f t="shared" ref="C120:J120" si="44">C53</f>
        <v>8193854.9389999993</v>
      </c>
      <c r="D120" s="7">
        <f t="shared" si="44"/>
        <v>7881574.3710000003</v>
      </c>
      <c r="E120" s="7">
        <f t="shared" si="44"/>
        <v>6774737.6720000021</v>
      </c>
      <c r="F120" s="7">
        <f t="shared" si="44"/>
        <v>1403027.9792066067</v>
      </c>
      <c r="G120" s="7">
        <f t="shared" si="44"/>
        <v>5842925.6222130014</v>
      </c>
      <c r="H120" s="7">
        <f t="shared" si="44"/>
        <v>3064415.2106302725</v>
      </c>
      <c r="I120" s="7">
        <f t="shared" si="44"/>
        <v>22850166.982000001</v>
      </c>
      <c r="J120" s="7">
        <f t="shared" si="44"/>
        <v>10310368.812049881</v>
      </c>
      <c r="L120" s="146" t="s">
        <v>319</v>
      </c>
      <c r="M120" s="24">
        <f>E98</f>
        <v>6117349.1699999999</v>
      </c>
      <c r="N120" s="24">
        <f>E103</f>
        <v>5220403</v>
      </c>
      <c r="O120" s="24">
        <f>E108</f>
        <v>5441422.0399999991</v>
      </c>
      <c r="P120" s="24">
        <f>E113</f>
        <v>4408167.4979999997</v>
      </c>
      <c r="Q120" s="24">
        <f>E118</f>
        <v>3185182.9120000005</v>
      </c>
      <c r="R120" s="24">
        <f>E123</f>
        <v>6774737.6720000021</v>
      </c>
      <c r="S120" s="24">
        <f>E128</f>
        <v>7727006.4249999989</v>
      </c>
      <c r="T120" s="24">
        <f>E133</f>
        <v>5877232.977</v>
      </c>
      <c r="U120" s="24">
        <f>E138</f>
        <v>6189748.1970000006</v>
      </c>
      <c r="V120" s="24">
        <f>E143</f>
        <v>3448451.602</v>
      </c>
      <c r="W120" s="24">
        <f>GETPIVOTDATA("Sum of MWh",$L$1,"Year",2016,"Primary / Secondary Claim","Secondary","Fuel (Primary)","System")</f>
        <v>4166128.7529999991</v>
      </c>
      <c r="X120" s="24">
        <f>GETPIVOTDATA("Sum of MWh",$L$13,"Year",2017,"Primary / Secondary Claim","Secondary","Fuel (Primary)","System")</f>
        <v>2534322.9180000001</v>
      </c>
      <c r="Y120" s="24">
        <f t="shared" si="37"/>
        <v>49752400.993999995</v>
      </c>
      <c r="Z120" s="46"/>
      <c r="AA120" s="28">
        <f t="shared" si="32"/>
        <v>0.22062593624099988</v>
      </c>
      <c r="AB120" s="29"/>
      <c r="AC120" s="122" t="s">
        <v>389</v>
      </c>
      <c r="AE120" s="37" t="str">
        <f t="shared" si="33"/>
        <v>Unspecified</v>
      </c>
      <c r="AF120" s="35">
        <f t="shared" si="34"/>
        <v>49752400.993999995</v>
      </c>
      <c r="AG120" s="58"/>
      <c r="AH120" s="55"/>
      <c r="AI120" s="48">
        <f t="shared" si="30"/>
        <v>0.22062593624099988</v>
      </c>
      <c r="AJ120" s="49">
        <f t="shared" si="35"/>
        <v>24747978.096148718</v>
      </c>
      <c r="AK120" s="58"/>
      <c r="AL120" s="55"/>
      <c r="AM120" s="60">
        <f t="shared" si="31"/>
        <v>0.21722251256420663</v>
      </c>
      <c r="AN120" s="3"/>
      <c r="AO120" s="3"/>
    </row>
    <row r="121" spans="1:41" ht="15.75" thickBot="1" x14ac:dyDescent="0.3">
      <c r="A121" s="2">
        <v>2011</v>
      </c>
      <c r="B121" s="2" t="str">
        <f t="shared" ref="B121:J121" si="45">B55</f>
        <v>Coal</v>
      </c>
      <c r="C121" s="7">
        <f t="shared" si="45"/>
        <v>0</v>
      </c>
      <c r="D121" s="7">
        <f t="shared" si="45"/>
        <v>4210583</v>
      </c>
      <c r="E121" s="7">
        <f t="shared" si="45"/>
        <v>0</v>
      </c>
      <c r="F121" s="7">
        <f t="shared" si="45"/>
        <v>0</v>
      </c>
      <c r="G121" s="7">
        <f t="shared" si="45"/>
        <v>4959800.6776280543</v>
      </c>
      <c r="H121" s="7">
        <f t="shared" si="45"/>
        <v>0</v>
      </c>
      <c r="I121" s="7">
        <f t="shared" si="45"/>
        <v>4210583</v>
      </c>
      <c r="J121" s="7">
        <f t="shared" si="45"/>
        <v>4959800.6776280543</v>
      </c>
      <c r="L121" s="146" t="s">
        <v>292</v>
      </c>
      <c r="M121" s="24">
        <f>SUM(M114:M120)</f>
        <v>22588053.114</v>
      </c>
      <c r="N121" s="24">
        <f t="shared" ref="N121:X121" si="46">SUM(N114:N120)</f>
        <v>23197321.145999998</v>
      </c>
      <c r="O121" s="31">
        <f t="shared" si="46"/>
        <v>23571872.167999998</v>
      </c>
      <c r="P121" s="24">
        <f t="shared" si="46"/>
        <v>23442451.84</v>
      </c>
      <c r="Q121" s="24">
        <f t="shared" si="46"/>
        <v>22594273.707000002</v>
      </c>
      <c r="R121" s="24">
        <f t="shared" si="46"/>
        <v>22850166.982000001</v>
      </c>
      <c r="S121" s="24">
        <f t="shared" si="46"/>
        <v>22415690.578999996</v>
      </c>
      <c r="T121" s="24">
        <f t="shared" si="46"/>
        <v>22803133.495999999</v>
      </c>
      <c r="U121" s="24">
        <f t="shared" si="46"/>
        <v>22277509.589000002</v>
      </c>
      <c r="V121" s="31">
        <f t="shared" si="46"/>
        <v>22030847.982999995</v>
      </c>
      <c r="W121" s="31">
        <f t="shared" si="46"/>
        <v>22621132.277999997</v>
      </c>
      <c r="X121" s="31">
        <f t="shared" si="46"/>
        <v>20898597.826000001</v>
      </c>
      <c r="Y121" s="24">
        <f t="shared" si="37"/>
        <v>225505676.44799998</v>
      </c>
      <c r="Z121" s="46"/>
      <c r="AA121" s="29"/>
      <c r="AB121" s="29"/>
      <c r="AE121" s="72" t="str">
        <f t="shared" si="33"/>
        <v>Total</v>
      </c>
      <c r="AF121" s="73">
        <f t="shared" si="34"/>
        <v>225505676.44799998</v>
      </c>
      <c r="AG121" s="74"/>
      <c r="AH121" s="75"/>
      <c r="AI121" s="76"/>
      <c r="AJ121" s="77">
        <f>SUM(AJ114:AJ120)</f>
        <v>113929158.64939971</v>
      </c>
      <c r="AK121" s="74"/>
      <c r="AL121" s="75"/>
      <c r="AM121" s="76"/>
      <c r="AN121" s="3"/>
      <c r="AO121" s="3"/>
    </row>
    <row r="122" spans="1:41" x14ac:dyDescent="0.25">
      <c r="A122" s="2">
        <v>2011</v>
      </c>
      <c r="B122" s="2" t="str">
        <f t="shared" ref="B122:J122" si="47">B57</f>
        <v>Gas</v>
      </c>
      <c r="C122" s="7">
        <f t="shared" si="47"/>
        <v>851082.18599999987</v>
      </c>
      <c r="D122" s="7">
        <f t="shared" si="47"/>
        <v>1822863.2229999998</v>
      </c>
      <c r="E122" s="7">
        <f t="shared" si="47"/>
        <v>0</v>
      </c>
      <c r="F122" s="7">
        <f t="shared" si="47"/>
        <v>305660.80967053678</v>
      </c>
      <c r="G122" s="7">
        <f t="shared" si="47"/>
        <v>882874.38248413219</v>
      </c>
      <c r="H122" s="7">
        <f t="shared" si="47"/>
        <v>0</v>
      </c>
      <c r="I122" s="7">
        <f t="shared" si="47"/>
        <v>2673945.4089999995</v>
      </c>
      <c r="J122" s="7">
        <f t="shared" si="47"/>
        <v>1188535.192154669</v>
      </c>
      <c r="X122" s="26" t="s">
        <v>323</v>
      </c>
      <c r="Y122" s="24">
        <f>Y114+Y116+Y118</f>
        <v>107584182.76199999</v>
      </c>
      <c r="Z122" s="45">
        <f>Y122/Y121</f>
        <v>0.47707971017221001</v>
      </c>
      <c r="AA122" s="27">
        <f>Y122/$Y$121</f>
        <v>0.47707971017221001</v>
      </c>
      <c r="AB122" s="29"/>
      <c r="AE122" s="14" t="str">
        <f>X122</f>
        <v>PSE Only Total</v>
      </c>
      <c r="AF122" s="40">
        <f t="shared" si="34"/>
        <v>107584182.76199999</v>
      </c>
      <c r="AG122" s="78"/>
      <c r="AH122" s="79"/>
      <c r="AI122" s="80">
        <f>AA122</f>
        <v>0.47707971017221001</v>
      </c>
      <c r="AJ122" s="81">
        <f>AJ114+AJ116+AJ118</f>
        <v>71468294.868975595</v>
      </c>
      <c r="AK122" s="78"/>
      <c r="AL122" s="79"/>
      <c r="AM122" s="80">
        <f>AA153</f>
        <v>0.62730468403535566</v>
      </c>
      <c r="AN122" s="3"/>
      <c r="AO122" s="3"/>
    </row>
    <row r="123" spans="1:41" x14ac:dyDescent="0.25">
      <c r="B123" s="2" t="s">
        <v>283</v>
      </c>
      <c r="C123" s="7">
        <f>C120-C121-C122</f>
        <v>7342772.7529999996</v>
      </c>
      <c r="D123" s="7">
        <f>D120-D121-D122</f>
        <v>1848128.1480000005</v>
      </c>
      <c r="E123" s="7">
        <f t="shared" ref="E123" si="48">E120-E121-E122</f>
        <v>6774737.6720000021</v>
      </c>
      <c r="F123" s="7">
        <f t="shared" ref="F123" si="49">F120-F121-F122</f>
        <v>1097367.16953607</v>
      </c>
      <c r="G123" s="7">
        <f t="shared" ref="G123" si="50">G120-G121-G122</f>
        <v>250.56210081488825</v>
      </c>
      <c r="H123" s="7">
        <f t="shared" ref="H123" si="51">H120-H121-H122</f>
        <v>3064415.2106302725</v>
      </c>
      <c r="I123" s="7"/>
      <c r="J123" s="7"/>
      <c r="X123" s="44" t="s">
        <v>324</v>
      </c>
      <c r="Y123" s="24">
        <f>Y115+Y117+Y119</f>
        <v>68169092.692000002</v>
      </c>
      <c r="Z123" s="45">
        <f>Y123/Y121</f>
        <v>0.30229435358679013</v>
      </c>
      <c r="AA123" s="27">
        <f>Y123/$Y$121</f>
        <v>0.30229435358679013</v>
      </c>
      <c r="AB123" s="29"/>
      <c r="AE123" s="72" t="str">
        <f>X123</f>
        <v>Firm Total</v>
      </c>
      <c r="AF123" s="73">
        <f t="shared" si="34"/>
        <v>68169092.692000002</v>
      </c>
      <c r="AG123" s="74"/>
      <c r="AH123" s="75"/>
      <c r="AI123" s="76">
        <f>AA123</f>
        <v>0.30229435358679013</v>
      </c>
      <c r="AJ123" s="77">
        <f>AJ115+AJ117+AJ119</f>
        <v>17712885.684275407</v>
      </c>
      <c r="AK123" s="74"/>
      <c r="AL123" s="75"/>
      <c r="AM123" s="76">
        <f>AA154</f>
        <v>0.15547280340043776</v>
      </c>
      <c r="AN123" s="3"/>
      <c r="AO123" s="3"/>
    </row>
    <row r="124" spans="1:41" ht="15.75" thickBot="1" x14ac:dyDescent="0.3">
      <c r="C124" s="7"/>
      <c r="D124" s="7"/>
      <c r="E124" s="7"/>
      <c r="F124" s="7"/>
      <c r="G124" s="7"/>
      <c r="H124" s="7"/>
      <c r="I124" s="7"/>
      <c r="J124" s="7"/>
      <c r="X124" s="44" t="s">
        <v>325</v>
      </c>
      <c r="Y124" s="24">
        <f>Y120</f>
        <v>49752400.993999995</v>
      </c>
      <c r="Z124" s="45">
        <f>Y124/Y121</f>
        <v>0.22062593624099988</v>
      </c>
      <c r="AA124" s="27">
        <f>Y124/$Y$121</f>
        <v>0.22062593624099988</v>
      </c>
      <c r="AB124" s="29"/>
      <c r="AE124" s="38" t="str">
        <f>X124</f>
        <v>Unspecfied Total</v>
      </c>
      <c r="AF124" s="36">
        <f t="shared" si="34"/>
        <v>49752400.993999995</v>
      </c>
      <c r="AG124" s="59"/>
      <c r="AH124" s="56"/>
      <c r="AI124" s="53">
        <f>AA124</f>
        <v>0.22062593624099988</v>
      </c>
      <c r="AJ124" s="50">
        <f>AJ120</f>
        <v>24747978.096148718</v>
      </c>
      <c r="AK124" s="59"/>
      <c r="AL124" s="56"/>
      <c r="AM124" s="53">
        <f>AA155</f>
        <v>0.21722251256420663</v>
      </c>
      <c r="AN124" s="3"/>
      <c r="AO124" s="3"/>
    </row>
    <row r="125" spans="1:41" x14ac:dyDescent="0.25">
      <c r="A125" s="2">
        <f>B62</f>
        <v>2012</v>
      </c>
      <c r="B125" s="2" t="s">
        <v>282</v>
      </c>
      <c r="C125" s="7">
        <f t="shared" ref="C125:J125" si="52">C62</f>
        <v>5689270.9849999994</v>
      </c>
      <c r="D125" s="7">
        <f t="shared" si="52"/>
        <v>8999413.1689999998</v>
      </c>
      <c r="E125" s="7">
        <f t="shared" si="52"/>
        <v>7727006.4249999989</v>
      </c>
      <c r="F125" s="7">
        <f t="shared" si="52"/>
        <v>790339.50099061977</v>
      </c>
      <c r="G125" s="7">
        <f t="shared" si="52"/>
        <v>5992139.5133056827</v>
      </c>
      <c r="H125" s="7">
        <f t="shared" si="52"/>
        <v>3489259.0462222076</v>
      </c>
      <c r="I125" s="7">
        <f t="shared" si="52"/>
        <v>22415690.578999996</v>
      </c>
      <c r="J125" s="7">
        <f t="shared" si="52"/>
        <v>10271738.060518511</v>
      </c>
      <c r="W125" s="5"/>
      <c r="X125" s="39"/>
      <c r="Z125" s="51"/>
      <c r="AI125" s="52"/>
      <c r="AK125" s="3"/>
      <c r="AN125" s="3"/>
      <c r="AO125" s="3"/>
    </row>
    <row r="126" spans="1:41" x14ac:dyDescent="0.25">
      <c r="A126" s="2">
        <v>2012</v>
      </c>
      <c r="B126" s="2" t="str">
        <f t="shared" ref="B126:J126" si="53">B64</f>
        <v>Coal</v>
      </c>
      <c r="C126" s="7">
        <f t="shared" si="53"/>
        <v>0</v>
      </c>
      <c r="D126" s="7">
        <f t="shared" si="53"/>
        <v>3809524.0120000001</v>
      </c>
      <c r="E126" s="7">
        <f t="shared" si="53"/>
        <v>0</v>
      </c>
      <c r="F126" s="7">
        <f t="shared" si="53"/>
        <v>0</v>
      </c>
      <c r="G126" s="7">
        <f t="shared" si="53"/>
        <v>4528259.9126447653</v>
      </c>
      <c r="H126" s="7">
        <f t="shared" si="53"/>
        <v>0</v>
      </c>
      <c r="I126" s="7">
        <f t="shared" si="53"/>
        <v>3809524.0120000001</v>
      </c>
      <c r="J126" s="7">
        <f t="shared" si="53"/>
        <v>4528259.9126447653</v>
      </c>
      <c r="W126" s="5"/>
      <c r="AK126" s="3"/>
      <c r="AL126" s="47"/>
      <c r="AN126" s="3"/>
      <c r="AO126" s="3"/>
    </row>
    <row r="127" spans="1:41" x14ac:dyDescent="0.25">
      <c r="A127" s="2">
        <v>2012</v>
      </c>
      <c r="B127" s="2" t="str">
        <f t="shared" ref="B127:J127" si="54">B66</f>
        <v>Gas</v>
      </c>
      <c r="C127" s="7">
        <f t="shared" si="54"/>
        <v>500</v>
      </c>
      <c r="D127" s="7">
        <f t="shared" si="54"/>
        <v>2620038.1639999999</v>
      </c>
      <c r="E127" s="7">
        <f t="shared" si="54"/>
        <v>0</v>
      </c>
      <c r="F127" s="7">
        <f t="shared" si="54"/>
        <v>200.4699648575542</v>
      </c>
      <c r="G127" s="7">
        <f t="shared" si="54"/>
        <v>1453056.232862554</v>
      </c>
      <c r="H127" s="7">
        <f t="shared" si="54"/>
        <v>0</v>
      </c>
      <c r="I127" s="7">
        <f t="shared" si="54"/>
        <v>2620538.1639999999</v>
      </c>
      <c r="J127" s="7">
        <f t="shared" si="54"/>
        <v>1453256.7028274115</v>
      </c>
      <c r="AE127" s="168" t="s">
        <v>369</v>
      </c>
      <c r="AF127" s="169"/>
      <c r="AG127" s="169"/>
      <c r="AH127" s="169"/>
      <c r="AI127" s="169"/>
      <c r="AJ127" s="169"/>
      <c r="AK127" s="169"/>
      <c r="AL127" s="169"/>
      <c r="AM127" s="169"/>
    </row>
    <row r="128" spans="1:41" x14ac:dyDescent="0.25">
      <c r="B128" s="2" t="s">
        <v>283</v>
      </c>
      <c r="C128" s="7">
        <f>C125-C126-C127</f>
        <v>5688770.9849999994</v>
      </c>
      <c r="D128" s="7">
        <f>D125-D126-D127</f>
        <v>2569850.9929999998</v>
      </c>
      <c r="E128" s="7">
        <f t="shared" ref="E128" si="55">E125-E126-E127</f>
        <v>7727006.4249999989</v>
      </c>
      <c r="F128" s="7">
        <f t="shared" ref="F128" si="56">F125-F126-F127</f>
        <v>790139.0310257622</v>
      </c>
      <c r="G128" s="7">
        <f t="shared" ref="G128" si="57">G125-G126-G127</f>
        <v>10823.367798363324</v>
      </c>
      <c r="H128" s="7">
        <f t="shared" ref="H128" si="58">H125-H126-H127</f>
        <v>3489259.0462222076</v>
      </c>
      <c r="I128" s="7"/>
      <c r="J128" s="7"/>
      <c r="AE128" s="170"/>
      <c r="AF128" s="223"/>
      <c r="AG128" s="220"/>
      <c r="AH128" s="205"/>
      <c r="AI128" s="213"/>
      <c r="AJ128" s="223"/>
      <c r="AK128" s="204"/>
      <c r="AL128" s="205"/>
      <c r="AM128" s="206"/>
    </row>
    <row r="129" spans="1:39" ht="30" x14ac:dyDescent="0.25">
      <c r="C129" s="7"/>
      <c r="D129" s="7"/>
      <c r="E129" s="7"/>
      <c r="F129" s="7"/>
      <c r="G129" s="7"/>
      <c r="H129" s="7"/>
      <c r="I129" s="7"/>
      <c r="J129" s="7"/>
      <c r="M129" s="22"/>
      <c r="N129" s="22"/>
      <c r="O129" s="22"/>
      <c r="P129" s="22"/>
      <c r="Q129" s="22"/>
      <c r="R129" s="22"/>
      <c r="S129" s="22"/>
      <c r="T129" s="22"/>
      <c r="U129" s="22"/>
      <c r="V129" s="22"/>
      <c r="W129" s="32"/>
      <c r="X129" s="32"/>
      <c r="AE129" s="210" t="s">
        <v>346</v>
      </c>
      <c r="AF129" s="224" t="s">
        <v>425</v>
      </c>
      <c r="AG129" s="221" t="str">
        <f>AG113</f>
        <v>% PSE Only (All Owned)</v>
      </c>
      <c r="AH129" s="212" t="str">
        <f>AH113</f>
        <v>% PSE Only Thermal</v>
      </c>
      <c r="AI129" s="214" t="str">
        <f t="shared" ref="AI129:AM129" si="59">AI113</f>
        <v>% of Total</v>
      </c>
      <c r="AJ129" s="214" t="s">
        <v>426</v>
      </c>
      <c r="AK129" s="211" t="str">
        <f t="shared" si="59"/>
        <v>% PSE Only (All Owned)</v>
      </c>
      <c r="AL129" s="212" t="str">
        <f t="shared" si="59"/>
        <v>% PSE Only Thermal</v>
      </c>
      <c r="AM129" s="212" t="str">
        <f t="shared" si="59"/>
        <v>% of Total</v>
      </c>
    </row>
    <row r="130" spans="1:39" x14ac:dyDescent="0.25">
      <c r="A130" s="2">
        <f>B70</f>
        <v>2013</v>
      </c>
      <c r="B130" s="2" t="s">
        <v>282</v>
      </c>
      <c r="C130" s="7">
        <f t="shared" ref="C130:J131" si="60">C70</f>
        <v>4504274.6399999997</v>
      </c>
      <c r="D130" s="7">
        <f t="shared" si="60"/>
        <v>12421625.879000001</v>
      </c>
      <c r="E130" s="7">
        <f t="shared" si="60"/>
        <v>5877232.977</v>
      </c>
      <c r="F130" s="7">
        <f t="shared" si="60"/>
        <v>502839.85990095843</v>
      </c>
      <c r="G130" s="7">
        <f t="shared" si="60"/>
        <v>7821469.4536749981</v>
      </c>
      <c r="H130" s="7">
        <f t="shared" si="60"/>
        <v>3326881.3430049806</v>
      </c>
      <c r="I130" s="7">
        <f t="shared" si="60"/>
        <v>22803133.495999999</v>
      </c>
      <c r="J130" s="7">
        <f t="shared" si="60"/>
        <v>11651190.656580936</v>
      </c>
      <c r="L130" s="117" t="s">
        <v>317</v>
      </c>
      <c r="M130" s="22" t="s">
        <v>309</v>
      </c>
      <c r="N130" s="22" t="s">
        <v>309</v>
      </c>
      <c r="O130" s="22" t="s">
        <v>309</v>
      </c>
      <c r="P130" s="22" t="s">
        <v>309</v>
      </c>
      <c r="Q130" s="22" t="s">
        <v>309</v>
      </c>
      <c r="R130" s="22" t="s">
        <v>309</v>
      </c>
      <c r="S130" s="22" t="s">
        <v>309</v>
      </c>
      <c r="T130" s="22" t="s">
        <v>309</v>
      </c>
      <c r="U130" s="22" t="s">
        <v>309</v>
      </c>
      <c r="V130" s="22" t="s">
        <v>309</v>
      </c>
      <c r="W130" s="22" t="s">
        <v>309</v>
      </c>
      <c r="X130" s="22" t="s">
        <v>309</v>
      </c>
      <c r="AE130" s="190" t="str">
        <f>AE114</f>
        <v>PSE Owned Coal</v>
      </c>
      <c r="AF130" s="225">
        <f>X114</f>
        <v>4463705</v>
      </c>
      <c r="AG130" s="218">
        <f>AF130/AF139</f>
        <v>0.40847952883286454</v>
      </c>
      <c r="AH130" s="55">
        <f>AF130/(AF130+AF131)</f>
        <v>0.5321788782082596</v>
      </c>
      <c r="AI130" s="207">
        <f t="shared" ref="AI130:AI136" si="61">AF130/$AF$137</f>
        <v>0.21358873151033572</v>
      </c>
      <c r="AJ130" s="225">
        <f>X101</f>
        <v>4907711.8175352756</v>
      </c>
      <c r="AK130" s="58">
        <f>AJ130/AJ139</f>
        <v>0.72025444480738698</v>
      </c>
      <c r="AL130" s="55">
        <f>AJ130/(AJ130+AJ131)</f>
        <v>0.72029332506613131</v>
      </c>
      <c r="AM130" s="55">
        <f t="shared" ref="AM130:AM136" si="62">AJ130/$AJ$137</f>
        <v>0.43748369642720103</v>
      </c>
    </row>
    <row r="131" spans="1:39" x14ac:dyDescent="0.25">
      <c r="A131" s="2">
        <v>2013</v>
      </c>
      <c r="B131" s="2" t="str">
        <f>B71</f>
        <v>Coal</v>
      </c>
      <c r="C131" s="7">
        <f t="shared" si="60"/>
        <v>0</v>
      </c>
      <c r="D131" s="7">
        <f t="shared" si="60"/>
        <v>4346208</v>
      </c>
      <c r="E131" s="7">
        <f t="shared" si="60"/>
        <v>0</v>
      </c>
      <c r="F131" s="7">
        <f t="shared" si="60"/>
        <v>0</v>
      </c>
      <c r="G131" s="7">
        <f t="shared" si="60"/>
        <v>5145052.1554388432</v>
      </c>
      <c r="H131" s="7">
        <f t="shared" si="60"/>
        <v>0</v>
      </c>
      <c r="I131" s="7">
        <f t="shared" si="60"/>
        <v>4346208</v>
      </c>
      <c r="J131" s="7">
        <f t="shared" si="60"/>
        <v>5145052.1554388432</v>
      </c>
      <c r="L131" s="3"/>
      <c r="M131" s="4">
        <v>2006</v>
      </c>
      <c r="N131" s="4">
        <v>2007</v>
      </c>
      <c r="O131" s="4">
        <v>2008</v>
      </c>
      <c r="P131" s="4">
        <v>2009</v>
      </c>
      <c r="Q131" s="4">
        <v>2010</v>
      </c>
      <c r="R131" s="4">
        <v>2011</v>
      </c>
      <c r="S131" s="4">
        <v>2012</v>
      </c>
      <c r="T131" s="4">
        <v>2013</v>
      </c>
      <c r="U131" s="4">
        <v>2014</v>
      </c>
      <c r="V131" s="4">
        <v>2015</v>
      </c>
      <c r="W131" s="4">
        <v>2016</v>
      </c>
      <c r="X131" s="4">
        <v>2017</v>
      </c>
      <c r="AE131" s="190" t="str">
        <f>AE116</f>
        <v>PSE Owned Gas</v>
      </c>
      <c r="AF131" s="225">
        <f>X116</f>
        <v>3923897.7079999992</v>
      </c>
      <c r="AG131" s="218">
        <f>AF131/AF139</f>
        <v>0.35908105194052847</v>
      </c>
      <c r="AH131" s="55">
        <f>AF131/(AF131+AF130)</f>
        <v>0.4678211217917404</v>
      </c>
      <c r="AI131" s="207">
        <f t="shared" si="61"/>
        <v>0.18775889849979635</v>
      </c>
      <c r="AJ131" s="225">
        <f>X103</f>
        <v>1905778.8073912996</v>
      </c>
      <c r="AK131" s="58">
        <f>AJ131/AJ139</f>
        <v>0.2796915768238134</v>
      </c>
      <c r="AL131" s="55">
        <f>AJ131/(AJ131+AJ130)</f>
        <v>0.27970667493386869</v>
      </c>
      <c r="AM131" s="55">
        <f t="shared" si="62"/>
        <v>0.16988510903415036</v>
      </c>
    </row>
    <row r="132" spans="1:39" x14ac:dyDescent="0.25">
      <c r="A132" s="2">
        <v>2013</v>
      </c>
      <c r="B132" s="2" t="str">
        <f t="shared" ref="B132:J132" si="63">B73</f>
        <v>Gas</v>
      </c>
      <c r="C132" s="7">
        <f t="shared" si="63"/>
        <v>8450</v>
      </c>
      <c r="D132" s="7">
        <f t="shared" si="63"/>
        <v>5355199.6630000006</v>
      </c>
      <c r="E132" s="7">
        <f t="shared" si="63"/>
        <v>0</v>
      </c>
      <c r="F132" s="7">
        <f t="shared" si="63"/>
        <v>3411.3448018121003</v>
      </c>
      <c r="G132" s="7">
        <f t="shared" si="63"/>
        <v>2676353.2507888721</v>
      </c>
      <c r="H132" s="7">
        <f t="shared" si="63"/>
        <v>0</v>
      </c>
      <c r="I132" s="7">
        <f t="shared" si="63"/>
        <v>5363649.6630000006</v>
      </c>
      <c r="J132" s="7">
        <f t="shared" si="63"/>
        <v>2679764.5955906841</v>
      </c>
      <c r="L132" s="146" t="str">
        <f t="shared" ref="L132:L138" si="64">L114</f>
        <v>PSE Owned Coal</v>
      </c>
      <c r="M132" s="25">
        <f t="shared" ref="M132:M138" si="65">M114/$M$140</f>
        <v>0.21250295347609921</v>
      </c>
      <c r="N132" s="25">
        <f t="shared" ref="N132:N138" si="66">N114/$N$140</f>
        <v>0.22170284092854453</v>
      </c>
      <c r="O132" s="25">
        <f t="shared" ref="O132:O138" si="67">O114/$O$140</f>
        <v>0.2149784694182803</v>
      </c>
      <c r="P132" s="25">
        <f t="shared" ref="P132:P138" si="68">P114/$P$140</f>
        <v>0.1898736544445003</v>
      </c>
      <c r="Q132" s="25">
        <f t="shared" ref="Q132:Q138" si="69">Q114/$Q$140</f>
        <v>0.23006293839795164</v>
      </c>
      <c r="R132" s="25">
        <f t="shared" ref="R132:R138" si="70">R114/$R$140</f>
        <v>0.18426924421676422</v>
      </c>
      <c r="S132" s="25">
        <f t="shared" ref="S132:S138" si="71">S114/$S$140</f>
        <v>0.16994899169285149</v>
      </c>
      <c r="T132" s="25">
        <f t="shared" ref="T132:T138" si="72">T114/$T$140</f>
        <v>0.19059696338498339</v>
      </c>
      <c r="U132" s="25">
        <f t="shared" ref="U132:U138" si="73">U114/$U$140</f>
        <v>0.20242689076101647</v>
      </c>
      <c r="V132" s="25">
        <f t="shared" ref="V132:V138" si="74">V114/$V$140</f>
        <v>0.20403354439504875</v>
      </c>
      <c r="W132" s="25">
        <f t="shared" ref="W132:W138" si="75">W114/$W$140</f>
        <v>0.20021893441668334</v>
      </c>
      <c r="X132" s="25">
        <f>X114/$X$140</f>
        <v>0.21358873151033572</v>
      </c>
      <c r="AE132" s="209" t="str">
        <f>AE118</f>
        <v>PSE Own All Other</v>
      </c>
      <c r="AF132" s="226">
        <f>X118</f>
        <v>2540007.3309999998</v>
      </c>
      <c r="AG132" s="222">
        <f>AF132/AF139</f>
        <v>0.23243941922660696</v>
      </c>
      <c r="AH132" s="185"/>
      <c r="AI132" s="215">
        <f t="shared" si="61"/>
        <v>0.12153960529543134</v>
      </c>
      <c r="AJ132" s="226">
        <f>X105</f>
        <v>367.80096306048716</v>
      </c>
      <c r="AK132" s="208">
        <f>AJ132/AJ139</f>
        <v>5.397836879953461E-5</v>
      </c>
      <c r="AL132" s="185"/>
      <c r="AM132" s="185">
        <f t="shared" si="62"/>
        <v>3.2786547142858961E-5</v>
      </c>
    </row>
    <row r="133" spans="1:39" x14ac:dyDescent="0.25">
      <c r="B133" s="2" t="s">
        <v>283</v>
      </c>
      <c r="C133" s="7">
        <f>C130-C131-C132</f>
        <v>4495824.6399999997</v>
      </c>
      <c r="D133" s="7">
        <f>D130-D131-D132</f>
        <v>2720218.216</v>
      </c>
      <c r="E133" s="7">
        <f t="shared" ref="E133" si="76">E130-E131-E132</f>
        <v>5877232.977</v>
      </c>
      <c r="F133" s="7">
        <f t="shared" ref="F133" si="77">F130-F131-F132</f>
        <v>499428.51509914635</v>
      </c>
      <c r="G133" s="7">
        <f t="shared" ref="G133" si="78">G130-G131-G132</f>
        <v>64.04744728282094</v>
      </c>
      <c r="H133" s="7">
        <f t="shared" ref="H133" si="79">H130-H131-H132</f>
        <v>3326881.3430049806</v>
      </c>
      <c r="I133" s="7"/>
      <c r="J133" s="7"/>
      <c r="L133" s="146" t="str">
        <f t="shared" si="64"/>
        <v>Firm Coal</v>
      </c>
      <c r="M133" s="25">
        <f t="shared" si="65"/>
        <v>3.2048667335181649E-2</v>
      </c>
      <c r="N133" s="25">
        <f t="shared" si="66"/>
        <v>3.2093231598355185E-2</v>
      </c>
      <c r="O133" s="25">
        <f t="shared" si="67"/>
        <v>3.3743395277689853E-2</v>
      </c>
      <c r="P133" s="25">
        <f t="shared" si="68"/>
        <v>2.5249961225898801E-2</v>
      </c>
      <c r="Q133" s="25">
        <f t="shared" si="69"/>
        <v>3.488994646266369E-2</v>
      </c>
      <c r="R133" s="25">
        <f t="shared" si="70"/>
        <v>0</v>
      </c>
      <c r="S133" s="25">
        <f t="shared" si="71"/>
        <v>0</v>
      </c>
      <c r="T133" s="25">
        <f t="shared" si="72"/>
        <v>0</v>
      </c>
      <c r="U133" s="25">
        <f t="shared" si="73"/>
        <v>5.9710444503941083E-3</v>
      </c>
      <c r="V133" s="25">
        <f t="shared" si="74"/>
        <v>7.4948408761847177E-2</v>
      </c>
      <c r="W133" s="25">
        <f t="shared" si="75"/>
        <v>6.9351303052399768E-2</v>
      </c>
      <c r="X133" s="25">
        <f t="shared" ref="X133:X138" si="80">X115/$X$140</f>
        <v>9.9095547808643686E-2</v>
      </c>
      <c r="AE133" s="190" t="str">
        <f>AE115</f>
        <v>Firm Coal</v>
      </c>
      <c r="AF133" s="225">
        <f>X115</f>
        <v>2070958</v>
      </c>
      <c r="AG133" s="218"/>
      <c r="AH133" s="55"/>
      <c r="AI133" s="207">
        <f t="shared" si="61"/>
        <v>9.9095547808643686E-2</v>
      </c>
      <c r="AJ133" s="225">
        <f>X102</f>
        <v>2449181.3466417422</v>
      </c>
      <c r="AK133" s="58"/>
      <c r="AL133" s="55"/>
      <c r="AM133" s="55">
        <f t="shared" si="62"/>
        <v>0.21832514796834396</v>
      </c>
    </row>
    <row r="134" spans="1:39" x14ac:dyDescent="0.25">
      <c r="C134" s="7"/>
      <c r="D134" s="7"/>
      <c r="E134" s="7"/>
      <c r="F134" s="7"/>
      <c r="G134" s="7"/>
      <c r="H134" s="7"/>
      <c r="I134" s="7"/>
      <c r="J134" s="7"/>
      <c r="L134" s="146" t="str">
        <f t="shared" si="64"/>
        <v>PSE Owned Gas</v>
      </c>
      <c r="M134" s="25">
        <f t="shared" si="65"/>
        <v>3.1969548077272161E-2</v>
      </c>
      <c r="N134" s="25">
        <f t="shared" si="66"/>
        <v>5.6485470531408399E-2</v>
      </c>
      <c r="O134" s="25">
        <f t="shared" si="67"/>
        <v>9.6268356235216124E-2</v>
      </c>
      <c r="P134" s="25">
        <f t="shared" si="68"/>
        <v>0.18610368189200469</v>
      </c>
      <c r="Q134" s="25">
        <f t="shared" si="69"/>
        <v>0.18155897614576064</v>
      </c>
      <c r="R134" s="25">
        <f t="shared" si="70"/>
        <v>7.9774612782302329E-2</v>
      </c>
      <c r="S134" s="25">
        <f t="shared" si="71"/>
        <v>0.11688411538186411</v>
      </c>
      <c r="T134" s="25">
        <f t="shared" si="72"/>
        <v>0.23484490251918141</v>
      </c>
      <c r="U134" s="25">
        <f t="shared" si="73"/>
        <v>0.18649415561474766</v>
      </c>
      <c r="V134" s="25">
        <f t="shared" si="74"/>
        <v>0.26463002919809131</v>
      </c>
      <c r="W134" s="25">
        <f t="shared" si="75"/>
        <v>0.18354555974362091</v>
      </c>
      <c r="X134" s="25">
        <f t="shared" si="80"/>
        <v>0.18775889849979635</v>
      </c>
      <c r="AE134" s="190" t="str">
        <f>AE117</f>
        <v>Firm Gas</v>
      </c>
      <c r="AF134" s="225">
        <f>X117</f>
        <v>0</v>
      </c>
      <c r="AG134" s="218"/>
      <c r="AH134" s="55"/>
      <c r="AI134" s="207">
        <f t="shared" si="61"/>
        <v>0</v>
      </c>
      <c r="AJ134" s="225">
        <f>X104</f>
        <v>0</v>
      </c>
      <c r="AK134" s="58"/>
      <c r="AL134" s="55"/>
      <c r="AM134" s="55">
        <f t="shared" si="62"/>
        <v>0</v>
      </c>
    </row>
    <row r="135" spans="1:39" x14ac:dyDescent="0.25">
      <c r="A135" s="2">
        <f>B77</f>
        <v>2014</v>
      </c>
      <c r="B135" s="2" t="s">
        <v>282</v>
      </c>
      <c r="C135" s="7">
        <f t="shared" ref="C135:J136" si="81">C77</f>
        <v>4447256.9629999995</v>
      </c>
      <c r="D135" s="7">
        <f t="shared" si="81"/>
        <v>11640504.429000001</v>
      </c>
      <c r="E135" s="7">
        <f t="shared" si="81"/>
        <v>6189748.1970000006</v>
      </c>
      <c r="F135" s="7">
        <f t="shared" si="81"/>
        <v>460659.14586959977</v>
      </c>
      <c r="G135" s="7">
        <f t="shared" si="81"/>
        <v>7467125.0365835521</v>
      </c>
      <c r="H135" s="7">
        <f t="shared" si="81"/>
        <v>3138202.3358790041</v>
      </c>
      <c r="I135" s="7">
        <f t="shared" si="81"/>
        <v>22277509.589000002</v>
      </c>
      <c r="J135" s="7">
        <f t="shared" si="81"/>
        <v>11065986.518332155</v>
      </c>
      <c r="L135" s="146" t="str">
        <f t="shared" si="64"/>
        <v>Firm Gas</v>
      </c>
      <c r="M135" s="25">
        <f t="shared" si="65"/>
        <v>0.10659092963207736</v>
      </c>
      <c r="N135" s="25">
        <f t="shared" si="66"/>
        <v>8.5501198070105824E-2</v>
      </c>
      <c r="O135" s="25">
        <f t="shared" si="67"/>
        <v>6.4252032218979419E-2</v>
      </c>
      <c r="P135" s="25">
        <f t="shared" si="68"/>
        <v>7.9441881877830064E-2</v>
      </c>
      <c r="Q135" s="25">
        <f t="shared" si="69"/>
        <v>7.674364214959449E-2</v>
      </c>
      <c r="R135" s="25">
        <f t="shared" si="70"/>
        <v>3.7246212978243515E-2</v>
      </c>
      <c r="S135" s="25">
        <f t="shared" si="71"/>
        <v>2.2305803974133277E-5</v>
      </c>
      <c r="T135" s="25">
        <f t="shared" si="72"/>
        <v>3.705631071046553E-4</v>
      </c>
      <c r="U135" s="25">
        <f t="shared" si="73"/>
        <v>5.3865985118575629E-5</v>
      </c>
      <c r="V135" s="25">
        <f t="shared" si="74"/>
        <v>1.8156359678422646E-5</v>
      </c>
      <c r="W135" s="25">
        <f t="shared" si="75"/>
        <v>8.8412904156220508E-6</v>
      </c>
      <c r="X135" s="25">
        <f t="shared" si="80"/>
        <v>0</v>
      </c>
      <c r="AE135" s="190" t="str">
        <f>AE119</f>
        <v>Firm All Other (Renewable)</v>
      </c>
      <c r="AF135" s="225">
        <f>X119</f>
        <v>5365706.8689999999</v>
      </c>
      <c r="AG135" s="218"/>
      <c r="AH135" s="55"/>
      <c r="AI135" s="207">
        <f t="shared" si="61"/>
        <v>0.25674961132198593</v>
      </c>
      <c r="AJ135" s="225">
        <f>X106</f>
        <v>766336.50247599999</v>
      </c>
      <c r="AK135" s="58"/>
      <c r="AL135" s="55"/>
      <c r="AM135" s="55">
        <f t="shared" si="62"/>
        <v>6.8312838706708262E-2</v>
      </c>
    </row>
    <row r="136" spans="1:39" x14ac:dyDescent="0.25">
      <c r="A136" s="2">
        <v>2014</v>
      </c>
      <c r="B136" s="2" t="str">
        <f>B78</f>
        <v>Coal</v>
      </c>
      <c r="C136" s="7">
        <f t="shared" si="81"/>
        <v>133020</v>
      </c>
      <c r="D136" s="7">
        <f t="shared" si="81"/>
        <v>4509567</v>
      </c>
      <c r="E136" s="7">
        <f t="shared" si="81"/>
        <v>0</v>
      </c>
      <c r="F136" s="7">
        <f t="shared" si="81"/>
        <v>157594.12492212933</v>
      </c>
      <c r="G136" s="7">
        <f t="shared" si="81"/>
        <v>5350265</v>
      </c>
      <c r="H136" s="7">
        <f t="shared" si="81"/>
        <v>0</v>
      </c>
      <c r="I136" s="7">
        <f t="shared" si="81"/>
        <v>4642587</v>
      </c>
      <c r="J136" s="7">
        <f t="shared" si="81"/>
        <v>5507859.1249221293</v>
      </c>
      <c r="L136" s="146" t="str">
        <f t="shared" si="64"/>
        <v>PSE Own All Other</v>
      </c>
      <c r="M136" s="25">
        <f t="shared" si="65"/>
        <v>5.8578095390607439E-2</v>
      </c>
      <c r="N136" s="25">
        <f t="shared" si="66"/>
        <v>9.3539714449922984E-2</v>
      </c>
      <c r="O136" s="25">
        <f t="shared" si="67"/>
        <v>8.8355513476242986E-2</v>
      </c>
      <c r="P136" s="25">
        <f t="shared" si="68"/>
        <v>8.252944850669687E-2</v>
      </c>
      <c r="Q136" s="25">
        <f t="shared" si="69"/>
        <v>8.5005450314827397E-2</v>
      </c>
      <c r="R136" s="25">
        <f t="shared" si="70"/>
        <v>8.088029069791243E-2</v>
      </c>
      <c r="S136" s="25">
        <f t="shared" si="71"/>
        <v>0.11464518498517949</v>
      </c>
      <c r="T136" s="25">
        <f t="shared" si="72"/>
        <v>0.11929142178978015</v>
      </c>
      <c r="U136" s="25">
        <f t="shared" si="73"/>
        <v>0.13360165224525902</v>
      </c>
      <c r="V136" s="25">
        <f t="shared" si="74"/>
        <v>0.10993485942388115</v>
      </c>
      <c r="W136" s="25">
        <f t="shared" si="75"/>
        <v>0.12804046421747381</v>
      </c>
      <c r="X136" s="25">
        <f t="shared" si="80"/>
        <v>0.12153960529543134</v>
      </c>
      <c r="AE136" s="190" t="str">
        <f>AE120</f>
        <v>Unspecified</v>
      </c>
      <c r="AF136" s="225">
        <f>X120</f>
        <v>2534322.9180000001</v>
      </c>
      <c r="AG136" s="218"/>
      <c r="AH136" s="55"/>
      <c r="AI136" s="207">
        <f t="shared" si="61"/>
        <v>0.12126760556380688</v>
      </c>
      <c r="AJ136" s="225">
        <f>X107</f>
        <v>1188668.7804200475</v>
      </c>
      <c r="AK136" s="58"/>
      <c r="AL136" s="55"/>
      <c r="AM136" s="55">
        <f t="shared" si="62"/>
        <v>0.10596042131645345</v>
      </c>
    </row>
    <row r="137" spans="1:39" x14ac:dyDescent="0.25">
      <c r="A137" s="2">
        <v>2014</v>
      </c>
      <c r="B137" s="2" t="str">
        <f t="shared" ref="B137:J137" si="82">B80</f>
        <v>Gas</v>
      </c>
      <c r="C137" s="7">
        <f t="shared" si="82"/>
        <v>1200</v>
      </c>
      <c r="D137" s="7">
        <f t="shared" si="82"/>
        <v>4154625.34</v>
      </c>
      <c r="E137" s="7">
        <f t="shared" si="82"/>
        <v>0</v>
      </c>
      <c r="F137" s="7">
        <f t="shared" si="82"/>
        <v>488.47094447042167</v>
      </c>
      <c r="G137" s="7">
        <f t="shared" si="82"/>
        <v>2116533.9140632865</v>
      </c>
      <c r="H137" s="7">
        <f t="shared" si="82"/>
        <v>0</v>
      </c>
      <c r="I137" s="7">
        <f t="shared" si="82"/>
        <v>4155825.34</v>
      </c>
      <c r="J137" s="7">
        <f t="shared" si="82"/>
        <v>2117022.3850077568</v>
      </c>
      <c r="L137" s="146" t="str">
        <f t="shared" si="64"/>
        <v>Firm All Other (Renewable)</v>
      </c>
      <c r="M137" s="25">
        <f t="shared" si="65"/>
        <v>0.2874874762878602</v>
      </c>
      <c r="N137" s="25">
        <f t="shared" si="66"/>
        <v>0.28563418846070232</v>
      </c>
      <c r="O137" s="25">
        <f t="shared" si="67"/>
        <v>0.27155836992404314</v>
      </c>
      <c r="P137" s="25">
        <f t="shared" si="68"/>
        <v>0.24875928805576675</v>
      </c>
      <c r="Q137" s="25">
        <f t="shared" si="69"/>
        <v>0.25076603038780737</v>
      </c>
      <c r="R137" s="25">
        <f t="shared" si="70"/>
        <v>0.32134438049333286</v>
      </c>
      <c r="S137" s="25">
        <f t="shared" si="71"/>
        <v>0.25378522089029415</v>
      </c>
      <c r="T137" s="25">
        <f t="shared" si="72"/>
        <v>0.19715819498178322</v>
      </c>
      <c r="U137" s="25">
        <f t="shared" si="73"/>
        <v>0.19360498738735385</v>
      </c>
      <c r="V137" s="25">
        <f t="shared" si="74"/>
        <v>0.18990668281259143</v>
      </c>
      <c r="W137" s="25">
        <f t="shared" si="75"/>
        <v>0.23466512620867494</v>
      </c>
      <c r="X137" s="25">
        <f t="shared" si="80"/>
        <v>0.25674961132198593</v>
      </c>
      <c r="AE137" s="191" t="str">
        <f>AE121</f>
        <v>Total</v>
      </c>
      <c r="AF137" s="227">
        <f>SUM(AF130:AF136)</f>
        <v>20898597.826000001</v>
      </c>
      <c r="AG137" s="219"/>
      <c r="AH137" s="155"/>
      <c r="AI137" s="228"/>
      <c r="AJ137" s="227">
        <f>SUM(AJ130:AJ136)</f>
        <v>11218045.055427426</v>
      </c>
      <c r="AK137" s="229"/>
      <c r="AL137" s="155"/>
      <c r="AM137" s="155"/>
    </row>
    <row r="138" spans="1:39" x14ac:dyDescent="0.25">
      <c r="B138" s="2" t="s">
        <v>283</v>
      </c>
      <c r="C138" s="7">
        <f>C135-C136-C137</f>
        <v>4313036.9629999995</v>
      </c>
      <c r="D138" s="7">
        <f>D135-D136-D137</f>
        <v>2976312.0890000015</v>
      </c>
      <c r="E138" s="7">
        <f t="shared" ref="E138" si="83">E135-E136-E137</f>
        <v>6189748.1970000006</v>
      </c>
      <c r="F138" s="7">
        <f t="shared" ref="F138" si="84">F135-F136-F137</f>
        <v>302576.55000300001</v>
      </c>
      <c r="G138" s="7">
        <f t="shared" ref="G138" si="85">G135-G136-G137</f>
        <v>326.1225202656351</v>
      </c>
      <c r="H138" s="7">
        <f t="shared" ref="H138" si="86">H135-H136-H137</f>
        <v>3138202.3358790041</v>
      </c>
      <c r="I138" s="7"/>
      <c r="J138" s="7"/>
      <c r="L138" s="146" t="str">
        <f t="shared" si="64"/>
        <v>Unspecified</v>
      </c>
      <c r="M138" s="25">
        <f t="shared" si="65"/>
        <v>0.27082232980090204</v>
      </c>
      <c r="N138" s="25">
        <f t="shared" si="66"/>
        <v>0.22504335596096078</v>
      </c>
      <c r="O138" s="25">
        <f t="shared" si="67"/>
        <v>0.23084386344954827</v>
      </c>
      <c r="P138" s="25">
        <f t="shared" si="68"/>
        <v>0.18804208399730254</v>
      </c>
      <c r="Q138" s="25">
        <f t="shared" si="69"/>
        <v>0.14097301614139468</v>
      </c>
      <c r="R138" s="25">
        <f t="shared" si="70"/>
        <v>0.29648525883144472</v>
      </c>
      <c r="S138" s="25">
        <f t="shared" si="71"/>
        <v>0.34471418124583669</v>
      </c>
      <c r="T138" s="25">
        <f t="shared" si="72"/>
        <v>0.25773795421716722</v>
      </c>
      <c r="U138" s="25">
        <f t="shared" si="73"/>
        <v>0.27784740355611032</v>
      </c>
      <c r="V138" s="25">
        <f t="shared" si="74"/>
        <v>0.15652831904886194</v>
      </c>
      <c r="W138" s="25">
        <f t="shared" si="75"/>
        <v>0.18416977107073171</v>
      </c>
      <c r="X138" s="25">
        <f t="shared" si="80"/>
        <v>0.12126760556380688</v>
      </c>
      <c r="AE138" s="191" t="s">
        <v>424</v>
      </c>
      <c r="AF138" s="227">
        <f>AF139+AF140</f>
        <v>18364274.908</v>
      </c>
      <c r="AG138" s="219"/>
      <c r="AH138" s="155"/>
      <c r="AI138" s="228"/>
      <c r="AJ138" s="227">
        <f>AJ139+AJ140</f>
        <v>10029376.275007378</v>
      </c>
      <c r="AK138" s="229"/>
      <c r="AL138" s="155"/>
      <c r="AM138" s="155"/>
    </row>
    <row r="139" spans="1:39" x14ac:dyDescent="0.25">
      <c r="C139" s="7"/>
      <c r="D139" s="7"/>
      <c r="E139" s="7"/>
      <c r="F139" s="7"/>
      <c r="G139" s="7"/>
      <c r="H139" s="7"/>
      <c r="I139" s="7"/>
      <c r="J139" s="7"/>
      <c r="M139" s="22"/>
      <c r="N139" s="22"/>
      <c r="O139" s="22"/>
      <c r="P139" s="22"/>
      <c r="Q139" s="22"/>
      <c r="R139" s="22"/>
      <c r="S139" s="22"/>
      <c r="T139" s="22"/>
      <c r="U139" s="22"/>
      <c r="V139" s="22"/>
      <c r="W139" s="22"/>
      <c r="X139" s="22"/>
      <c r="AE139" s="190" t="str">
        <f>AE122</f>
        <v>PSE Only Total</v>
      </c>
      <c r="AF139" s="225">
        <f>AF130+AF131+AF132</f>
        <v>10927610.038999999</v>
      </c>
      <c r="AG139" s="218"/>
      <c r="AH139" s="55"/>
      <c r="AI139" s="207">
        <f>AF139/$AF$137</f>
        <v>0.52288723530556347</v>
      </c>
      <c r="AJ139" s="225">
        <f>AJ130+AJ131+AJ132</f>
        <v>6813858.4258896364</v>
      </c>
      <c r="AK139" s="58"/>
      <c r="AL139" s="55"/>
      <c r="AM139" s="55">
        <f>AJ139/$AJ$137</f>
        <v>0.60740159200849431</v>
      </c>
    </row>
    <row r="140" spans="1:39" x14ac:dyDescent="0.25">
      <c r="A140" s="2">
        <f>B84</f>
        <v>2015</v>
      </c>
      <c r="B140" s="2" t="s">
        <v>282</v>
      </c>
      <c r="C140" s="7">
        <f t="shared" ref="C140:J141" si="87">C84</f>
        <v>5835382.2599999998</v>
      </c>
      <c r="D140" s="7">
        <f t="shared" si="87"/>
        <v>12747014.120999999</v>
      </c>
      <c r="E140" s="7">
        <f t="shared" si="87"/>
        <v>3448451.602</v>
      </c>
      <c r="F140" s="7">
        <f t="shared" si="87"/>
        <v>2239164.4237289638</v>
      </c>
      <c r="G140" s="7">
        <f t="shared" si="87"/>
        <v>8263509.284094383</v>
      </c>
      <c r="H140" s="7">
        <f t="shared" si="87"/>
        <v>1851818.5102739995</v>
      </c>
      <c r="I140" s="7">
        <f t="shared" si="87"/>
        <v>22030847.982999999</v>
      </c>
      <c r="J140" s="7">
        <f t="shared" si="87"/>
        <v>12354492.218097348</v>
      </c>
      <c r="L140" s="2" t="s">
        <v>315</v>
      </c>
      <c r="M140" s="22">
        <f t="shared" ref="M140:W140" si="88">SUM(M114:M120)</f>
        <v>22588053.114</v>
      </c>
      <c r="N140" s="22">
        <f t="shared" si="88"/>
        <v>23197321.145999998</v>
      </c>
      <c r="O140" s="22">
        <f t="shared" si="88"/>
        <v>23571872.167999998</v>
      </c>
      <c r="P140" s="22">
        <f t="shared" si="88"/>
        <v>23442451.84</v>
      </c>
      <c r="Q140" s="22">
        <f t="shared" si="88"/>
        <v>22594273.707000002</v>
      </c>
      <c r="R140" s="22">
        <f t="shared" si="88"/>
        <v>22850166.982000001</v>
      </c>
      <c r="S140" s="22">
        <f t="shared" si="88"/>
        <v>22415690.578999996</v>
      </c>
      <c r="T140" s="22">
        <f t="shared" si="88"/>
        <v>22803133.495999999</v>
      </c>
      <c r="U140" s="22">
        <f t="shared" si="88"/>
        <v>22277509.589000002</v>
      </c>
      <c r="V140" s="22">
        <f t="shared" si="88"/>
        <v>22030847.982999995</v>
      </c>
      <c r="W140" s="22">
        <f t="shared" si="88"/>
        <v>22621132.277999997</v>
      </c>
      <c r="X140" s="22">
        <f t="shared" ref="X140" si="89">SUM(X114:X120)</f>
        <v>20898597.826000001</v>
      </c>
      <c r="AE140" s="190" t="str">
        <f>AE123</f>
        <v>Firm Total</v>
      </c>
      <c r="AF140" s="225">
        <f>AF133+AF134+AF135</f>
        <v>7436664.8689999999</v>
      </c>
      <c r="AG140" s="218"/>
      <c r="AH140" s="55"/>
      <c r="AI140" s="207">
        <f>AF140/$AF$137</f>
        <v>0.35584515913062958</v>
      </c>
      <c r="AJ140" s="225">
        <f>AJ133+AJ134+AJ135</f>
        <v>3215517.8491177419</v>
      </c>
      <c r="AK140" s="58"/>
      <c r="AL140" s="55"/>
      <c r="AM140" s="55">
        <f>AJ140/$AJ$137</f>
        <v>0.28663798667505219</v>
      </c>
    </row>
    <row r="141" spans="1:39" x14ac:dyDescent="0.25">
      <c r="A141" s="2">
        <v>2015</v>
      </c>
      <c r="B141" s="2" t="str">
        <f>B85</f>
        <v>Coal</v>
      </c>
      <c r="C141" s="7">
        <f t="shared" si="87"/>
        <v>1651177</v>
      </c>
      <c r="D141" s="7">
        <f t="shared" si="87"/>
        <v>4495032</v>
      </c>
      <c r="E141" s="7">
        <f t="shared" si="87"/>
        <v>0</v>
      </c>
      <c r="F141" s="7">
        <f t="shared" si="87"/>
        <v>1986952.7107121402</v>
      </c>
      <c r="G141" s="7">
        <f t="shared" si="87"/>
        <v>5508526.3000000007</v>
      </c>
      <c r="H141" s="7">
        <f t="shared" si="87"/>
        <v>0</v>
      </c>
      <c r="I141" s="7">
        <f t="shared" si="87"/>
        <v>6146209</v>
      </c>
      <c r="J141" s="7">
        <f t="shared" si="87"/>
        <v>7495479.0107121412</v>
      </c>
      <c r="M141" s="22"/>
      <c r="N141" s="22"/>
      <c r="O141" s="22"/>
      <c r="P141" s="22"/>
      <c r="Q141" s="22"/>
      <c r="R141" s="22"/>
      <c r="S141" s="22"/>
      <c r="T141" s="22"/>
      <c r="U141" s="22"/>
      <c r="V141" s="22"/>
      <c r="W141" s="22"/>
      <c r="X141" s="22"/>
      <c r="AE141" s="209" t="str">
        <f>AE124</f>
        <v>Unspecfied Total</v>
      </c>
      <c r="AF141" s="226">
        <f>AF136</f>
        <v>2534322.9180000001</v>
      </c>
      <c r="AG141" s="222"/>
      <c r="AH141" s="185"/>
      <c r="AI141" s="215">
        <f>AF141/$AF$137</f>
        <v>0.12126760556380688</v>
      </c>
      <c r="AJ141" s="226">
        <f>AJ136</f>
        <v>1188668.7804200475</v>
      </c>
      <c r="AK141" s="208"/>
      <c r="AL141" s="185"/>
      <c r="AM141" s="185">
        <f>AJ141/$AJ$137</f>
        <v>0.10596042131645345</v>
      </c>
    </row>
    <row r="142" spans="1:39" x14ac:dyDescent="0.25">
      <c r="A142" s="2">
        <v>2015</v>
      </c>
      <c r="B142" s="2" t="str">
        <f t="shared" ref="B142:J142" si="90">B87</f>
        <v>Gas</v>
      </c>
      <c r="C142" s="7">
        <f t="shared" si="90"/>
        <v>400</v>
      </c>
      <c r="D142" s="7">
        <f t="shared" si="90"/>
        <v>5830023.9449999994</v>
      </c>
      <c r="E142" s="7">
        <f t="shared" si="90"/>
        <v>0</v>
      </c>
      <c r="F142" s="7">
        <f t="shared" si="90"/>
        <v>161.25650582378159</v>
      </c>
      <c r="G142" s="7">
        <f t="shared" si="90"/>
        <v>2754715.3074426129</v>
      </c>
      <c r="H142" s="7">
        <f t="shared" si="90"/>
        <v>0</v>
      </c>
      <c r="I142" s="7">
        <f t="shared" si="90"/>
        <v>5830423.9449999994</v>
      </c>
      <c r="J142" s="7">
        <f t="shared" si="90"/>
        <v>2754876.5639484366</v>
      </c>
      <c r="L142" s="2" t="s">
        <v>321</v>
      </c>
      <c r="M142" s="127">
        <v>0.90718469999999996</v>
      </c>
      <c r="N142" s="22"/>
      <c r="O142" s="22"/>
      <c r="P142" s="22"/>
      <c r="Q142" s="22"/>
      <c r="R142" s="22"/>
      <c r="S142" s="22"/>
      <c r="T142" s="22"/>
      <c r="U142" s="22"/>
      <c r="V142" s="22"/>
      <c r="W142" s="22"/>
      <c r="X142" s="22"/>
    </row>
    <row r="143" spans="1:39" x14ac:dyDescent="0.25">
      <c r="B143" s="2" t="s">
        <v>283</v>
      </c>
      <c r="C143" s="7">
        <f>C140-C141-C142</f>
        <v>4183805.26</v>
      </c>
      <c r="D143" s="7">
        <f>D140-D141-D142</f>
        <v>2421958.176</v>
      </c>
      <c r="E143" s="7">
        <f t="shared" ref="E143" si="91">E140-E141-E142</f>
        <v>3448451.602</v>
      </c>
      <c r="F143" s="7">
        <f t="shared" ref="F143" si="92">F140-F141-F142</f>
        <v>252050.45651099985</v>
      </c>
      <c r="G143" s="7">
        <f t="shared" ref="G143" si="93">G140-G141-G142</f>
        <v>267.67665176931769</v>
      </c>
      <c r="H143" s="7">
        <f t="shared" ref="H143" si="94">H140-H141-H142</f>
        <v>1851818.5102739995</v>
      </c>
      <c r="I143" s="7"/>
      <c r="J143" s="7"/>
      <c r="M143" s="22" t="s">
        <v>310</v>
      </c>
      <c r="N143" s="22" t="s">
        <v>310</v>
      </c>
      <c r="O143" s="22" t="s">
        <v>310</v>
      </c>
      <c r="P143" s="22" t="s">
        <v>310</v>
      </c>
      <c r="Q143" s="22" t="s">
        <v>310</v>
      </c>
      <c r="R143" s="22" t="s">
        <v>310</v>
      </c>
      <c r="S143" s="22" t="s">
        <v>310</v>
      </c>
      <c r="T143" s="22" t="s">
        <v>310</v>
      </c>
      <c r="U143" s="22" t="s">
        <v>310</v>
      </c>
      <c r="V143" s="22" t="s">
        <v>310</v>
      </c>
      <c r="W143" s="22" t="s">
        <v>310</v>
      </c>
      <c r="X143" s="22" t="s">
        <v>310</v>
      </c>
      <c r="Y143" s="43" t="s">
        <v>368</v>
      </c>
    </row>
    <row r="144" spans="1:39" ht="30" x14ac:dyDescent="0.25">
      <c r="C144" s="7"/>
      <c r="D144" s="7"/>
      <c r="E144" s="7"/>
      <c r="F144" s="7"/>
      <c r="G144" s="7"/>
      <c r="H144" s="7"/>
      <c r="I144" s="7"/>
      <c r="J144" s="7"/>
      <c r="L144" s="3"/>
      <c r="M144" s="4">
        <v>2006</v>
      </c>
      <c r="N144" s="4">
        <v>2007</v>
      </c>
      <c r="O144" s="4">
        <v>2008</v>
      </c>
      <c r="P144" s="4">
        <v>2009</v>
      </c>
      <c r="Q144" s="4">
        <v>2010</v>
      </c>
      <c r="R144" s="4">
        <v>2011</v>
      </c>
      <c r="S144" s="4">
        <v>2012</v>
      </c>
      <c r="T144" s="4">
        <v>2013</v>
      </c>
      <c r="U144" s="4">
        <v>2014</v>
      </c>
      <c r="V144" s="4">
        <v>2015</v>
      </c>
      <c r="W144" s="4">
        <v>2016</v>
      </c>
      <c r="X144" s="4">
        <v>2017</v>
      </c>
      <c r="Y144" s="4" t="s">
        <v>292</v>
      </c>
      <c r="Z144" s="116" t="s">
        <v>345</v>
      </c>
      <c r="AA144" s="3" t="s">
        <v>322</v>
      </c>
      <c r="AB144" s="2" t="s">
        <v>342</v>
      </c>
    </row>
    <row r="145" spans="2:39" x14ac:dyDescent="0.25">
      <c r="B145" s="2" t="str">
        <f t="shared" ref="B145:J145" si="95">B91</f>
        <v>Grand Total</v>
      </c>
      <c r="C145" s="7">
        <f t="shared" si="95"/>
        <v>82441116.347999975</v>
      </c>
      <c r="D145" s="7">
        <f t="shared" si="95"/>
        <v>107449421.46500002</v>
      </c>
      <c r="E145" s="7">
        <f t="shared" si="95"/>
        <v>59801833.493000001</v>
      </c>
      <c r="F145" s="7">
        <f t="shared" si="95"/>
        <v>19278674.194560323</v>
      </c>
      <c r="G145" s="7">
        <f t="shared" si="95"/>
        <v>77146995.064650267</v>
      </c>
      <c r="H145" s="7">
        <f t="shared" si="95"/>
        <v>30990909.476037819</v>
      </c>
      <c r="I145" s="7">
        <f t="shared" si="95"/>
        <v>249692371.30600002</v>
      </c>
      <c r="J145" s="7">
        <f t="shared" si="95"/>
        <v>127416578.73524839</v>
      </c>
      <c r="L145" s="146" t="str">
        <f t="shared" ref="L145:L151" si="96">L101</f>
        <v>PSE Owned Coal</v>
      </c>
      <c r="M145" s="24">
        <f t="shared" ref="M145:W145" si="97">M101*0.9071847</f>
        <v>5368464.9975247653</v>
      </c>
      <c r="N145" s="24">
        <f t="shared" si="97"/>
        <v>5742217.6323306067</v>
      </c>
      <c r="O145" s="24">
        <f t="shared" si="97"/>
        <v>5561763.4228364993</v>
      </c>
      <c r="P145" s="24">
        <f t="shared" si="97"/>
        <v>4770692.0141436001</v>
      </c>
      <c r="Q145" s="24">
        <f t="shared" si="97"/>
        <v>5527798.1950561497</v>
      </c>
      <c r="R145" s="24">
        <f t="shared" si="97"/>
        <v>4499455.2897938034</v>
      </c>
      <c r="S145" s="24">
        <f t="shared" si="97"/>
        <v>4107968.1103746672</v>
      </c>
      <c r="T145" s="24">
        <f t="shared" si="97"/>
        <v>4667512.5961161405</v>
      </c>
      <c r="U145" s="24">
        <f t="shared" si="97"/>
        <v>4853678.5489454996</v>
      </c>
      <c r="V145" s="24">
        <f t="shared" si="97"/>
        <v>4997250.7789076101</v>
      </c>
      <c r="W145" s="31">
        <f t="shared" si="97"/>
        <v>4608046.4980194001</v>
      </c>
      <c r="X145" s="31">
        <f t="shared" ref="X145" si="98">X101*0.9071847</f>
        <v>4452201.0728771938</v>
      </c>
      <c r="Y145" s="24">
        <f>SUM(O145:X145)</f>
        <v>48046366.52707056</v>
      </c>
      <c r="Z145" s="28">
        <f>Y145/Y153</f>
        <v>0.74105665601694015</v>
      </c>
      <c r="AA145" s="28">
        <f t="shared" ref="AA145:AA151" si="99">Y145/$Y$152</f>
        <v>0.4648683114550039</v>
      </c>
      <c r="AB145" s="21">
        <f>Y145/(Y145+Y147)</f>
        <v>0.74119226829342855</v>
      </c>
      <c r="AE145" s="5" t="s">
        <v>392</v>
      </c>
      <c r="AF145" s="39">
        <f>SUM(AF148:AF151)</f>
        <v>3839140.1310000001</v>
      </c>
      <c r="AG145" s="52"/>
      <c r="AH145" s="52"/>
      <c r="AI145" s="52"/>
      <c r="AJ145" s="39"/>
      <c r="AK145" s="52"/>
      <c r="AL145" s="52"/>
      <c r="AM145" s="52"/>
    </row>
    <row r="146" spans="2:39" x14ac:dyDescent="0.25">
      <c r="C146" s="7"/>
      <c r="D146" s="7"/>
      <c r="E146" s="7"/>
      <c r="F146" s="7"/>
      <c r="G146" s="7"/>
      <c r="H146" s="7"/>
      <c r="I146" s="7"/>
      <c r="J146" s="7"/>
      <c r="L146" s="146" t="str">
        <f t="shared" si="96"/>
        <v>PSE Firm Coal</v>
      </c>
      <c r="M146" s="24">
        <f t="shared" ref="M146:W146" si="100">M102*0.9071847</f>
        <v>809645.91781821428</v>
      </c>
      <c r="N146" s="24">
        <f t="shared" si="100"/>
        <v>831231.20836300426</v>
      </c>
      <c r="O146" s="24">
        <f t="shared" si="100"/>
        <v>727462.11735102953</v>
      </c>
      <c r="P146" s="24">
        <f t="shared" si="100"/>
        <v>650056.88753164525</v>
      </c>
      <c r="Q146" s="24">
        <f t="shared" si="100"/>
        <v>771203.09372836689</v>
      </c>
      <c r="R146" s="24">
        <f t="shared" si="100"/>
        <v>0</v>
      </c>
      <c r="S146" s="24">
        <f t="shared" si="100"/>
        <v>0</v>
      </c>
      <c r="T146" s="24">
        <f t="shared" si="100"/>
        <v>0</v>
      </c>
      <c r="U146" s="24">
        <f t="shared" si="100"/>
        <v>142966.97893924441</v>
      </c>
      <c r="V146" s="24">
        <f t="shared" si="100"/>
        <v>1802533.0987815796</v>
      </c>
      <c r="W146" s="31">
        <f t="shared" si="100"/>
        <v>1715717.8138231456</v>
      </c>
      <c r="X146" s="31">
        <f t="shared" ref="X146" si="101">X102*0.9071847</f>
        <v>2221859.845198785</v>
      </c>
      <c r="Y146" s="24">
        <f t="shared" ref="Y146:Y152" si="102">SUM(O146:X146)</f>
        <v>8031799.8353537964</v>
      </c>
      <c r="Z146" s="29"/>
      <c r="AA146" s="28">
        <f t="shared" si="99"/>
        <v>7.771095916903141E-2</v>
      </c>
      <c r="AB146" s="29"/>
      <c r="AF146" s="118">
        <f>AF145/(AF140)</f>
        <v>0.51624487571082989</v>
      </c>
    </row>
    <row r="147" spans="2:39" x14ac:dyDescent="0.25">
      <c r="C147" s="7"/>
      <c r="D147" s="7"/>
      <c r="E147" s="7"/>
      <c r="F147" s="7"/>
      <c r="G147" s="7"/>
      <c r="H147" s="7"/>
      <c r="I147" s="7"/>
      <c r="J147" s="7"/>
      <c r="L147" s="146" t="str">
        <f t="shared" si="96"/>
        <v>PSE Owned Gas</v>
      </c>
      <c r="M147" s="24">
        <f t="shared" ref="M147:W147" si="103">M103*0.9071847</f>
        <v>306377.22525563044</v>
      </c>
      <c r="N147" s="24">
        <f t="shared" si="103"/>
        <v>428637.25341572159</v>
      </c>
      <c r="O147" s="24">
        <f t="shared" si="103"/>
        <v>663849.78641478322</v>
      </c>
      <c r="P147" s="24">
        <f t="shared" si="103"/>
        <v>1924233.8236409687</v>
      </c>
      <c r="Q147" s="24">
        <f t="shared" si="103"/>
        <v>1622645.8424806593</v>
      </c>
      <c r="R147" s="24">
        <f t="shared" si="103"/>
        <v>800930.13181155268</v>
      </c>
      <c r="S147" s="24">
        <f t="shared" si="103"/>
        <v>1318190.3826925461</v>
      </c>
      <c r="T147" s="24">
        <f t="shared" si="103"/>
        <v>2427946.7209109277</v>
      </c>
      <c r="U147" s="24">
        <f t="shared" si="103"/>
        <v>1920087.1838693283</v>
      </c>
      <c r="V147" s="24">
        <f t="shared" si="103"/>
        <v>2499035.5797677343</v>
      </c>
      <c r="W147" s="31">
        <f t="shared" si="103"/>
        <v>1870901.7575541951</v>
      </c>
      <c r="X147" s="31">
        <f t="shared" ref="X147" si="104">X103*0.9071847</f>
        <v>1728893.3756496338</v>
      </c>
      <c r="Y147" s="24">
        <f t="shared" si="102"/>
        <v>16776714.584792331</v>
      </c>
      <c r="Z147" s="28">
        <f>Y147/Y153</f>
        <v>0.258760378938375</v>
      </c>
      <c r="AA147" s="28">
        <f t="shared" si="99"/>
        <v>0.16232159775080621</v>
      </c>
      <c r="AB147" s="21">
        <f>Y147/(Y145+Y147)</f>
        <v>0.25880773170657145</v>
      </c>
      <c r="AE147" s="2" t="s">
        <v>397</v>
      </c>
    </row>
    <row r="148" spans="2:39" x14ac:dyDescent="0.25">
      <c r="C148" s="7"/>
      <c r="D148" s="7"/>
      <c r="E148" s="7"/>
      <c r="F148" s="7"/>
      <c r="G148" s="7"/>
      <c r="H148" s="7"/>
      <c r="I148" s="7"/>
      <c r="J148" s="7"/>
      <c r="L148" s="146" t="str">
        <f t="shared" si="96"/>
        <v>PSE Firm Gas</v>
      </c>
      <c r="M148" s="24">
        <f t="shared" ref="M148:W148" si="105">M104*0.9071847</f>
        <v>898050.5494333877</v>
      </c>
      <c r="N148" s="24">
        <f t="shared" si="105"/>
        <v>714144.389316277</v>
      </c>
      <c r="O148" s="24">
        <f t="shared" si="105"/>
        <v>525328.26852250309</v>
      </c>
      <c r="P148" s="24">
        <f t="shared" si="105"/>
        <v>669201.6002803907</v>
      </c>
      <c r="Q148" s="24">
        <f t="shared" si="105"/>
        <v>611626.2851821722</v>
      </c>
      <c r="R148" s="24">
        <f t="shared" si="105"/>
        <v>277290.80992272298</v>
      </c>
      <c r="S148" s="24">
        <f t="shared" si="105"/>
        <v>181.86328492831083</v>
      </c>
      <c r="T148" s="24">
        <f t="shared" si="105"/>
        <v>3094.7198106284695</v>
      </c>
      <c r="U148" s="24">
        <f t="shared" si="105"/>
        <v>443.13336721811612</v>
      </c>
      <c r="V148" s="24">
        <f t="shared" si="105"/>
        <v>146.28943485879554</v>
      </c>
      <c r="W148" s="31">
        <f t="shared" si="105"/>
        <v>73.216911738286399</v>
      </c>
      <c r="X148" s="31">
        <f t="shared" ref="X148" si="106">X104*0.9071847</f>
        <v>0</v>
      </c>
      <c r="Y148" s="24">
        <f t="shared" si="102"/>
        <v>2087386.186717161</v>
      </c>
      <c r="Z148" s="29"/>
      <c r="AA148" s="28">
        <f t="shared" si="99"/>
        <v>2.0196317892779269E-2</v>
      </c>
      <c r="AB148" s="29"/>
      <c r="AE148" s="2" t="s">
        <v>393</v>
      </c>
      <c r="AF148" s="2">
        <v>60917.675000000003</v>
      </c>
    </row>
    <row r="149" spans="2:39" x14ac:dyDescent="0.25">
      <c r="C149" s="7"/>
      <c r="D149" s="7"/>
      <c r="E149" s="7"/>
      <c r="F149" s="7"/>
      <c r="G149" s="7"/>
      <c r="H149" s="7"/>
      <c r="I149" s="7"/>
      <c r="J149" s="7"/>
      <c r="L149" s="146" t="str">
        <f t="shared" si="96"/>
        <v>PSE Own All Other</v>
      </c>
      <c r="M149" s="24">
        <f t="shared" ref="M149:W149" si="107">M105*0.9071847</f>
        <v>826.92483582004934</v>
      </c>
      <c r="N149" s="24">
        <f t="shared" si="107"/>
        <v>279.12608144781461</v>
      </c>
      <c r="O149" s="24">
        <f t="shared" si="107"/>
        <v>276.53314305868162</v>
      </c>
      <c r="P149" s="24">
        <f t="shared" si="107"/>
        <v>347.09375232197834</v>
      </c>
      <c r="Q149" s="24">
        <f t="shared" si="107"/>
        <v>108.02796988771064</v>
      </c>
      <c r="R149" s="24">
        <f t="shared" si="107"/>
        <v>227.30610425912414</v>
      </c>
      <c r="S149" s="24">
        <f t="shared" si="107"/>
        <v>9818.7936691478917</v>
      </c>
      <c r="T149" s="24">
        <f t="shared" si="107"/>
        <v>58.102864249031725</v>
      </c>
      <c r="U149" s="24">
        <f t="shared" si="107"/>
        <v>295.85336071042411</v>
      </c>
      <c r="V149" s="24">
        <f t="shared" si="107"/>
        <v>242.83216303235292</v>
      </c>
      <c r="W149" s="31">
        <f t="shared" si="107"/>
        <v>154.32192726660614</v>
      </c>
      <c r="X149" s="31">
        <f t="shared" ref="X149" si="108">X105*0.9071847</f>
        <v>333.66340633373909</v>
      </c>
      <c r="Y149" s="24">
        <f t="shared" si="102"/>
        <v>11862.528360267539</v>
      </c>
      <c r="Z149" s="30">
        <f>Y149/Y153</f>
        <v>1.8296504468476326E-4</v>
      </c>
      <c r="AA149" s="28">
        <f t="shared" si="99"/>
        <v>1.1477482954549014E-4</v>
      </c>
      <c r="AB149" s="29"/>
      <c r="AE149" s="2" t="s">
        <v>394</v>
      </c>
      <c r="AF149" s="2">
        <v>3658359.9619999998</v>
      </c>
    </row>
    <row r="150" spans="2:39" x14ac:dyDescent="0.25">
      <c r="C150" s="7"/>
      <c r="D150" s="7"/>
      <c r="E150" s="7"/>
      <c r="F150" s="7"/>
      <c r="G150" s="7"/>
      <c r="H150" s="7"/>
      <c r="I150" s="7"/>
      <c r="J150" s="7"/>
      <c r="L150" s="146" t="str">
        <f t="shared" si="96"/>
        <v>PSE Firm All Other</v>
      </c>
      <c r="M150" s="24">
        <f t="shared" ref="M150:W150" si="109">M106*0.9071847</f>
        <v>512046.59252142929</v>
      </c>
      <c r="N150" s="24">
        <f t="shared" si="109"/>
        <v>535253.13632534014</v>
      </c>
      <c r="O150" s="24">
        <f t="shared" si="109"/>
        <v>497236.43459163315</v>
      </c>
      <c r="P150" s="24">
        <f t="shared" si="109"/>
        <v>360847.42584262649</v>
      </c>
      <c r="Q150" s="24">
        <f t="shared" si="109"/>
        <v>1166289.8349494766</v>
      </c>
      <c r="R150" s="24">
        <f t="shared" si="109"/>
        <v>995514.70648542873</v>
      </c>
      <c r="S150" s="24">
        <f t="shared" si="109"/>
        <v>716802.0398193968</v>
      </c>
      <c r="T150" s="24">
        <f t="shared" si="109"/>
        <v>453073.9076416645</v>
      </c>
      <c r="U150" s="24">
        <f t="shared" si="109"/>
        <v>274492.81674150657</v>
      </c>
      <c r="V150" s="24">
        <f t="shared" si="109"/>
        <v>228656.31777479444</v>
      </c>
      <c r="W150" s="31">
        <f t="shared" si="109"/>
        <v>561550.62960845511</v>
      </c>
      <c r="X150" s="31">
        <f t="shared" ref="X150" si="110">X106*0.9071847</f>
        <v>695208.75009773928</v>
      </c>
      <c r="Y150" s="24">
        <f t="shared" si="102"/>
        <v>5949672.8635527221</v>
      </c>
      <c r="Z150" s="29"/>
      <c r="AA150" s="28">
        <f t="shared" si="99"/>
        <v>5.7565526338627097E-2</v>
      </c>
      <c r="AB150" s="29"/>
      <c r="AE150" s="2" t="s">
        <v>395</v>
      </c>
      <c r="AF150" s="2">
        <v>172.541</v>
      </c>
    </row>
    <row r="151" spans="2:39" x14ac:dyDescent="0.25">
      <c r="C151" s="7"/>
      <c r="D151" s="7"/>
      <c r="E151" s="7"/>
      <c r="F151" s="7"/>
      <c r="G151" s="7"/>
      <c r="H151" s="7"/>
      <c r="I151" s="7"/>
      <c r="J151" s="7"/>
      <c r="L151" s="146" t="str">
        <f t="shared" si="96"/>
        <v>Unknown</v>
      </c>
      <c r="M151" s="24">
        <f t="shared" ref="M151:W151" si="111">M107*0.9071847</f>
        <v>2813194.0433686208</v>
      </c>
      <c r="N151" s="24">
        <f t="shared" si="111"/>
        <v>2845785.9772744137</v>
      </c>
      <c r="O151" s="24">
        <f t="shared" si="111"/>
        <v>2528583.844295471</v>
      </c>
      <c r="P151" s="24">
        <f t="shared" si="111"/>
        <v>2237040.6983839241</v>
      </c>
      <c r="Q151" s="24">
        <f t="shared" si="111"/>
        <v>1721761.4727691016</v>
      </c>
      <c r="R151" s="24">
        <f t="shared" si="111"/>
        <v>2779990.5935310605</v>
      </c>
      <c r="S151" s="24">
        <f t="shared" si="111"/>
        <v>3165402.4210693794</v>
      </c>
      <c r="T151" s="24">
        <f t="shared" si="111"/>
        <v>3018095.8530895701</v>
      </c>
      <c r="U151" s="24">
        <f t="shared" si="111"/>
        <v>2846929.1446136935</v>
      </c>
      <c r="V151" s="24">
        <f t="shared" si="111"/>
        <v>1679941.419697365</v>
      </c>
      <c r="W151" s="31">
        <f t="shared" si="111"/>
        <v>1394899.5063469519</v>
      </c>
      <c r="X151" s="31">
        <f t="shared" ref="X151" si="112">X107*0.9071847</f>
        <v>1078342.1309647267</v>
      </c>
      <c r="Y151" s="24">
        <f t="shared" si="102"/>
        <v>22450987.084761247</v>
      </c>
      <c r="Z151" s="29"/>
      <c r="AA151" s="28">
        <f t="shared" si="99"/>
        <v>0.21722251256420663</v>
      </c>
      <c r="AB151" s="29"/>
      <c r="AE151" s="2" t="s">
        <v>396</v>
      </c>
      <c r="AF151" s="2">
        <v>119689.95299999999</v>
      </c>
    </row>
    <row r="152" spans="2:39" x14ac:dyDescent="0.25">
      <c r="L152" s="146" t="s">
        <v>292</v>
      </c>
      <c r="M152" s="24">
        <f>SUM(M145:M151)</f>
        <v>10708606.250757867</v>
      </c>
      <c r="N152" s="24">
        <f t="shared" ref="N152:W152" si="113">SUM(N145:N151)</f>
        <v>11097548.723106811</v>
      </c>
      <c r="O152" s="24">
        <f t="shared" si="113"/>
        <v>10504500.407154977</v>
      </c>
      <c r="P152" s="24">
        <f t="shared" si="113"/>
        <v>10612419.543575477</v>
      </c>
      <c r="Q152" s="24">
        <f t="shared" si="113"/>
        <v>11421432.752135815</v>
      </c>
      <c r="R152" s="24">
        <f t="shared" si="113"/>
        <v>9353408.8376488276</v>
      </c>
      <c r="S152" s="24">
        <f t="shared" si="113"/>
        <v>9318363.6109100673</v>
      </c>
      <c r="T152" s="24">
        <f t="shared" si="113"/>
        <v>10569781.900433179</v>
      </c>
      <c r="U152" s="24">
        <f t="shared" si="113"/>
        <v>10038893.659837201</v>
      </c>
      <c r="V152" s="24">
        <f t="shared" si="113"/>
        <v>11207806.316526975</v>
      </c>
      <c r="W152" s="24">
        <f t="shared" si="113"/>
        <v>10151343.744191153</v>
      </c>
      <c r="X152" s="24">
        <f t="shared" ref="X152" si="114">SUM(X145:X151)</f>
        <v>10176838.838194411</v>
      </c>
      <c r="Y152" s="24">
        <f t="shared" si="102"/>
        <v>103354789.61060809</v>
      </c>
      <c r="Z152" s="29"/>
      <c r="AA152" s="29"/>
      <c r="AB152" s="29"/>
    </row>
    <row r="153" spans="2:39" x14ac:dyDescent="0.25">
      <c r="X153" s="26" t="s">
        <v>323</v>
      </c>
      <c r="Y153" s="24">
        <f>Y145+Y147+Y149</f>
        <v>64834943.64022316</v>
      </c>
      <c r="Z153" s="28">
        <f>Y153/Y152</f>
        <v>0.62730468403535566</v>
      </c>
      <c r="AA153" s="28">
        <f>Y153/$Y$152</f>
        <v>0.62730468403535566</v>
      </c>
      <c r="AB153" s="29"/>
    </row>
    <row r="154" spans="2:39" x14ac:dyDescent="0.25">
      <c r="X154" s="44" t="s">
        <v>324</v>
      </c>
      <c r="Y154" s="24">
        <f>Y146+Y148+Y150</f>
        <v>16068858.885623679</v>
      </c>
      <c r="Z154" s="28">
        <f>Y154/Y152</f>
        <v>0.15547280340043776</v>
      </c>
      <c r="AA154" s="28">
        <f>Y154/$Y$152</f>
        <v>0.15547280340043776</v>
      </c>
      <c r="AB154" s="29"/>
    </row>
    <row r="155" spans="2:39" x14ac:dyDescent="0.25">
      <c r="X155" s="44" t="s">
        <v>325</v>
      </c>
      <c r="Y155" s="24">
        <f>Y151</f>
        <v>22450987.084761247</v>
      </c>
      <c r="Z155" s="28">
        <f>Y155/Y152</f>
        <v>0.21722251256420663</v>
      </c>
      <c r="AA155" s="28">
        <f>Y155/$Y$152</f>
        <v>0.21722251256420663</v>
      </c>
      <c r="AB155" s="29"/>
    </row>
    <row r="156" spans="2:39" x14ac:dyDescent="0.25">
      <c r="X156" s="5" t="s">
        <v>340</v>
      </c>
    </row>
    <row r="157" spans="2:39" x14ac:dyDescent="0.25">
      <c r="X157" s="5" t="s">
        <v>341</v>
      </c>
    </row>
    <row r="160" spans="2:39" ht="30" x14ac:dyDescent="0.25">
      <c r="L160" s="23" t="s">
        <v>291</v>
      </c>
      <c r="M160" s="22">
        <v>16122.198515981736</v>
      </c>
      <c r="N160" s="22">
        <v>14931.810502283104</v>
      </c>
      <c r="O160" s="22">
        <v>14891.147540983606</v>
      </c>
      <c r="P160" s="22">
        <v>14372.879109589041</v>
      </c>
      <c r="Q160" s="22">
        <v>13401.775</v>
      </c>
      <c r="R160" s="22">
        <v>18280.046010273974</v>
      </c>
      <c r="S160" s="22">
        <v>17201.548622495444</v>
      </c>
      <c r="T160" s="22">
        <v>14767.632938356164</v>
      </c>
      <c r="U160" s="22">
        <v>15434.936244292237</v>
      </c>
      <c r="V160" s="22"/>
    </row>
    <row r="161" spans="12:24" x14ac:dyDescent="0.25">
      <c r="L161" s="23" t="s">
        <v>290</v>
      </c>
      <c r="M161" s="22">
        <v>5252.3812785388127</v>
      </c>
      <c r="N161" s="22">
        <v>6307.8847031963469</v>
      </c>
      <c r="O161" s="22">
        <v>6852.1939890710382</v>
      </c>
      <c r="P161" s="22">
        <v>6414.8936073059358</v>
      </c>
      <c r="Q161" s="22">
        <v>6746.4651826484014</v>
      </c>
      <c r="R161" s="22">
        <v>4403.8137899543372</v>
      </c>
      <c r="S161" s="22">
        <v>4540.7407502276865</v>
      </c>
      <c r="T161" s="22">
        <v>4540.7407502276865</v>
      </c>
      <c r="U161" s="22">
        <v>6308.7701038812784</v>
      </c>
      <c r="V161" s="22"/>
    </row>
    <row r="162" spans="12:24" x14ac:dyDescent="0.25">
      <c r="L162" s="23" t="s">
        <v>276</v>
      </c>
      <c r="M162" s="22">
        <v>2267102.1722361753</v>
      </c>
      <c r="N162" s="22">
        <v>2307477.0404587844</v>
      </c>
      <c r="O162" s="22">
        <v>2340765.6259595291</v>
      </c>
      <c r="P162" s="22">
        <v>2360347.5865471303</v>
      </c>
      <c r="Q162" s="22">
        <v>2374059.1947814561</v>
      </c>
      <c r="R162" s="22">
        <v>2384581.4774588249</v>
      </c>
      <c r="S162" s="22">
        <v>2396763.2060900475</v>
      </c>
      <c r="T162" s="22">
        <v>2383976.003935121</v>
      </c>
      <c r="U162" s="22">
        <v>2393758.2634168519</v>
      </c>
      <c r="V162" s="22">
        <v>2418978.85192273</v>
      </c>
      <c r="W162" s="22"/>
      <c r="X162" s="22"/>
    </row>
    <row r="163" spans="12:24" x14ac:dyDescent="0.25">
      <c r="L163" s="23" t="s">
        <v>320</v>
      </c>
      <c r="M163" s="22">
        <f>O179</f>
        <v>1824620.6261171864</v>
      </c>
      <c r="N163" s="22"/>
      <c r="O163" s="22"/>
      <c r="P163" s="22"/>
      <c r="Q163" s="22"/>
      <c r="R163" s="22"/>
      <c r="S163" s="22"/>
      <c r="T163" s="22"/>
      <c r="U163" s="22"/>
      <c r="V163" s="34">
        <f>(V162-M163)/V162</f>
        <v>0.24570625135193588</v>
      </c>
      <c r="W163" s="22"/>
    </row>
    <row r="164" spans="12:24" x14ac:dyDescent="0.25">
      <c r="U164" s="33"/>
      <c r="X164" s="22"/>
    </row>
    <row r="165" spans="12:24" x14ac:dyDescent="0.25">
      <c r="L165" s="117" t="s">
        <v>316</v>
      </c>
      <c r="M165" s="22" t="s">
        <v>318</v>
      </c>
      <c r="N165" s="22" t="s">
        <v>318</v>
      </c>
      <c r="O165" s="22" t="s">
        <v>318</v>
      </c>
      <c r="P165" s="22" t="s">
        <v>318</v>
      </c>
      <c r="Q165" s="22" t="s">
        <v>318</v>
      </c>
      <c r="R165" s="22" t="s">
        <v>318</v>
      </c>
      <c r="S165" s="22" t="s">
        <v>318</v>
      </c>
      <c r="T165" s="22" t="s">
        <v>318</v>
      </c>
      <c r="U165" s="22" t="s">
        <v>318</v>
      </c>
      <c r="V165" s="22" t="s">
        <v>318</v>
      </c>
      <c r="W165" s="22" t="s">
        <v>318</v>
      </c>
      <c r="X165" s="22" t="s">
        <v>318</v>
      </c>
    </row>
    <row r="166" spans="12:24" x14ac:dyDescent="0.25">
      <c r="L166" s="3"/>
      <c r="M166" s="4">
        <v>2006</v>
      </c>
      <c r="N166" s="4">
        <v>2007</v>
      </c>
      <c r="O166" s="4">
        <v>2008</v>
      </c>
      <c r="P166" s="4">
        <v>2009</v>
      </c>
      <c r="Q166" s="4">
        <v>2010</v>
      </c>
      <c r="R166" s="4">
        <v>2011</v>
      </c>
      <c r="S166" s="4">
        <v>2012</v>
      </c>
      <c r="T166" s="4">
        <v>2013</v>
      </c>
      <c r="U166" s="4">
        <v>2014</v>
      </c>
      <c r="V166" s="4">
        <v>2015</v>
      </c>
      <c r="W166" s="4">
        <v>2016</v>
      </c>
      <c r="X166" s="4">
        <v>2017</v>
      </c>
    </row>
    <row r="167" spans="12:24" x14ac:dyDescent="0.25">
      <c r="L167" s="146" t="str">
        <f t="shared" ref="L167:L173" si="115">L145</f>
        <v>PSE Owned Coal</v>
      </c>
      <c r="M167" s="25">
        <f t="shared" ref="M167:S167" si="116">M145/M$176</f>
        <v>0.5013224757558743</v>
      </c>
      <c r="N167" s="25">
        <f t="shared" si="116"/>
        <v>0.51743117111749393</v>
      </c>
      <c r="O167" s="25">
        <f t="shared" si="116"/>
        <v>0.52946482053046429</v>
      </c>
      <c r="P167" s="25">
        <f t="shared" si="116"/>
        <v>0.44953858020357584</v>
      </c>
      <c r="Q167" s="25">
        <f t="shared" si="116"/>
        <v>0.48398465542971814</v>
      </c>
      <c r="R167" s="25">
        <f t="shared" si="116"/>
        <v>0.48104978280034577</v>
      </c>
      <c r="S167" s="25">
        <f t="shared" si="116"/>
        <v>0.44084651360513577</v>
      </c>
      <c r="T167" s="25">
        <f t="shared" ref="T167:V167" si="117">T145/T$176</f>
        <v>0.44159024661850904</v>
      </c>
      <c r="U167" s="25">
        <f t="shared" si="117"/>
        <v>0.48348739546507069</v>
      </c>
      <c r="V167" s="25">
        <f t="shared" si="117"/>
        <v>0.44587233556478301</v>
      </c>
      <c r="W167" s="25">
        <f>W145/W$176</f>
        <v>0.45393463310275911</v>
      </c>
      <c r="X167" s="25">
        <f>X145/X$176</f>
        <v>0.43748369642720109</v>
      </c>
    </row>
    <row r="168" spans="12:24" x14ac:dyDescent="0.25">
      <c r="L168" s="146" t="str">
        <f t="shared" si="115"/>
        <v>PSE Firm Coal</v>
      </c>
      <c r="M168" s="25">
        <f t="shared" ref="M168:S168" si="118">M146/M$176</f>
        <v>7.5607030351023896E-2</v>
      </c>
      <c r="N168" s="25">
        <f t="shared" si="118"/>
        <v>7.4902235538939557E-2</v>
      </c>
      <c r="O168" s="25">
        <f t="shared" si="118"/>
        <v>6.9252424118669179E-2</v>
      </c>
      <c r="P168" s="25">
        <f t="shared" si="118"/>
        <v>6.1254352493553203E-2</v>
      </c>
      <c r="Q168" s="25">
        <f t="shared" si="118"/>
        <v>6.7522447530424884E-2</v>
      </c>
      <c r="R168" s="25">
        <f t="shared" si="118"/>
        <v>0</v>
      </c>
      <c r="S168" s="25">
        <f t="shared" si="118"/>
        <v>0</v>
      </c>
      <c r="T168" s="25">
        <f t="shared" ref="T168:V168" si="119">T146/T$176</f>
        <v>0</v>
      </c>
      <c r="U168" s="25">
        <f t="shared" si="119"/>
        <v>1.4241308234115001E-2</v>
      </c>
      <c r="V168" s="25">
        <f t="shared" si="119"/>
        <v>0.16082835908072157</v>
      </c>
      <c r="W168" s="25">
        <f t="shared" ref="W168:X173" si="120">W146/W$176</f>
        <v>0.16901386230812263</v>
      </c>
      <c r="X168" s="25">
        <f t="shared" si="120"/>
        <v>0.21832514796834401</v>
      </c>
    </row>
    <row r="169" spans="12:24" x14ac:dyDescent="0.25">
      <c r="L169" s="146" t="str">
        <f t="shared" si="115"/>
        <v>PSE Owned Gas</v>
      </c>
      <c r="M169" s="25">
        <f t="shared" ref="M169:S169" si="121">M147/M$176</f>
        <v>2.8610373570692037E-2</v>
      </c>
      <c r="N169" s="25">
        <f t="shared" si="121"/>
        <v>3.8624498446511217E-2</v>
      </c>
      <c r="O169" s="25">
        <f t="shared" si="121"/>
        <v>6.3196702430761226E-2</v>
      </c>
      <c r="P169" s="25">
        <f t="shared" si="121"/>
        <v>0.18131904941563087</v>
      </c>
      <c r="Q169" s="25">
        <f t="shared" si="121"/>
        <v>0.14207025315429217</v>
      </c>
      <c r="R169" s="25">
        <f t="shared" si="121"/>
        <v>8.5629757633141484E-2</v>
      </c>
      <c r="S169" s="25">
        <f t="shared" si="121"/>
        <v>0.14146157391295514</v>
      </c>
      <c r="T169" s="25">
        <f t="shared" ref="T169:V169" si="122">T147/T$176</f>
        <v>0.2297064162517321</v>
      </c>
      <c r="U169" s="25">
        <f t="shared" si="122"/>
        <v>0.19126481950407134</v>
      </c>
      <c r="V169" s="25">
        <f t="shared" si="122"/>
        <v>0.22297276640859406</v>
      </c>
      <c r="W169" s="25">
        <f t="shared" si="120"/>
        <v>0.18430089697482374</v>
      </c>
      <c r="X169" s="25">
        <f t="shared" si="120"/>
        <v>0.16988510903415038</v>
      </c>
    </row>
    <row r="170" spans="12:24" x14ac:dyDescent="0.25">
      <c r="L170" s="146" t="str">
        <f t="shared" si="115"/>
        <v>PSE Firm Gas</v>
      </c>
      <c r="M170" s="25">
        <f t="shared" ref="M170:S170" si="123">M148/M$176</f>
        <v>8.3862505390916858E-2</v>
      </c>
      <c r="N170" s="25">
        <f t="shared" si="123"/>
        <v>6.4351543492601929E-2</v>
      </c>
      <c r="O170" s="25">
        <f t="shared" si="123"/>
        <v>5.0009828945761559E-2</v>
      </c>
      <c r="P170" s="25">
        <f t="shared" si="123"/>
        <v>6.3058343814301088E-2</v>
      </c>
      <c r="Q170" s="25">
        <f t="shared" si="123"/>
        <v>5.3550749582428503E-2</v>
      </c>
      <c r="R170" s="25">
        <f t="shared" si="123"/>
        <v>2.964596274318591E-2</v>
      </c>
      <c r="S170" s="25">
        <f t="shared" si="123"/>
        <v>1.9516654696258345E-5</v>
      </c>
      <c r="T170" s="25">
        <f t="shared" ref="T170:V170" si="124">T148/T$176</f>
        <v>2.9278937255097375E-4</v>
      </c>
      <c r="U170" s="25">
        <f t="shared" si="124"/>
        <v>4.414165367554081E-5</v>
      </c>
      <c r="V170" s="25">
        <f t="shared" si="124"/>
        <v>1.3052459217026072E-5</v>
      </c>
      <c r="W170" s="25">
        <f t="shared" si="120"/>
        <v>7.212533984004128E-6</v>
      </c>
      <c r="X170" s="25">
        <f t="shared" si="120"/>
        <v>0</v>
      </c>
    </row>
    <row r="171" spans="12:24" x14ac:dyDescent="0.25">
      <c r="L171" s="146" t="str">
        <f t="shared" si="115"/>
        <v>PSE Own All Other</v>
      </c>
      <c r="M171" s="25">
        <f t="shared" ref="M171:S171" si="125">M149/M$176</f>
        <v>7.7220584682673001E-5</v>
      </c>
      <c r="N171" s="25">
        <f t="shared" si="125"/>
        <v>2.5152048295731379E-5</v>
      </c>
      <c r="O171" s="25">
        <f t="shared" si="125"/>
        <v>2.632520656292472E-5</v>
      </c>
      <c r="P171" s="25">
        <f t="shared" si="125"/>
        <v>3.2706373028015197E-5</v>
      </c>
      <c r="Q171" s="25">
        <f t="shared" si="125"/>
        <v>9.4583553773066989E-6</v>
      </c>
      <c r="R171" s="25">
        <f t="shared" si="125"/>
        <v>2.4301953245557288E-5</v>
      </c>
      <c r="S171" s="25">
        <f t="shared" si="125"/>
        <v>1.0537036414475084E-3</v>
      </c>
      <c r="T171" s="25">
        <f t="shared" ref="T171:V171" si="126">T149/T$176</f>
        <v>5.4970731464809606E-6</v>
      </c>
      <c r="U171" s="25">
        <f t="shared" si="126"/>
        <v>2.9470713679740472E-5</v>
      </c>
      <c r="V171" s="25">
        <f t="shared" si="126"/>
        <v>2.1666341849097965E-5</v>
      </c>
      <c r="W171" s="25">
        <f t="shared" si="120"/>
        <v>1.5202118178188274E-5</v>
      </c>
      <c r="X171" s="25">
        <f t="shared" si="120"/>
        <v>3.2786547142858961E-5</v>
      </c>
    </row>
    <row r="172" spans="12:24" x14ac:dyDescent="0.25">
      <c r="L172" s="146" t="str">
        <f t="shared" si="115"/>
        <v>PSE Firm All Other</v>
      </c>
      <c r="M172" s="25">
        <f t="shared" ref="M172:S172" si="127">M150/M$176</f>
        <v>4.781636195515087E-2</v>
      </c>
      <c r="N172" s="25">
        <f t="shared" si="127"/>
        <v>4.823165454645497E-2</v>
      </c>
      <c r="O172" s="25">
        <f t="shared" si="127"/>
        <v>4.7335562408370065E-2</v>
      </c>
      <c r="P172" s="25">
        <f t="shared" si="127"/>
        <v>3.4002370935389138E-2</v>
      </c>
      <c r="Q172" s="25">
        <f t="shared" si="127"/>
        <v>0.10211414454385154</v>
      </c>
      <c r="R172" s="25">
        <f t="shared" si="127"/>
        <v>0.10643335748121451</v>
      </c>
      <c r="S172" s="25">
        <f t="shared" si="127"/>
        <v>7.6923596218133744E-2</v>
      </c>
      <c r="T172" s="25">
        <f t="shared" ref="T172:V172" si="128">T150/T$176</f>
        <v>4.2865019534896576E-2</v>
      </c>
      <c r="U172" s="25">
        <f t="shared" si="128"/>
        <v>2.7342934992894224E-2</v>
      </c>
      <c r="V172" s="25">
        <f t="shared" si="128"/>
        <v>2.0401522949019826E-2</v>
      </c>
      <c r="W172" s="25">
        <f t="shared" si="120"/>
        <v>5.5317861729368402E-2</v>
      </c>
      <c r="X172" s="25">
        <f t="shared" si="120"/>
        <v>6.8312838706708276E-2</v>
      </c>
    </row>
    <row r="173" spans="12:24" x14ac:dyDescent="0.25">
      <c r="L173" s="146" t="str">
        <f t="shared" si="115"/>
        <v>Unknown</v>
      </c>
      <c r="M173" s="25">
        <f t="shared" ref="M173:S173" si="129">M151/M$176</f>
        <v>0.26270403239165935</v>
      </c>
      <c r="N173" s="25">
        <f t="shared" si="129"/>
        <v>0.25643374480970266</v>
      </c>
      <c r="O173" s="25">
        <f t="shared" si="129"/>
        <v>0.24071433635941081</v>
      </c>
      <c r="P173" s="25">
        <f t="shared" si="129"/>
        <v>0.21079459676452189</v>
      </c>
      <c r="Q173" s="25">
        <f t="shared" si="129"/>
        <v>0.15074829140390736</v>
      </c>
      <c r="R173" s="25">
        <f t="shared" si="129"/>
        <v>0.29721683738886673</v>
      </c>
      <c r="S173" s="25">
        <f t="shared" si="129"/>
        <v>0.33969509596763137</v>
      </c>
      <c r="T173" s="25">
        <f t="shared" ref="T173:V173" si="130">T151/T$176</f>
        <v>0.28554003114916499</v>
      </c>
      <c r="U173" s="25">
        <f t="shared" si="130"/>
        <v>0.28358992943649347</v>
      </c>
      <c r="V173" s="25">
        <f t="shared" si="130"/>
        <v>0.14989029719581537</v>
      </c>
      <c r="W173" s="25">
        <f t="shared" si="120"/>
        <v>0.13741033123276389</v>
      </c>
      <c r="X173" s="25">
        <f t="shared" si="120"/>
        <v>0.10596042131645347</v>
      </c>
    </row>
    <row r="174" spans="12:24" x14ac:dyDescent="0.25">
      <c r="M174" s="22"/>
      <c r="N174" s="22"/>
      <c r="O174" s="22"/>
      <c r="P174" s="22"/>
      <c r="Q174" s="22"/>
      <c r="R174" s="22"/>
      <c r="S174" s="22"/>
      <c r="T174" s="22"/>
      <c r="U174" s="22"/>
      <c r="V174" s="22"/>
      <c r="W174" s="143">
        <f>SUM(W167:W173)</f>
        <v>1</v>
      </c>
      <c r="X174" s="143">
        <f>SUM(X167:X173)</f>
        <v>1</v>
      </c>
    </row>
    <row r="175" spans="12:24" x14ac:dyDescent="0.25">
      <c r="M175" s="22"/>
      <c r="N175" s="22"/>
      <c r="O175" s="22"/>
      <c r="P175" s="22"/>
      <c r="Q175" s="22"/>
      <c r="R175" s="22"/>
      <c r="S175" s="22"/>
      <c r="T175" s="22"/>
      <c r="U175" s="22"/>
      <c r="V175" s="22"/>
      <c r="W175" s="22"/>
      <c r="X175" s="22"/>
    </row>
    <row r="176" spans="12:24" x14ac:dyDescent="0.25">
      <c r="L176" s="5" t="s">
        <v>315</v>
      </c>
      <c r="M176" s="22">
        <f t="shared" ref="M176:W176" si="131">SUM(M145:M151)</f>
        <v>10708606.250757867</v>
      </c>
      <c r="N176" s="22">
        <f t="shared" si="131"/>
        <v>11097548.723106811</v>
      </c>
      <c r="O176" s="22">
        <f t="shared" si="131"/>
        <v>10504500.407154977</v>
      </c>
      <c r="P176" s="22">
        <f t="shared" si="131"/>
        <v>10612419.543575477</v>
      </c>
      <c r="Q176" s="22">
        <f t="shared" si="131"/>
        <v>11421432.752135815</v>
      </c>
      <c r="R176" s="22">
        <f t="shared" si="131"/>
        <v>9353408.8376488276</v>
      </c>
      <c r="S176" s="22">
        <f t="shared" si="131"/>
        <v>9318363.6109100673</v>
      </c>
      <c r="T176" s="22">
        <f t="shared" si="131"/>
        <v>10569781.900433179</v>
      </c>
      <c r="U176" s="22">
        <f t="shared" si="131"/>
        <v>10038893.659837201</v>
      </c>
      <c r="V176" s="22">
        <f t="shared" si="131"/>
        <v>11207806.316526975</v>
      </c>
      <c r="W176" s="22">
        <f t="shared" si="131"/>
        <v>10151343.744191153</v>
      </c>
      <c r="X176" s="22">
        <f t="shared" ref="X176" si="132">SUM(X145:X151)</f>
        <v>10176838.838194411</v>
      </c>
    </row>
    <row r="178" spans="12:25" ht="60" x14ac:dyDescent="0.25">
      <c r="M178" s="11" t="s">
        <v>291</v>
      </c>
      <c r="N178" s="11" t="s">
        <v>290</v>
      </c>
      <c r="O178" s="11" t="s">
        <v>276</v>
      </c>
    </row>
    <row r="179" spans="12:25" x14ac:dyDescent="0.25">
      <c r="L179" s="2">
        <v>1990</v>
      </c>
      <c r="M179" s="12">
        <v>16956.493378995434</v>
      </c>
      <c r="N179" s="12">
        <v>2864.151598173516</v>
      </c>
      <c r="O179" s="12">
        <v>1824620.6261171864</v>
      </c>
    </row>
    <row r="180" spans="12:25" x14ac:dyDescent="0.25">
      <c r="M180" s="10"/>
      <c r="N180" s="10"/>
      <c r="O180" s="10"/>
    </row>
    <row r="181" spans="12:25" x14ac:dyDescent="0.25">
      <c r="L181" s="147" t="s">
        <v>418</v>
      </c>
      <c r="N181" s="10"/>
      <c r="O181" s="10"/>
      <c r="P181" s="10"/>
      <c r="Q181" s="10"/>
      <c r="R181" s="10"/>
      <c r="S181" s="10"/>
      <c r="T181" s="10"/>
      <c r="U181" s="10"/>
      <c r="V181" s="10"/>
      <c r="W181" s="10"/>
      <c r="X181" s="10"/>
    </row>
    <row r="182" spans="12:25" x14ac:dyDescent="0.25">
      <c r="L182" s="128"/>
      <c r="M182" s="129">
        <f>M100</f>
        <v>2006</v>
      </c>
      <c r="N182" s="129">
        <f t="shared" ref="N182:X182" si="133">N100</f>
        <v>2007</v>
      </c>
      <c r="O182" s="129">
        <f t="shared" si="133"/>
        <v>2008</v>
      </c>
      <c r="P182" s="129">
        <f t="shared" si="133"/>
        <v>2009</v>
      </c>
      <c r="Q182" s="129">
        <f t="shared" si="133"/>
        <v>2010</v>
      </c>
      <c r="R182" s="129">
        <f t="shared" si="133"/>
        <v>2011</v>
      </c>
      <c r="S182" s="129">
        <f t="shared" si="133"/>
        <v>2012</v>
      </c>
      <c r="T182" s="129">
        <f t="shared" si="133"/>
        <v>2013</v>
      </c>
      <c r="U182" s="129">
        <f t="shared" si="133"/>
        <v>2014</v>
      </c>
      <c r="V182" s="129">
        <f t="shared" si="133"/>
        <v>2015</v>
      </c>
      <c r="W182" s="129">
        <f t="shared" si="133"/>
        <v>2016</v>
      </c>
      <c r="X182" s="129">
        <f t="shared" si="133"/>
        <v>2017</v>
      </c>
    </row>
    <row r="183" spans="12:25" x14ac:dyDescent="0.25">
      <c r="L183" s="146" t="str">
        <f t="shared" ref="L183:L189" si="134">L101</f>
        <v>PSE Owned Coal</v>
      </c>
      <c r="M183" s="24">
        <f>(M101*2000)/M114</f>
        <v>2465.7022625701352</v>
      </c>
      <c r="N183" s="24">
        <f t="shared" ref="N183:X183" si="135">(N101*2000)/N114</f>
        <v>2461.5283034203189</v>
      </c>
      <c r="O183" s="24">
        <f t="shared" si="135"/>
        <v>2419.678950634886</v>
      </c>
      <c r="P183" s="24">
        <f t="shared" si="135"/>
        <v>2362.9140096479437</v>
      </c>
      <c r="Q183" s="24">
        <f t="shared" si="135"/>
        <v>2344.4523508427646</v>
      </c>
      <c r="R183" s="24">
        <f t="shared" si="135"/>
        <v>2355.8736059249063</v>
      </c>
      <c r="S183" s="24">
        <f t="shared" si="135"/>
        <v>2377.3363277830758</v>
      </c>
      <c r="T183" s="24">
        <f t="shared" si="135"/>
        <v>2367.6051194231122</v>
      </c>
      <c r="U183" s="24">
        <f t="shared" si="135"/>
        <v>2372.850874596164</v>
      </c>
      <c r="V183" s="24">
        <f t="shared" si="135"/>
        <v>2450.9397485935588</v>
      </c>
      <c r="W183" s="24">
        <f t="shared" si="135"/>
        <v>2243.0122545388467</v>
      </c>
      <c r="X183" s="24">
        <f t="shared" si="135"/>
        <v>2198.9409324923022</v>
      </c>
    </row>
    <row r="184" spans="12:25" x14ac:dyDescent="0.25">
      <c r="L184" s="146" t="str">
        <f t="shared" si="134"/>
        <v>PSE Firm Coal</v>
      </c>
      <c r="M184" s="24">
        <f t="shared" ref="M184:X184" si="136">(M102*2000)/M115</f>
        <v>2465.7022625701302</v>
      </c>
      <c r="N184" s="24">
        <f t="shared" si="136"/>
        <v>2461.5283034203198</v>
      </c>
      <c r="O184" s="24">
        <f t="shared" si="136"/>
        <v>2016.3308936624701</v>
      </c>
      <c r="P184" s="24">
        <f t="shared" si="136"/>
        <v>2421.1511045073498</v>
      </c>
      <c r="Q184" s="24">
        <f t="shared" si="136"/>
        <v>2156.77257820159</v>
      </c>
      <c r="R184" s="24">
        <v>0</v>
      </c>
      <c r="S184" s="24">
        <v>0</v>
      </c>
      <c r="T184" s="24">
        <v>0</v>
      </c>
      <c r="U184" s="24">
        <f t="shared" si="136"/>
        <v>2369.4801521895856</v>
      </c>
      <c r="V184" s="24">
        <f t="shared" si="136"/>
        <v>2406.7107411405805</v>
      </c>
      <c r="W184" s="24">
        <f t="shared" si="136"/>
        <v>2411.0775219632751</v>
      </c>
      <c r="X184" s="24">
        <f t="shared" si="136"/>
        <v>2365.2641402111894</v>
      </c>
    </row>
    <row r="185" spans="12:25" x14ac:dyDescent="0.25">
      <c r="L185" s="146" t="str">
        <f t="shared" si="134"/>
        <v>PSE Owned Gas</v>
      </c>
      <c r="M185" s="24">
        <f t="shared" ref="M185:X185" si="137">(M103*2000)/M116</f>
        <v>935.35281971781092</v>
      </c>
      <c r="N185" s="24">
        <f t="shared" si="137"/>
        <v>721.18985065389268</v>
      </c>
      <c r="O185" s="24">
        <f t="shared" si="137"/>
        <v>644.95062039886432</v>
      </c>
      <c r="P185" s="24">
        <f t="shared" si="137"/>
        <v>972.37576252769838</v>
      </c>
      <c r="Q185" s="24">
        <f t="shared" si="137"/>
        <v>872.05105026320336</v>
      </c>
      <c r="R185" s="24">
        <f t="shared" si="137"/>
        <v>968.66772157609353</v>
      </c>
      <c r="S185" s="24">
        <f t="shared" si="137"/>
        <v>1109.1870743166428</v>
      </c>
      <c r="T185" s="24">
        <f t="shared" si="137"/>
        <v>999.53444099582657</v>
      </c>
      <c r="U185" s="24">
        <f t="shared" si="137"/>
        <v>1018.8807610090236</v>
      </c>
      <c r="V185" s="24">
        <f t="shared" si="137"/>
        <v>945.00994624735233</v>
      </c>
      <c r="W185" s="24">
        <f t="shared" si="137"/>
        <v>993.40659660839515</v>
      </c>
      <c r="X185" s="24">
        <f t="shared" si="137"/>
        <v>971.37027986525698</v>
      </c>
    </row>
    <row r="186" spans="12:25" x14ac:dyDescent="0.25">
      <c r="L186" s="146" t="str">
        <f t="shared" si="134"/>
        <v>PSE Firm Gas</v>
      </c>
      <c r="M186" s="24">
        <f t="shared" ref="M186:W186" si="138">(M104*2000)/M117</f>
        <v>822.31083237409177</v>
      </c>
      <c r="N186" s="24">
        <f t="shared" si="138"/>
        <v>793.79849633011816</v>
      </c>
      <c r="O186" s="24">
        <f t="shared" si="138"/>
        <v>764.68769930972292</v>
      </c>
      <c r="P186" s="24">
        <f t="shared" si="138"/>
        <v>792.20703266978592</v>
      </c>
      <c r="Q186" s="24">
        <f t="shared" si="138"/>
        <v>777.64185585127473</v>
      </c>
      <c r="R186" s="24">
        <f t="shared" si="138"/>
        <v>718.28741030783794</v>
      </c>
      <c r="S186" s="24">
        <f t="shared" si="138"/>
        <v>801.87985943021681</v>
      </c>
      <c r="T186" s="24">
        <f t="shared" si="138"/>
        <v>807.41888800286392</v>
      </c>
      <c r="U186" s="24">
        <f t="shared" si="138"/>
        <v>814.11824078403606</v>
      </c>
      <c r="V186" s="24">
        <f t="shared" si="138"/>
        <v>806.28252911890797</v>
      </c>
      <c r="W186" s="24">
        <f t="shared" si="138"/>
        <v>807.0783351867201</v>
      </c>
      <c r="X186" s="24">
        <v>0</v>
      </c>
    </row>
    <row r="187" spans="12:25" x14ac:dyDescent="0.25">
      <c r="L187" s="146" t="str">
        <f t="shared" si="134"/>
        <v>PSE Own All Other</v>
      </c>
      <c r="M187" s="24">
        <f t="shared" ref="M187:X187" si="139">(M105*2000)/M118</f>
        <v>1.3778002750121845</v>
      </c>
      <c r="N187" s="24">
        <f t="shared" si="139"/>
        <v>0.28359647117022496</v>
      </c>
      <c r="O187" s="24">
        <f t="shared" si="139"/>
        <v>0.29272090291499281</v>
      </c>
      <c r="P187" s="24">
        <f t="shared" si="139"/>
        <v>0.39552059242381737</v>
      </c>
      <c r="Q187" s="24">
        <f t="shared" si="139"/>
        <v>0.12400104222950928</v>
      </c>
      <c r="R187" s="24">
        <f t="shared" si="139"/>
        <v>0.27115230195053358</v>
      </c>
      <c r="S187" s="24">
        <f t="shared" si="139"/>
        <v>8.4233426979579935</v>
      </c>
      <c r="T187" s="24">
        <f t="shared" si="139"/>
        <v>4.708993337821317E-2</v>
      </c>
      <c r="U187" s="24">
        <f t="shared" si="139"/>
        <v>0.21914537892107117</v>
      </c>
      <c r="V187" s="24">
        <f t="shared" si="139"/>
        <v>0.22104151460732549</v>
      </c>
      <c r="W187" s="24">
        <f t="shared" si="139"/>
        <v>0.11746279691681789</v>
      </c>
      <c r="X187" s="24">
        <f t="shared" si="139"/>
        <v>0.28960622166053679</v>
      </c>
    </row>
    <row r="188" spans="12:25" x14ac:dyDescent="0.25">
      <c r="L188" s="146" t="str">
        <f t="shared" si="134"/>
        <v>PSE Firm All Other</v>
      </c>
      <c r="M188" s="24">
        <f t="shared" ref="M188:X188" si="140">(M106*2000)/M119</f>
        <v>173.83852496649229</v>
      </c>
      <c r="N188" s="24">
        <f t="shared" si="140"/>
        <v>178.09243670321931</v>
      </c>
      <c r="O188" s="24">
        <f t="shared" si="140"/>
        <v>171.25369551808569</v>
      </c>
      <c r="P188" s="24">
        <f t="shared" si="140"/>
        <v>136.41921698749272</v>
      </c>
      <c r="Q188" s="24">
        <f t="shared" si="140"/>
        <v>453.80959956376518</v>
      </c>
      <c r="R188" s="24">
        <f t="shared" si="140"/>
        <v>298.89721674628271</v>
      </c>
      <c r="S188" s="24">
        <f t="shared" si="140"/>
        <v>277.78901035361764</v>
      </c>
      <c r="T188" s="24">
        <f t="shared" si="140"/>
        <v>222.17437515496439</v>
      </c>
      <c r="U188" s="24">
        <f t="shared" si="140"/>
        <v>140.30788634491006</v>
      </c>
      <c r="V188" s="24">
        <f t="shared" si="140"/>
        <v>120.48861782395669</v>
      </c>
      <c r="W188" s="24">
        <f t="shared" si="140"/>
        <v>233.21705359536827</v>
      </c>
      <c r="X188" s="24">
        <f t="shared" si="140"/>
        <v>285.6423286569962</v>
      </c>
    </row>
    <row r="189" spans="12:25" x14ac:dyDescent="0.25">
      <c r="L189" s="146" t="str">
        <f t="shared" si="134"/>
        <v>Unknown</v>
      </c>
      <c r="M189" s="24">
        <f t="shared" ref="M189:X189" si="141">(M107*2000)/M120</f>
        <v>1013.8429781871462</v>
      </c>
      <c r="N189" s="24">
        <f t="shared" si="141"/>
        <v>1201.8007841674576</v>
      </c>
      <c r="O189" s="24">
        <f t="shared" si="141"/>
        <v>1024.4699545804301</v>
      </c>
      <c r="P189" s="24">
        <f t="shared" si="141"/>
        <v>1118.7938637421751</v>
      </c>
      <c r="Q189" s="24">
        <f t="shared" si="141"/>
        <v>1191.7163203913599</v>
      </c>
      <c r="R189" s="24">
        <f t="shared" si="141"/>
        <v>904.65944483592443</v>
      </c>
      <c r="S189" s="24">
        <f t="shared" si="141"/>
        <v>903.13346574503669</v>
      </c>
      <c r="T189" s="24">
        <f t="shared" si="141"/>
        <v>1132.1250513717657</v>
      </c>
      <c r="U189" s="24">
        <f t="shared" si="141"/>
        <v>1014.0000000000011</v>
      </c>
      <c r="V189" s="24">
        <f t="shared" si="141"/>
        <v>1073.9999999999998</v>
      </c>
      <c r="W189" s="24">
        <f t="shared" si="141"/>
        <v>738.14980880704616</v>
      </c>
      <c r="X189" s="24">
        <f t="shared" si="141"/>
        <v>938.05629265121729</v>
      </c>
    </row>
    <row r="190" spans="12:25" x14ac:dyDescent="0.25">
      <c r="L190" s="146" t="s">
        <v>420</v>
      </c>
      <c r="M190" s="24">
        <f>((M101+M103+M105)*2000)/(M114+M116+M118)</f>
        <v>1827.9209301355572</v>
      </c>
      <c r="N190" s="24">
        <f t="shared" ref="N190:X190" si="142">((N101+N103+N105)*2000)/(N114+N116+N118)</f>
        <v>1577.7424692376874</v>
      </c>
      <c r="O190" s="24">
        <f t="shared" si="142"/>
        <v>1457.1813522003142</v>
      </c>
      <c r="P190" s="24">
        <f t="shared" si="142"/>
        <v>1373.2631460417829</v>
      </c>
      <c r="Q190" s="24">
        <f t="shared" si="142"/>
        <v>1404.8980840285874</v>
      </c>
      <c r="R190" s="24">
        <f t="shared" si="142"/>
        <v>1482.6798167918987</v>
      </c>
      <c r="S190" s="24">
        <f t="shared" si="142"/>
        <v>1331.6733882041599</v>
      </c>
      <c r="T190" s="24">
        <f t="shared" si="142"/>
        <v>1259.3310295873544</v>
      </c>
      <c r="U190" s="24">
        <f t="shared" si="142"/>
        <v>1282.9555767326879</v>
      </c>
      <c r="V190" s="24">
        <f t="shared" si="142"/>
        <v>1296.5403828149385</v>
      </c>
      <c r="W190" s="24">
        <f t="shared" si="142"/>
        <v>1233.7589211861095</v>
      </c>
      <c r="X190" s="24">
        <f t="shared" si="142"/>
        <v>1247.0903338555045</v>
      </c>
    </row>
    <row r="191" spans="12:25" x14ac:dyDescent="0.25">
      <c r="L191" s="146" t="s">
        <v>419</v>
      </c>
      <c r="M191" s="24">
        <f>((M102+M104+M106)*2000)/(M115+M117+M119)</f>
        <v>508.41582253683987</v>
      </c>
      <c r="N191" s="24">
        <f t="shared" ref="N191:X191" si="143">((N102+N104+N106)*2000)/(N115+N117+N119)</f>
        <v>490.38783491161126</v>
      </c>
      <c r="O191" s="24">
        <f t="shared" si="143"/>
        <v>442.90158723765325</v>
      </c>
      <c r="P191" s="24">
        <f t="shared" si="143"/>
        <v>447.03191583966458</v>
      </c>
      <c r="Q191" s="24">
        <f t="shared" si="143"/>
        <v>686.33841451702028</v>
      </c>
      <c r="R191" s="24">
        <f t="shared" si="143"/>
        <v>342.45858381716391</v>
      </c>
      <c r="S191" s="24">
        <f t="shared" si="143"/>
        <v>277.83506993229287</v>
      </c>
      <c r="T191" s="24">
        <f t="shared" si="143"/>
        <v>223.27229136319204</v>
      </c>
      <c r="U191" s="24">
        <f t="shared" si="143"/>
        <v>207.16551784714125</v>
      </c>
      <c r="V191" s="24">
        <f t="shared" si="143"/>
        <v>767.44395618358817</v>
      </c>
      <c r="W191" s="24">
        <f t="shared" si="143"/>
        <v>730.02619958473758</v>
      </c>
      <c r="X191" s="24">
        <f t="shared" si="143"/>
        <v>864.77417115345395</v>
      </c>
    </row>
    <row r="192" spans="12:25" x14ac:dyDescent="0.25">
      <c r="L192" s="146" t="s">
        <v>423</v>
      </c>
      <c r="M192" s="24">
        <f>((M101+M102+M103+M104+M105+M106)*2000)/(M114+M115+M116+M117+M118+M119)</f>
        <v>1056.8100299722323</v>
      </c>
      <c r="N192" s="24">
        <f t="shared" ref="N192:X192" si="144">((N101+N102+N103+N104+N105+N106)*2000)/(N114+N115+N116+N117+N118+N119)</f>
        <v>1011.9656480590847</v>
      </c>
      <c r="O192" s="24">
        <f t="shared" si="144"/>
        <v>969.85385004971249</v>
      </c>
      <c r="P192" s="24">
        <f t="shared" si="144"/>
        <v>970.06801784858442</v>
      </c>
      <c r="Q192" s="24">
        <f t="shared" si="144"/>
        <v>1101.7577224882477</v>
      </c>
      <c r="R192" s="24">
        <f t="shared" si="144"/>
        <v>901.49425706623435</v>
      </c>
      <c r="S192" s="24">
        <f t="shared" si="144"/>
        <v>923.49715511437512</v>
      </c>
      <c r="T192" s="24">
        <f t="shared" si="144"/>
        <v>983.61789427175074</v>
      </c>
      <c r="U192" s="24">
        <f t="shared" si="144"/>
        <v>985.56710151052084</v>
      </c>
      <c r="V192" s="24">
        <f t="shared" si="144"/>
        <v>1130.389589424758</v>
      </c>
      <c r="W192" s="148">
        <f t="shared" si="144"/>
        <v>1046.0391339805128</v>
      </c>
      <c r="X192" s="148">
        <f t="shared" si="144"/>
        <v>1092.2703265173072</v>
      </c>
      <c r="Y192" s="122" t="s">
        <v>421</v>
      </c>
    </row>
    <row r="193" spans="12:24" x14ac:dyDescent="0.25">
      <c r="L193" s="26" t="s">
        <v>292</v>
      </c>
      <c r="M193" s="24">
        <f t="shared" ref="M193:X193" si="145">(M109*2000)/M121</f>
        <v>1045.173592903119</v>
      </c>
      <c r="N193" s="24">
        <f t="shared" si="145"/>
        <v>1054.686784168219</v>
      </c>
      <c r="O193" s="24">
        <f t="shared" si="145"/>
        <v>982.46164262614764</v>
      </c>
      <c r="P193" s="24">
        <f t="shared" si="145"/>
        <v>998.03473585467691</v>
      </c>
      <c r="Q193" s="24">
        <f t="shared" si="145"/>
        <v>1114.4394573625007</v>
      </c>
      <c r="R193" s="24">
        <f t="shared" si="145"/>
        <v>902.43268858138106</v>
      </c>
      <c r="S193" s="24">
        <f t="shared" si="145"/>
        <v>916.47750260627924</v>
      </c>
      <c r="T193" s="24">
        <f t="shared" si="145"/>
        <v>1021.8938251293163</v>
      </c>
      <c r="U193" s="24">
        <f t="shared" si="145"/>
        <v>993.46710853139734</v>
      </c>
      <c r="V193" s="24">
        <f t="shared" si="145"/>
        <v>1121.5630217802452</v>
      </c>
      <c r="W193" s="24">
        <f t="shared" si="145"/>
        <v>989.33522744819356</v>
      </c>
      <c r="X193" s="24">
        <f t="shared" si="145"/>
        <v>1073.5691598860308</v>
      </c>
    </row>
    <row r="194" spans="12:24" ht="15" customHeight="1" x14ac:dyDescent="0.25"/>
    <row r="197" spans="12:24" x14ac:dyDescent="0.25">
      <c r="L197" s="145" t="s">
        <v>399</v>
      </c>
    </row>
    <row r="198" spans="12:24" ht="33" x14ac:dyDescent="0.25">
      <c r="L198" s="125" t="s">
        <v>210</v>
      </c>
      <c r="M198" s="125" t="s">
        <v>398</v>
      </c>
    </row>
    <row r="199" spans="12:24" x14ac:dyDescent="0.25">
      <c r="L199" s="125">
        <f>M182</f>
        <v>2006</v>
      </c>
      <c r="M199" s="126">
        <f>M193</f>
        <v>1045.173592903119</v>
      </c>
    </row>
    <row r="200" spans="12:24" x14ac:dyDescent="0.25">
      <c r="L200" s="125">
        <f>N182</f>
        <v>2007</v>
      </c>
      <c r="M200" s="126">
        <f>N193</f>
        <v>1054.686784168219</v>
      </c>
    </row>
    <row r="201" spans="12:24" x14ac:dyDescent="0.25">
      <c r="L201" s="125">
        <f>O182</f>
        <v>2008</v>
      </c>
      <c r="M201" s="126">
        <f>O193</f>
        <v>982.46164262614764</v>
      </c>
    </row>
    <row r="202" spans="12:24" x14ac:dyDescent="0.25">
      <c r="L202" s="125">
        <f>P182</f>
        <v>2009</v>
      </c>
      <c r="M202" s="126">
        <f>P193</f>
        <v>998.03473585467691</v>
      </c>
    </row>
    <row r="203" spans="12:24" x14ac:dyDescent="0.25">
      <c r="L203" s="125">
        <f>Q182</f>
        <v>2010</v>
      </c>
      <c r="M203" s="126">
        <f>Q193</f>
        <v>1114.4394573625007</v>
      </c>
    </row>
    <row r="204" spans="12:24" x14ac:dyDescent="0.25">
      <c r="L204" s="125">
        <f>R182</f>
        <v>2011</v>
      </c>
      <c r="M204" s="126">
        <f>R193</f>
        <v>902.43268858138106</v>
      </c>
    </row>
    <row r="205" spans="12:24" x14ac:dyDescent="0.25">
      <c r="L205" s="125">
        <f>S182</f>
        <v>2012</v>
      </c>
      <c r="M205" s="126">
        <f>S193</f>
        <v>916.47750260627924</v>
      </c>
    </row>
    <row r="206" spans="12:24" x14ac:dyDescent="0.25">
      <c r="L206" s="125">
        <f>T182</f>
        <v>2013</v>
      </c>
      <c r="M206" s="126">
        <f>T193</f>
        <v>1021.8938251293163</v>
      </c>
    </row>
    <row r="207" spans="12:24" x14ac:dyDescent="0.25">
      <c r="L207" s="125">
        <f>U182</f>
        <v>2014</v>
      </c>
      <c r="M207" s="126">
        <f>U193</f>
        <v>993.46710853139734</v>
      </c>
    </row>
    <row r="208" spans="12:24" x14ac:dyDescent="0.25">
      <c r="L208" s="125">
        <f>V182</f>
        <v>2015</v>
      </c>
      <c r="M208" s="126">
        <f>V193</f>
        <v>1121.5630217802452</v>
      </c>
    </row>
    <row r="209" spans="12:13" x14ac:dyDescent="0.25">
      <c r="L209" s="125">
        <f>W182</f>
        <v>2016</v>
      </c>
      <c r="M209" s="135">
        <f>W193</f>
        <v>989.33522744819356</v>
      </c>
    </row>
    <row r="210" spans="12:13" x14ac:dyDescent="0.25">
      <c r="L210" s="125">
        <f>X182</f>
        <v>2017</v>
      </c>
      <c r="M210" s="135">
        <f>X193</f>
        <v>1073.5691598860308</v>
      </c>
    </row>
    <row r="211" spans="12:13" x14ac:dyDescent="0.25">
      <c r="L211" s="144" t="s">
        <v>401</v>
      </c>
    </row>
    <row r="212" spans="12:13" x14ac:dyDescent="0.25">
      <c r="L212" s="144" t="s">
        <v>400</v>
      </c>
    </row>
  </sheetData>
  <pageMargins left="0.7" right="0.7" top="0.75" bottom="0.75" header="0.3" footer="0.3"/>
  <pageSetup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32"/>
  <sheetViews>
    <sheetView workbookViewId="0">
      <pane ySplit="1365" topLeftCell="A2283" activePane="bottomLeft"/>
      <selection sqref="A1:XFD1048576"/>
      <selection pane="bottomLeft" activeCell="B2333" sqref="B2333"/>
    </sheetView>
  </sheetViews>
  <sheetFormatPr defaultRowHeight="12.75" x14ac:dyDescent="0.25"/>
  <cols>
    <col min="1" max="1" width="2.28515625" style="91" customWidth="1"/>
    <col min="2" max="2" width="9.28515625" style="15" bestFit="1" customWidth="1"/>
    <col min="3" max="4" width="19.140625" style="15" customWidth="1"/>
    <col min="5" max="5" width="13.7109375" style="15" customWidth="1"/>
    <col min="6" max="6" width="34" style="15" customWidth="1"/>
    <col min="7" max="7" width="21.85546875" style="16" customWidth="1"/>
    <col min="8" max="8" width="12.42578125" style="93" bestFit="1" customWidth="1"/>
    <col min="9" max="9" width="14.5703125" style="16" customWidth="1"/>
    <col min="10" max="10" width="14.85546875" style="16" customWidth="1"/>
    <col min="11" max="11" width="15.140625" style="17" customWidth="1"/>
    <col min="12" max="12" width="14.28515625" style="18" customWidth="1"/>
    <col min="13" max="13" width="13.5703125" style="15" bestFit="1" customWidth="1"/>
    <col min="14" max="14" width="13.7109375" style="15" bestFit="1" customWidth="1"/>
    <col min="15" max="16" width="10.7109375" style="15" customWidth="1"/>
    <col min="17" max="16384" width="9.140625" style="15"/>
  </cols>
  <sheetData>
    <row r="1" spans="1:17" s="85" customFormat="1" ht="53.25" customHeight="1" thickBot="1" x14ac:dyDescent="0.3">
      <c r="A1" s="84" t="s">
        <v>211</v>
      </c>
      <c r="B1" s="85" t="s">
        <v>210</v>
      </c>
      <c r="C1" s="85" t="s">
        <v>209</v>
      </c>
      <c r="D1" s="85" t="s">
        <v>218</v>
      </c>
      <c r="E1" s="85" t="s">
        <v>213</v>
      </c>
      <c r="F1" s="85" t="s">
        <v>212</v>
      </c>
      <c r="G1" s="87" t="s">
        <v>214</v>
      </c>
      <c r="H1" s="88" t="s">
        <v>245</v>
      </c>
      <c r="I1" s="89" t="s">
        <v>246</v>
      </c>
      <c r="J1" s="89" t="s">
        <v>314</v>
      </c>
      <c r="K1" s="85" t="s">
        <v>220</v>
      </c>
      <c r="L1" s="90" t="s">
        <v>250</v>
      </c>
      <c r="M1" s="86" t="s">
        <v>252</v>
      </c>
      <c r="N1" s="86" t="s">
        <v>253</v>
      </c>
      <c r="O1" s="86" t="s">
        <v>257</v>
      </c>
      <c r="P1" s="86" t="s">
        <v>256</v>
      </c>
      <c r="Q1" s="86" t="s">
        <v>251</v>
      </c>
    </row>
    <row r="2" spans="1:17" x14ac:dyDescent="0.25">
      <c r="A2" s="91">
        <v>2</v>
      </c>
      <c r="B2" s="15">
        <v>2005</v>
      </c>
      <c r="C2" s="1" t="s">
        <v>0</v>
      </c>
      <c r="D2" s="1" t="s">
        <v>215</v>
      </c>
      <c r="E2" s="15" t="s">
        <v>125</v>
      </c>
      <c r="F2" s="1" t="s">
        <v>1</v>
      </c>
      <c r="G2" s="16">
        <v>96719.5</v>
      </c>
      <c r="H2" s="92">
        <v>0</v>
      </c>
      <c r="I2" s="92">
        <f>(H2*G2)/2000</f>
        <v>0</v>
      </c>
      <c r="J2" s="92"/>
      <c r="K2" s="17" t="s">
        <v>223</v>
      </c>
      <c r="M2" s="19"/>
      <c r="N2" s="19"/>
      <c r="O2" s="19"/>
      <c r="P2" s="19"/>
    </row>
    <row r="3" spans="1:17" x14ac:dyDescent="0.25">
      <c r="A3" s="91">
        <v>3</v>
      </c>
      <c r="B3" s="15">
        <v>2005</v>
      </c>
      <c r="C3" s="1" t="s">
        <v>0</v>
      </c>
      <c r="D3" s="1" t="s">
        <v>215</v>
      </c>
      <c r="E3" s="15" t="s">
        <v>125</v>
      </c>
      <c r="F3" s="1" t="s">
        <v>2</v>
      </c>
      <c r="G3" s="16">
        <v>296318.98</v>
      </c>
      <c r="H3" s="92">
        <v>0</v>
      </c>
      <c r="I3" s="92">
        <f>(H3*G3)/2000</f>
        <v>0</v>
      </c>
      <c r="J3" s="92"/>
      <c r="K3" s="17" t="s">
        <v>223</v>
      </c>
      <c r="M3" s="19"/>
      <c r="N3" s="19"/>
      <c r="O3" s="19"/>
      <c r="P3" s="19"/>
    </row>
    <row r="4" spans="1:17" x14ac:dyDescent="0.25">
      <c r="A4" s="91">
        <v>5</v>
      </c>
      <c r="B4" s="15">
        <v>2005</v>
      </c>
      <c r="C4" s="1" t="s">
        <v>0</v>
      </c>
      <c r="D4" s="1" t="s">
        <v>215</v>
      </c>
      <c r="E4" s="15" t="s">
        <v>125</v>
      </c>
      <c r="F4" s="1" t="s">
        <v>4</v>
      </c>
      <c r="G4" s="16">
        <v>51530.6</v>
      </c>
      <c r="H4" s="92">
        <v>0</v>
      </c>
      <c r="I4" s="92">
        <f>(H4*G4)/2000</f>
        <v>0</v>
      </c>
      <c r="J4" s="92"/>
      <c r="K4" s="17" t="s">
        <v>223</v>
      </c>
      <c r="M4" s="19"/>
      <c r="N4" s="19"/>
      <c r="O4" s="19"/>
      <c r="P4" s="19"/>
    </row>
    <row r="5" spans="1:17" x14ac:dyDescent="0.25">
      <c r="A5" s="91">
        <v>6</v>
      </c>
      <c r="B5" s="15">
        <v>2005</v>
      </c>
      <c r="C5" s="1" t="s">
        <v>0</v>
      </c>
      <c r="D5" s="1" t="s">
        <v>215</v>
      </c>
      <c r="E5" s="15" t="s">
        <v>125</v>
      </c>
      <c r="F5" s="1" t="s">
        <v>5</v>
      </c>
      <c r="G5" s="16">
        <v>139699</v>
      </c>
      <c r="H5" s="92">
        <v>0</v>
      </c>
      <c r="I5" s="92">
        <f>(H5*G5)/2000</f>
        <v>0</v>
      </c>
      <c r="J5" s="92"/>
      <c r="K5" s="17" t="s">
        <v>223</v>
      </c>
      <c r="M5" s="19"/>
      <c r="N5" s="19"/>
      <c r="O5" s="19"/>
      <c r="P5" s="19"/>
    </row>
    <row r="6" spans="1:17" x14ac:dyDescent="0.25">
      <c r="A6" s="91">
        <v>8</v>
      </c>
      <c r="B6" s="15">
        <v>2005</v>
      </c>
      <c r="C6" s="1" t="s">
        <v>0</v>
      </c>
      <c r="D6" s="1" t="s">
        <v>215</v>
      </c>
      <c r="E6" s="15" t="s">
        <v>125</v>
      </c>
      <c r="F6" s="1" t="s">
        <v>6</v>
      </c>
      <c r="G6" s="16">
        <v>295224.46999999997</v>
      </c>
      <c r="H6" s="92">
        <v>0</v>
      </c>
      <c r="I6" s="92">
        <f>(H6*G6)/2000</f>
        <v>0</v>
      </c>
      <c r="J6" s="92"/>
      <c r="K6" s="17" t="s">
        <v>223</v>
      </c>
      <c r="M6" s="19"/>
      <c r="N6" s="19"/>
      <c r="O6" s="19"/>
      <c r="P6" s="19"/>
    </row>
    <row r="7" spans="1:17" x14ac:dyDescent="0.25">
      <c r="A7" s="91">
        <v>11</v>
      </c>
      <c r="B7" s="15">
        <v>2005</v>
      </c>
      <c r="C7" s="1" t="s">
        <v>7</v>
      </c>
      <c r="D7" s="1" t="s">
        <v>215</v>
      </c>
      <c r="E7" s="15" t="s">
        <v>122</v>
      </c>
      <c r="F7" s="1" t="s">
        <v>8</v>
      </c>
      <c r="G7" s="16">
        <v>2241315</v>
      </c>
      <c r="H7" s="16">
        <f t="shared" ref="H7:H13" si="0">(I7*2000)/G7</f>
        <v>2524.3397737488931</v>
      </c>
      <c r="I7" s="16">
        <v>2828920.3</v>
      </c>
      <c r="M7" s="19"/>
      <c r="N7" s="19"/>
      <c r="O7" s="19"/>
      <c r="P7" s="19"/>
      <c r="Q7" s="15" t="s">
        <v>259</v>
      </c>
    </row>
    <row r="8" spans="1:17" x14ac:dyDescent="0.25">
      <c r="A8" s="91">
        <v>12</v>
      </c>
      <c r="B8" s="15">
        <v>2005</v>
      </c>
      <c r="C8" s="1" t="s">
        <v>7</v>
      </c>
      <c r="D8" s="1" t="s">
        <v>215</v>
      </c>
      <c r="E8" s="15" t="s">
        <v>122</v>
      </c>
      <c r="F8" s="1" t="s">
        <v>9</v>
      </c>
      <c r="G8" s="16">
        <v>2934484</v>
      </c>
      <c r="H8" s="16">
        <f t="shared" si="0"/>
        <v>2310.6620278045475</v>
      </c>
      <c r="I8" s="16">
        <v>3390300.375</v>
      </c>
      <c r="M8" s="19"/>
      <c r="N8" s="19"/>
      <c r="O8" s="19"/>
      <c r="P8" s="19"/>
      <c r="Q8" s="15" t="s">
        <v>259</v>
      </c>
    </row>
    <row r="9" spans="1:17" x14ac:dyDescent="0.25">
      <c r="A9" s="91">
        <v>13</v>
      </c>
      <c r="B9" s="15">
        <v>2005</v>
      </c>
      <c r="C9" s="1" t="s">
        <v>7</v>
      </c>
      <c r="D9" s="1" t="s">
        <v>215</v>
      </c>
      <c r="E9" s="15" t="s">
        <v>123</v>
      </c>
      <c r="F9" s="1" t="s">
        <v>10</v>
      </c>
      <c r="G9" s="16">
        <v>459081.82</v>
      </c>
      <c r="H9" s="16">
        <f t="shared" si="0"/>
        <v>1031.6341819212798</v>
      </c>
      <c r="I9" s="16">
        <v>236802.24890531611</v>
      </c>
      <c r="M9" s="19"/>
      <c r="N9" s="19"/>
      <c r="O9" s="19"/>
      <c r="P9" s="19"/>
      <c r="Q9" s="15" t="s">
        <v>262</v>
      </c>
    </row>
    <row r="10" spans="1:17" x14ac:dyDescent="0.25">
      <c r="A10" s="91">
        <v>15</v>
      </c>
      <c r="B10" s="15">
        <v>2005</v>
      </c>
      <c r="C10" s="1" t="s">
        <v>11</v>
      </c>
      <c r="D10" s="1" t="s">
        <v>215</v>
      </c>
      <c r="E10" s="15" t="s">
        <v>124</v>
      </c>
      <c r="F10" s="1" t="s">
        <v>12</v>
      </c>
      <c r="G10" s="16">
        <v>59.29</v>
      </c>
      <c r="H10" s="16">
        <f t="shared" si="0"/>
        <v>2020.7866419294992</v>
      </c>
      <c r="I10" s="16">
        <v>59.906220000000005</v>
      </c>
      <c r="M10" s="19"/>
      <c r="N10" s="19"/>
      <c r="O10" s="19"/>
      <c r="P10" s="19"/>
      <c r="Q10" s="15" t="s">
        <v>262</v>
      </c>
    </row>
    <row r="11" spans="1:17" x14ac:dyDescent="0.25">
      <c r="A11" s="91">
        <v>17</v>
      </c>
      <c r="B11" s="15">
        <v>2005</v>
      </c>
      <c r="C11" s="1" t="s">
        <v>11</v>
      </c>
      <c r="D11" s="1" t="s">
        <v>215</v>
      </c>
      <c r="E11" s="15" t="s">
        <v>123</v>
      </c>
      <c r="F11" s="1" t="s">
        <v>13</v>
      </c>
      <c r="G11" s="16">
        <v>338805</v>
      </c>
      <c r="H11" s="16">
        <f t="shared" si="0"/>
        <v>654.2795507080267</v>
      </c>
      <c r="I11" s="16">
        <v>110836.59158881649</v>
      </c>
      <c r="M11" s="19"/>
      <c r="N11" s="19"/>
      <c r="O11" s="19"/>
      <c r="P11" s="19"/>
      <c r="Q11" s="15" t="s">
        <v>262</v>
      </c>
    </row>
    <row r="12" spans="1:17" x14ac:dyDescent="0.25">
      <c r="A12" s="91">
        <v>18</v>
      </c>
      <c r="B12" s="15">
        <v>2005</v>
      </c>
      <c r="C12" s="1" t="s">
        <v>11</v>
      </c>
      <c r="D12" s="1" t="s">
        <v>215</v>
      </c>
      <c r="E12" s="15" t="s">
        <v>123</v>
      </c>
      <c r="F12" s="1" t="s">
        <v>14</v>
      </c>
      <c r="G12" s="16">
        <v>12655</v>
      </c>
      <c r="H12" s="16">
        <f t="shared" si="0"/>
        <v>1064.3026985697352</v>
      </c>
      <c r="I12" s="16">
        <v>6734.3753251999997</v>
      </c>
      <c r="M12" s="19"/>
      <c r="N12" s="19"/>
      <c r="O12" s="19"/>
      <c r="P12" s="19"/>
      <c r="Q12" s="15" t="s">
        <v>262</v>
      </c>
    </row>
    <row r="13" spans="1:17" x14ac:dyDescent="0.25">
      <c r="A13" s="91">
        <v>20</v>
      </c>
      <c r="B13" s="15">
        <v>2005</v>
      </c>
      <c r="C13" s="1" t="s">
        <v>11</v>
      </c>
      <c r="D13" s="1" t="s">
        <v>215</v>
      </c>
      <c r="E13" s="15" t="s">
        <v>123</v>
      </c>
      <c r="F13" s="1" t="s">
        <v>16</v>
      </c>
      <c r="G13" s="16">
        <v>1421.5</v>
      </c>
      <c r="H13" s="16">
        <f t="shared" si="0"/>
        <v>1692.1277762926486</v>
      </c>
      <c r="I13" s="16">
        <v>1202.679817</v>
      </c>
      <c r="M13" s="19"/>
      <c r="N13" s="19"/>
      <c r="O13" s="19"/>
      <c r="P13" s="19"/>
      <c r="Q13" s="15" t="s">
        <v>262</v>
      </c>
    </row>
    <row r="14" spans="1:17" x14ac:dyDescent="0.25">
      <c r="A14" s="91">
        <v>21</v>
      </c>
      <c r="B14" s="15">
        <v>2005</v>
      </c>
      <c r="C14" s="1" t="s">
        <v>11</v>
      </c>
      <c r="D14" s="1" t="s">
        <v>215</v>
      </c>
      <c r="E14" s="15" t="s">
        <v>125</v>
      </c>
      <c r="F14" s="1" t="s">
        <v>17</v>
      </c>
      <c r="G14" s="16">
        <v>33670.17</v>
      </c>
      <c r="H14" s="92">
        <v>0</v>
      </c>
      <c r="I14" s="92">
        <f>(H14*G14)/2000</f>
        <v>0</v>
      </c>
      <c r="J14" s="92"/>
      <c r="K14" s="17" t="s">
        <v>229</v>
      </c>
      <c r="M14" s="19"/>
      <c r="N14" s="19"/>
      <c r="O14" s="19"/>
      <c r="P14" s="19"/>
    </row>
    <row r="15" spans="1:17" x14ac:dyDescent="0.25">
      <c r="A15" s="91">
        <v>26</v>
      </c>
      <c r="B15" s="15">
        <v>2005</v>
      </c>
      <c r="C15" s="1" t="s">
        <v>11</v>
      </c>
      <c r="D15" s="1" t="s">
        <v>215</v>
      </c>
      <c r="E15" s="15" t="s">
        <v>123</v>
      </c>
      <c r="F15" s="1" t="s">
        <v>18</v>
      </c>
      <c r="G15" s="16">
        <v>1054.7</v>
      </c>
      <c r="H15" s="16">
        <f>(I15*2000)/G15</f>
        <v>1564.08208400493</v>
      </c>
      <c r="I15" s="16">
        <v>824.81868699999995</v>
      </c>
      <c r="M15" s="19"/>
      <c r="N15" s="19"/>
      <c r="O15" s="19"/>
      <c r="P15" s="19"/>
      <c r="Q15" s="15" t="s">
        <v>262</v>
      </c>
    </row>
    <row r="16" spans="1:17" x14ac:dyDescent="0.25">
      <c r="A16" s="91">
        <v>28</v>
      </c>
      <c r="B16" s="15">
        <v>2005</v>
      </c>
      <c r="C16" s="1" t="s">
        <v>19</v>
      </c>
      <c r="D16" s="1" t="s">
        <v>219</v>
      </c>
      <c r="E16" s="15" t="s">
        <v>217</v>
      </c>
      <c r="F16" s="1" t="s">
        <v>20</v>
      </c>
      <c r="G16" s="16">
        <v>21622.68</v>
      </c>
      <c r="H16" s="93">
        <f>'Emission Rates Net-by-Count'!$D$3</f>
        <v>1009.3086315923503</v>
      </c>
      <c r="I16" s="16">
        <f>(G16*H16)/2000</f>
        <v>10911.978781079641</v>
      </c>
      <c r="M16" s="19"/>
      <c r="N16" s="19"/>
      <c r="O16" s="19"/>
      <c r="P16" s="19"/>
    </row>
    <row r="17" spans="1:17" x14ac:dyDescent="0.25">
      <c r="A17" s="91">
        <v>29</v>
      </c>
      <c r="B17" s="15">
        <v>2005</v>
      </c>
      <c r="C17" s="1" t="s">
        <v>19</v>
      </c>
      <c r="D17" s="1" t="s">
        <v>219</v>
      </c>
      <c r="E17" s="15" t="s">
        <v>125</v>
      </c>
      <c r="F17" s="1" t="s">
        <v>21</v>
      </c>
      <c r="G17" s="16">
        <v>7000</v>
      </c>
      <c r="H17" s="92">
        <v>0</v>
      </c>
      <c r="I17" s="92">
        <f>(H17*G17)/2000</f>
        <v>0</v>
      </c>
      <c r="J17" s="92"/>
      <c r="K17" s="17" t="s">
        <v>235</v>
      </c>
      <c r="M17" s="19"/>
      <c r="N17" s="19"/>
      <c r="O17" s="19"/>
      <c r="P17" s="19"/>
    </row>
    <row r="18" spans="1:17" x14ac:dyDescent="0.25">
      <c r="A18" s="91">
        <v>30</v>
      </c>
      <c r="B18" s="15">
        <v>2005</v>
      </c>
      <c r="C18" s="1" t="s">
        <v>19</v>
      </c>
      <c r="D18" s="1" t="s">
        <v>219</v>
      </c>
      <c r="E18" s="15" t="s">
        <v>217</v>
      </c>
      <c r="F18" s="1" t="s">
        <v>22</v>
      </c>
      <c r="G18" s="16">
        <v>407654</v>
      </c>
      <c r="H18" s="93">
        <f>'Emission Rates Net-by-Count'!$D$3</f>
        <v>1009.3086315923503</v>
      </c>
      <c r="I18" s="16">
        <f>(G18*H18)/2000</f>
        <v>205724.35045157396</v>
      </c>
      <c r="J18" s="92"/>
      <c r="K18" s="17" t="s">
        <v>236</v>
      </c>
      <c r="M18" s="19"/>
      <c r="N18" s="19"/>
      <c r="O18" s="19"/>
      <c r="P18" s="19"/>
    </row>
    <row r="19" spans="1:17" x14ac:dyDescent="0.25">
      <c r="A19" s="91">
        <v>32</v>
      </c>
      <c r="B19" s="15">
        <v>2005</v>
      </c>
      <c r="C19" s="1" t="s">
        <v>19</v>
      </c>
      <c r="D19" s="1" t="s">
        <v>219</v>
      </c>
      <c r="E19" s="15" t="s">
        <v>125</v>
      </c>
      <c r="F19" s="1" t="s">
        <v>23</v>
      </c>
      <c r="G19" s="16">
        <v>1374698</v>
      </c>
      <c r="H19" s="92">
        <v>0</v>
      </c>
      <c r="I19" s="92">
        <f>(H19*G19)/2000</f>
        <v>0</v>
      </c>
      <c r="J19" s="92"/>
      <c r="K19" s="17" t="s">
        <v>223</v>
      </c>
      <c r="M19" s="19"/>
      <c r="N19" s="19"/>
      <c r="O19" s="19"/>
      <c r="P19" s="19"/>
    </row>
    <row r="20" spans="1:17" x14ac:dyDescent="0.25">
      <c r="A20" s="91">
        <v>33</v>
      </c>
      <c r="B20" s="15">
        <v>2005</v>
      </c>
      <c r="C20" s="1" t="s">
        <v>19</v>
      </c>
      <c r="D20" s="1" t="s">
        <v>219</v>
      </c>
      <c r="E20" s="15" t="s">
        <v>125</v>
      </c>
      <c r="F20" s="1" t="s">
        <v>24</v>
      </c>
      <c r="G20" s="16">
        <v>2144283</v>
      </c>
      <c r="H20" s="92">
        <v>0</v>
      </c>
      <c r="I20" s="92">
        <f>(H20*G20)/2000</f>
        <v>0</v>
      </c>
      <c r="J20" s="92"/>
      <c r="K20" s="17" t="s">
        <v>223</v>
      </c>
      <c r="M20" s="19"/>
      <c r="N20" s="19"/>
      <c r="O20" s="19"/>
      <c r="P20" s="19"/>
    </row>
    <row r="21" spans="1:17" x14ac:dyDescent="0.25">
      <c r="A21" s="91">
        <v>34</v>
      </c>
      <c r="B21" s="15">
        <v>2005</v>
      </c>
      <c r="C21" s="1" t="s">
        <v>19</v>
      </c>
      <c r="D21" s="1" t="s">
        <v>219</v>
      </c>
      <c r="E21" s="15" t="s">
        <v>125</v>
      </c>
      <c r="F21" s="1" t="s">
        <v>25</v>
      </c>
      <c r="G21" s="16">
        <v>1057504</v>
      </c>
      <c r="H21" s="92">
        <v>0</v>
      </c>
      <c r="I21" s="92">
        <f>(H21*G21)/2000</f>
        <v>0</v>
      </c>
      <c r="J21" s="92"/>
      <c r="K21" s="17" t="s">
        <v>223</v>
      </c>
      <c r="M21" s="19"/>
      <c r="N21" s="19"/>
      <c r="O21" s="19"/>
      <c r="P21" s="19"/>
    </row>
    <row r="22" spans="1:17" x14ac:dyDescent="0.25">
      <c r="A22" s="91">
        <v>35</v>
      </c>
      <c r="B22" s="15">
        <v>2005</v>
      </c>
      <c r="C22" s="1" t="s">
        <v>19</v>
      </c>
      <c r="D22" s="1" t="s">
        <v>219</v>
      </c>
      <c r="E22" s="15" t="s">
        <v>125</v>
      </c>
      <c r="F22" s="1" t="s">
        <v>26</v>
      </c>
      <c r="G22" s="16">
        <v>386705</v>
      </c>
      <c r="H22" s="92">
        <v>0</v>
      </c>
      <c r="I22" s="92">
        <f>(H22*G22)/2000</f>
        <v>0</v>
      </c>
      <c r="J22" s="92"/>
      <c r="K22" s="17" t="s">
        <v>223</v>
      </c>
      <c r="M22" s="19"/>
      <c r="N22" s="19"/>
      <c r="O22" s="19"/>
      <c r="P22" s="19"/>
    </row>
    <row r="23" spans="1:17" x14ac:dyDescent="0.25">
      <c r="A23" s="91">
        <v>36</v>
      </c>
      <c r="B23" s="15">
        <v>2005</v>
      </c>
      <c r="C23" s="1" t="s">
        <v>19</v>
      </c>
      <c r="D23" s="1" t="s">
        <v>219</v>
      </c>
      <c r="E23" s="15" t="s">
        <v>125</v>
      </c>
      <c r="F23" s="1" t="s">
        <v>27</v>
      </c>
      <c r="G23" s="16">
        <v>434635</v>
      </c>
      <c r="H23" s="92">
        <v>0</v>
      </c>
      <c r="I23" s="92">
        <f>(H23*G23)/2000</f>
        <v>0</v>
      </c>
      <c r="J23" s="92"/>
      <c r="K23" s="17" t="s">
        <v>223</v>
      </c>
      <c r="M23" s="19"/>
      <c r="N23" s="19"/>
      <c r="O23" s="19"/>
      <c r="P23" s="19"/>
    </row>
    <row r="24" spans="1:17" x14ac:dyDescent="0.25">
      <c r="A24" s="91">
        <v>37</v>
      </c>
      <c r="B24" s="15">
        <v>2005</v>
      </c>
      <c r="C24" s="1" t="s">
        <v>19</v>
      </c>
      <c r="D24" s="1" t="s">
        <v>219</v>
      </c>
      <c r="E24" s="15" t="s">
        <v>122</v>
      </c>
      <c r="F24" s="1" t="s">
        <v>28</v>
      </c>
      <c r="G24" s="16">
        <v>801043</v>
      </c>
      <c r="H24" s="92">
        <v>2204.67384728877</v>
      </c>
      <c r="I24" s="92">
        <f>(G24*H24)/2000</f>
        <v>883019.27632686915</v>
      </c>
      <c r="J24" s="92"/>
      <c r="K24" s="17" t="s">
        <v>233</v>
      </c>
      <c r="M24" s="19"/>
      <c r="N24" s="19"/>
      <c r="O24" s="19"/>
      <c r="P24" s="19"/>
      <c r="Q24" s="15" t="s">
        <v>258</v>
      </c>
    </row>
    <row r="25" spans="1:17" x14ac:dyDescent="0.25">
      <c r="A25" s="91">
        <v>38</v>
      </c>
      <c r="B25" s="15">
        <v>2005</v>
      </c>
      <c r="C25" s="1" t="s">
        <v>19</v>
      </c>
      <c r="D25" s="1" t="s">
        <v>219</v>
      </c>
      <c r="E25" s="15" t="s">
        <v>217</v>
      </c>
      <c r="F25" s="1" t="s">
        <v>29</v>
      </c>
      <c r="G25" s="16">
        <v>89728</v>
      </c>
      <c r="H25" s="93">
        <f>'Emission Rates Net-by-Count'!$D$3</f>
        <v>1009.3086315923503</v>
      </c>
      <c r="I25" s="16">
        <f>(G25*H25)/2000</f>
        <v>45281.622447759204</v>
      </c>
      <c r="M25" s="19"/>
      <c r="N25" s="19"/>
      <c r="O25" s="19"/>
      <c r="P25" s="19"/>
    </row>
    <row r="26" spans="1:17" x14ac:dyDescent="0.25">
      <c r="A26" s="91">
        <v>39</v>
      </c>
      <c r="B26" s="15">
        <v>2005</v>
      </c>
      <c r="C26" s="1" t="s">
        <v>19</v>
      </c>
      <c r="D26" s="1" t="s">
        <v>219</v>
      </c>
      <c r="E26" s="15" t="s">
        <v>125</v>
      </c>
      <c r="F26" s="1" t="s">
        <v>30</v>
      </c>
      <c r="G26" s="16">
        <v>1790.16</v>
      </c>
      <c r="H26" s="92">
        <v>0</v>
      </c>
      <c r="I26" s="92">
        <f>(H26*G26)/2000</f>
        <v>0</v>
      </c>
      <c r="J26" s="92"/>
      <c r="K26" s="17" t="s">
        <v>232</v>
      </c>
      <c r="M26" s="19"/>
      <c r="N26" s="19"/>
      <c r="O26" s="19"/>
      <c r="P26" s="19"/>
    </row>
    <row r="27" spans="1:17" x14ac:dyDescent="0.25">
      <c r="A27" s="91">
        <v>40</v>
      </c>
      <c r="B27" s="15">
        <v>2005</v>
      </c>
      <c r="C27" s="1" t="s">
        <v>19</v>
      </c>
      <c r="D27" s="1" t="s">
        <v>219</v>
      </c>
      <c r="E27" s="15" t="s">
        <v>125</v>
      </c>
      <c r="F27" s="1" t="s">
        <v>31</v>
      </c>
      <c r="G27" s="16">
        <v>41804</v>
      </c>
      <c r="H27" s="92">
        <v>0</v>
      </c>
      <c r="I27" s="92">
        <f>(H27*G27)/2000</f>
        <v>0</v>
      </c>
      <c r="J27" s="92"/>
      <c r="K27" s="17" t="s">
        <v>223</v>
      </c>
      <c r="M27" s="19"/>
      <c r="N27" s="19"/>
      <c r="O27" s="19"/>
      <c r="P27" s="19"/>
    </row>
    <row r="28" spans="1:17" x14ac:dyDescent="0.25">
      <c r="A28" s="91">
        <v>42</v>
      </c>
      <c r="B28" s="15">
        <v>2005</v>
      </c>
      <c r="C28" s="1" t="s">
        <v>32</v>
      </c>
      <c r="D28" s="1" t="s">
        <v>219</v>
      </c>
      <c r="E28" s="15" t="s">
        <v>125</v>
      </c>
      <c r="F28" s="1" t="s">
        <v>33</v>
      </c>
      <c r="G28" s="16">
        <v>2364</v>
      </c>
      <c r="H28" s="92">
        <v>0</v>
      </c>
      <c r="I28" s="92">
        <f>(H28*G28)/2000</f>
        <v>0</v>
      </c>
      <c r="J28" s="92"/>
      <c r="K28" s="17" t="s">
        <v>223</v>
      </c>
      <c r="M28" s="19"/>
      <c r="N28" s="19"/>
      <c r="O28" s="19"/>
      <c r="P28" s="19"/>
    </row>
    <row r="29" spans="1:17" x14ac:dyDescent="0.25">
      <c r="A29" s="91">
        <v>43</v>
      </c>
      <c r="B29" s="15">
        <v>2005</v>
      </c>
      <c r="C29" s="1" t="s">
        <v>32</v>
      </c>
      <c r="D29" s="1" t="s">
        <v>219</v>
      </c>
      <c r="E29" s="15" t="s">
        <v>125</v>
      </c>
      <c r="F29" s="1" t="s">
        <v>34</v>
      </c>
      <c r="G29" s="16">
        <v>31836</v>
      </c>
      <c r="H29" s="92">
        <v>0</v>
      </c>
      <c r="I29" s="92">
        <f>(H29*G29)/2000</f>
        <v>0</v>
      </c>
      <c r="J29" s="92"/>
      <c r="K29" s="17" t="s">
        <v>223</v>
      </c>
      <c r="M29" s="19"/>
      <c r="N29" s="19"/>
      <c r="O29" s="19"/>
      <c r="P29" s="19"/>
    </row>
    <row r="30" spans="1:17" x14ac:dyDescent="0.25">
      <c r="A30" s="91">
        <v>45</v>
      </c>
      <c r="B30" s="15">
        <v>2005</v>
      </c>
      <c r="C30" s="1" t="s">
        <v>32</v>
      </c>
      <c r="D30" s="1" t="s">
        <v>219</v>
      </c>
      <c r="E30" s="15" t="s">
        <v>123</v>
      </c>
      <c r="F30" s="1" t="s">
        <v>254</v>
      </c>
      <c r="G30" s="16">
        <v>1016806.3799999999</v>
      </c>
      <c r="H30" s="92">
        <f>P30</f>
        <v>726.8007471056178</v>
      </c>
      <c r="I30" s="92">
        <f>(+G30*H30)/2000</f>
        <v>369507.81832287932</v>
      </c>
      <c r="J30" s="92"/>
      <c r="K30" s="17" t="s">
        <v>224</v>
      </c>
      <c r="L30" s="18">
        <v>5.8439999999999999E-2</v>
      </c>
      <c r="M30" s="19">
        <v>6195876.4899999993</v>
      </c>
      <c r="N30" s="19">
        <f>(M30*L30)</f>
        <v>362087.02207559993</v>
      </c>
      <c r="O30" s="19">
        <v>996385.93801000004</v>
      </c>
      <c r="P30" s="19">
        <f>(N30*2000)/O30</f>
        <v>726.8007471056178</v>
      </c>
      <c r="Q30" s="15" t="s">
        <v>255</v>
      </c>
    </row>
    <row r="31" spans="1:17" x14ac:dyDescent="0.25">
      <c r="A31" s="91">
        <v>46</v>
      </c>
      <c r="B31" s="15">
        <v>2005</v>
      </c>
      <c r="C31" s="1" t="s">
        <v>32</v>
      </c>
      <c r="D31" s="1" t="s">
        <v>219</v>
      </c>
      <c r="E31" s="15" t="s">
        <v>125</v>
      </c>
      <c r="F31" s="1" t="s">
        <v>35</v>
      </c>
      <c r="G31" s="16">
        <v>18809.374</v>
      </c>
      <c r="H31" s="92">
        <v>0</v>
      </c>
      <c r="I31" s="92">
        <f>(H31*G31)/2000</f>
        <v>0</v>
      </c>
      <c r="J31" s="92"/>
      <c r="K31" s="17" t="s">
        <v>223</v>
      </c>
      <c r="M31" s="19"/>
      <c r="N31" s="19"/>
      <c r="O31" s="19"/>
      <c r="P31" s="19"/>
    </row>
    <row r="32" spans="1:17" x14ac:dyDescent="0.25">
      <c r="A32" s="91">
        <v>47</v>
      </c>
      <c r="B32" s="15">
        <v>2005</v>
      </c>
      <c r="C32" s="1" t="s">
        <v>32</v>
      </c>
      <c r="D32" s="1" t="s">
        <v>219</v>
      </c>
      <c r="E32" s="15" t="s">
        <v>225</v>
      </c>
      <c r="F32" s="1" t="s">
        <v>36</v>
      </c>
      <c r="G32" s="16">
        <v>2498.48</v>
      </c>
      <c r="H32" s="92">
        <f>P32</f>
        <v>985.78559425261631</v>
      </c>
      <c r="I32" s="92">
        <f>(+G32*H32)/2000</f>
        <v>1231.4827957641385</v>
      </c>
      <c r="J32" s="92"/>
      <c r="K32" s="17" t="s">
        <v>225</v>
      </c>
      <c r="L32" s="18">
        <v>0.10448</v>
      </c>
      <c r="M32" s="19">
        <v>13594.76</v>
      </c>
      <c r="N32" s="19">
        <f>(M32*L32)</f>
        <v>1420.3805248000001</v>
      </c>
      <c r="O32" s="19">
        <v>2881.7230300000001</v>
      </c>
      <c r="P32" s="19">
        <f>(N32*2000)/O32</f>
        <v>985.78559425261631</v>
      </c>
      <c r="Q32" s="15" t="s">
        <v>255</v>
      </c>
    </row>
    <row r="33" spans="1:17" x14ac:dyDescent="0.25">
      <c r="A33" s="91">
        <v>48</v>
      </c>
      <c r="B33" s="15">
        <v>2005</v>
      </c>
      <c r="C33" s="1" t="s">
        <v>32</v>
      </c>
      <c r="D33" s="1" t="s">
        <v>219</v>
      </c>
      <c r="E33" s="15" t="s">
        <v>125</v>
      </c>
      <c r="F33" s="1" t="s">
        <v>37</v>
      </c>
      <c r="G33" s="16">
        <v>6483.9880000000003</v>
      </c>
      <c r="H33" s="92">
        <v>0</v>
      </c>
      <c r="I33" s="92">
        <f>(H33*G33)/2000</f>
        <v>0</v>
      </c>
      <c r="J33" s="92"/>
      <c r="K33" s="17" t="s">
        <v>226</v>
      </c>
      <c r="M33" s="19"/>
      <c r="N33" s="19"/>
      <c r="O33" s="19"/>
      <c r="P33" s="19"/>
    </row>
    <row r="34" spans="1:17" x14ac:dyDescent="0.25">
      <c r="A34" s="91">
        <v>49</v>
      </c>
      <c r="B34" s="15">
        <v>2005</v>
      </c>
      <c r="C34" s="1" t="s">
        <v>32</v>
      </c>
      <c r="D34" s="1" t="s">
        <v>219</v>
      </c>
      <c r="E34" s="15" t="s">
        <v>227</v>
      </c>
      <c r="F34" s="1" t="s">
        <v>38</v>
      </c>
      <c r="G34" s="16">
        <v>147314</v>
      </c>
      <c r="H34" s="92">
        <f>P34</f>
        <v>4414.956753741686</v>
      </c>
      <c r="I34" s="92">
        <f>(+G34*H34)/2000</f>
        <v>325192.46961035137</v>
      </c>
      <c r="J34" s="92"/>
      <c r="K34" s="17" t="s">
        <v>228</v>
      </c>
      <c r="L34" s="18">
        <v>0.11289</v>
      </c>
      <c r="M34" s="19">
        <v>2880789.63</v>
      </c>
      <c r="N34" s="19">
        <f>(M34*L34)</f>
        <v>325212.34133069997</v>
      </c>
      <c r="O34" s="19">
        <v>147323.00200000001</v>
      </c>
      <c r="P34" s="19">
        <f>(N34*2000)/O34</f>
        <v>4414.956753741686</v>
      </c>
      <c r="Q34" s="15" t="s">
        <v>255</v>
      </c>
    </row>
    <row r="35" spans="1:17" x14ac:dyDescent="0.25">
      <c r="A35" s="91">
        <v>50</v>
      </c>
      <c r="B35" s="15">
        <v>2005</v>
      </c>
      <c r="C35" s="1" t="s">
        <v>32</v>
      </c>
      <c r="D35" s="1" t="s">
        <v>219</v>
      </c>
      <c r="E35" s="15" t="s">
        <v>123</v>
      </c>
      <c r="F35" s="1" t="s">
        <v>39</v>
      </c>
      <c r="G35" s="16">
        <v>1032316.53</v>
      </c>
      <c r="H35" s="92">
        <f>P35</f>
        <v>927.49481162721986</v>
      </c>
      <c r="I35" s="92">
        <f>(+G35*H35)/2000</f>
        <v>478734.11276600766</v>
      </c>
      <c r="J35" s="92"/>
      <c r="K35" s="17" t="s">
        <v>224</v>
      </c>
      <c r="L35" s="18">
        <v>5.8439999999999999E-2</v>
      </c>
      <c r="M35" s="19">
        <v>7944382.9299999997</v>
      </c>
      <c r="N35" s="19">
        <f>(M35*L35)</f>
        <v>464269.73842919996</v>
      </c>
      <c r="O35" s="19">
        <v>1001126.33</v>
      </c>
      <c r="P35" s="19">
        <f>(N35*2000)/O35</f>
        <v>927.49481162721986</v>
      </c>
      <c r="Q35" s="15" t="s">
        <v>255</v>
      </c>
    </row>
    <row r="36" spans="1:17" x14ac:dyDescent="0.25">
      <c r="A36" s="91">
        <v>51</v>
      </c>
      <c r="B36" s="15">
        <v>2005</v>
      </c>
      <c r="C36" s="1" t="s">
        <v>32</v>
      </c>
      <c r="D36" s="1" t="s">
        <v>219</v>
      </c>
      <c r="E36" s="15" t="s">
        <v>125</v>
      </c>
      <c r="F36" s="1" t="s">
        <v>40</v>
      </c>
      <c r="G36" s="16">
        <v>4.6399999999999997</v>
      </c>
      <c r="H36" s="92">
        <v>0</v>
      </c>
      <c r="I36" s="92">
        <f>(H36*G36)/2000</f>
        <v>0</v>
      </c>
      <c r="J36" s="92"/>
      <c r="K36" s="17" t="s">
        <v>223</v>
      </c>
      <c r="M36" s="19"/>
      <c r="N36" s="19"/>
      <c r="O36" s="19"/>
      <c r="P36" s="19"/>
    </row>
    <row r="37" spans="1:17" x14ac:dyDescent="0.25">
      <c r="A37" s="91">
        <v>52</v>
      </c>
      <c r="B37" s="15">
        <v>2005</v>
      </c>
      <c r="C37" s="1" t="s">
        <v>32</v>
      </c>
      <c r="D37" s="1" t="s">
        <v>219</v>
      </c>
      <c r="E37" s="15" t="s">
        <v>123</v>
      </c>
      <c r="F37" s="1" t="s">
        <v>41</v>
      </c>
      <c r="G37" s="16">
        <v>523309.64</v>
      </c>
      <c r="H37" s="92">
        <f>P37</f>
        <v>885.49544452606233</v>
      </c>
      <c r="I37" s="92">
        <f>(+G37*H37)/2000</f>
        <v>231694.15114828682</v>
      </c>
      <c r="J37" s="92"/>
      <c r="K37" s="17" t="s">
        <v>224</v>
      </c>
      <c r="L37" s="18">
        <v>5.8439999999999999E-2</v>
      </c>
      <c r="M37" s="19">
        <v>3887785.25</v>
      </c>
      <c r="N37" s="19">
        <f>(M37*L37)</f>
        <v>227202.17001</v>
      </c>
      <c r="O37" s="19">
        <v>513163.94999999995</v>
      </c>
      <c r="P37" s="19">
        <f>(N37*2000)/O37</f>
        <v>885.49544452606233</v>
      </c>
      <c r="Q37" s="15" t="s">
        <v>255</v>
      </c>
    </row>
    <row r="38" spans="1:17" x14ac:dyDescent="0.25">
      <c r="A38" s="91">
        <v>53</v>
      </c>
      <c r="B38" s="15">
        <v>2005</v>
      </c>
      <c r="C38" s="1" t="s">
        <v>32</v>
      </c>
      <c r="D38" s="1" t="s">
        <v>219</v>
      </c>
      <c r="E38" s="15" t="s">
        <v>125</v>
      </c>
      <c r="F38" s="1" t="s">
        <v>42</v>
      </c>
      <c r="G38" s="16">
        <v>48463</v>
      </c>
      <c r="H38" s="92">
        <v>0</v>
      </c>
      <c r="I38" s="92">
        <f>(H38*G38)/2000</f>
        <v>0</v>
      </c>
      <c r="J38" s="92"/>
      <c r="K38" s="17" t="s">
        <v>223</v>
      </c>
      <c r="M38" s="19"/>
      <c r="N38" s="19"/>
      <c r="O38" s="19"/>
      <c r="P38" s="19"/>
    </row>
    <row r="39" spans="1:17" x14ac:dyDescent="0.25">
      <c r="A39" s="91">
        <v>54</v>
      </c>
      <c r="B39" s="15">
        <v>2005</v>
      </c>
      <c r="C39" s="1" t="s">
        <v>32</v>
      </c>
      <c r="D39" s="1" t="s">
        <v>219</v>
      </c>
      <c r="E39" s="15" t="s">
        <v>125</v>
      </c>
      <c r="F39" s="1" t="s">
        <v>43</v>
      </c>
      <c r="G39" s="16">
        <v>8206.7999999999993</v>
      </c>
      <c r="H39" s="92">
        <v>0</v>
      </c>
      <c r="I39" s="92">
        <f>(H39*G39)/2000</f>
        <v>0</v>
      </c>
      <c r="J39" s="92"/>
      <c r="K39" s="17" t="s">
        <v>223</v>
      </c>
      <c r="M39" s="19"/>
      <c r="N39" s="19"/>
      <c r="O39" s="19"/>
      <c r="P39" s="19"/>
    </row>
    <row r="40" spans="1:17" x14ac:dyDescent="0.25">
      <c r="A40" s="91">
        <v>56</v>
      </c>
      <c r="B40" s="15">
        <v>2005</v>
      </c>
      <c r="C40" s="1" t="s">
        <v>44</v>
      </c>
      <c r="D40" s="1" t="s">
        <v>216</v>
      </c>
      <c r="E40" s="15" t="s">
        <v>217</v>
      </c>
      <c r="F40" s="1" t="s">
        <v>45</v>
      </c>
      <c r="G40" s="16">
        <v>308755</v>
      </c>
      <c r="H40" s="93">
        <f>'Emission Rates Net-by-Count'!$D$3</f>
        <v>1009.3086315923503</v>
      </c>
      <c r="I40" s="16">
        <f t="shared" ref="I40:I71" si="1">(G40*H40)/2000</f>
        <v>155814.54327364804</v>
      </c>
      <c r="M40" s="19"/>
      <c r="N40" s="19"/>
      <c r="O40" s="19"/>
      <c r="P40" s="19"/>
    </row>
    <row r="41" spans="1:17" x14ac:dyDescent="0.25">
      <c r="A41" s="91">
        <v>57</v>
      </c>
      <c r="B41" s="15">
        <v>2005</v>
      </c>
      <c r="C41" s="1" t="s">
        <v>44</v>
      </c>
      <c r="D41" s="1" t="s">
        <v>216</v>
      </c>
      <c r="E41" s="15" t="s">
        <v>217</v>
      </c>
      <c r="F41" s="1" t="s">
        <v>46</v>
      </c>
      <c r="G41" s="16">
        <v>1589</v>
      </c>
      <c r="H41" s="93">
        <f>'Emission Rates Net-by-Count'!$D$3</f>
        <v>1009.3086315923503</v>
      </c>
      <c r="I41" s="16">
        <f t="shared" si="1"/>
        <v>801.8957078001223</v>
      </c>
      <c r="M41" s="19"/>
      <c r="N41" s="19"/>
      <c r="O41" s="19"/>
      <c r="P41" s="19"/>
    </row>
    <row r="42" spans="1:17" x14ac:dyDescent="0.25">
      <c r="A42" s="91">
        <v>58</v>
      </c>
      <c r="B42" s="15">
        <v>2005</v>
      </c>
      <c r="C42" s="1" t="s">
        <v>44</v>
      </c>
      <c r="D42" s="1" t="s">
        <v>216</v>
      </c>
      <c r="E42" s="15" t="s">
        <v>217</v>
      </c>
      <c r="F42" s="1" t="s">
        <v>47</v>
      </c>
      <c r="G42" s="16">
        <v>61319.42</v>
      </c>
      <c r="H42" s="93">
        <f>'Emission Rates Net-by-Count'!$D$3</f>
        <v>1009.3086315923503</v>
      </c>
      <c r="I42" s="16">
        <f t="shared" si="1"/>
        <v>30945.109945118296</v>
      </c>
      <c r="M42" s="19"/>
      <c r="N42" s="19"/>
      <c r="O42" s="19"/>
      <c r="P42" s="19"/>
    </row>
    <row r="43" spans="1:17" x14ac:dyDescent="0.25">
      <c r="A43" s="91">
        <v>59</v>
      </c>
      <c r="B43" s="15">
        <v>2005</v>
      </c>
      <c r="C43" s="1" t="s">
        <v>44</v>
      </c>
      <c r="D43" s="1" t="s">
        <v>216</v>
      </c>
      <c r="E43" s="15" t="s">
        <v>217</v>
      </c>
      <c r="F43" s="1" t="s">
        <v>48</v>
      </c>
      <c r="G43" s="16">
        <v>764907</v>
      </c>
      <c r="H43" s="93">
        <f>'Emission Rates Net-by-Count'!$D$3</f>
        <v>1009.3086315923503</v>
      </c>
      <c r="I43" s="16">
        <f t="shared" si="1"/>
        <v>386013.61873270496</v>
      </c>
      <c r="M43" s="19"/>
      <c r="N43" s="19"/>
      <c r="O43" s="19"/>
      <c r="P43" s="19"/>
    </row>
    <row r="44" spans="1:17" x14ac:dyDescent="0.25">
      <c r="A44" s="91">
        <v>60</v>
      </c>
      <c r="B44" s="15">
        <v>2005</v>
      </c>
      <c r="C44" s="1" t="s">
        <v>44</v>
      </c>
      <c r="D44" s="1" t="s">
        <v>216</v>
      </c>
      <c r="E44" s="15" t="s">
        <v>217</v>
      </c>
      <c r="F44" s="1" t="s">
        <v>49</v>
      </c>
      <c r="G44" s="16">
        <v>15549</v>
      </c>
      <c r="H44" s="93">
        <f>'Emission Rates Net-by-Count'!$D$3</f>
        <v>1009.3086315923503</v>
      </c>
      <c r="I44" s="16">
        <f t="shared" si="1"/>
        <v>7846.8699563147266</v>
      </c>
      <c r="M44" s="19"/>
      <c r="N44" s="19"/>
      <c r="O44" s="19"/>
      <c r="P44" s="19"/>
    </row>
    <row r="45" spans="1:17" x14ac:dyDescent="0.25">
      <c r="A45" s="91">
        <v>61</v>
      </c>
      <c r="B45" s="15">
        <v>2005</v>
      </c>
      <c r="C45" s="1" t="s">
        <v>44</v>
      </c>
      <c r="D45" s="1" t="s">
        <v>216</v>
      </c>
      <c r="E45" s="15" t="s">
        <v>217</v>
      </c>
      <c r="F45" s="1" t="s">
        <v>50</v>
      </c>
      <c r="G45" s="16">
        <v>19825</v>
      </c>
      <c r="H45" s="93">
        <f>'Emission Rates Net-by-Count'!$D$3</f>
        <v>1009.3086315923503</v>
      </c>
      <c r="I45" s="16">
        <f t="shared" si="1"/>
        <v>10004.771810659173</v>
      </c>
      <c r="M45" s="19"/>
      <c r="N45" s="19"/>
      <c r="O45" s="19"/>
      <c r="P45" s="19"/>
    </row>
    <row r="46" spans="1:17" x14ac:dyDescent="0.25">
      <c r="A46" s="91">
        <v>62</v>
      </c>
      <c r="B46" s="15">
        <v>2005</v>
      </c>
      <c r="C46" s="1" t="s">
        <v>44</v>
      </c>
      <c r="D46" s="1" t="s">
        <v>216</v>
      </c>
      <c r="E46" s="15" t="s">
        <v>217</v>
      </c>
      <c r="F46" s="1" t="s">
        <v>51</v>
      </c>
      <c r="G46" s="16">
        <v>-1263279</v>
      </c>
      <c r="H46" s="93">
        <f>'Emission Rates Net-by-Count'!$D$3</f>
        <v>1009.3086315923503</v>
      </c>
      <c r="I46" s="16">
        <f t="shared" si="1"/>
        <v>-637519.19940467633</v>
      </c>
      <c r="M46" s="19"/>
      <c r="N46" s="19"/>
      <c r="O46" s="19"/>
      <c r="P46" s="19"/>
    </row>
    <row r="47" spans="1:17" x14ac:dyDescent="0.25">
      <c r="A47" s="91">
        <v>63</v>
      </c>
      <c r="B47" s="15">
        <v>2005</v>
      </c>
      <c r="C47" s="1" t="s">
        <v>44</v>
      </c>
      <c r="D47" s="1" t="s">
        <v>216</v>
      </c>
      <c r="E47" s="15" t="s">
        <v>217</v>
      </c>
      <c r="F47" s="1" t="s">
        <v>52</v>
      </c>
      <c r="G47" s="16">
        <v>121032</v>
      </c>
      <c r="H47" s="93">
        <f>'Emission Rates Net-by-Count'!$D$3</f>
        <v>1009.3086315923503</v>
      </c>
      <c r="I47" s="16">
        <f t="shared" si="1"/>
        <v>61079.321149442665</v>
      </c>
      <c r="M47" s="19"/>
      <c r="N47" s="19"/>
      <c r="O47" s="19"/>
      <c r="P47" s="19"/>
    </row>
    <row r="48" spans="1:17" x14ac:dyDescent="0.25">
      <c r="A48" s="91">
        <v>64</v>
      </c>
      <c r="B48" s="15">
        <v>2005</v>
      </c>
      <c r="C48" s="1" t="s">
        <v>44</v>
      </c>
      <c r="D48" s="1" t="s">
        <v>216</v>
      </c>
      <c r="E48" s="15" t="s">
        <v>217</v>
      </c>
      <c r="F48" s="1" t="s">
        <v>21</v>
      </c>
      <c r="G48" s="16">
        <v>617085</v>
      </c>
      <c r="H48" s="93">
        <f>'Emission Rates Net-by-Count'!$D$3</f>
        <v>1009.3086315923503</v>
      </c>
      <c r="I48" s="16">
        <f t="shared" si="1"/>
        <v>311414.60846308275</v>
      </c>
      <c r="M48" s="19"/>
      <c r="N48" s="19"/>
      <c r="O48" s="19"/>
      <c r="P48" s="19"/>
    </row>
    <row r="49" spans="1:16" x14ac:dyDescent="0.25">
      <c r="A49" s="91">
        <v>65</v>
      </c>
      <c r="B49" s="15">
        <v>2005</v>
      </c>
      <c r="C49" s="1" t="s">
        <v>44</v>
      </c>
      <c r="D49" s="1" t="s">
        <v>216</v>
      </c>
      <c r="E49" s="15" t="s">
        <v>217</v>
      </c>
      <c r="F49" s="1" t="s">
        <v>53</v>
      </c>
      <c r="G49" s="16">
        <v>6019</v>
      </c>
      <c r="H49" s="93">
        <f>'Emission Rates Net-by-Count'!$D$3</f>
        <v>1009.3086315923503</v>
      </c>
      <c r="I49" s="16">
        <f t="shared" si="1"/>
        <v>3037.5143267771778</v>
      </c>
      <c r="M49" s="19"/>
      <c r="N49" s="19"/>
      <c r="O49" s="19"/>
      <c r="P49" s="19"/>
    </row>
    <row r="50" spans="1:16" x14ac:dyDescent="0.25">
      <c r="A50" s="91">
        <v>66</v>
      </c>
      <c r="B50" s="15">
        <v>2005</v>
      </c>
      <c r="C50" s="1" t="s">
        <v>44</v>
      </c>
      <c r="D50" s="1" t="s">
        <v>216</v>
      </c>
      <c r="E50" s="15" t="s">
        <v>217</v>
      </c>
      <c r="F50" s="1" t="s">
        <v>54</v>
      </c>
      <c r="G50" s="16">
        <v>116791</v>
      </c>
      <c r="H50" s="93">
        <f>'Emission Rates Net-by-Count'!$D$3</f>
        <v>1009.3086315923503</v>
      </c>
      <c r="I50" s="16">
        <f t="shared" si="1"/>
        <v>58939.082196151096</v>
      </c>
      <c r="M50" s="19"/>
      <c r="N50" s="19"/>
      <c r="O50" s="19"/>
      <c r="P50" s="19"/>
    </row>
    <row r="51" spans="1:16" x14ac:dyDescent="0.25">
      <c r="A51" s="91">
        <v>67</v>
      </c>
      <c r="B51" s="15">
        <v>2005</v>
      </c>
      <c r="C51" s="1" t="s">
        <v>44</v>
      </c>
      <c r="D51" s="1" t="s">
        <v>216</v>
      </c>
      <c r="E51" s="15" t="s">
        <v>217</v>
      </c>
      <c r="F51" s="1" t="s">
        <v>55</v>
      </c>
      <c r="G51" s="16">
        <v>111066</v>
      </c>
      <c r="H51" s="93">
        <f>'Emission Rates Net-by-Count'!$D$3</f>
        <v>1009.3086315923503</v>
      </c>
      <c r="I51" s="16">
        <f t="shared" si="1"/>
        <v>56049.93623821799</v>
      </c>
      <c r="M51" s="19"/>
      <c r="N51" s="19"/>
      <c r="O51" s="19"/>
      <c r="P51" s="19"/>
    </row>
    <row r="52" spans="1:16" x14ac:dyDescent="0.25">
      <c r="A52" s="91">
        <v>68</v>
      </c>
      <c r="B52" s="15">
        <v>2005</v>
      </c>
      <c r="C52" s="1" t="s">
        <v>44</v>
      </c>
      <c r="D52" s="1" t="s">
        <v>216</v>
      </c>
      <c r="E52" s="15" t="s">
        <v>217</v>
      </c>
      <c r="F52" s="1" t="s">
        <v>56</v>
      </c>
      <c r="G52" s="16">
        <v>62417</v>
      </c>
      <c r="H52" s="93">
        <f>'Emission Rates Net-by-Count'!$D$3</f>
        <v>1009.3086315923503</v>
      </c>
      <c r="I52" s="16">
        <f t="shared" si="1"/>
        <v>31499.008429049863</v>
      </c>
      <c r="M52" s="19"/>
      <c r="N52" s="19"/>
      <c r="O52" s="19"/>
      <c r="P52" s="19"/>
    </row>
    <row r="53" spans="1:16" x14ac:dyDescent="0.25">
      <c r="A53" s="91">
        <v>69</v>
      </c>
      <c r="B53" s="15">
        <v>2005</v>
      </c>
      <c r="C53" s="1" t="s">
        <v>44</v>
      </c>
      <c r="D53" s="1" t="s">
        <v>216</v>
      </c>
      <c r="E53" s="15" t="s">
        <v>217</v>
      </c>
      <c r="F53" s="1" t="s">
        <v>57</v>
      </c>
      <c r="G53" s="16">
        <v>86002</v>
      </c>
      <c r="H53" s="93">
        <f>'Emission Rates Net-by-Count'!$D$3</f>
        <v>1009.3086315923503</v>
      </c>
      <c r="I53" s="16">
        <f t="shared" si="1"/>
        <v>43401.280467102653</v>
      </c>
      <c r="M53" s="19"/>
      <c r="N53" s="19"/>
      <c r="O53" s="19"/>
      <c r="P53" s="19"/>
    </row>
    <row r="54" spans="1:16" x14ac:dyDescent="0.25">
      <c r="A54" s="91">
        <v>70</v>
      </c>
      <c r="B54" s="15">
        <v>2005</v>
      </c>
      <c r="C54" s="1" t="s">
        <v>44</v>
      </c>
      <c r="D54" s="1" t="s">
        <v>216</v>
      </c>
      <c r="E54" s="15" t="s">
        <v>217</v>
      </c>
      <c r="F54" s="1" t="s">
        <v>58</v>
      </c>
      <c r="G54" s="16">
        <v>5000</v>
      </c>
      <c r="H54" s="93">
        <f>'Emission Rates Net-by-Count'!$D$3</f>
        <v>1009.3086315923503</v>
      </c>
      <c r="I54" s="16">
        <f t="shared" si="1"/>
        <v>2523.2715789808758</v>
      </c>
      <c r="M54" s="19"/>
      <c r="N54" s="19"/>
      <c r="O54" s="19"/>
      <c r="P54" s="19"/>
    </row>
    <row r="55" spans="1:16" x14ac:dyDescent="0.25">
      <c r="A55" s="91">
        <v>71</v>
      </c>
      <c r="B55" s="15">
        <v>2005</v>
      </c>
      <c r="C55" s="1" t="s">
        <v>44</v>
      </c>
      <c r="D55" s="1" t="s">
        <v>216</v>
      </c>
      <c r="E55" s="15" t="s">
        <v>217</v>
      </c>
      <c r="F55" s="1" t="s">
        <v>59</v>
      </c>
      <c r="G55" s="16">
        <v>11269</v>
      </c>
      <c r="H55" s="93">
        <f>'Emission Rates Net-by-Count'!$D$3</f>
        <v>1009.3086315923503</v>
      </c>
      <c r="I55" s="16">
        <f t="shared" si="1"/>
        <v>5686.9494847070973</v>
      </c>
      <c r="M55" s="19"/>
      <c r="N55" s="19"/>
      <c r="O55" s="19"/>
      <c r="P55" s="19"/>
    </row>
    <row r="56" spans="1:16" x14ac:dyDescent="0.25">
      <c r="A56" s="91">
        <v>72</v>
      </c>
      <c r="B56" s="15">
        <v>2005</v>
      </c>
      <c r="C56" s="1" t="s">
        <v>44</v>
      </c>
      <c r="D56" s="1" t="s">
        <v>216</v>
      </c>
      <c r="E56" s="15" t="s">
        <v>217</v>
      </c>
      <c r="F56" s="1" t="s">
        <v>60</v>
      </c>
      <c r="G56" s="16">
        <v>21703</v>
      </c>
      <c r="H56" s="93">
        <f>'Emission Rates Net-by-Count'!$D$3</f>
        <v>1009.3086315923503</v>
      </c>
      <c r="I56" s="16">
        <f t="shared" si="1"/>
        <v>10952.512615724389</v>
      </c>
      <c r="M56" s="19"/>
      <c r="N56" s="19"/>
      <c r="O56" s="19"/>
      <c r="P56" s="19"/>
    </row>
    <row r="57" spans="1:16" x14ac:dyDescent="0.25">
      <c r="A57" s="91">
        <v>73</v>
      </c>
      <c r="B57" s="15">
        <v>2005</v>
      </c>
      <c r="C57" s="1" t="s">
        <v>44</v>
      </c>
      <c r="D57" s="1" t="s">
        <v>216</v>
      </c>
      <c r="E57" s="15" t="s">
        <v>217</v>
      </c>
      <c r="F57" s="1" t="s">
        <v>61</v>
      </c>
      <c r="G57" s="16">
        <v>505863</v>
      </c>
      <c r="H57" s="93">
        <f>'Emission Rates Net-by-Count'!$D$3</f>
        <v>1009.3086315923503</v>
      </c>
      <c r="I57" s="16">
        <f t="shared" si="1"/>
        <v>255285.94615160054</v>
      </c>
      <c r="M57" s="19"/>
      <c r="N57" s="19"/>
      <c r="O57" s="19"/>
      <c r="P57" s="19"/>
    </row>
    <row r="58" spans="1:16" x14ac:dyDescent="0.25">
      <c r="A58" s="91">
        <v>74</v>
      </c>
      <c r="B58" s="15">
        <v>2005</v>
      </c>
      <c r="C58" s="1" t="s">
        <v>44</v>
      </c>
      <c r="D58" s="1" t="s">
        <v>216</v>
      </c>
      <c r="E58" s="15" t="s">
        <v>217</v>
      </c>
      <c r="F58" s="1" t="s">
        <v>62</v>
      </c>
      <c r="G58" s="16">
        <v>283186</v>
      </c>
      <c r="H58" s="93">
        <f>'Emission Rates Net-by-Count'!$D$3</f>
        <v>1009.3086315923503</v>
      </c>
      <c r="I58" s="16">
        <f t="shared" si="1"/>
        <v>142911.03707305566</v>
      </c>
      <c r="M58" s="19"/>
      <c r="N58" s="19"/>
      <c r="O58" s="19"/>
      <c r="P58" s="19"/>
    </row>
    <row r="59" spans="1:16" x14ac:dyDescent="0.25">
      <c r="A59" s="91">
        <v>75</v>
      </c>
      <c r="B59" s="15">
        <v>2005</v>
      </c>
      <c r="C59" s="1" t="s">
        <v>44</v>
      </c>
      <c r="D59" s="1" t="s">
        <v>216</v>
      </c>
      <c r="E59" s="15" t="s">
        <v>217</v>
      </c>
      <c r="F59" s="1" t="s">
        <v>63</v>
      </c>
      <c r="G59" s="16">
        <v>4290</v>
      </c>
      <c r="H59" s="93">
        <f>'Emission Rates Net-by-Count'!$D$3</f>
        <v>1009.3086315923503</v>
      </c>
      <c r="I59" s="16">
        <f t="shared" si="1"/>
        <v>2164.9670147655916</v>
      </c>
      <c r="M59" s="19"/>
      <c r="N59" s="19"/>
      <c r="O59" s="19"/>
      <c r="P59" s="19"/>
    </row>
    <row r="60" spans="1:16" x14ac:dyDescent="0.25">
      <c r="A60" s="91">
        <v>76</v>
      </c>
      <c r="B60" s="15">
        <v>2005</v>
      </c>
      <c r="C60" s="1" t="s">
        <v>44</v>
      </c>
      <c r="D60" s="1" t="s">
        <v>216</v>
      </c>
      <c r="E60" s="15" t="s">
        <v>217</v>
      </c>
      <c r="F60" s="1" t="s">
        <v>64</v>
      </c>
      <c r="G60" s="16">
        <v>135120</v>
      </c>
      <c r="H60" s="93">
        <f>'Emission Rates Net-by-Count'!$D$3</f>
        <v>1009.3086315923503</v>
      </c>
      <c r="I60" s="16">
        <f t="shared" si="1"/>
        <v>68188.891150379175</v>
      </c>
      <c r="M60" s="19"/>
      <c r="N60" s="19"/>
      <c r="O60" s="19"/>
      <c r="P60" s="19"/>
    </row>
    <row r="61" spans="1:16" x14ac:dyDescent="0.25">
      <c r="A61" s="91">
        <v>77</v>
      </c>
      <c r="B61" s="15">
        <v>2005</v>
      </c>
      <c r="C61" s="1" t="s">
        <v>44</v>
      </c>
      <c r="D61" s="1" t="s">
        <v>216</v>
      </c>
      <c r="E61" s="15" t="s">
        <v>217</v>
      </c>
      <c r="F61" s="1" t="s">
        <v>65</v>
      </c>
      <c r="G61" s="16">
        <v>41301</v>
      </c>
      <c r="H61" s="93">
        <f>'Emission Rates Net-by-Count'!$D$3</f>
        <v>1009.3086315923503</v>
      </c>
      <c r="I61" s="16">
        <f t="shared" si="1"/>
        <v>20842.72789669783</v>
      </c>
      <c r="M61" s="19"/>
      <c r="N61" s="19"/>
      <c r="O61" s="19"/>
      <c r="P61" s="19"/>
    </row>
    <row r="62" spans="1:16" x14ac:dyDescent="0.25">
      <c r="A62" s="91">
        <v>78</v>
      </c>
      <c r="B62" s="15">
        <v>2005</v>
      </c>
      <c r="C62" s="1" t="s">
        <v>44</v>
      </c>
      <c r="D62" s="1" t="s">
        <v>216</v>
      </c>
      <c r="E62" s="15" t="s">
        <v>217</v>
      </c>
      <c r="F62" s="1" t="s">
        <v>66</v>
      </c>
      <c r="G62" s="16">
        <v>7145</v>
      </c>
      <c r="H62" s="93">
        <f>'Emission Rates Net-by-Count'!$D$3</f>
        <v>1009.3086315923503</v>
      </c>
      <c r="I62" s="16">
        <f t="shared" si="1"/>
        <v>3605.7550863636711</v>
      </c>
      <c r="M62" s="19"/>
      <c r="N62" s="19"/>
      <c r="O62" s="19"/>
      <c r="P62" s="19"/>
    </row>
    <row r="63" spans="1:16" x14ac:dyDescent="0.25">
      <c r="A63" s="91">
        <v>79</v>
      </c>
      <c r="B63" s="15">
        <v>2005</v>
      </c>
      <c r="C63" s="1" t="s">
        <v>44</v>
      </c>
      <c r="D63" s="1" t="s">
        <v>216</v>
      </c>
      <c r="E63" s="15" t="s">
        <v>217</v>
      </c>
      <c r="F63" s="1" t="s">
        <v>67</v>
      </c>
      <c r="G63" s="16">
        <v>40585</v>
      </c>
      <c r="H63" s="93">
        <f>'Emission Rates Net-by-Count'!$D$3</f>
        <v>1009.3086315923503</v>
      </c>
      <c r="I63" s="16">
        <f t="shared" si="1"/>
        <v>20481.39540658777</v>
      </c>
      <c r="M63" s="19"/>
      <c r="N63" s="19"/>
      <c r="O63" s="19"/>
      <c r="P63" s="19"/>
    </row>
    <row r="64" spans="1:16" x14ac:dyDescent="0.25">
      <c r="A64" s="91">
        <v>80</v>
      </c>
      <c r="B64" s="15">
        <v>2005</v>
      </c>
      <c r="C64" s="1" t="s">
        <v>44</v>
      </c>
      <c r="D64" s="1" t="s">
        <v>216</v>
      </c>
      <c r="E64" s="15" t="s">
        <v>217</v>
      </c>
      <c r="F64" s="1" t="s">
        <v>68</v>
      </c>
      <c r="G64" s="16">
        <v>13983</v>
      </c>
      <c r="H64" s="93">
        <f>'Emission Rates Net-by-Count'!$D$3</f>
        <v>1009.3086315923503</v>
      </c>
      <c r="I64" s="16">
        <f t="shared" si="1"/>
        <v>7056.5812977779169</v>
      </c>
      <c r="M64" s="19"/>
      <c r="N64" s="19"/>
      <c r="O64" s="19"/>
      <c r="P64" s="19"/>
    </row>
    <row r="65" spans="1:16" x14ac:dyDescent="0.25">
      <c r="A65" s="91">
        <v>81</v>
      </c>
      <c r="B65" s="15">
        <v>2005</v>
      </c>
      <c r="C65" s="1" t="s">
        <v>44</v>
      </c>
      <c r="D65" s="1" t="s">
        <v>216</v>
      </c>
      <c r="E65" s="15" t="s">
        <v>217</v>
      </c>
      <c r="F65" s="1" t="s">
        <v>69</v>
      </c>
      <c r="G65" s="16">
        <v>456966</v>
      </c>
      <c r="H65" s="93">
        <f>'Emission Rates Net-by-Count'!$D$3</f>
        <v>1009.3086315923503</v>
      </c>
      <c r="I65" s="16">
        <f t="shared" si="1"/>
        <v>230609.86407211499</v>
      </c>
      <c r="M65" s="19"/>
      <c r="N65" s="19"/>
      <c r="O65" s="19"/>
      <c r="P65" s="19"/>
    </row>
    <row r="66" spans="1:16" x14ac:dyDescent="0.25">
      <c r="A66" s="91">
        <v>82</v>
      </c>
      <c r="B66" s="15">
        <v>2005</v>
      </c>
      <c r="C66" s="1" t="s">
        <v>44</v>
      </c>
      <c r="D66" s="1" t="s">
        <v>216</v>
      </c>
      <c r="E66" s="15" t="s">
        <v>217</v>
      </c>
      <c r="F66" s="1" t="s">
        <v>70</v>
      </c>
      <c r="G66" s="16">
        <v>21760</v>
      </c>
      <c r="H66" s="93">
        <f>'Emission Rates Net-by-Count'!$D$3</f>
        <v>1009.3086315923503</v>
      </c>
      <c r="I66" s="16">
        <f t="shared" si="1"/>
        <v>10981.27791172477</v>
      </c>
      <c r="M66" s="19"/>
      <c r="N66" s="19"/>
      <c r="O66" s="19"/>
      <c r="P66" s="19"/>
    </row>
    <row r="67" spans="1:16" x14ac:dyDescent="0.25">
      <c r="A67" s="91">
        <v>83</v>
      </c>
      <c r="B67" s="15">
        <v>2005</v>
      </c>
      <c r="C67" s="1" t="s">
        <v>44</v>
      </c>
      <c r="D67" s="1" t="s">
        <v>216</v>
      </c>
      <c r="E67" s="15" t="s">
        <v>217</v>
      </c>
      <c r="F67" s="1" t="s">
        <v>71</v>
      </c>
      <c r="G67" s="16">
        <v>25318</v>
      </c>
      <c r="H67" s="93">
        <f>'Emission Rates Net-by-Count'!$D$3</f>
        <v>1009.3086315923503</v>
      </c>
      <c r="I67" s="16">
        <f t="shared" si="1"/>
        <v>12776.837967327561</v>
      </c>
      <c r="M67" s="19"/>
      <c r="N67" s="19"/>
      <c r="O67" s="19"/>
      <c r="P67" s="19"/>
    </row>
    <row r="68" spans="1:16" x14ac:dyDescent="0.25">
      <c r="A68" s="91">
        <v>84</v>
      </c>
      <c r="B68" s="15">
        <v>2005</v>
      </c>
      <c r="C68" s="1" t="s">
        <v>44</v>
      </c>
      <c r="D68" s="1" t="s">
        <v>216</v>
      </c>
      <c r="E68" s="15" t="s">
        <v>217</v>
      </c>
      <c r="F68" s="1" t="s">
        <v>72</v>
      </c>
      <c r="G68" s="16">
        <v>12800</v>
      </c>
      <c r="H68" s="93">
        <f>'Emission Rates Net-by-Count'!$D$3</f>
        <v>1009.3086315923503</v>
      </c>
      <c r="I68" s="16">
        <f t="shared" si="1"/>
        <v>6459.575242191042</v>
      </c>
      <c r="M68" s="19"/>
      <c r="N68" s="19"/>
      <c r="O68" s="19"/>
      <c r="P68" s="19"/>
    </row>
    <row r="69" spans="1:16" x14ac:dyDescent="0.25">
      <c r="A69" s="91">
        <v>85</v>
      </c>
      <c r="B69" s="15">
        <v>2005</v>
      </c>
      <c r="C69" s="1" t="s">
        <v>44</v>
      </c>
      <c r="D69" s="1" t="s">
        <v>216</v>
      </c>
      <c r="E69" s="15" t="s">
        <v>217</v>
      </c>
      <c r="F69" s="1" t="s">
        <v>73</v>
      </c>
      <c r="G69" s="16">
        <v>19175</v>
      </c>
      <c r="H69" s="93">
        <f>'Emission Rates Net-by-Count'!$D$3</f>
        <v>1009.3086315923503</v>
      </c>
      <c r="I69" s="16">
        <f t="shared" si="1"/>
        <v>9676.7465053916567</v>
      </c>
      <c r="M69" s="19"/>
      <c r="N69" s="19"/>
      <c r="O69" s="19"/>
      <c r="P69" s="19"/>
    </row>
    <row r="70" spans="1:16" x14ac:dyDescent="0.25">
      <c r="A70" s="91">
        <v>86</v>
      </c>
      <c r="B70" s="15">
        <v>2005</v>
      </c>
      <c r="C70" s="1" t="s">
        <v>44</v>
      </c>
      <c r="D70" s="1" t="s">
        <v>216</v>
      </c>
      <c r="E70" s="15" t="s">
        <v>217</v>
      </c>
      <c r="F70" s="1" t="s">
        <v>74</v>
      </c>
      <c r="G70" s="16">
        <v>6008</v>
      </c>
      <c r="H70" s="93">
        <f>'Emission Rates Net-by-Count'!$D$3</f>
        <v>1009.3086315923503</v>
      </c>
      <c r="I70" s="16">
        <f t="shared" si="1"/>
        <v>3031.9631293034199</v>
      </c>
      <c r="M70" s="19"/>
      <c r="N70" s="19"/>
      <c r="O70" s="19"/>
      <c r="P70" s="19"/>
    </row>
    <row r="71" spans="1:16" x14ac:dyDescent="0.25">
      <c r="A71" s="91">
        <v>87</v>
      </c>
      <c r="B71" s="15">
        <v>2005</v>
      </c>
      <c r="C71" s="1" t="s">
        <v>44</v>
      </c>
      <c r="D71" s="1" t="s">
        <v>216</v>
      </c>
      <c r="E71" s="15" t="s">
        <v>217</v>
      </c>
      <c r="F71" s="1" t="s">
        <v>75</v>
      </c>
      <c r="G71" s="16">
        <v>243625</v>
      </c>
      <c r="H71" s="93">
        <f>'Emission Rates Net-by-Count'!$D$3</f>
        <v>1009.3086315923503</v>
      </c>
      <c r="I71" s="16">
        <f t="shared" si="1"/>
        <v>122946.40768584317</v>
      </c>
      <c r="M71" s="19"/>
      <c r="N71" s="19"/>
      <c r="O71" s="19"/>
      <c r="P71" s="19"/>
    </row>
    <row r="72" spans="1:16" x14ac:dyDescent="0.25">
      <c r="A72" s="91">
        <v>88</v>
      </c>
      <c r="B72" s="15">
        <v>2005</v>
      </c>
      <c r="C72" s="1" t="s">
        <v>44</v>
      </c>
      <c r="D72" s="1" t="s">
        <v>216</v>
      </c>
      <c r="E72" s="15" t="s">
        <v>217</v>
      </c>
      <c r="F72" s="1" t="s">
        <v>76</v>
      </c>
      <c r="G72" s="16">
        <v>22000</v>
      </c>
      <c r="H72" s="93">
        <f>'Emission Rates Net-by-Count'!$D$3</f>
        <v>1009.3086315923503</v>
      </c>
      <c r="I72" s="16">
        <f t="shared" ref="I72:I103" si="2">(G72*H72)/2000</f>
        <v>11102.394947515853</v>
      </c>
      <c r="M72" s="19"/>
      <c r="N72" s="19"/>
      <c r="O72" s="19"/>
      <c r="P72" s="19"/>
    </row>
    <row r="73" spans="1:16" x14ac:dyDescent="0.25">
      <c r="A73" s="91">
        <v>89</v>
      </c>
      <c r="B73" s="15">
        <v>2005</v>
      </c>
      <c r="C73" s="1" t="s">
        <v>44</v>
      </c>
      <c r="D73" s="1" t="s">
        <v>216</v>
      </c>
      <c r="E73" s="15" t="s">
        <v>217</v>
      </c>
      <c r="F73" s="1" t="s">
        <v>77</v>
      </c>
      <c r="G73" s="16">
        <v>731</v>
      </c>
      <c r="H73" s="93">
        <f>'Emission Rates Net-by-Count'!$D$3</f>
        <v>1009.3086315923503</v>
      </c>
      <c r="I73" s="16">
        <f t="shared" si="2"/>
        <v>368.90230484700402</v>
      </c>
      <c r="M73" s="19"/>
      <c r="N73" s="19"/>
      <c r="O73" s="19"/>
      <c r="P73" s="19"/>
    </row>
    <row r="74" spans="1:16" x14ac:dyDescent="0.25">
      <c r="A74" s="91">
        <v>90</v>
      </c>
      <c r="B74" s="15">
        <v>2005</v>
      </c>
      <c r="C74" s="1" t="s">
        <v>44</v>
      </c>
      <c r="D74" s="1" t="s">
        <v>216</v>
      </c>
      <c r="E74" s="15" t="s">
        <v>217</v>
      </c>
      <c r="F74" s="1" t="s">
        <v>78</v>
      </c>
      <c r="G74" s="16">
        <v>78183</v>
      </c>
      <c r="H74" s="93">
        <f>'Emission Rates Net-by-Count'!$D$3</f>
        <v>1009.3086315923503</v>
      </c>
      <c r="I74" s="16">
        <f t="shared" si="2"/>
        <v>39455.388371892361</v>
      </c>
      <c r="M74" s="19"/>
      <c r="N74" s="19"/>
      <c r="O74" s="19"/>
      <c r="P74" s="19"/>
    </row>
    <row r="75" spans="1:16" x14ac:dyDescent="0.25">
      <c r="A75" s="91">
        <v>92</v>
      </c>
      <c r="B75" s="15">
        <v>2005</v>
      </c>
      <c r="C75" s="1" t="s">
        <v>44</v>
      </c>
      <c r="D75" s="1" t="s">
        <v>216</v>
      </c>
      <c r="E75" s="15" t="s">
        <v>217</v>
      </c>
      <c r="F75" s="1" t="s">
        <v>79</v>
      </c>
      <c r="G75" s="16">
        <v>9220</v>
      </c>
      <c r="H75" s="93">
        <f>'Emission Rates Net-by-Count'!$D$3</f>
        <v>1009.3086315923503</v>
      </c>
      <c r="I75" s="16">
        <f t="shared" si="2"/>
        <v>4652.9127916407342</v>
      </c>
      <c r="M75" s="19"/>
      <c r="N75" s="19"/>
      <c r="O75" s="19"/>
      <c r="P75" s="19"/>
    </row>
    <row r="76" spans="1:16" x14ac:dyDescent="0.25">
      <c r="A76" s="91">
        <v>93</v>
      </c>
      <c r="B76" s="15">
        <v>2005</v>
      </c>
      <c r="C76" s="1" t="s">
        <v>44</v>
      </c>
      <c r="D76" s="1" t="s">
        <v>216</v>
      </c>
      <c r="E76" s="15" t="s">
        <v>217</v>
      </c>
      <c r="F76" s="1" t="s">
        <v>80</v>
      </c>
      <c r="G76" s="16">
        <v>9400</v>
      </c>
      <c r="H76" s="93">
        <f>'Emission Rates Net-by-Count'!$D$3</f>
        <v>1009.3086315923503</v>
      </c>
      <c r="I76" s="16">
        <f t="shared" si="2"/>
        <v>4743.7505684840462</v>
      </c>
      <c r="M76" s="19"/>
      <c r="N76" s="19"/>
      <c r="O76" s="19"/>
      <c r="P76" s="19"/>
    </row>
    <row r="77" spans="1:16" x14ac:dyDescent="0.25">
      <c r="A77" s="91">
        <v>94</v>
      </c>
      <c r="B77" s="15">
        <v>2005</v>
      </c>
      <c r="C77" s="1" t="s">
        <v>44</v>
      </c>
      <c r="D77" s="1" t="s">
        <v>216</v>
      </c>
      <c r="E77" s="15" t="s">
        <v>217</v>
      </c>
      <c r="F77" s="1" t="s">
        <v>81</v>
      </c>
      <c r="G77" s="16">
        <v>1069</v>
      </c>
      <c r="H77" s="93">
        <f>'Emission Rates Net-by-Count'!$D$3</f>
        <v>1009.3086315923503</v>
      </c>
      <c r="I77" s="16">
        <f t="shared" si="2"/>
        <v>539.47546358611123</v>
      </c>
      <c r="M77" s="19"/>
      <c r="N77" s="19"/>
      <c r="O77" s="19"/>
      <c r="P77" s="19"/>
    </row>
    <row r="78" spans="1:16" x14ac:dyDescent="0.25">
      <c r="A78" s="91">
        <v>95</v>
      </c>
      <c r="B78" s="15">
        <v>2005</v>
      </c>
      <c r="C78" s="1" t="s">
        <v>44</v>
      </c>
      <c r="D78" s="1" t="s">
        <v>216</v>
      </c>
      <c r="E78" s="15" t="s">
        <v>217</v>
      </c>
      <c r="F78" s="1" t="s">
        <v>82</v>
      </c>
      <c r="G78" s="16">
        <v>13643</v>
      </c>
      <c r="H78" s="93">
        <f>'Emission Rates Net-by-Count'!$D$3</f>
        <v>1009.3086315923503</v>
      </c>
      <c r="I78" s="16">
        <f t="shared" si="2"/>
        <v>6884.9988304072167</v>
      </c>
      <c r="M78" s="19"/>
      <c r="N78" s="19"/>
      <c r="O78" s="19"/>
      <c r="P78" s="19"/>
    </row>
    <row r="79" spans="1:16" x14ac:dyDescent="0.25">
      <c r="A79" s="91">
        <v>96</v>
      </c>
      <c r="B79" s="15">
        <v>2005</v>
      </c>
      <c r="C79" s="1" t="s">
        <v>44</v>
      </c>
      <c r="D79" s="1" t="s">
        <v>216</v>
      </c>
      <c r="E79" s="15" t="s">
        <v>217</v>
      </c>
      <c r="F79" s="1" t="s">
        <v>83</v>
      </c>
      <c r="G79" s="16">
        <v>1922</v>
      </c>
      <c r="H79" s="93">
        <f>'Emission Rates Net-by-Count'!$D$3</f>
        <v>1009.3086315923503</v>
      </c>
      <c r="I79" s="16">
        <f t="shared" si="2"/>
        <v>969.94559496024851</v>
      </c>
      <c r="M79" s="19"/>
      <c r="N79" s="19"/>
      <c r="O79" s="19"/>
      <c r="P79" s="19"/>
    </row>
    <row r="80" spans="1:16" x14ac:dyDescent="0.25">
      <c r="A80" s="91">
        <v>97</v>
      </c>
      <c r="B80" s="15">
        <v>2005</v>
      </c>
      <c r="C80" s="1" t="s">
        <v>44</v>
      </c>
      <c r="D80" s="1" t="s">
        <v>216</v>
      </c>
      <c r="E80" s="15" t="s">
        <v>217</v>
      </c>
      <c r="F80" s="1" t="s">
        <v>84</v>
      </c>
      <c r="G80" s="16">
        <v>117381</v>
      </c>
      <c r="H80" s="93">
        <f>'Emission Rates Net-by-Count'!$D$3</f>
        <v>1009.3086315923503</v>
      </c>
      <c r="I80" s="16">
        <f t="shared" si="2"/>
        <v>59236.82824247083</v>
      </c>
      <c r="M80" s="19"/>
      <c r="N80" s="19"/>
      <c r="O80" s="19"/>
      <c r="P80" s="19"/>
    </row>
    <row r="81" spans="1:16" x14ac:dyDescent="0.25">
      <c r="A81" s="91">
        <v>98</v>
      </c>
      <c r="B81" s="15">
        <v>2005</v>
      </c>
      <c r="C81" s="1" t="s">
        <v>44</v>
      </c>
      <c r="D81" s="1" t="s">
        <v>216</v>
      </c>
      <c r="E81" s="15" t="s">
        <v>217</v>
      </c>
      <c r="F81" s="1" t="s">
        <v>85</v>
      </c>
      <c r="G81" s="16">
        <v>202512</v>
      </c>
      <c r="H81" s="93">
        <f>'Emission Rates Net-by-Count'!$D$3</f>
        <v>1009.3086315923503</v>
      </c>
      <c r="I81" s="16">
        <f t="shared" si="2"/>
        <v>102198.554800515</v>
      </c>
      <c r="M81" s="19"/>
      <c r="N81" s="19"/>
      <c r="O81" s="19"/>
      <c r="P81" s="19"/>
    </row>
    <row r="82" spans="1:16" x14ac:dyDescent="0.25">
      <c r="A82" s="91">
        <v>99</v>
      </c>
      <c r="B82" s="15">
        <v>2005</v>
      </c>
      <c r="C82" s="1" t="s">
        <v>44</v>
      </c>
      <c r="D82" s="1" t="s">
        <v>216</v>
      </c>
      <c r="E82" s="15" t="s">
        <v>217</v>
      </c>
      <c r="F82" s="1" t="s">
        <v>86</v>
      </c>
      <c r="G82" s="16">
        <v>462826</v>
      </c>
      <c r="H82" s="93">
        <f>'Emission Rates Net-by-Count'!$D$3</f>
        <v>1009.3086315923503</v>
      </c>
      <c r="I82" s="16">
        <f t="shared" si="2"/>
        <v>233567.13836268056</v>
      </c>
      <c r="M82" s="19"/>
      <c r="N82" s="19"/>
      <c r="O82" s="19"/>
      <c r="P82" s="19"/>
    </row>
    <row r="83" spans="1:16" x14ac:dyDescent="0.25">
      <c r="A83" s="91">
        <v>100</v>
      </c>
      <c r="B83" s="15">
        <v>2005</v>
      </c>
      <c r="C83" s="1" t="s">
        <v>44</v>
      </c>
      <c r="D83" s="1" t="s">
        <v>216</v>
      </c>
      <c r="E83" s="15" t="s">
        <v>217</v>
      </c>
      <c r="F83" s="1" t="s">
        <v>87</v>
      </c>
      <c r="G83" s="16">
        <v>156352</v>
      </c>
      <c r="H83" s="93">
        <f>'Emission Rates Net-by-Count'!$D$3</f>
        <v>1009.3086315923503</v>
      </c>
      <c r="I83" s="16">
        <f t="shared" si="2"/>
        <v>78903.711583363576</v>
      </c>
      <c r="M83" s="19"/>
      <c r="N83" s="19"/>
      <c r="O83" s="19"/>
      <c r="P83" s="19"/>
    </row>
    <row r="84" spans="1:16" x14ac:dyDescent="0.25">
      <c r="A84" s="91">
        <v>101</v>
      </c>
      <c r="B84" s="15">
        <v>2005</v>
      </c>
      <c r="C84" s="1" t="s">
        <v>44</v>
      </c>
      <c r="D84" s="1" t="s">
        <v>216</v>
      </c>
      <c r="E84" s="15" t="s">
        <v>217</v>
      </c>
      <c r="F84" s="1" t="s">
        <v>88</v>
      </c>
      <c r="G84" s="16">
        <v>636760</v>
      </c>
      <c r="H84" s="93">
        <f>'Emission Rates Net-by-Count'!$D$3</f>
        <v>1009.3086315923503</v>
      </c>
      <c r="I84" s="16">
        <f t="shared" si="2"/>
        <v>321343.68212637247</v>
      </c>
      <c r="M84" s="19"/>
      <c r="N84" s="19"/>
      <c r="O84" s="19"/>
      <c r="P84" s="19"/>
    </row>
    <row r="85" spans="1:16" x14ac:dyDescent="0.25">
      <c r="A85" s="91">
        <v>102</v>
      </c>
      <c r="B85" s="15">
        <v>2005</v>
      </c>
      <c r="C85" s="1" t="s">
        <v>44</v>
      </c>
      <c r="D85" s="1" t="s">
        <v>216</v>
      </c>
      <c r="E85" s="15" t="s">
        <v>217</v>
      </c>
      <c r="F85" s="1" t="s">
        <v>89</v>
      </c>
      <c r="G85" s="16">
        <v>47005</v>
      </c>
      <c r="H85" s="93">
        <f>'Emission Rates Net-by-Count'!$D$3</f>
        <v>1009.3086315923503</v>
      </c>
      <c r="I85" s="16">
        <f t="shared" si="2"/>
        <v>23721.276113999211</v>
      </c>
      <c r="M85" s="19"/>
      <c r="N85" s="19"/>
      <c r="O85" s="19"/>
      <c r="P85" s="19"/>
    </row>
    <row r="86" spans="1:16" x14ac:dyDescent="0.25">
      <c r="A86" s="91">
        <v>103</v>
      </c>
      <c r="B86" s="15">
        <v>2005</v>
      </c>
      <c r="C86" s="1" t="s">
        <v>44</v>
      </c>
      <c r="D86" s="1" t="s">
        <v>216</v>
      </c>
      <c r="E86" s="15" t="s">
        <v>217</v>
      </c>
      <c r="F86" s="1" t="s">
        <v>90</v>
      </c>
      <c r="G86" s="16">
        <v>82800</v>
      </c>
      <c r="H86" s="93">
        <f>'Emission Rates Net-by-Count'!$D$3</f>
        <v>1009.3086315923503</v>
      </c>
      <c r="I86" s="16">
        <f t="shared" si="2"/>
        <v>41785.377347923299</v>
      </c>
      <c r="M86" s="19"/>
      <c r="N86" s="19"/>
      <c r="O86" s="19"/>
      <c r="P86" s="19"/>
    </row>
    <row r="87" spans="1:16" x14ac:dyDescent="0.25">
      <c r="A87" s="91">
        <v>104</v>
      </c>
      <c r="B87" s="15">
        <v>2005</v>
      </c>
      <c r="C87" s="1" t="s">
        <v>44</v>
      </c>
      <c r="D87" s="1" t="s">
        <v>216</v>
      </c>
      <c r="E87" s="15" t="s">
        <v>217</v>
      </c>
      <c r="F87" s="1" t="s">
        <v>91</v>
      </c>
      <c r="G87" s="16">
        <v>84193</v>
      </c>
      <c r="H87" s="93">
        <f>'Emission Rates Net-by-Count'!$D$3</f>
        <v>1009.3086315923503</v>
      </c>
      <c r="I87" s="16">
        <f t="shared" si="2"/>
        <v>42488.360809827369</v>
      </c>
      <c r="M87" s="19"/>
      <c r="N87" s="19"/>
      <c r="O87" s="19"/>
      <c r="P87" s="19"/>
    </row>
    <row r="88" spans="1:16" x14ac:dyDescent="0.25">
      <c r="A88" s="91">
        <v>105</v>
      </c>
      <c r="B88" s="15">
        <v>2005</v>
      </c>
      <c r="C88" s="1" t="s">
        <v>44</v>
      </c>
      <c r="D88" s="1" t="s">
        <v>216</v>
      </c>
      <c r="E88" s="15" t="s">
        <v>217</v>
      </c>
      <c r="F88" s="1" t="s">
        <v>92</v>
      </c>
      <c r="G88" s="16">
        <v>2052</v>
      </c>
      <c r="H88" s="93">
        <f>'Emission Rates Net-by-Count'!$D$3</f>
        <v>1009.3086315923503</v>
      </c>
      <c r="I88" s="16">
        <f t="shared" si="2"/>
        <v>1035.5506560137514</v>
      </c>
      <c r="M88" s="19"/>
      <c r="N88" s="19"/>
      <c r="O88" s="19"/>
      <c r="P88" s="19"/>
    </row>
    <row r="89" spans="1:16" x14ac:dyDescent="0.25">
      <c r="A89" s="91">
        <v>106</v>
      </c>
      <c r="B89" s="15">
        <v>2005</v>
      </c>
      <c r="C89" s="1" t="s">
        <v>44</v>
      </c>
      <c r="D89" s="1" t="s">
        <v>216</v>
      </c>
      <c r="E89" s="15" t="s">
        <v>217</v>
      </c>
      <c r="F89" s="1" t="s">
        <v>93</v>
      </c>
      <c r="G89" s="16">
        <v>2718</v>
      </c>
      <c r="H89" s="93">
        <f>'Emission Rates Net-by-Count'!$D$3</f>
        <v>1009.3086315923503</v>
      </c>
      <c r="I89" s="16">
        <f t="shared" si="2"/>
        <v>1371.6504303340041</v>
      </c>
      <c r="M89" s="19"/>
      <c r="N89" s="19"/>
      <c r="O89" s="19"/>
      <c r="P89" s="19"/>
    </row>
    <row r="90" spans="1:16" x14ac:dyDescent="0.25">
      <c r="A90" s="91">
        <v>107</v>
      </c>
      <c r="B90" s="15">
        <v>2005</v>
      </c>
      <c r="C90" s="1" t="s">
        <v>44</v>
      </c>
      <c r="D90" s="1" t="s">
        <v>216</v>
      </c>
      <c r="E90" s="15" t="s">
        <v>217</v>
      </c>
      <c r="F90" s="1" t="s">
        <v>94</v>
      </c>
      <c r="G90" s="16">
        <v>1285</v>
      </c>
      <c r="H90" s="93">
        <f>'Emission Rates Net-by-Count'!$D$3</f>
        <v>1009.3086315923503</v>
      </c>
      <c r="I90" s="16">
        <f t="shared" si="2"/>
        <v>648.48079579808507</v>
      </c>
      <c r="M90" s="19"/>
      <c r="N90" s="19"/>
      <c r="O90" s="19"/>
      <c r="P90" s="19"/>
    </row>
    <row r="91" spans="1:16" x14ac:dyDescent="0.25">
      <c r="A91" s="91">
        <v>108</v>
      </c>
      <c r="B91" s="15">
        <v>2005</v>
      </c>
      <c r="C91" s="1" t="s">
        <v>44</v>
      </c>
      <c r="D91" s="1" t="s">
        <v>216</v>
      </c>
      <c r="E91" s="15" t="s">
        <v>217</v>
      </c>
      <c r="F91" s="1" t="s">
        <v>95</v>
      </c>
      <c r="G91" s="16">
        <v>82827</v>
      </c>
      <c r="H91" s="93">
        <f>'Emission Rates Net-by-Count'!$D$3</f>
        <v>1009.3086315923503</v>
      </c>
      <c r="I91" s="16">
        <f t="shared" si="2"/>
        <v>41799.003014449794</v>
      </c>
      <c r="M91" s="19"/>
      <c r="N91" s="19"/>
      <c r="O91" s="19"/>
      <c r="P91" s="19"/>
    </row>
    <row r="92" spans="1:16" x14ac:dyDescent="0.25">
      <c r="A92" s="91">
        <v>109</v>
      </c>
      <c r="B92" s="15">
        <v>2005</v>
      </c>
      <c r="C92" s="1" t="s">
        <v>44</v>
      </c>
      <c r="D92" s="1" t="s">
        <v>216</v>
      </c>
      <c r="E92" s="15" t="s">
        <v>217</v>
      </c>
      <c r="F92" s="1" t="s">
        <v>96</v>
      </c>
      <c r="G92" s="16">
        <v>519878</v>
      </c>
      <c r="H92" s="93">
        <f>'Emission Rates Net-by-Count'!$D$3</f>
        <v>1009.3086315923503</v>
      </c>
      <c r="I92" s="16">
        <f t="shared" si="2"/>
        <v>262358.67638748395</v>
      </c>
      <c r="M92" s="19"/>
      <c r="N92" s="19"/>
      <c r="O92" s="19"/>
      <c r="P92" s="19"/>
    </row>
    <row r="93" spans="1:16" x14ac:dyDescent="0.25">
      <c r="A93" s="91">
        <v>110</v>
      </c>
      <c r="B93" s="15">
        <v>2005</v>
      </c>
      <c r="C93" s="1" t="s">
        <v>44</v>
      </c>
      <c r="D93" s="1" t="s">
        <v>216</v>
      </c>
      <c r="E93" s="15" t="s">
        <v>217</v>
      </c>
      <c r="F93" s="1" t="s">
        <v>97</v>
      </c>
      <c r="G93" s="16">
        <v>552827</v>
      </c>
      <c r="H93" s="93">
        <f>'Emission Rates Net-by-Count'!$D$3</f>
        <v>1009.3086315923503</v>
      </c>
      <c r="I93" s="16">
        <f t="shared" si="2"/>
        <v>278986.53143865208</v>
      </c>
      <c r="M93" s="19"/>
      <c r="N93" s="19"/>
      <c r="O93" s="19"/>
      <c r="P93" s="19"/>
    </row>
    <row r="94" spans="1:16" x14ac:dyDescent="0.25">
      <c r="A94" s="91">
        <v>111</v>
      </c>
      <c r="B94" s="15">
        <v>2005</v>
      </c>
      <c r="C94" s="1" t="s">
        <v>44</v>
      </c>
      <c r="D94" s="1" t="s">
        <v>216</v>
      </c>
      <c r="E94" s="15" t="s">
        <v>217</v>
      </c>
      <c r="F94" s="1" t="s">
        <v>98</v>
      </c>
      <c r="G94" s="16">
        <v>2257</v>
      </c>
      <c r="H94" s="93">
        <f>'Emission Rates Net-by-Count'!$D$3</f>
        <v>1009.3086315923503</v>
      </c>
      <c r="I94" s="16">
        <f t="shared" si="2"/>
        <v>1139.0047907519674</v>
      </c>
      <c r="M94" s="19"/>
      <c r="N94" s="19"/>
      <c r="O94" s="19"/>
      <c r="P94" s="19"/>
    </row>
    <row r="95" spans="1:16" x14ac:dyDescent="0.25">
      <c r="A95" s="91">
        <v>112</v>
      </c>
      <c r="B95" s="15">
        <v>2005</v>
      </c>
      <c r="C95" s="1" t="s">
        <v>44</v>
      </c>
      <c r="D95" s="1" t="s">
        <v>216</v>
      </c>
      <c r="E95" s="15" t="s">
        <v>217</v>
      </c>
      <c r="F95" s="1" t="s">
        <v>99</v>
      </c>
      <c r="G95" s="16">
        <v>2396</v>
      </c>
      <c r="H95" s="93">
        <f>'Emission Rates Net-by-Count'!$D$3</f>
        <v>1009.3086315923503</v>
      </c>
      <c r="I95" s="16">
        <f t="shared" si="2"/>
        <v>1209.1517406476357</v>
      </c>
      <c r="M95" s="19"/>
      <c r="N95" s="19"/>
      <c r="O95" s="19"/>
      <c r="P95" s="19"/>
    </row>
    <row r="96" spans="1:16" x14ac:dyDescent="0.25">
      <c r="A96" s="91">
        <v>113</v>
      </c>
      <c r="B96" s="15">
        <v>2005</v>
      </c>
      <c r="C96" s="1" t="s">
        <v>44</v>
      </c>
      <c r="D96" s="1" t="s">
        <v>216</v>
      </c>
      <c r="E96" s="15" t="s">
        <v>217</v>
      </c>
      <c r="F96" s="1" t="s">
        <v>100</v>
      </c>
      <c r="G96" s="16">
        <v>31194</v>
      </c>
      <c r="H96" s="93">
        <f>'Emission Rates Net-by-Count'!$D$3</f>
        <v>1009.3086315923503</v>
      </c>
      <c r="I96" s="16">
        <f t="shared" si="2"/>
        <v>15742.186726945887</v>
      </c>
      <c r="M96" s="19"/>
      <c r="N96" s="19"/>
      <c r="O96" s="19"/>
      <c r="P96" s="19"/>
    </row>
    <row r="97" spans="1:16" x14ac:dyDescent="0.25">
      <c r="A97" s="91">
        <v>114</v>
      </c>
      <c r="B97" s="15">
        <v>2005</v>
      </c>
      <c r="C97" s="1" t="s">
        <v>44</v>
      </c>
      <c r="D97" s="1" t="s">
        <v>216</v>
      </c>
      <c r="E97" s="15" t="s">
        <v>217</v>
      </c>
      <c r="F97" s="1" t="s">
        <v>101</v>
      </c>
      <c r="G97" s="16">
        <v>69229</v>
      </c>
      <c r="H97" s="93">
        <f>'Emission Rates Net-by-Count'!$D$3</f>
        <v>1009.3086315923503</v>
      </c>
      <c r="I97" s="16">
        <f t="shared" si="2"/>
        <v>34936.713628253405</v>
      </c>
      <c r="M97" s="19"/>
      <c r="N97" s="19"/>
      <c r="O97" s="19"/>
      <c r="P97" s="19"/>
    </row>
    <row r="98" spans="1:16" x14ac:dyDescent="0.25">
      <c r="A98" s="91">
        <v>115</v>
      </c>
      <c r="B98" s="15">
        <v>2005</v>
      </c>
      <c r="C98" s="1" t="s">
        <v>44</v>
      </c>
      <c r="D98" s="1" t="s">
        <v>216</v>
      </c>
      <c r="E98" s="15" t="s">
        <v>217</v>
      </c>
      <c r="F98" s="1" t="s">
        <v>102</v>
      </c>
      <c r="G98" s="16">
        <v>155175</v>
      </c>
      <c r="H98" s="93">
        <f>'Emission Rates Net-by-Count'!$D$3</f>
        <v>1009.3086315923503</v>
      </c>
      <c r="I98" s="16">
        <f t="shared" si="2"/>
        <v>78309.733453671477</v>
      </c>
      <c r="M98" s="19"/>
      <c r="N98" s="19"/>
      <c r="O98" s="19"/>
      <c r="P98" s="19"/>
    </row>
    <row r="99" spans="1:16" x14ac:dyDescent="0.25">
      <c r="A99" s="91">
        <v>116</v>
      </c>
      <c r="B99" s="15">
        <v>2005</v>
      </c>
      <c r="C99" s="1" t="s">
        <v>44</v>
      </c>
      <c r="D99" s="1" t="s">
        <v>216</v>
      </c>
      <c r="E99" s="15" t="s">
        <v>217</v>
      </c>
      <c r="F99" s="1" t="s">
        <v>103</v>
      </c>
      <c r="G99" s="16">
        <v>73331</v>
      </c>
      <c r="H99" s="93">
        <f>'Emission Rates Net-by-Count'!$D$3</f>
        <v>1009.3086315923503</v>
      </c>
      <c r="I99" s="16">
        <f t="shared" si="2"/>
        <v>37006.805631649317</v>
      </c>
      <c r="M99" s="19"/>
      <c r="N99" s="19"/>
      <c r="O99" s="19"/>
      <c r="P99" s="19"/>
    </row>
    <row r="100" spans="1:16" x14ac:dyDescent="0.25">
      <c r="A100" s="91">
        <v>117</v>
      </c>
      <c r="B100" s="15">
        <v>2005</v>
      </c>
      <c r="C100" s="1" t="s">
        <v>44</v>
      </c>
      <c r="D100" s="1" t="s">
        <v>216</v>
      </c>
      <c r="E100" s="15" t="s">
        <v>217</v>
      </c>
      <c r="F100" s="1" t="s">
        <v>41</v>
      </c>
      <c r="G100" s="16">
        <v>526</v>
      </c>
      <c r="H100" s="93">
        <f>'Emission Rates Net-by-Count'!$D$3</f>
        <v>1009.3086315923503</v>
      </c>
      <c r="I100" s="16">
        <f t="shared" si="2"/>
        <v>265.44817010878813</v>
      </c>
      <c r="M100" s="19"/>
      <c r="N100" s="19"/>
      <c r="O100" s="19"/>
      <c r="P100" s="19"/>
    </row>
    <row r="101" spans="1:16" x14ac:dyDescent="0.25">
      <c r="A101" s="91">
        <v>119</v>
      </c>
      <c r="B101" s="15">
        <v>2005</v>
      </c>
      <c r="C101" s="1" t="s">
        <v>44</v>
      </c>
      <c r="D101" s="1" t="s">
        <v>216</v>
      </c>
      <c r="E101" s="15" t="s">
        <v>217</v>
      </c>
      <c r="F101" s="1" t="s">
        <v>104</v>
      </c>
      <c r="G101" s="16">
        <v>952384</v>
      </c>
      <c r="H101" s="93">
        <f>'Emission Rates Net-by-Count'!$D$3</f>
        <v>1009.3086315923503</v>
      </c>
      <c r="I101" s="16">
        <f t="shared" si="2"/>
        <v>480624.69589522446</v>
      </c>
      <c r="M101" s="19"/>
      <c r="N101" s="19"/>
      <c r="O101" s="19"/>
      <c r="P101" s="19"/>
    </row>
    <row r="102" spans="1:16" x14ac:dyDescent="0.25">
      <c r="A102" s="91">
        <v>120</v>
      </c>
      <c r="B102" s="15">
        <v>2005</v>
      </c>
      <c r="C102" s="1" t="s">
        <v>44</v>
      </c>
      <c r="D102" s="1" t="s">
        <v>216</v>
      </c>
      <c r="E102" s="15" t="s">
        <v>217</v>
      </c>
      <c r="F102" s="1" t="s">
        <v>105</v>
      </c>
      <c r="G102" s="16">
        <v>2211</v>
      </c>
      <c r="H102" s="93">
        <f>'Emission Rates Net-by-Count'!$D$3</f>
        <v>1009.3086315923503</v>
      </c>
      <c r="I102" s="16">
        <f t="shared" si="2"/>
        <v>1115.7906922253433</v>
      </c>
      <c r="M102" s="19"/>
      <c r="N102" s="19"/>
      <c r="O102" s="19"/>
      <c r="P102" s="19"/>
    </row>
    <row r="103" spans="1:16" x14ac:dyDescent="0.25">
      <c r="A103" s="91">
        <v>121</v>
      </c>
      <c r="B103" s="15">
        <v>2005</v>
      </c>
      <c r="C103" s="1" t="s">
        <v>44</v>
      </c>
      <c r="D103" s="1" t="s">
        <v>216</v>
      </c>
      <c r="E103" s="15" t="s">
        <v>217</v>
      </c>
      <c r="F103" s="1" t="s">
        <v>106</v>
      </c>
      <c r="G103" s="16">
        <v>54814</v>
      </c>
      <c r="H103" s="93">
        <f>'Emission Rates Net-by-Count'!$D$3</f>
        <v>1009.3086315923503</v>
      </c>
      <c r="I103" s="16">
        <f t="shared" si="2"/>
        <v>27662.121666051546</v>
      </c>
      <c r="M103" s="19"/>
      <c r="N103" s="19"/>
      <c r="O103" s="19"/>
      <c r="P103" s="19"/>
    </row>
    <row r="104" spans="1:16" x14ac:dyDescent="0.25">
      <c r="A104" s="91">
        <v>122</v>
      </c>
      <c r="B104" s="15">
        <v>2005</v>
      </c>
      <c r="C104" s="1" t="s">
        <v>44</v>
      </c>
      <c r="D104" s="1" t="s">
        <v>216</v>
      </c>
      <c r="E104" s="15" t="s">
        <v>217</v>
      </c>
      <c r="F104" s="1" t="s">
        <v>107</v>
      </c>
      <c r="G104" s="16">
        <v>9670</v>
      </c>
      <c r="H104" s="93">
        <f>'Emission Rates Net-by-Count'!$D$3</f>
        <v>1009.3086315923503</v>
      </c>
      <c r="I104" s="16">
        <f t="shared" ref="I104:I135" si="3">(G104*H104)/2000</f>
        <v>4880.0072337490137</v>
      </c>
      <c r="M104" s="19"/>
      <c r="N104" s="19"/>
      <c r="O104" s="19"/>
      <c r="P104" s="19"/>
    </row>
    <row r="105" spans="1:16" x14ac:dyDescent="0.25">
      <c r="A105" s="91">
        <v>123</v>
      </c>
      <c r="B105" s="15">
        <v>2005</v>
      </c>
      <c r="C105" s="1" t="s">
        <v>44</v>
      </c>
      <c r="D105" s="1" t="s">
        <v>216</v>
      </c>
      <c r="E105" s="15" t="s">
        <v>217</v>
      </c>
      <c r="F105" s="1" t="s">
        <v>108</v>
      </c>
      <c r="G105" s="16">
        <v>60</v>
      </c>
      <c r="H105" s="93">
        <f>'Emission Rates Net-by-Count'!$D$3</f>
        <v>1009.3086315923503</v>
      </c>
      <c r="I105" s="16">
        <f t="shared" si="3"/>
        <v>30.279258947770508</v>
      </c>
      <c r="M105" s="19"/>
      <c r="N105" s="19"/>
      <c r="O105" s="19"/>
      <c r="P105" s="19"/>
    </row>
    <row r="106" spans="1:16" x14ac:dyDescent="0.25">
      <c r="A106" s="91">
        <v>125</v>
      </c>
      <c r="B106" s="15">
        <v>2005</v>
      </c>
      <c r="C106" s="1" t="s">
        <v>109</v>
      </c>
      <c r="D106" s="1" t="s">
        <v>216</v>
      </c>
      <c r="E106" s="15" t="s">
        <v>217</v>
      </c>
      <c r="F106" s="1" t="s">
        <v>110</v>
      </c>
      <c r="G106" s="16">
        <v>3735</v>
      </c>
      <c r="H106" s="93">
        <f>'Emission Rates Net-by-Count'!$D$3</f>
        <v>1009.3086315923503</v>
      </c>
      <c r="I106" s="16">
        <f t="shared" si="3"/>
        <v>1884.8838694987141</v>
      </c>
      <c r="M106" s="19"/>
      <c r="N106" s="19"/>
      <c r="O106" s="19"/>
      <c r="P106" s="19"/>
    </row>
    <row r="107" spans="1:16" x14ac:dyDescent="0.25">
      <c r="A107" s="91">
        <v>126</v>
      </c>
      <c r="B107" s="15">
        <v>2005</v>
      </c>
      <c r="C107" s="1" t="s">
        <v>109</v>
      </c>
      <c r="D107" s="1" t="s">
        <v>216</v>
      </c>
      <c r="E107" s="15" t="s">
        <v>217</v>
      </c>
      <c r="F107" s="1" t="s">
        <v>21</v>
      </c>
      <c r="G107" s="16">
        <v>59275</v>
      </c>
      <c r="H107" s="93">
        <f>'Emission Rates Net-by-Count'!$D$3</f>
        <v>1009.3086315923503</v>
      </c>
      <c r="I107" s="16">
        <f t="shared" si="3"/>
        <v>29913.384568818281</v>
      </c>
      <c r="M107" s="19"/>
      <c r="N107" s="19"/>
      <c r="O107" s="19"/>
      <c r="P107" s="19"/>
    </row>
    <row r="108" spans="1:16" x14ac:dyDescent="0.25">
      <c r="A108" s="91">
        <v>127</v>
      </c>
      <c r="B108" s="15">
        <v>2005</v>
      </c>
      <c r="C108" s="1" t="s">
        <v>109</v>
      </c>
      <c r="D108" s="1" t="s">
        <v>216</v>
      </c>
      <c r="E108" s="15" t="s">
        <v>217</v>
      </c>
      <c r="F108" s="1" t="s">
        <v>66</v>
      </c>
      <c r="G108" s="16">
        <v>2520</v>
      </c>
      <c r="H108" s="93">
        <f>'Emission Rates Net-by-Count'!$D$3</f>
        <v>1009.3086315923503</v>
      </c>
      <c r="I108" s="16">
        <f t="shared" si="3"/>
        <v>1271.7288758063612</v>
      </c>
      <c r="M108" s="19"/>
      <c r="N108" s="19"/>
      <c r="O108" s="19"/>
      <c r="P108" s="19"/>
    </row>
    <row r="109" spans="1:16" x14ac:dyDescent="0.25">
      <c r="A109" s="91">
        <v>128</v>
      </c>
      <c r="B109" s="15">
        <v>2005</v>
      </c>
      <c r="C109" s="1" t="s">
        <v>109</v>
      </c>
      <c r="D109" s="1" t="s">
        <v>216</v>
      </c>
      <c r="E109" s="15" t="s">
        <v>217</v>
      </c>
      <c r="F109" s="1" t="s">
        <v>111</v>
      </c>
      <c r="G109" s="16">
        <v>413000</v>
      </c>
      <c r="H109" s="93">
        <f>'Emission Rates Net-by-Count'!$D$3</f>
        <v>1009.3086315923503</v>
      </c>
      <c r="I109" s="16">
        <f t="shared" si="3"/>
        <v>208422.23242382033</v>
      </c>
      <c r="M109" s="19"/>
      <c r="N109" s="19"/>
      <c r="O109" s="19"/>
      <c r="P109" s="19"/>
    </row>
    <row r="110" spans="1:16" x14ac:dyDescent="0.25">
      <c r="A110" s="91">
        <v>129</v>
      </c>
      <c r="B110" s="15">
        <v>2005</v>
      </c>
      <c r="C110" s="1" t="s">
        <v>109</v>
      </c>
      <c r="D110" s="1" t="s">
        <v>216</v>
      </c>
      <c r="E110" s="15" t="s">
        <v>217</v>
      </c>
      <c r="F110" s="1" t="s">
        <v>112</v>
      </c>
      <c r="G110" s="16">
        <v>745956</v>
      </c>
      <c r="H110" s="93">
        <f>'Emission Rates Net-by-Count'!$D$3</f>
        <v>1009.3086315923503</v>
      </c>
      <c r="I110" s="16">
        <f t="shared" si="3"/>
        <v>376449.91479405161</v>
      </c>
      <c r="M110" s="19"/>
      <c r="N110" s="19"/>
      <c r="O110" s="19"/>
      <c r="P110" s="19"/>
    </row>
    <row r="111" spans="1:16" x14ac:dyDescent="0.25">
      <c r="A111" s="91">
        <v>130</v>
      </c>
      <c r="B111" s="15">
        <v>2005</v>
      </c>
      <c r="C111" s="1" t="s">
        <v>109</v>
      </c>
      <c r="D111" s="1" t="s">
        <v>216</v>
      </c>
      <c r="E111" s="15" t="s">
        <v>217</v>
      </c>
      <c r="F111" s="1" t="s">
        <v>88</v>
      </c>
      <c r="G111" s="16">
        <v>76800</v>
      </c>
      <c r="H111" s="93">
        <f>'Emission Rates Net-by-Count'!$D$3</f>
        <v>1009.3086315923503</v>
      </c>
      <c r="I111" s="16">
        <f t="shared" si="3"/>
        <v>38757.451453146248</v>
      </c>
      <c r="M111" s="19"/>
      <c r="N111" s="19"/>
      <c r="O111" s="19"/>
      <c r="P111" s="19"/>
    </row>
    <row r="112" spans="1:16" x14ac:dyDescent="0.25">
      <c r="A112" s="91">
        <v>131</v>
      </c>
      <c r="B112" s="15">
        <v>2005</v>
      </c>
      <c r="C112" s="1" t="s">
        <v>109</v>
      </c>
      <c r="D112" s="1" t="s">
        <v>216</v>
      </c>
      <c r="E112" s="15" t="s">
        <v>217</v>
      </c>
      <c r="F112" s="1" t="s">
        <v>95</v>
      </c>
      <c r="G112" s="16">
        <v>659600</v>
      </c>
      <c r="H112" s="93">
        <f>'Emission Rates Net-by-Count'!$D$3</f>
        <v>1009.3086315923503</v>
      </c>
      <c r="I112" s="16">
        <f t="shared" si="3"/>
        <v>332869.9866991571</v>
      </c>
      <c r="M112" s="19"/>
      <c r="N112" s="19"/>
      <c r="O112" s="19"/>
      <c r="P112" s="19"/>
    </row>
    <row r="113" spans="1:16" x14ac:dyDescent="0.25">
      <c r="A113" s="91">
        <v>132</v>
      </c>
      <c r="B113" s="15">
        <v>2005</v>
      </c>
      <c r="C113" s="1" t="s">
        <v>109</v>
      </c>
      <c r="D113" s="1" t="s">
        <v>216</v>
      </c>
      <c r="E113" s="15" t="s">
        <v>217</v>
      </c>
      <c r="F113" s="1" t="s">
        <v>104</v>
      </c>
      <c r="G113" s="16">
        <v>1708150</v>
      </c>
      <c r="H113" s="93">
        <f>'Emission Rates Net-by-Count'!$D$3</f>
        <v>1009.3086315923503</v>
      </c>
      <c r="I113" s="16">
        <f t="shared" si="3"/>
        <v>862025.26952723658</v>
      </c>
      <c r="M113" s="19"/>
      <c r="N113" s="19"/>
      <c r="O113" s="19"/>
      <c r="P113" s="19"/>
    </row>
    <row r="114" spans="1:16" x14ac:dyDescent="0.25">
      <c r="A114" s="91">
        <v>134</v>
      </c>
      <c r="B114" s="15">
        <v>2005</v>
      </c>
      <c r="C114" s="1" t="s">
        <v>113</v>
      </c>
      <c r="D114" s="1" t="s">
        <v>216</v>
      </c>
      <c r="E114" s="15" t="s">
        <v>217</v>
      </c>
      <c r="F114" s="1" t="s">
        <v>110</v>
      </c>
      <c r="G114" s="16">
        <v>-3839</v>
      </c>
      <c r="H114" s="93">
        <f>'Emission Rates Net-by-Count'!$D$3</f>
        <v>1009.3086315923503</v>
      </c>
      <c r="I114" s="16">
        <f t="shared" si="3"/>
        <v>-1937.3679183415163</v>
      </c>
      <c r="M114" s="19"/>
      <c r="N114" s="19"/>
      <c r="O114" s="19"/>
      <c r="P114" s="19"/>
    </row>
    <row r="115" spans="1:16" x14ac:dyDescent="0.25">
      <c r="A115" s="91">
        <v>135</v>
      </c>
      <c r="B115" s="15">
        <v>2005</v>
      </c>
      <c r="C115" s="1" t="s">
        <v>113</v>
      </c>
      <c r="D115" s="1" t="s">
        <v>216</v>
      </c>
      <c r="E115" s="15" t="s">
        <v>217</v>
      </c>
      <c r="F115" s="1" t="s">
        <v>21</v>
      </c>
      <c r="G115" s="16">
        <v>-59925</v>
      </c>
      <c r="H115" s="93">
        <f>'Emission Rates Net-by-Count'!$D$3</f>
        <v>1009.3086315923503</v>
      </c>
      <c r="I115" s="16">
        <f t="shared" si="3"/>
        <v>-30241.409874085795</v>
      </c>
      <c r="M115" s="19"/>
      <c r="N115" s="19"/>
      <c r="O115" s="19"/>
      <c r="P115" s="19"/>
    </row>
    <row r="116" spans="1:16" x14ac:dyDescent="0.25">
      <c r="A116" s="91">
        <v>136</v>
      </c>
      <c r="B116" s="15">
        <v>2005</v>
      </c>
      <c r="C116" s="1" t="s">
        <v>113</v>
      </c>
      <c r="D116" s="1" t="s">
        <v>216</v>
      </c>
      <c r="E116" s="15" t="s">
        <v>217</v>
      </c>
      <c r="F116" s="1" t="s">
        <v>114</v>
      </c>
      <c r="G116" s="16">
        <v>-25112.42</v>
      </c>
      <c r="H116" s="93">
        <f>'Emission Rates Net-by-Count'!$D$3</f>
        <v>1009.3086315923503</v>
      </c>
      <c r="I116" s="16">
        <f t="shared" si="3"/>
        <v>-12673.091133086184</v>
      </c>
      <c r="M116" s="19"/>
      <c r="N116" s="19"/>
      <c r="O116" s="19"/>
      <c r="P116" s="19"/>
    </row>
    <row r="117" spans="1:16" x14ac:dyDescent="0.25">
      <c r="A117" s="91">
        <v>137</v>
      </c>
      <c r="B117" s="15">
        <v>2005</v>
      </c>
      <c r="C117" s="1" t="s">
        <v>113</v>
      </c>
      <c r="D117" s="1" t="s">
        <v>216</v>
      </c>
      <c r="E117" s="15" t="s">
        <v>217</v>
      </c>
      <c r="F117" s="1" t="s">
        <v>66</v>
      </c>
      <c r="G117" s="16">
        <v>-2520</v>
      </c>
      <c r="H117" s="93">
        <f>'Emission Rates Net-by-Count'!$D$3</f>
        <v>1009.3086315923503</v>
      </c>
      <c r="I117" s="16">
        <f t="shared" si="3"/>
        <v>-1271.7288758063612</v>
      </c>
      <c r="M117" s="19"/>
      <c r="N117" s="19"/>
      <c r="O117" s="19"/>
      <c r="P117" s="19"/>
    </row>
    <row r="118" spans="1:16" x14ac:dyDescent="0.25">
      <c r="A118" s="91">
        <v>138</v>
      </c>
      <c r="B118" s="15">
        <v>2005</v>
      </c>
      <c r="C118" s="1" t="s">
        <v>113</v>
      </c>
      <c r="D118" s="1" t="s">
        <v>216</v>
      </c>
      <c r="E118" s="15" t="s">
        <v>217</v>
      </c>
      <c r="F118" s="1" t="s">
        <v>111</v>
      </c>
      <c r="G118" s="16">
        <v>-413000</v>
      </c>
      <c r="H118" s="93">
        <f>'Emission Rates Net-by-Count'!$D$3</f>
        <v>1009.3086315923503</v>
      </c>
      <c r="I118" s="16">
        <f t="shared" si="3"/>
        <v>-208422.23242382033</v>
      </c>
      <c r="M118" s="19"/>
      <c r="N118" s="19"/>
      <c r="O118" s="19"/>
      <c r="P118" s="19"/>
    </row>
    <row r="119" spans="1:16" x14ac:dyDescent="0.25">
      <c r="A119" s="91">
        <v>139</v>
      </c>
      <c r="B119" s="15">
        <v>2005</v>
      </c>
      <c r="C119" s="1" t="s">
        <v>113</v>
      </c>
      <c r="D119" s="1" t="s">
        <v>216</v>
      </c>
      <c r="E119" s="15" t="s">
        <v>217</v>
      </c>
      <c r="F119" s="1" t="s">
        <v>112</v>
      </c>
      <c r="G119" s="16">
        <v>-745956</v>
      </c>
      <c r="H119" s="93">
        <f>'Emission Rates Net-by-Count'!$D$3</f>
        <v>1009.3086315923503</v>
      </c>
      <c r="I119" s="16">
        <f t="shared" si="3"/>
        <v>-376449.91479405161</v>
      </c>
      <c r="M119" s="19"/>
      <c r="N119" s="19"/>
      <c r="O119" s="19"/>
      <c r="P119" s="19"/>
    </row>
    <row r="120" spans="1:16" x14ac:dyDescent="0.25">
      <c r="A120" s="91">
        <v>140</v>
      </c>
      <c r="B120" s="15">
        <v>2005</v>
      </c>
      <c r="C120" s="1" t="s">
        <v>113</v>
      </c>
      <c r="D120" s="1" t="s">
        <v>216</v>
      </c>
      <c r="E120" s="15" t="s">
        <v>217</v>
      </c>
      <c r="F120" s="1" t="s">
        <v>88</v>
      </c>
      <c r="G120" s="16">
        <v>-76800</v>
      </c>
      <c r="H120" s="93">
        <f>'Emission Rates Net-by-Count'!$D$3</f>
        <v>1009.3086315923503</v>
      </c>
      <c r="I120" s="16">
        <f t="shared" si="3"/>
        <v>-38757.451453146248</v>
      </c>
      <c r="M120" s="19"/>
      <c r="N120" s="19"/>
      <c r="O120" s="19"/>
      <c r="P120" s="19"/>
    </row>
    <row r="121" spans="1:16" x14ac:dyDescent="0.25">
      <c r="A121" s="91">
        <v>141</v>
      </c>
      <c r="B121" s="15">
        <v>2005</v>
      </c>
      <c r="C121" s="1" t="s">
        <v>113</v>
      </c>
      <c r="D121" s="1" t="s">
        <v>216</v>
      </c>
      <c r="E121" s="15" t="s">
        <v>217</v>
      </c>
      <c r="F121" s="1" t="s">
        <v>95</v>
      </c>
      <c r="G121" s="16">
        <v>-659600</v>
      </c>
      <c r="H121" s="93">
        <f>'Emission Rates Net-by-Count'!$D$3</f>
        <v>1009.3086315923503</v>
      </c>
      <c r="I121" s="16">
        <f t="shared" si="3"/>
        <v>-332869.9866991571</v>
      </c>
      <c r="M121" s="19"/>
      <c r="N121" s="19"/>
      <c r="O121" s="19"/>
      <c r="P121" s="19"/>
    </row>
    <row r="122" spans="1:16" x14ac:dyDescent="0.25">
      <c r="A122" s="91">
        <v>142</v>
      </c>
      <c r="B122" s="15">
        <v>2005</v>
      </c>
      <c r="C122" s="1" t="s">
        <v>113</v>
      </c>
      <c r="D122" s="1" t="s">
        <v>216</v>
      </c>
      <c r="E122" s="15" t="s">
        <v>217</v>
      </c>
      <c r="F122" s="1" t="s">
        <v>104</v>
      </c>
      <c r="G122" s="16">
        <v>-1708150</v>
      </c>
      <c r="H122" s="93">
        <f>'Emission Rates Net-by-Count'!$D$3</f>
        <v>1009.3086315923503</v>
      </c>
      <c r="I122" s="16">
        <f t="shared" si="3"/>
        <v>-862025.26952723658</v>
      </c>
      <c r="M122" s="19"/>
      <c r="N122" s="19"/>
      <c r="O122" s="19"/>
      <c r="P122" s="19"/>
    </row>
    <row r="123" spans="1:16" x14ac:dyDescent="0.25">
      <c r="A123" s="91">
        <v>199</v>
      </c>
      <c r="B123" s="15">
        <v>2005</v>
      </c>
      <c r="C123" s="1" t="s">
        <v>120</v>
      </c>
      <c r="D123" s="1" t="s">
        <v>216</v>
      </c>
      <c r="E123" s="15" t="s">
        <v>217</v>
      </c>
      <c r="F123" s="1" t="s">
        <v>45</v>
      </c>
      <c r="G123" s="16">
        <v>-1600</v>
      </c>
      <c r="H123" s="93">
        <f>'Emission Rates Net-by-Count'!$D$3</f>
        <v>1009.3086315923503</v>
      </c>
      <c r="I123" s="16">
        <f t="shared" si="3"/>
        <v>-807.44690527388025</v>
      </c>
      <c r="M123" s="19"/>
      <c r="N123" s="19"/>
      <c r="O123" s="19"/>
      <c r="P123" s="19"/>
    </row>
    <row r="124" spans="1:16" x14ac:dyDescent="0.25">
      <c r="A124" s="91">
        <v>200</v>
      </c>
      <c r="B124" s="15">
        <v>2005</v>
      </c>
      <c r="C124" s="1" t="s">
        <v>120</v>
      </c>
      <c r="D124" s="1" t="s">
        <v>216</v>
      </c>
      <c r="E124" s="15" t="s">
        <v>217</v>
      </c>
      <c r="F124" s="1" t="s">
        <v>47</v>
      </c>
      <c r="G124" s="16">
        <v>-52058</v>
      </c>
      <c r="H124" s="93">
        <f>'Emission Rates Net-by-Count'!$D$3</f>
        <v>1009.3086315923503</v>
      </c>
      <c r="I124" s="16">
        <f t="shared" si="3"/>
        <v>-26271.294371717286</v>
      </c>
      <c r="M124" s="19"/>
      <c r="N124" s="19"/>
      <c r="O124" s="19"/>
      <c r="P124" s="19"/>
    </row>
    <row r="125" spans="1:16" x14ac:dyDescent="0.25">
      <c r="A125" s="91">
        <v>201</v>
      </c>
      <c r="B125" s="15">
        <v>2005</v>
      </c>
      <c r="C125" s="1" t="s">
        <v>120</v>
      </c>
      <c r="D125" s="1" t="s">
        <v>216</v>
      </c>
      <c r="E125" s="15" t="s">
        <v>217</v>
      </c>
      <c r="F125" s="1" t="s">
        <v>48</v>
      </c>
      <c r="G125" s="16">
        <v>-279013</v>
      </c>
      <c r="H125" s="93">
        <f>'Emission Rates Net-by-Count'!$D$3</f>
        <v>1009.3086315923503</v>
      </c>
      <c r="I125" s="16">
        <f t="shared" si="3"/>
        <v>-140805.11461323823</v>
      </c>
      <c r="M125" s="19"/>
      <c r="N125" s="19"/>
      <c r="O125" s="19"/>
      <c r="P125" s="19"/>
    </row>
    <row r="126" spans="1:16" x14ac:dyDescent="0.25">
      <c r="A126" s="91">
        <v>202</v>
      </c>
      <c r="B126" s="15">
        <v>2005</v>
      </c>
      <c r="C126" s="1" t="s">
        <v>120</v>
      </c>
      <c r="D126" s="1" t="s">
        <v>216</v>
      </c>
      <c r="E126" s="15" t="s">
        <v>217</v>
      </c>
      <c r="F126" s="1" t="s">
        <v>49</v>
      </c>
      <c r="G126" s="16">
        <v>-5815</v>
      </c>
      <c r="H126" s="93">
        <f>'Emission Rates Net-by-Count'!$D$3</f>
        <v>1009.3086315923503</v>
      </c>
      <c r="I126" s="16">
        <f t="shared" si="3"/>
        <v>-2934.5648463547582</v>
      </c>
      <c r="M126" s="19"/>
      <c r="N126" s="19"/>
      <c r="O126" s="19"/>
      <c r="P126" s="19"/>
    </row>
    <row r="127" spans="1:16" x14ac:dyDescent="0.25">
      <c r="A127" s="91">
        <v>203</v>
      </c>
      <c r="B127" s="15">
        <v>2005</v>
      </c>
      <c r="C127" s="1" t="s">
        <v>120</v>
      </c>
      <c r="D127" s="1" t="s">
        <v>216</v>
      </c>
      <c r="E127" s="15" t="s">
        <v>217</v>
      </c>
      <c r="F127" s="1" t="s">
        <v>50</v>
      </c>
      <c r="G127" s="16">
        <v>-1362</v>
      </c>
      <c r="H127" s="93">
        <f>'Emission Rates Net-by-Count'!$D$3</f>
        <v>1009.3086315923503</v>
      </c>
      <c r="I127" s="16">
        <f t="shared" si="3"/>
        <v>-687.33917811439051</v>
      </c>
      <c r="M127" s="19"/>
      <c r="N127" s="19"/>
      <c r="O127" s="19"/>
      <c r="P127" s="19"/>
    </row>
    <row r="128" spans="1:16" x14ac:dyDescent="0.25">
      <c r="A128" s="91">
        <v>204</v>
      </c>
      <c r="B128" s="15">
        <v>2005</v>
      </c>
      <c r="C128" s="1" t="s">
        <v>120</v>
      </c>
      <c r="D128" s="1" t="s">
        <v>216</v>
      </c>
      <c r="E128" s="15" t="s">
        <v>217</v>
      </c>
      <c r="F128" s="1" t="s">
        <v>51</v>
      </c>
      <c r="G128" s="16">
        <v>1263279</v>
      </c>
      <c r="H128" s="93">
        <f>'Emission Rates Net-by-Count'!$D$3</f>
        <v>1009.3086315923503</v>
      </c>
      <c r="I128" s="16">
        <f t="shared" si="3"/>
        <v>637519.19940467633</v>
      </c>
      <c r="M128" s="19"/>
      <c r="N128" s="19"/>
      <c r="O128" s="19"/>
      <c r="P128" s="19"/>
    </row>
    <row r="129" spans="1:16" x14ac:dyDescent="0.25">
      <c r="A129" s="91">
        <v>205</v>
      </c>
      <c r="B129" s="15">
        <v>2005</v>
      </c>
      <c r="C129" s="1" t="s">
        <v>120</v>
      </c>
      <c r="D129" s="1" t="s">
        <v>216</v>
      </c>
      <c r="E129" s="15" t="s">
        <v>217</v>
      </c>
      <c r="F129" s="1" t="s">
        <v>52</v>
      </c>
      <c r="G129" s="16">
        <v>-53482</v>
      </c>
      <c r="H129" s="93">
        <f>'Emission Rates Net-by-Count'!$D$3</f>
        <v>1009.3086315923503</v>
      </c>
      <c r="I129" s="16">
        <f t="shared" si="3"/>
        <v>-26989.922117411039</v>
      </c>
      <c r="M129" s="19"/>
      <c r="N129" s="19"/>
      <c r="O129" s="19"/>
      <c r="P129" s="19"/>
    </row>
    <row r="130" spans="1:16" x14ac:dyDescent="0.25">
      <c r="A130" s="91">
        <v>206</v>
      </c>
      <c r="B130" s="15">
        <v>2005</v>
      </c>
      <c r="C130" s="1" t="s">
        <v>120</v>
      </c>
      <c r="D130" s="1" t="s">
        <v>216</v>
      </c>
      <c r="E130" s="15" t="s">
        <v>217</v>
      </c>
      <c r="F130" s="1" t="s">
        <v>21</v>
      </c>
      <c r="G130" s="16">
        <v>-62440</v>
      </c>
      <c r="H130" s="93">
        <f>'Emission Rates Net-by-Count'!$D$3</f>
        <v>1009.3086315923503</v>
      </c>
      <c r="I130" s="16">
        <f t="shared" si="3"/>
        <v>-31510.615478313175</v>
      </c>
      <c r="M130" s="19"/>
      <c r="N130" s="19"/>
      <c r="O130" s="19"/>
      <c r="P130" s="19"/>
    </row>
    <row r="131" spans="1:16" x14ac:dyDescent="0.25">
      <c r="A131" s="91">
        <v>207</v>
      </c>
      <c r="B131" s="15">
        <v>2005</v>
      </c>
      <c r="C131" s="1" t="s">
        <v>120</v>
      </c>
      <c r="D131" s="1" t="s">
        <v>216</v>
      </c>
      <c r="E131" s="15" t="s">
        <v>217</v>
      </c>
      <c r="F131" s="1" t="s">
        <v>53</v>
      </c>
      <c r="G131" s="16">
        <v>-2500</v>
      </c>
      <c r="H131" s="93">
        <f>'Emission Rates Net-by-Count'!$D$3</f>
        <v>1009.3086315923503</v>
      </c>
      <c r="I131" s="16">
        <f t="shared" si="3"/>
        <v>-1261.6357894904379</v>
      </c>
      <c r="M131" s="19"/>
      <c r="N131" s="19"/>
      <c r="O131" s="19"/>
      <c r="P131" s="19"/>
    </row>
    <row r="132" spans="1:16" x14ac:dyDescent="0.25">
      <c r="A132" s="91">
        <v>208</v>
      </c>
      <c r="B132" s="15">
        <v>2005</v>
      </c>
      <c r="C132" s="1" t="s">
        <v>120</v>
      </c>
      <c r="D132" s="1" t="s">
        <v>216</v>
      </c>
      <c r="E132" s="15" t="s">
        <v>217</v>
      </c>
      <c r="F132" s="1" t="s">
        <v>54</v>
      </c>
      <c r="G132" s="16">
        <v>-53467</v>
      </c>
      <c r="H132" s="93">
        <f>'Emission Rates Net-by-Count'!$D$3</f>
        <v>1009.3086315923503</v>
      </c>
      <c r="I132" s="16">
        <f t="shared" si="3"/>
        <v>-26982.352302674095</v>
      </c>
      <c r="M132" s="19"/>
      <c r="N132" s="19"/>
      <c r="O132" s="19"/>
      <c r="P132" s="19"/>
    </row>
    <row r="133" spans="1:16" x14ac:dyDescent="0.25">
      <c r="A133" s="91">
        <v>209</v>
      </c>
      <c r="B133" s="15">
        <v>2005</v>
      </c>
      <c r="C133" s="1" t="s">
        <v>120</v>
      </c>
      <c r="D133" s="1" t="s">
        <v>216</v>
      </c>
      <c r="E133" s="15" t="s">
        <v>217</v>
      </c>
      <c r="F133" s="1" t="s">
        <v>55</v>
      </c>
      <c r="G133" s="16">
        <v>-469</v>
      </c>
      <c r="H133" s="93">
        <f>'Emission Rates Net-by-Count'!$D$3</f>
        <v>1009.3086315923503</v>
      </c>
      <c r="I133" s="16">
        <f t="shared" si="3"/>
        <v>-236.68287410840614</v>
      </c>
      <c r="M133" s="19"/>
      <c r="N133" s="19"/>
      <c r="O133" s="19"/>
      <c r="P133" s="19"/>
    </row>
    <row r="134" spans="1:16" x14ac:dyDescent="0.25">
      <c r="A134" s="91">
        <v>210</v>
      </c>
      <c r="B134" s="15">
        <v>2005</v>
      </c>
      <c r="C134" s="1" t="s">
        <v>120</v>
      </c>
      <c r="D134" s="1" t="s">
        <v>216</v>
      </c>
      <c r="E134" s="15" t="s">
        <v>217</v>
      </c>
      <c r="F134" s="1" t="s">
        <v>56</v>
      </c>
      <c r="G134" s="16">
        <v>-75465</v>
      </c>
      <c r="H134" s="93">
        <f>'Emission Rates Net-by-Count'!$D$3</f>
        <v>1009.3086315923503</v>
      </c>
      <c r="I134" s="16">
        <f t="shared" si="3"/>
        <v>-38083.737941558356</v>
      </c>
      <c r="M134" s="19"/>
      <c r="N134" s="19"/>
      <c r="O134" s="19"/>
      <c r="P134" s="19"/>
    </row>
    <row r="135" spans="1:16" x14ac:dyDescent="0.25">
      <c r="A135" s="91">
        <v>211</v>
      </c>
      <c r="B135" s="15">
        <v>2005</v>
      </c>
      <c r="C135" s="1" t="s">
        <v>120</v>
      </c>
      <c r="D135" s="1" t="s">
        <v>216</v>
      </c>
      <c r="E135" s="15" t="s">
        <v>217</v>
      </c>
      <c r="F135" s="1" t="s">
        <v>57</v>
      </c>
      <c r="G135" s="16">
        <v>-3000</v>
      </c>
      <c r="H135" s="93">
        <f>'Emission Rates Net-by-Count'!$D$3</f>
        <v>1009.3086315923503</v>
      </c>
      <c r="I135" s="16">
        <f t="shared" si="3"/>
        <v>-1513.9629473885254</v>
      </c>
      <c r="M135" s="19"/>
      <c r="N135" s="19"/>
      <c r="O135" s="19"/>
      <c r="P135" s="19"/>
    </row>
    <row r="136" spans="1:16" x14ac:dyDescent="0.25">
      <c r="A136" s="91">
        <v>212</v>
      </c>
      <c r="B136" s="15">
        <v>2005</v>
      </c>
      <c r="C136" s="1" t="s">
        <v>120</v>
      </c>
      <c r="D136" s="1" t="s">
        <v>216</v>
      </c>
      <c r="E136" s="15" t="s">
        <v>217</v>
      </c>
      <c r="F136" s="1" t="s">
        <v>58</v>
      </c>
      <c r="G136" s="16">
        <v>-14400</v>
      </c>
      <c r="H136" s="93">
        <f>'Emission Rates Net-by-Count'!$D$3</f>
        <v>1009.3086315923503</v>
      </c>
      <c r="I136" s="16">
        <f t="shared" ref="I136:I167" si="4">(G136*H136)/2000</f>
        <v>-7267.0221474649215</v>
      </c>
      <c r="M136" s="19"/>
      <c r="N136" s="19"/>
      <c r="O136" s="19"/>
      <c r="P136" s="19"/>
    </row>
    <row r="137" spans="1:16" x14ac:dyDescent="0.25">
      <c r="A137" s="91">
        <v>213</v>
      </c>
      <c r="B137" s="15">
        <v>2005</v>
      </c>
      <c r="C137" s="1" t="s">
        <v>120</v>
      </c>
      <c r="D137" s="1" t="s">
        <v>216</v>
      </c>
      <c r="E137" s="15" t="s">
        <v>217</v>
      </c>
      <c r="F137" s="1" t="s">
        <v>59</v>
      </c>
      <c r="G137" s="16">
        <v>-3681</v>
      </c>
      <c r="H137" s="93">
        <f>'Emission Rates Net-by-Count'!$D$3</f>
        <v>1009.3086315923503</v>
      </c>
      <c r="I137" s="16">
        <f t="shared" si="4"/>
        <v>-1857.6325364457207</v>
      </c>
      <c r="M137" s="19"/>
      <c r="N137" s="19"/>
      <c r="O137" s="19"/>
      <c r="P137" s="19"/>
    </row>
    <row r="138" spans="1:16" x14ac:dyDescent="0.25">
      <c r="A138" s="91">
        <v>214</v>
      </c>
      <c r="B138" s="15">
        <v>2005</v>
      </c>
      <c r="C138" s="1" t="s">
        <v>120</v>
      </c>
      <c r="D138" s="1" t="s">
        <v>216</v>
      </c>
      <c r="E138" s="15" t="s">
        <v>217</v>
      </c>
      <c r="F138" s="1" t="s">
        <v>60</v>
      </c>
      <c r="G138" s="16">
        <v>-18450</v>
      </c>
      <c r="H138" s="93">
        <f>'Emission Rates Net-by-Count'!$D$3</f>
        <v>1009.3086315923503</v>
      </c>
      <c r="I138" s="16">
        <f t="shared" si="4"/>
        <v>-9310.8721264394317</v>
      </c>
      <c r="M138" s="19"/>
      <c r="N138" s="19"/>
      <c r="O138" s="19"/>
      <c r="P138" s="19"/>
    </row>
    <row r="139" spans="1:16" x14ac:dyDescent="0.25">
      <c r="A139" s="91">
        <v>215</v>
      </c>
      <c r="B139" s="15">
        <v>2005</v>
      </c>
      <c r="C139" s="1" t="s">
        <v>120</v>
      </c>
      <c r="D139" s="1" t="s">
        <v>216</v>
      </c>
      <c r="E139" s="15" t="s">
        <v>217</v>
      </c>
      <c r="F139" s="1" t="s">
        <v>61</v>
      </c>
      <c r="G139" s="16">
        <v>-72439</v>
      </c>
      <c r="H139" s="93">
        <f>'Emission Rates Net-by-Count'!$D$3</f>
        <v>1009.3086315923503</v>
      </c>
      <c r="I139" s="16">
        <f t="shared" si="4"/>
        <v>-36556.653981959127</v>
      </c>
      <c r="M139" s="19"/>
      <c r="N139" s="19"/>
      <c r="O139" s="19"/>
      <c r="P139" s="19"/>
    </row>
    <row r="140" spans="1:16" x14ac:dyDescent="0.25">
      <c r="A140" s="91">
        <v>216</v>
      </c>
      <c r="B140" s="15">
        <v>2005</v>
      </c>
      <c r="C140" s="1" t="s">
        <v>120</v>
      </c>
      <c r="D140" s="1" t="s">
        <v>216</v>
      </c>
      <c r="E140" s="15" t="s">
        <v>217</v>
      </c>
      <c r="F140" s="1" t="s">
        <v>63</v>
      </c>
      <c r="G140" s="16">
        <v>-13763</v>
      </c>
      <c r="H140" s="93">
        <f>'Emission Rates Net-by-Count'!$D$3</f>
        <v>1009.3086315923503</v>
      </c>
      <c r="I140" s="16">
        <f t="shared" si="4"/>
        <v>-6945.5573483027583</v>
      </c>
      <c r="M140" s="19"/>
      <c r="N140" s="19"/>
      <c r="O140" s="19"/>
      <c r="P140" s="19"/>
    </row>
    <row r="141" spans="1:16" x14ac:dyDescent="0.25">
      <c r="A141" s="91">
        <v>217</v>
      </c>
      <c r="B141" s="15">
        <v>2005</v>
      </c>
      <c r="C141" s="1" t="s">
        <v>120</v>
      </c>
      <c r="D141" s="1" t="s">
        <v>216</v>
      </c>
      <c r="E141" s="15" t="s">
        <v>217</v>
      </c>
      <c r="F141" s="1" t="s">
        <v>64</v>
      </c>
      <c r="G141" s="16">
        <v>-47080</v>
      </c>
      <c r="H141" s="93">
        <f>'Emission Rates Net-by-Count'!$D$3</f>
        <v>1009.3086315923503</v>
      </c>
      <c r="I141" s="16">
        <f t="shared" si="4"/>
        <v>-23759.125187683923</v>
      </c>
      <c r="M141" s="19"/>
      <c r="N141" s="19"/>
      <c r="O141" s="19"/>
      <c r="P141" s="19"/>
    </row>
    <row r="142" spans="1:16" x14ac:dyDescent="0.25">
      <c r="A142" s="91">
        <v>218</v>
      </c>
      <c r="B142" s="15">
        <v>2005</v>
      </c>
      <c r="C142" s="1" t="s">
        <v>120</v>
      </c>
      <c r="D142" s="1" t="s">
        <v>216</v>
      </c>
      <c r="E142" s="15" t="s">
        <v>217</v>
      </c>
      <c r="F142" s="1" t="s">
        <v>65</v>
      </c>
      <c r="G142" s="16">
        <v>-13400</v>
      </c>
      <c r="H142" s="93">
        <f>'Emission Rates Net-by-Count'!$D$3</f>
        <v>1009.3086315923503</v>
      </c>
      <c r="I142" s="16">
        <f t="shared" si="4"/>
        <v>-6762.3678316687465</v>
      </c>
      <c r="M142" s="19"/>
      <c r="N142" s="19"/>
      <c r="O142" s="19"/>
      <c r="P142" s="19"/>
    </row>
    <row r="143" spans="1:16" x14ac:dyDescent="0.25">
      <c r="A143" s="91">
        <v>219</v>
      </c>
      <c r="B143" s="15">
        <v>2005</v>
      </c>
      <c r="C143" s="1" t="s">
        <v>120</v>
      </c>
      <c r="D143" s="1" t="s">
        <v>216</v>
      </c>
      <c r="E143" s="15" t="s">
        <v>217</v>
      </c>
      <c r="F143" s="1" t="s">
        <v>66</v>
      </c>
      <c r="G143" s="16">
        <v>-2610</v>
      </c>
      <c r="H143" s="93">
        <f>'Emission Rates Net-by-Count'!$D$3</f>
        <v>1009.3086315923503</v>
      </c>
      <c r="I143" s="16">
        <f t="shared" si="4"/>
        <v>-1317.147764228017</v>
      </c>
      <c r="M143" s="19"/>
      <c r="N143" s="19"/>
      <c r="O143" s="19"/>
      <c r="P143" s="19"/>
    </row>
    <row r="144" spans="1:16" x14ac:dyDescent="0.25">
      <c r="A144" s="91">
        <v>220</v>
      </c>
      <c r="B144" s="15">
        <v>2005</v>
      </c>
      <c r="C144" s="1" t="s">
        <v>120</v>
      </c>
      <c r="D144" s="1" t="s">
        <v>216</v>
      </c>
      <c r="E144" s="15" t="s">
        <v>217</v>
      </c>
      <c r="F144" s="1" t="s">
        <v>67</v>
      </c>
      <c r="G144" s="16">
        <v>-5050</v>
      </c>
      <c r="H144" s="93">
        <f>'Emission Rates Net-by-Count'!$D$3</f>
        <v>1009.3086315923503</v>
      </c>
      <c r="I144" s="16">
        <f t="shared" si="4"/>
        <v>-2548.5042947706847</v>
      </c>
      <c r="M144" s="19"/>
      <c r="N144" s="19"/>
      <c r="O144" s="19"/>
      <c r="P144" s="19"/>
    </row>
    <row r="145" spans="1:16" x14ac:dyDescent="0.25">
      <c r="A145" s="91">
        <v>221</v>
      </c>
      <c r="B145" s="15">
        <v>2005</v>
      </c>
      <c r="C145" s="1" t="s">
        <v>120</v>
      </c>
      <c r="D145" s="1" t="s">
        <v>216</v>
      </c>
      <c r="E145" s="15" t="s">
        <v>217</v>
      </c>
      <c r="F145" s="1" t="s">
        <v>68</v>
      </c>
      <c r="G145" s="16">
        <v>-3395</v>
      </c>
      <c r="H145" s="93">
        <f>'Emission Rates Net-by-Count'!$D$3</f>
        <v>1009.3086315923503</v>
      </c>
      <c r="I145" s="16">
        <f t="shared" si="4"/>
        <v>-1713.3014021280144</v>
      </c>
      <c r="M145" s="19"/>
      <c r="N145" s="19"/>
      <c r="O145" s="19"/>
      <c r="P145" s="19"/>
    </row>
    <row r="146" spans="1:16" x14ac:dyDescent="0.25">
      <c r="A146" s="91">
        <v>222</v>
      </c>
      <c r="B146" s="15">
        <v>2005</v>
      </c>
      <c r="C146" s="1" t="s">
        <v>120</v>
      </c>
      <c r="D146" s="1" t="s">
        <v>216</v>
      </c>
      <c r="E146" s="15" t="s">
        <v>217</v>
      </c>
      <c r="F146" s="1" t="s">
        <v>121</v>
      </c>
      <c r="G146" s="16">
        <v>-400</v>
      </c>
      <c r="H146" s="93">
        <f>'Emission Rates Net-by-Count'!$D$3</f>
        <v>1009.3086315923503</v>
      </c>
      <c r="I146" s="16">
        <f t="shared" si="4"/>
        <v>-201.86172631847006</v>
      </c>
      <c r="M146" s="19"/>
      <c r="N146" s="19"/>
      <c r="O146" s="19"/>
      <c r="P146" s="19"/>
    </row>
    <row r="147" spans="1:16" x14ac:dyDescent="0.25">
      <c r="A147" s="91">
        <v>223</v>
      </c>
      <c r="B147" s="15">
        <v>2005</v>
      </c>
      <c r="C147" s="1" t="s">
        <v>120</v>
      </c>
      <c r="D147" s="1" t="s">
        <v>216</v>
      </c>
      <c r="E147" s="15" t="s">
        <v>217</v>
      </c>
      <c r="F147" s="1" t="s">
        <v>69</v>
      </c>
      <c r="G147" s="16">
        <v>-201269</v>
      </c>
      <c r="H147" s="93">
        <f>'Emission Rates Net-by-Count'!$D$3</f>
        <v>1009.3086315923503</v>
      </c>
      <c r="I147" s="16">
        <f t="shared" si="4"/>
        <v>-101571.26948598037</v>
      </c>
      <c r="M147" s="19"/>
      <c r="N147" s="19"/>
      <c r="O147" s="19"/>
      <c r="P147" s="19"/>
    </row>
    <row r="148" spans="1:16" x14ac:dyDescent="0.25">
      <c r="A148" s="91">
        <v>224</v>
      </c>
      <c r="B148" s="15">
        <v>2005</v>
      </c>
      <c r="C148" s="1" t="s">
        <v>120</v>
      </c>
      <c r="D148" s="1" t="s">
        <v>216</v>
      </c>
      <c r="E148" s="15" t="s">
        <v>217</v>
      </c>
      <c r="F148" s="1" t="s">
        <v>71</v>
      </c>
      <c r="G148" s="16">
        <v>-13645</v>
      </c>
      <c r="H148" s="93">
        <f>'Emission Rates Net-by-Count'!$D$3</f>
        <v>1009.3086315923503</v>
      </c>
      <c r="I148" s="16">
        <f t="shared" si="4"/>
        <v>-6886.0081390388095</v>
      </c>
      <c r="M148" s="19"/>
      <c r="N148" s="19"/>
      <c r="O148" s="19"/>
      <c r="P148" s="19"/>
    </row>
    <row r="149" spans="1:16" x14ac:dyDescent="0.25">
      <c r="A149" s="91">
        <v>225</v>
      </c>
      <c r="B149" s="15">
        <v>2005</v>
      </c>
      <c r="C149" s="1" t="s">
        <v>120</v>
      </c>
      <c r="D149" s="1" t="s">
        <v>216</v>
      </c>
      <c r="E149" s="15" t="s">
        <v>217</v>
      </c>
      <c r="F149" s="1" t="s">
        <v>72</v>
      </c>
      <c r="G149" s="16">
        <v>-17344</v>
      </c>
      <c r="H149" s="93">
        <f>'Emission Rates Net-by-Count'!$D$3</f>
        <v>1009.3086315923503</v>
      </c>
      <c r="I149" s="16">
        <f t="shared" si="4"/>
        <v>-8752.7244531688611</v>
      </c>
      <c r="M149" s="19"/>
      <c r="N149" s="19"/>
      <c r="O149" s="19"/>
      <c r="P149" s="19"/>
    </row>
    <row r="150" spans="1:16" x14ac:dyDescent="0.25">
      <c r="A150" s="91">
        <v>226</v>
      </c>
      <c r="B150" s="15">
        <v>2005</v>
      </c>
      <c r="C150" s="1" t="s">
        <v>120</v>
      </c>
      <c r="D150" s="1" t="s">
        <v>216</v>
      </c>
      <c r="E150" s="15" t="s">
        <v>217</v>
      </c>
      <c r="F150" s="1" t="s">
        <v>73</v>
      </c>
      <c r="G150" s="16">
        <v>-3100</v>
      </c>
      <c r="H150" s="93">
        <f>'Emission Rates Net-by-Count'!$D$3</f>
        <v>1009.3086315923503</v>
      </c>
      <c r="I150" s="16">
        <f t="shared" si="4"/>
        <v>-1564.4283789681429</v>
      </c>
      <c r="M150" s="19"/>
      <c r="N150" s="19"/>
      <c r="O150" s="19"/>
      <c r="P150" s="19"/>
    </row>
    <row r="151" spans="1:16" x14ac:dyDescent="0.25">
      <c r="A151" s="91">
        <v>227</v>
      </c>
      <c r="B151" s="15">
        <v>2005</v>
      </c>
      <c r="C151" s="1" t="s">
        <v>120</v>
      </c>
      <c r="D151" s="1" t="s">
        <v>216</v>
      </c>
      <c r="E151" s="15" t="s">
        <v>217</v>
      </c>
      <c r="F151" s="1" t="s">
        <v>74</v>
      </c>
      <c r="G151" s="16">
        <v>-9336</v>
      </c>
      <c r="H151" s="93">
        <f>'Emission Rates Net-by-Count'!$D$3</f>
        <v>1009.3086315923503</v>
      </c>
      <c r="I151" s="16">
        <f t="shared" si="4"/>
        <v>-4711.4526922730902</v>
      </c>
      <c r="M151" s="19"/>
      <c r="N151" s="19"/>
      <c r="O151" s="19"/>
      <c r="P151" s="19"/>
    </row>
    <row r="152" spans="1:16" x14ac:dyDescent="0.25">
      <c r="A152" s="91">
        <v>228</v>
      </c>
      <c r="B152" s="15">
        <v>2005</v>
      </c>
      <c r="C152" s="1" t="s">
        <v>120</v>
      </c>
      <c r="D152" s="1" t="s">
        <v>216</v>
      </c>
      <c r="E152" s="15" t="s">
        <v>217</v>
      </c>
      <c r="F152" s="1" t="s">
        <v>75</v>
      </c>
      <c r="G152" s="16">
        <v>-67600</v>
      </c>
      <c r="H152" s="93">
        <f>'Emission Rates Net-by-Count'!$D$3</f>
        <v>1009.3086315923503</v>
      </c>
      <c r="I152" s="16">
        <f t="shared" si="4"/>
        <v>-34114.631747821433</v>
      </c>
      <c r="M152" s="19"/>
      <c r="N152" s="19"/>
      <c r="O152" s="19"/>
      <c r="P152" s="19"/>
    </row>
    <row r="153" spans="1:16" x14ac:dyDescent="0.25">
      <c r="A153" s="91">
        <v>229</v>
      </c>
      <c r="B153" s="15">
        <v>2005</v>
      </c>
      <c r="C153" s="1" t="s">
        <v>120</v>
      </c>
      <c r="D153" s="1" t="s">
        <v>216</v>
      </c>
      <c r="E153" s="15" t="s">
        <v>217</v>
      </c>
      <c r="F153" s="1" t="s">
        <v>76</v>
      </c>
      <c r="G153" s="16">
        <v>-13210</v>
      </c>
      <c r="H153" s="93">
        <f>'Emission Rates Net-by-Count'!$D$3</f>
        <v>1009.3086315923503</v>
      </c>
      <c r="I153" s="16">
        <f t="shared" si="4"/>
        <v>-6666.4835116674731</v>
      </c>
      <c r="M153" s="19"/>
      <c r="N153" s="19"/>
      <c r="O153" s="19"/>
      <c r="P153" s="19"/>
    </row>
    <row r="154" spans="1:16" x14ac:dyDescent="0.25">
      <c r="A154" s="91">
        <v>230</v>
      </c>
      <c r="B154" s="15">
        <v>2005</v>
      </c>
      <c r="C154" s="1" t="s">
        <v>120</v>
      </c>
      <c r="D154" s="1" t="s">
        <v>216</v>
      </c>
      <c r="E154" s="15" t="s">
        <v>217</v>
      </c>
      <c r="F154" s="1" t="s">
        <v>77</v>
      </c>
      <c r="G154" s="16">
        <v>-4485</v>
      </c>
      <c r="H154" s="93">
        <f>'Emission Rates Net-by-Count'!$D$3</f>
        <v>1009.3086315923503</v>
      </c>
      <c r="I154" s="16">
        <f t="shared" si="4"/>
        <v>-2263.3746063458452</v>
      </c>
      <c r="M154" s="19"/>
      <c r="N154" s="19"/>
      <c r="O154" s="19"/>
      <c r="P154" s="19"/>
    </row>
    <row r="155" spans="1:16" x14ac:dyDescent="0.25">
      <c r="A155" s="91">
        <v>231</v>
      </c>
      <c r="B155" s="15">
        <v>2005</v>
      </c>
      <c r="C155" s="1" t="s">
        <v>120</v>
      </c>
      <c r="D155" s="1" t="s">
        <v>216</v>
      </c>
      <c r="E155" s="15" t="s">
        <v>217</v>
      </c>
      <c r="F155" s="1" t="s">
        <v>78</v>
      </c>
      <c r="G155" s="16">
        <v>-116067</v>
      </c>
      <c r="H155" s="93">
        <f>'Emission Rates Net-by-Count'!$D$3</f>
        <v>1009.3086315923503</v>
      </c>
      <c r="I155" s="16">
        <f t="shared" si="4"/>
        <v>-58573.712471514656</v>
      </c>
      <c r="M155" s="19"/>
      <c r="N155" s="19"/>
      <c r="O155" s="19"/>
      <c r="P155" s="19"/>
    </row>
    <row r="156" spans="1:16" x14ac:dyDescent="0.25">
      <c r="A156" s="91">
        <v>232</v>
      </c>
      <c r="B156" s="15">
        <v>2005</v>
      </c>
      <c r="C156" s="1" t="s">
        <v>120</v>
      </c>
      <c r="D156" s="1" t="s">
        <v>216</v>
      </c>
      <c r="E156" s="15" t="s">
        <v>217</v>
      </c>
      <c r="F156" s="1" t="s">
        <v>79</v>
      </c>
      <c r="G156" s="16">
        <v>-5064</v>
      </c>
      <c r="H156" s="93">
        <f>'Emission Rates Net-by-Count'!$D$3</f>
        <v>1009.3086315923503</v>
      </c>
      <c r="I156" s="16">
        <f t="shared" si="4"/>
        <v>-2555.5694551918305</v>
      </c>
      <c r="M156" s="19"/>
      <c r="N156" s="19"/>
      <c r="O156" s="19"/>
      <c r="P156" s="19"/>
    </row>
    <row r="157" spans="1:16" x14ac:dyDescent="0.25">
      <c r="A157" s="91">
        <v>233</v>
      </c>
      <c r="B157" s="15">
        <v>2005</v>
      </c>
      <c r="C157" s="1" t="s">
        <v>120</v>
      </c>
      <c r="D157" s="1" t="s">
        <v>216</v>
      </c>
      <c r="E157" s="15" t="s">
        <v>217</v>
      </c>
      <c r="F157" s="1" t="s">
        <v>80</v>
      </c>
      <c r="G157" s="16">
        <v>-12200</v>
      </c>
      <c r="H157" s="93">
        <f>'Emission Rates Net-by-Count'!$D$3</f>
        <v>1009.3086315923503</v>
      </c>
      <c r="I157" s="16">
        <f t="shared" si="4"/>
        <v>-6156.7826527133366</v>
      </c>
      <c r="M157" s="19"/>
      <c r="N157" s="19"/>
      <c r="O157" s="19"/>
      <c r="P157" s="19"/>
    </row>
    <row r="158" spans="1:16" x14ac:dyDescent="0.25">
      <c r="A158" s="91">
        <v>234</v>
      </c>
      <c r="B158" s="15">
        <v>2005</v>
      </c>
      <c r="C158" s="1" t="s">
        <v>120</v>
      </c>
      <c r="D158" s="1" t="s">
        <v>216</v>
      </c>
      <c r="E158" s="15" t="s">
        <v>217</v>
      </c>
      <c r="F158" s="1" t="s">
        <v>81</v>
      </c>
      <c r="G158" s="16">
        <v>-7173</v>
      </c>
      <c r="H158" s="93">
        <f>'Emission Rates Net-by-Count'!$D$3</f>
        <v>1009.3086315923503</v>
      </c>
      <c r="I158" s="16">
        <f t="shared" si="4"/>
        <v>-3619.8854072059639</v>
      </c>
      <c r="M158" s="19"/>
      <c r="N158" s="19"/>
      <c r="O158" s="19"/>
      <c r="P158" s="19"/>
    </row>
    <row r="159" spans="1:16" x14ac:dyDescent="0.25">
      <c r="A159" s="91">
        <v>235</v>
      </c>
      <c r="B159" s="15">
        <v>2005</v>
      </c>
      <c r="C159" s="1" t="s">
        <v>120</v>
      </c>
      <c r="D159" s="1" t="s">
        <v>216</v>
      </c>
      <c r="E159" s="15" t="s">
        <v>217</v>
      </c>
      <c r="F159" s="1" t="s">
        <v>82</v>
      </c>
      <c r="G159" s="16">
        <v>-12875</v>
      </c>
      <c r="H159" s="93">
        <f>'Emission Rates Net-by-Count'!$D$3</f>
        <v>1009.3086315923503</v>
      </c>
      <c r="I159" s="16">
        <f t="shared" si="4"/>
        <v>-6497.4243158757545</v>
      </c>
      <c r="M159" s="19"/>
      <c r="N159" s="19"/>
      <c r="O159" s="19"/>
      <c r="P159" s="19"/>
    </row>
    <row r="160" spans="1:16" x14ac:dyDescent="0.25">
      <c r="A160" s="91">
        <v>236</v>
      </c>
      <c r="B160" s="15">
        <v>2005</v>
      </c>
      <c r="C160" s="1" t="s">
        <v>120</v>
      </c>
      <c r="D160" s="1" t="s">
        <v>216</v>
      </c>
      <c r="E160" s="15" t="s">
        <v>217</v>
      </c>
      <c r="F160" s="1" t="s">
        <v>83</v>
      </c>
      <c r="G160" s="16">
        <v>-90</v>
      </c>
      <c r="H160" s="93">
        <f>'Emission Rates Net-by-Count'!$D$3</f>
        <v>1009.3086315923503</v>
      </c>
      <c r="I160" s="16">
        <f t="shared" si="4"/>
        <v>-45.418888421655765</v>
      </c>
      <c r="M160" s="19"/>
      <c r="N160" s="19"/>
      <c r="O160" s="19"/>
      <c r="P160" s="19"/>
    </row>
    <row r="161" spans="1:16" x14ac:dyDescent="0.25">
      <c r="A161" s="91">
        <v>237</v>
      </c>
      <c r="B161" s="15">
        <v>2005</v>
      </c>
      <c r="C161" s="1" t="s">
        <v>120</v>
      </c>
      <c r="D161" s="1" t="s">
        <v>216</v>
      </c>
      <c r="E161" s="15" t="s">
        <v>217</v>
      </c>
      <c r="F161" s="1" t="s">
        <v>84</v>
      </c>
      <c r="G161" s="16">
        <v>-13771</v>
      </c>
      <c r="H161" s="93">
        <f>'Emission Rates Net-by-Count'!$D$3</f>
        <v>1009.3086315923503</v>
      </c>
      <c r="I161" s="16">
        <f t="shared" si="4"/>
        <v>-6949.5945828291278</v>
      </c>
      <c r="M161" s="19"/>
      <c r="N161" s="19"/>
      <c r="O161" s="19"/>
      <c r="P161" s="19"/>
    </row>
    <row r="162" spans="1:16" x14ac:dyDescent="0.25">
      <c r="A162" s="91">
        <v>238</v>
      </c>
      <c r="B162" s="15">
        <v>2005</v>
      </c>
      <c r="C162" s="1" t="s">
        <v>120</v>
      </c>
      <c r="D162" s="1" t="s">
        <v>216</v>
      </c>
      <c r="E162" s="15" t="s">
        <v>217</v>
      </c>
      <c r="F162" s="1" t="s">
        <v>85</v>
      </c>
      <c r="G162" s="16">
        <v>-293074</v>
      </c>
      <c r="H162" s="93">
        <f>'Emission Rates Net-by-Count'!$D$3</f>
        <v>1009.3086315923503</v>
      </c>
      <c r="I162" s="16">
        <f t="shared" si="4"/>
        <v>-147901.05894764821</v>
      </c>
      <c r="M162" s="19"/>
      <c r="N162" s="19"/>
      <c r="O162" s="19"/>
      <c r="P162" s="19"/>
    </row>
    <row r="163" spans="1:16" x14ac:dyDescent="0.25">
      <c r="A163" s="91">
        <v>239</v>
      </c>
      <c r="B163" s="15">
        <v>2005</v>
      </c>
      <c r="C163" s="1" t="s">
        <v>120</v>
      </c>
      <c r="D163" s="1" t="s">
        <v>216</v>
      </c>
      <c r="E163" s="15" t="s">
        <v>217</v>
      </c>
      <c r="F163" s="1" t="s">
        <v>86</v>
      </c>
      <c r="G163" s="16">
        <v>-11600</v>
      </c>
      <c r="H163" s="93">
        <f>'Emission Rates Net-by-Count'!$D$3</f>
        <v>1009.3086315923503</v>
      </c>
      <c r="I163" s="16">
        <f t="shared" si="4"/>
        <v>-5853.9900632356312</v>
      </c>
      <c r="M163" s="19"/>
      <c r="N163" s="19"/>
      <c r="O163" s="19"/>
      <c r="P163" s="19"/>
    </row>
    <row r="164" spans="1:16" x14ac:dyDescent="0.25">
      <c r="A164" s="91">
        <v>240</v>
      </c>
      <c r="B164" s="15">
        <v>2005</v>
      </c>
      <c r="C164" s="1" t="s">
        <v>120</v>
      </c>
      <c r="D164" s="1" t="s">
        <v>216</v>
      </c>
      <c r="E164" s="15" t="s">
        <v>217</v>
      </c>
      <c r="F164" s="1" t="s">
        <v>87</v>
      </c>
      <c r="G164" s="16">
        <v>-125698</v>
      </c>
      <c r="H164" s="93">
        <f>'Emission Rates Net-by-Count'!$D$3</f>
        <v>1009.3086315923503</v>
      </c>
      <c r="I164" s="16">
        <f t="shared" si="4"/>
        <v>-63434.038186947619</v>
      </c>
      <c r="M164" s="19"/>
      <c r="N164" s="19"/>
      <c r="O164" s="19"/>
      <c r="P164" s="19"/>
    </row>
    <row r="165" spans="1:16" x14ac:dyDescent="0.25">
      <c r="A165" s="91">
        <v>241</v>
      </c>
      <c r="B165" s="15">
        <v>2005</v>
      </c>
      <c r="C165" s="1" t="s">
        <v>120</v>
      </c>
      <c r="D165" s="1" t="s">
        <v>216</v>
      </c>
      <c r="E165" s="15" t="s">
        <v>217</v>
      </c>
      <c r="F165" s="1" t="s">
        <v>88</v>
      </c>
      <c r="G165" s="16">
        <v>-264088</v>
      </c>
      <c r="H165" s="93">
        <f>'Emission Rates Net-by-Count'!$D$3</f>
        <v>1009.3086315923503</v>
      </c>
      <c r="I165" s="16">
        <f t="shared" si="4"/>
        <v>-133273.1489499803</v>
      </c>
      <c r="M165" s="19"/>
      <c r="N165" s="19"/>
      <c r="O165" s="19"/>
      <c r="P165" s="19"/>
    </row>
    <row r="166" spans="1:16" x14ac:dyDescent="0.25">
      <c r="A166" s="91">
        <v>242</v>
      </c>
      <c r="B166" s="15">
        <v>2005</v>
      </c>
      <c r="C166" s="1" t="s">
        <v>120</v>
      </c>
      <c r="D166" s="1" t="s">
        <v>216</v>
      </c>
      <c r="E166" s="15" t="s">
        <v>217</v>
      </c>
      <c r="F166" s="1" t="s">
        <v>89</v>
      </c>
      <c r="G166" s="16">
        <v>-51102</v>
      </c>
      <c r="H166" s="93">
        <f>'Emission Rates Net-by-Count'!$D$3</f>
        <v>1009.3086315923503</v>
      </c>
      <c r="I166" s="16">
        <f t="shared" si="4"/>
        <v>-25788.844845816144</v>
      </c>
      <c r="M166" s="19"/>
      <c r="N166" s="19"/>
      <c r="O166" s="19"/>
      <c r="P166" s="19"/>
    </row>
    <row r="167" spans="1:16" x14ac:dyDescent="0.25">
      <c r="A167" s="91">
        <v>243</v>
      </c>
      <c r="B167" s="15">
        <v>2005</v>
      </c>
      <c r="C167" s="1" t="s">
        <v>120</v>
      </c>
      <c r="D167" s="1" t="s">
        <v>216</v>
      </c>
      <c r="E167" s="15" t="s">
        <v>217</v>
      </c>
      <c r="F167" s="1" t="s">
        <v>90</v>
      </c>
      <c r="G167" s="16">
        <v>-50870</v>
      </c>
      <c r="H167" s="93">
        <f>'Emission Rates Net-by-Count'!$D$3</f>
        <v>1009.3086315923503</v>
      </c>
      <c r="I167" s="16">
        <f t="shared" si="4"/>
        <v>-25671.76504455143</v>
      </c>
      <c r="M167" s="19"/>
      <c r="N167" s="19"/>
      <c r="O167" s="19"/>
      <c r="P167" s="19"/>
    </row>
    <row r="168" spans="1:16" x14ac:dyDescent="0.25">
      <c r="A168" s="91">
        <v>244</v>
      </c>
      <c r="B168" s="15">
        <v>2005</v>
      </c>
      <c r="C168" s="1" t="s">
        <v>120</v>
      </c>
      <c r="D168" s="1" t="s">
        <v>216</v>
      </c>
      <c r="E168" s="15" t="s">
        <v>217</v>
      </c>
      <c r="F168" s="1" t="s">
        <v>91</v>
      </c>
      <c r="G168" s="16">
        <v>-77986</v>
      </c>
      <c r="H168" s="93">
        <f>'Emission Rates Net-by-Count'!$D$3</f>
        <v>1009.3086315923503</v>
      </c>
      <c r="I168" s="16">
        <f t="shared" ref="I168:I185" si="5">(G168*H168)/2000</f>
        <v>-39355.971471680517</v>
      </c>
      <c r="M168" s="19"/>
      <c r="N168" s="19"/>
      <c r="O168" s="19"/>
      <c r="P168" s="19"/>
    </row>
    <row r="169" spans="1:16" x14ac:dyDescent="0.25">
      <c r="A169" s="91">
        <v>245</v>
      </c>
      <c r="B169" s="15">
        <v>2005</v>
      </c>
      <c r="C169" s="1" t="s">
        <v>120</v>
      </c>
      <c r="D169" s="1" t="s">
        <v>216</v>
      </c>
      <c r="E169" s="15" t="s">
        <v>217</v>
      </c>
      <c r="F169" s="1" t="s">
        <v>92</v>
      </c>
      <c r="G169" s="16">
        <v>-2812</v>
      </c>
      <c r="H169" s="93">
        <f>'Emission Rates Net-by-Count'!$D$3</f>
        <v>1009.3086315923503</v>
      </c>
      <c r="I169" s="16">
        <f t="shared" si="5"/>
        <v>-1419.0879360188444</v>
      </c>
      <c r="M169" s="19"/>
      <c r="N169" s="19"/>
      <c r="O169" s="19"/>
      <c r="P169" s="19"/>
    </row>
    <row r="170" spans="1:16" x14ac:dyDescent="0.25">
      <c r="A170" s="91">
        <v>246</v>
      </c>
      <c r="B170" s="15">
        <v>2005</v>
      </c>
      <c r="C170" s="1" t="s">
        <v>120</v>
      </c>
      <c r="D170" s="1" t="s">
        <v>216</v>
      </c>
      <c r="E170" s="15" t="s">
        <v>217</v>
      </c>
      <c r="F170" s="1" t="s">
        <v>93</v>
      </c>
      <c r="G170" s="16">
        <v>-13526</v>
      </c>
      <c r="H170" s="93">
        <f>'Emission Rates Net-by-Count'!$D$3</f>
        <v>1009.3086315923503</v>
      </c>
      <c r="I170" s="16">
        <f t="shared" si="5"/>
        <v>-6825.9542754590648</v>
      </c>
      <c r="M170" s="19"/>
      <c r="N170" s="19"/>
      <c r="O170" s="19"/>
      <c r="P170" s="19"/>
    </row>
    <row r="171" spans="1:16" x14ac:dyDescent="0.25">
      <c r="A171" s="91">
        <v>247</v>
      </c>
      <c r="B171" s="15">
        <v>2005</v>
      </c>
      <c r="C171" s="1" t="s">
        <v>120</v>
      </c>
      <c r="D171" s="1" t="s">
        <v>216</v>
      </c>
      <c r="E171" s="15" t="s">
        <v>217</v>
      </c>
      <c r="F171" s="1" t="s">
        <v>94</v>
      </c>
      <c r="G171" s="16">
        <v>-1262</v>
      </c>
      <c r="H171" s="93">
        <f>'Emission Rates Net-by-Count'!$D$3</f>
        <v>1009.3086315923503</v>
      </c>
      <c r="I171" s="16">
        <f t="shared" si="5"/>
        <v>-636.87374653477298</v>
      </c>
      <c r="M171" s="19"/>
      <c r="N171" s="19"/>
      <c r="O171" s="19"/>
      <c r="P171" s="19"/>
    </row>
    <row r="172" spans="1:16" x14ac:dyDescent="0.25">
      <c r="A172" s="91">
        <v>248</v>
      </c>
      <c r="B172" s="15">
        <v>2005</v>
      </c>
      <c r="C172" s="1" t="s">
        <v>120</v>
      </c>
      <c r="D172" s="1" t="s">
        <v>216</v>
      </c>
      <c r="E172" s="15" t="s">
        <v>217</v>
      </c>
      <c r="F172" s="1" t="s">
        <v>95</v>
      </c>
      <c r="G172" s="16">
        <v>-25005</v>
      </c>
      <c r="H172" s="93">
        <f>'Emission Rates Net-by-Count'!$D$3</f>
        <v>1009.3086315923503</v>
      </c>
      <c r="I172" s="16">
        <f t="shared" si="5"/>
        <v>-12618.881166483359</v>
      </c>
      <c r="M172" s="19"/>
      <c r="N172" s="19"/>
      <c r="O172" s="19"/>
      <c r="P172" s="19"/>
    </row>
    <row r="173" spans="1:16" x14ac:dyDescent="0.25">
      <c r="A173" s="91">
        <v>249</v>
      </c>
      <c r="B173" s="15">
        <v>2005</v>
      </c>
      <c r="C173" s="1" t="s">
        <v>120</v>
      </c>
      <c r="D173" s="1" t="s">
        <v>216</v>
      </c>
      <c r="E173" s="15" t="s">
        <v>217</v>
      </c>
      <c r="F173" s="1" t="s">
        <v>96</v>
      </c>
      <c r="G173" s="16">
        <v>-99153</v>
      </c>
      <c r="H173" s="93">
        <f>'Emission Rates Net-by-Count'!$D$3</f>
        <v>1009.3086315923503</v>
      </c>
      <c r="I173" s="16">
        <f t="shared" si="5"/>
        <v>-50037.989374138153</v>
      </c>
      <c r="M173" s="19"/>
      <c r="N173" s="19"/>
      <c r="O173" s="19"/>
      <c r="P173" s="19"/>
    </row>
    <row r="174" spans="1:16" x14ac:dyDescent="0.25">
      <c r="A174" s="91">
        <v>250</v>
      </c>
      <c r="B174" s="15">
        <v>2005</v>
      </c>
      <c r="C174" s="1" t="s">
        <v>120</v>
      </c>
      <c r="D174" s="1" t="s">
        <v>216</v>
      </c>
      <c r="E174" s="15" t="s">
        <v>217</v>
      </c>
      <c r="F174" s="1" t="s">
        <v>97</v>
      </c>
      <c r="G174" s="16">
        <v>-66693</v>
      </c>
      <c r="H174" s="93">
        <f>'Emission Rates Net-by-Count'!$D$3</f>
        <v>1009.3086315923503</v>
      </c>
      <c r="I174" s="16">
        <f t="shared" si="5"/>
        <v>-33656.910283394303</v>
      </c>
      <c r="M174" s="19"/>
      <c r="N174" s="19"/>
      <c r="O174" s="19"/>
      <c r="P174" s="19"/>
    </row>
    <row r="175" spans="1:16" x14ac:dyDescent="0.25">
      <c r="A175" s="91">
        <v>251</v>
      </c>
      <c r="B175" s="15">
        <v>2005</v>
      </c>
      <c r="C175" s="1" t="s">
        <v>120</v>
      </c>
      <c r="D175" s="1" t="s">
        <v>216</v>
      </c>
      <c r="E175" s="15" t="s">
        <v>217</v>
      </c>
      <c r="F175" s="1" t="s">
        <v>98</v>
      </c>
      <c r="G175" s="16">
        <v>-1819</v>
      </c>
      <c r="H175" s="93">
        <f>'Emission Rates Net-by-Count'!$D$3</f>
        <v>1009.3086315923503</v>
      </c>
      <c r="I175" s="16">
        <f t="shared" si="5"/>
        <v>-917.96620043324265</v>
      </c>
      <c r="M175" s="19"/>
      <c r="N175" s="19"/>
      <c r="O175" s="19"/>
      <c r="P175" s="19"/>
    </row>
    <row r="176" spans="1:16" x14ac:dyDescent="0.25">
      <c r="A176" s="91">
        <v>252</v>
      </c>
      <c r="B176" s="15">
        <v>2005</v>
      </c>
      <c r="C176" s="1" t="s">
        <v>120</v>
      </c>
      <c r="D176" s="1" t="s">
        <v>216</v>
      </c>
      <c r="E176" s="15" t="s">
        <v>217</v>
      </c>
      <c r="F176" s="1" t="s">
        <v>99</v>
      </c>
      <c r="G176" s="16">
        <v>-3354</v>
      </c>
      <c r="H176" s="93">
        <f>'Emission Rates Net-by-Count'!$D$3</f>
        <v>1009.3086315923503</v>
      </c>
      <c r="I176" s="16">
        <f t="shared" si="5"/>
        <v>-1692.6105751803714</v>
      </c>
      <c r="M176" s="19"/>
      <c r="N176" s="19"/>
      <c r="O176" s="19"/>
      <c r="P176" s="19"/>
    </row>
    <row r="177" spans="1:17" x14ac:dyDescent="0.25">
      <c r="A177" s="91">
        <v>253</v>
      </c>
      <c r="B177" s="15">
        <v>2005</v>
      </c>
      <c r="C177" s="1" t="s">
        <v>120</v>
      </c>
      <c r="D177" s="1" t="s">
        <v>216</v>
      </c>
      <c r="E177" s="15" t="s">
        <v>217</v>
      </c>
      <c r="F177" s="1" t="s">
        <v>100</v>
      </c>
      <c r="G177" s="16">
        <v>-23113</v>
      </c>
      <c r="H177" s="93">
        <f>'Emission Rates Net-by-Count'!$D$3</f>
        <v>1009.3086315923503</v>
      </c>
      <c r="I177" s="16">
        <f t="shared" si="5"/>
        <v>-11664.075200996995</v>
      </c>
      <c r="M177" s="19"/>
      <c r="N177" s="19"/>
      <c r="O177" s="19"/>
      <c r="P177" s="19"/>
    </row>
    <row r="178" spans="1:17" x14ac:dyDescent="0.25">
      <c r="A178" s="91">
        <v>254</v>
      </c>
      <c r="B178" s="15">
        <v>2005</v>
      </c>
      <c r="C178" s="1" t="s">
        <v>120</v>
      </c>
      <c r="D178" s="1" t="s">
        <v>216</v>
      </c>
      <c r="E178" s="15" t="s">
        <v>217</v>
      </c>
      <c r="F178" s="1" t="s">
        <v>101</v>
      </c>
      <c r="G178" s="16">
        <v>-10104</v>
      </c>
      <c r="H178" s="93">
        <f>'Emission Rates Net-by-Count'!$D$3</f>
        <v>1009.3086315923503</v>
      </c>
      <c r="I178" s="16">
        <f t="shared" si="5"/>
        <v>-5099.0272068045533</v>
      </c>
      <c r="M178" s="19"/>
      <c r="N178" s="19"/>
      <c r="O178" s="19"/>
      <c r="P178" s="19"/>
    </row>
    <row r="179" spans="1:17" x14ac:dyDescent="0.25">
      <c r="A179" s="91">
        <v>255</v>
      </c>
      <c r="B179" s="15">
        <v>2005</v>
      </c>
      <c r="C179" s="1" t="s">
        <v>120</v>
      </c>
      <c r="D179" s="1" t="s">
        <v>216</v>
      </c>
      <c r="E179" s="15" t="s">
        <v>217</v>
      </c>
      <c r="F179" s="1" t="s">
        <v>102</v>
      </c>
      <c r="G179" s="16">
        <v>-242108</v>
      </c>
      <c r="H179" s="93">
        <f>'Emission Rates Net-by-Count'!$D$3</f>
        <v>1009.3086315923503</v>
      </c>
      <c r="I179" s="16">
        <f t="shared" si="5"/>
        <v>-122180.84708878037</v>
      </c>
      <c r="M179" s="19"/>
      <c r="N179" s="19"/>
      <c r="O179" s="19"/>
      <c r="P179" s="19"/>
    </row>
    <row r="180" spans="1:17" x14ac:dyDescent="0.25">
      <c r="A180" s="91">
        <v>256</v>
      </c>
      <c r="B180" s="15">
        <v>2005</v>
      </c>
      <c r="C180" s="1" t="s">
        <v>120</v>
      </c>
      <c r="D180" s="1" t="s">
        <v>216</v>
      </c>
      <c r="E180" s="15" t="s">
        <v>217</v>
      </c>
      <c r="F180" s="1" t="s">
        <v>103</v>
      </c>
      <c r="G180" s="16">
        <v>-3807</v>
      </c>
      <c r="H180" s="93">
        <f>'Emission Rates Net-by-Count'!$D$3</f>
        <v>1009.3086315923503</v>
      </c>
      <c r="I180" s="16">
        <f t="shared" si="5"/>
        <v>-1921.2189802360388</v>
      </c>
      <c r="M180" s="19"/>
      <c r="N180" s="19"/>
      <c r="O180" s="19"/>
      <c r="P180" s="19"/>
    </row>
    <row r="181" spans="1:17" x14ac:dyDescent="0.25">
      <c r="A181" s="91">
        <v>257</v>
      </c>
      <c r="B181" s="15">
        <v>2005</v>
      </c>
      <c r="C181" s="1" t="s">
        <v>120</v>
      </c>
      <c r="D181" s="1" t="s">
        <v>216</v>
      </c>
      <c r="E181" s="15" t="s">
        <v>217</v>
      </c>
      <c r="F181" s="1" t="s">
        <v>104</v>
      </c>
      <c r="G181" s="16">
        <v>-468655</v>
      </c>
      <c r="H181" s="93">
        <f>'Emission Rates Net-by-Count'!$D$3</f>
        <v>1009.3086315923503</v>
      </c>
      <c r="I181" s="16">
        <f t="shared" si="5"/>
        <v>-236508.76836945643</v>
      </c>
      <c r="M181" s="19"/>
      <c r="N181" s="19"/>
      <c r="O181" s="19"/>
      <c r="P181" s="19"/>
    </row>
    <row r="182" spans="1:17" x14ac:dyDescent="0.25">
      <c r="A182" s="91">
        <v>258</v>
      </c>
      <c r="B182" s="15">
        <v>2005</v>
      </c>
      <c r="C182" s="1" t="s">
        <v>120</v>
      </c>
      <c r="D182" s="1" t="s">
        <v>216</v>
      </c>
      <c r="E182" s="15" t="s">
        <v>217</v>
      </c>
      <c r="F182" s="1" t="s">
        <v>105</v>
      </c>
      <c r="G182" s="16">
        <v>-17924</v>
      </c>
      <c r="H182" s="93">
        <f>'Emission Rates Net-by-Count'!$D$3</f>
        <v>1009.3086315923503</v>
      </c>
      <c r="I182" s="16">
        <f t="shared" si="5"/>
        <v>-9045.4239563306419</v>
      </c>
      <c r="M182" s="19"/>
      <c r="N182" s="19"/>
      <c r="O182" s="19"/>
      <c r="P182" s="19"/>
    </row>
    <row r="183" spans="1:17" x14ac:dyDescent="0.25">
      <c r="A183" s="91">
        <v>259</v>
      </c>
      <c r="B183" s="15">
        <v>2005</v>
      </c>
      <c r="C183" s="1" t="s">
        <v>120</v>
      </c>
      <c r="D183" s="1" t="s">
        <v>216</v>
      </c>
      <c r="E183" s="15" t="s">
        <v>217</v>
      </c>
      <c r="F183" s="1" t="s">
        <v>106</v>
      </c>
      <c r="G183" s="16">
        <v>-3885</v>
      </c>
      <c r="H183" s="93">
        <f>'Emission Rates Net-by-Count'!$D$3</f>
        <v>1009.3086315923503</v>
      </c>
      <c r="I183" s="16">
        <f t="shared" si="5"/>
        <v>-1960.5820168681403</v>
      </c>
      <c r="M183" s="19"/>
      <c r="N183" s="19"/>
      <c r="O183" s="19"/>
      <c r="P183" s="19"/>
    </row>
    <row r="184" spans="1:17" x14ac:dyDescent="0.25">
      <c r="A184" s="91">
        <v>260</v>
      </c>
      <c r="B184" s="15">
        <v>2005</v>
      </c>
      <c r="C184" s="1" t="s">
        <v>120</v>
      </c>
      <c r="D184" s="1" t="s">
        <v>216</v>
      </c>
      <c r="E184" s="15" t="s">
        <v>217</v>
      </c>
      <c r="F184" s="1" t="s">
        <v>107</v>
      </c>
      <c r="G184" s="16">
        <v>-9880</v>
      </c>
      <c r="H184" s="93">
        <f>'Emission Rates Net-by-Count'!$D$3</f>
        <v>1009.3086315923503</v>
      </c>
      <c r="I184" s="16">
        <f t="shared" si="5"/>
        <v>-4985.98464006621</v>
      </c>
      <c r="M184" s="19"/>
      <c r="N184" s="19"/>
      <c r="O184" s="19"/>
      <c r="P184" s="19"/>
    </row>
    <row r="185" spans="1:17" x14ac:dyDescent="0.25">
      <c r="A185" s="91">
        <v>261</v>
      </c>
      <c r="B185" s="15">
        <v>2005</v>
      </c>
      <c r="C185" s="1" t="s">
        <v>120</v>
      </c>
      <c r="D185" s="1" t="s">
        <v>216</v>
      </c>
      <c r="E185" s="15" t="s">
        <v>217</v>
      </c>
      <c r="F185" s="1" t="s">
        <v>108</v>
      </c>
      <c r="G185" s="16">
        <v>-200</v>
      </c>
      <c r="H185" s="93">
        <f>'Emission Rates Net-by-Count'!$D$3</f>
        <v>1009.3086315923503</v>
      </c>
      <c r="I185" s="16">
        <f t="shared" si="5"/>
        <v>-100.93086315923503</v>
      </c>
      <c r="M185" s="19"/>
      <c r="N185" s="19"/>
      <c r="O185" s="19"/>
      <c r="P185" s="19"/>
    </row>
    <row r="186" spans="1:17" x14ac:dyDescent="0.25">
      <c r="A186" s="91">
        <v>295</v>
      </c>
      <c r="B186" s="15">
        <v>2006</v>
      </c>
      <c r="C186" s="1" t="s">
        <v>0</v>
      </c>
      <c r="D186" s="1" t="s">
        <v>215</v>
      </c>
      <c r="E186" s="15" t="s">
        <v>125</v>
      </c>
      <c r="F186" s="1" t="s">
        <v>1</v>
      </c>
      <c r="G186" s="16">
        <v>67270.350000000006</v>
      </c>
      <c r="H186" s="92">
        <v>0</v>
      </c>
      <c r="I186" s="92">
        <f>(H186*G186)/2000</f>
        <v>0</v>
      </c>
      <c r="J186" s="92"/>
      <c r="K186" s="17" t="s">
        <v>223</v>
      </c>
      <c r="M186" s="19"/>
      <c r="N186" s="19"/>
      <c r="O186" s="19"/>
      <c r="P186" s="19"/>
    </row>
    <row r="187" spans="1:17" x14ac:dyDescent="0.25">
      <c r="A187" s="91">
        <v>296</v>
      </c>
      <c r="B187" s="15">
        <v>2006</v>
      </c>
      <c r="C187" s="1" t="s">
        <v>0</v>
      </c>
      <c r="D187" s="1" t="s">
        <v>215</v>
      </c>
      <c r="E187" s="15" t="s">
        <v>125</v>
      </c>
      <c r="F187" s="1" t="s">
        <v>2</v>
      </c>
      <c r="G187" s="16">
        <v>334144.53999999998</v>
      </c>
      <c r="H187" s="92">
        <v>0</v>
      </c>
      <c r="I187" s="92">
        <f>(H187*G187)/2000</f>
        <v>0</v>
      </c>
      <c r="J187" s="92"/>
      <c r="K187" s="17" t="s">
        <v>223</v>
      </c>
      <c r="M187" s="19"/>
      <c r="N187" s="19"/>
      <c r="O187" s="19"/>
      <c r="P187" s="19"/>
    </row>
    <row r="188" spans="1:17" x14ac:dyDescent="0.25">
      <c r="A188" s="91">
        <v>299</v>
      </c>
      <c r="B188" s="15">
        <v>2006</v>
      </c>
      <c r="C188" s="1" t="s">
        <v>0</v>
      </c>
      <c r="D188" s="1" t="s">
        <v>215</v>
      </c>
      <c r="E188" s="15" t="s">
        <v>125</v>
      </c>
      <c r="F188" s="1" t="s">
        <v>4</v>
      </c>
      <c r="G188" s="16">
        <v>47557.4</v>
      </c>
      <c r="H188" s="92">
        <v>0</v>
      </c>
      <c r="I188" s="92">
        <f>(H188*G188)/2000</f>
        <v>0</v>
      </c>
      <c r="J188" s="92"/>
      <c r="K188" s="17" t="s">
        <v>223</v>
      </c>
      <c r="M188" s="19"/>
      <c r="N188" s="19"/>
      <c r="O188" s="19"/>
      <c r="P188" s="19"/>
    </row>
    <row r="189" spans="1:17" x14ac:dyDescent="0.25">
      <c r="A189" s="91">
        <v>300</v>
      </c>
      <c r="B189" s="15">
        <v>2006</v>
      </c>
      <c r="C189" s="1" t="s">
        <v>0</v>
      </c>
      <c r="D189" s="1" t="s">
        <v>215</v>
      </c>
      <c r="E189" s="15" t="s">
        <v>125</v>
      </c>
      <c r="F189" s="1" t="s">
        <v>5</v>
      </c>
      <c r="G189" s="16">
        <v>161751.4</v>
      </c>
      <c r="H189" s="92">
        <v>0</v>
      </c>
      <c r="I189" s="92">
        <f>(H189*G189)/2000</f>
        <v>0</v>
      </c>
      <c r="J189" s="92"/>
      <c r="K189" s="17" t="s">
        <v>223</v>
      </c>
      <c r="M189" s="19"/>
      <c r="N189" s="19"/>
      <c r="O189" s="19"/>
      <c r="P189" s="19"/>
    </row>
    <row r="190" spans="1:17" x14ac:dyDescent="0.25">
      <c r="A190" s="91">
        <v>302</v>
      </c>
      <c r="B190" s="15">
        <v>2006</v>
      </c>
      <c r="C190" s="1" t="s">
        <v>0</v>
      </c>
      <c r="D190" s="1" t="s">
        <v>215</v>
      </c>
      <c r="E190" s="15" t="s">
        <v>125</v>
      </c>
      <c r="F190" s="1" t="s">
        <v>6</v>
      </c>
      <c r="G190" s="16">
        <v>338552.67</v>
      </c>
      <c r="H190" s="92">
        <v>0</v>
      </c>
      <c r="I190" s="92">
        <f>(H190*G190)/2000</f>
        <v>0</v>
      </c>
      <c r="J190" s="92"/>
      <c r="K190" s="17" t="s">
        <v>223</v>
      </c>
      <c r="M190" s="19"/>
      <c r="N190" s="19"/>
      <c r="O190" s="19"/>
      <c r="P190" s="19"/>
    </row>
    <row r="191" spans="1:17" x14ac:dyDescent="0.25">
      <c r="A191" s="91">
        <v>305</v>
      </c>
      <c r="B191" s="15">
        <v>2006</v>
      </c>
      <c r="C191" s="1" t="s">
        <v>7</v>
      </c>
      <c r="D191" s="1" t="s">
        <v>215</v>
      </c>
      <c r="E191" s="15" t="s">
        <v>122</v>
      </c>
      <c r="F191" s="1" t="s">
        <v>8</v>
      </c>
      <c r="G191" s="16">
        <v>2180745</v>
      </c>
      <c r="H191" s="16">
        <f t="shared" ref="H191:H197" si="6">(I191*2000)/G191</f>
        <v>2483.2378843010079</v>
      </c>
      <c r="I191" s="16">
        <v>2707654.3000000003</v>
      </c>
      <c r="M191" s="19"/>
      <c r="N191" s="19"/>
      <c r="O191" s="19"/>
      <c r="P191" s="19"/>
      <c r="Q191" s="15" t="s">
        <v>259</v>
      </c>
    </row>
    <row r="192" spans="1:17" x14ac:dyDescent="0.25">
      <c r="A192" s="91">
        <v>306</v>
      </c>
      <c r="B192" s="15">
        <v>2006</v>
      </c>
      <c r="C192" s="1" t="s">
        <v>7</v>
      </c>
      <c r="D192" s="1" t="s">
        <v>215</v>
      </c>
      <c r="E192" s="15" t="s">
        <v>122</v>
      </c>
      <c r="F192" s="1" t="s">
        <v>9</v>
      </c>
      <c r="G192" s="16">
        <v>2619283</v>
      </c>
      <c r="H192" s="16">
        <f t="shared" si="6"/>
        <v>2451.1025727269639</v>
      </c>
      <c r="I192" s="16">
        <v>3210065.65</v>
      </c>
      <c r="M192" s="19"/>
      <c r="N192" s="19"/>
      <c r="O192" s="19"/>
      <c r="P192" s="19"/>
      <c r="Q192" s="15" t="s">
        <v>259</v>
      </c>
    </row>
    <row r="193" spans="1:17" x14ac:dyDescent="0.25">
      <c r="A193" s="91">
        <v>307</v>
      </c>
      <c r="B193" s="15">
        <v>2006</v>
      </c>
      <c r="C193" s="1" t="s">
        <v>7</v>
      </c>
      <c r="D193" s="1" t="s">
        <v>215</v>
      </c>
      <c r="E193" s="15" t="s">
        <v>123</v>
      </c>
      <c r="F193" s="1" t="s">
        <v>10</v>
      </c>
      <c r="G193" s="16">
        <v>259963.15</v>
      </c>
      <c r="H193" s="16">
        <f t="shared" si="6"/>
        <v>1062.5147451436867</v>
      </c>
      <c r="I193" s="16">
        <v>138107.3400345</v>
      </c>
      <c r="M193" s="19"/>
      <c r="N193" s="19"/>
      <c r="O193" s="19"/>
      <c r="P193" s="19"/>
      <c r="Q193" s="15" t="s">
        <v>262</v>
      </c>
    </row>
    <row r="194" spans="1:17" x14ac:dyDescent="0.25">
      <c r="A194" s="91">
        <v>309</v>
      </c>
      <c r="B194" s="15">
        <v>2006</v>
      </c>
      <c r="C194" s="1" t="s">
        <v>11</v>
      </c>
      <c r="D194" s="1" t="s">
        <v>215</v>
      </c>
      <c r="E194" s="15" t="s">
        <v>124</v>
      </c>
      <c r="F194" s="1" t="s">
        <v>12</v>
      </c>
      <c r="G194" s="16">
        <v>1060.42</v>
      </c>
      <c r="H194" s="16">
        <f t="shared" si="6"/>
        <v>1719.1841723090849</v>
      </c>
      <c r="I194" s="16">
        <v>911.52864</v>
      </c>
      <c r="M194" s="19"/>
      <c r="N194" s="19"/>
      <c r="O194" s="19"/>
      <c r="P194" s="19"/>
      <c r="Q194" s="15" t="s">
        <v>262</v>
      </c>
    </row>
    <row r="195" spans="1:17" x14ac:dyDescent="0.25">
      <c r="A195" s="91">
        <v>311</v>
      </c>
      <c r="B195" s="15">
        <v>2006</v>
      </c>
      <c r="C195" s="1" t="s">
        <v>11</v>
      </c>
      <c r="D195" s="1" t="s">
        <v>215</v>
      </c>
      <c r="E195" s="15" t="s">
        <v>123</v>
      </c>
      <c r="F195" s="1" t="s">
        <v>13</v>
      </c>
      <c r="G195" s="16">
        <v>393030</v>
      </c>
      <c r="H195" s="16">
        <f t="shared" si="6"/>
        <v>765.38453586062133</v>
      </c>
      <c r="I195" s="94">
        <v>150409.54206465001</v>
      </c>
      <c r="M195" s="19"/>
      <c r="N195" s="19"/>
      <c r="O195" s="19"/>
      <c r="P195" s="19"/>
      <c r="Q195" s="15" t="s">
        <v>262</v>
      </c>
    </row>
    <row r="196" spans="1:17" x14ac:dyDescent="0.25">
      <c r="A196" s="91">
        <v>312</v>
      </c>
      <c r="B196" s="15">
        <v>2006</v>
      </c>
      <c r="C196" s="1" t="s">
        <v>11</v>
      </c>
      <c r="D196" s="1" t="s">
        <v>215</v>
      </c>
      <c r="E196" s="15" t="s">
        <v>123</v>
      </c>
      <c r="F196" s="1" t="s">
        <v>14</v>
      </c>
      <c r="G196" s="16">
        <v>42874.400000000001</v>
      </c>
      <c r="H196" s="16">
        <f t="shared" si="6"/>
        <v>1279.4831823559045</v>
      </c>
      <c r="I196" s="16">
        <v>27428.536876799997</v>
      </c>
      <c r="M196" s="19"/>
      <c r="N196" s="19"/>
      <c r="O196" s="19"/>
      <c r="P196" s="19"/>
      <c r="Q196" s="15" t="s">
        <v>262</v>
      </c>
    </row>
    <row r="197" spans="1:17" x14ac:dyDescent="0.25">
      <c r="A197" s="91">
        <v>314</v>
      </c>
      <c r="B197" s="15">
        <v>2006</v>
      </c>
      <c r="C197" s="1" t="s">
        <v>11</v>
      </c>
      <c r="D197" s="1" t="s">
        <v>215</v>
      </c>
      <c r="E197" s="15" t="s">
        <v>123</v>
      </c>
      <c r="F197" s="1" t="s">
        <v>16</v>
      </c>
      <c r="G197" s="16">
        <v>12684.3</v>
      </c>
      <c r="H197" s="16">
        <f t="shared" si="6"/>
        <v>1724.8897433047155</v>
      </c>
      <c r="I197" s="16">
        <v>10939.509485500001</v>
      </c>
      <c r="M197" s="19"/>
      <c r="N197" s="19"/>
      <c r="O197" s="19"/>
      <c r="P197" s="19"/>
      <c r="Q197" s="15" t="s">
        <v>262</v>
      </c>
    </row>
    <row r="198" spans="1:17" x14ac:dyDescent="0.25">
      <c r="A198" s="91">
        <v>315</v>
      </c>
      <c r="B198" s="15">
        <v>2006</v>
      </c>
      <c r="C198" s="1" t="s">
        <v>11</v>
      </c>
      <c r="D198" s="1" t="s">
        <v>215</v>
      </c>
      <c r="E198" s="15" t="s">
        <v>125</v>
      </c>
      <c r="F198" s="1" t="s">
        <v>17</v>
      </c>
      <c r="G198" s="16">
        <v>361586.57799999998</v>
      </c>
      <c r="H198" s="92">
        <v>0</v>
      </c>
      <c r="I198" s="92">
        <f>(H198*G198)/2000</f>
        <v>0</v>
      </c>
      <c r="J198" s="92"/>
      <c r="K198" s="17" t="s">
        <v>229</v>
      </c>
      <c r="M198" s="19"/>
      <c r="N198" s="19"/>
      <c r="O198" s="19"/>
      <c r="P198" s="19"/>
    </row>
    <row r="199" spans="1:17" x14ac:dyDescent="0.25">
      <c r="A199" s="91">
        <v>318</v>
      </c>
      <c r="B199" s="15">
        <v>2006</v>
      </c>
      <c r="C199" s="1" t="s">
        <v>11</v>
      </c>
      <c r="D199" s="1" t="s">
        <v>215</v>
      </c>
      <c r="E199" s="15" t="s">
        <v>123</v>
      </c>
      <c r="F199" s="1" t="s">
        <v>18</v>
      </c>
      <c r="G199" s="16">
        <v>13578</v>
      </c>
      <c r="H199" s="16">
        <f>(I199*2000)/G199</f>
        <v>1596.4305845485346</v>
      </c>
      <c r="I199" s="16">
        <v>10838.1672385</v>
      </c>
      <c r="M199" s="19"/>
      <c r="N199" s="19"/>
      <c r="O199" s="19"/>
      <c r="P199" s="19"/>
      <c r="Q199" s="15" t="s">
        <v>262</v>
      </c>
    </row>
    <row r="200" spans="1:17" x14ac:dyDescent="0.25">
      <c r="A200" s="91">
        <v>319</v>
      </c>
      <c r="B200" s="15">
        <v>2006</v>
      </c>
      <c r="C200" s="1" t="s">
        <v>11</v>
      </c>
      <c r="D200" s="1" t="s">
        <v>215</v>
      </c>
      <c r="E200" s="15" t="s">
        <v>125</v>
      </c>
      <c r="F200" s="1" t="s">
        <v>126</v>
      </c>
      <c r="G200" s="16">
        <v>11241.772000000001</v>
      </c>
      <c r="H200" s="92">
        <v>0</v>
      </c>
      <c r="I200" s="92">
        <f>(H200*G200)/2000</f>
        <v>0</v>
      </c>
      <c r="J200" s="92"/>
      <c r="K200" s="17" t="s">
        <v>229</v>
      </c>
      <c r="M200" s="19"/>
      <c r="N200" s="19"/>
      <c r="O200" s="19"/>
      <c r="P200" s="19"/>
    </row>
    <row r="201" spans="1:17" x14ac:dyDescent="0.25">
      <c r="A201" s="91">
        <v>321</v>
      </c>
      <c r="B201" s="15">
        <v>2006</v>
      </c>
      <c r="C201" s="1" t="s">
        <v>19</v>
      </c>
      <c r="D201" s="1" t="s">
        <v>219</v>
      </c>
      <c r="E201" s="15" t="s">
        <v>217</v>
      </c>
      <c r="F201" s="1" t="s">
        <v>20</v>
      </c>
      <c r="G201" s="16">
        <v>22242.52</v>
      </c>
      <c r="H201" s="93">
        <f>'Emission Rates Net-by-Count'!$D$4</f>
        <v>1013.8429781871461</v>
      </c>
      <c r="I201" s="16">
        <f>(G201*H201)/2000</f>
        <v>11275.211359593579</v>
      </c>
      <c r="M201" s="19"/>
      <c r="N201" s="19"/>
      <c r="O201" s="19"/>
      <c r="P201" s="19"/>
    </row>
    <row r="202" spans="1:17" x14ac:dyDescent="0.25">
      <c r="A202" s="91">
        <v>322</v>
      </c>
      <c r="B202" s="15">
        <v>2006</v>
      </c>
      <c r="C202" s="1" t="s">
        <v>19</v>
      </c>
      <c r="D202" s="1" t="s">
        <v>219</v>
      </c>
      <c r="E202" s="15" t="s">
        <v>125</v>
      </c>
      <c r="F202" s="1" t="s">
        <v>21</v>
      </c>
      <c r="G202" s="16">
        <v>7077</v>
      </c>
      <c r="H202" s="92">
        <v>0</v>
      </c>
      <c r="I202" s="92">
        <f>(H202*G202)/2000</f>
        <v>0</v>
      </c>
      <c r="J202" s="92"/>
      <c r="K202" s="17" t="s">
        <v>235</v>
      </c>
      <c r="M202" s="19"/>
      <c r="N202" s="19"/>
      <c r="O202" s="19"/>
      <c r="P202" s="19"/>
    </row>
    <row r="203" spans="1:17" x14ac:dyDescent="0.25">
      <c r="A203" s="91">
        <v>323</v>
      </c>
      <c r="B203" s="15">
        <v>2006</v>
      </c>
      <c r="C203" s="1" t="s">
        <v>19</v>
      </c>
      <c r="D203" s="1" t="s">
        <v>219</v>
      </c>
      <c r="E203" s="15" t="s">
        <v>217</v>
      </c>
      <c r="F203" s="1" t="s">
        <v>22</v>
      </c>
      <c r="G203" s="16">
        <v>362075</v>
      </c>
      <c r="H203" s="93">
        <f>'Emission Rates Net-by-Count'!$D$4</f>
        <v>1013.8429781871461</v>
      </c>
      <c r="I203" s="16">
        <f>(G203*H203)/2000</f>
        <v>183543.59816355543</v>
      </c>
      <c r="J203" s="92"/>
      <c r="K203" s="17" t="s">
        <v>236</v>
      </c>
      <c r="M203" s="19"/>
      <c r="N203" s="19"/>
      <c r="O203" s="19"/>
      <c r="P203" s="19"/>
    </row>
    <row r="204" spans="1:17" x14ac:dyDescent="0.25">
      <c r="A204" s="91">
        <v>325</v>
      </c>
      <c r="B204" s="15">
        <v>2006</v>
      </c>
      <c r="C204" s="1" t="s">
        <v>19</v>
      </c>
      <c r="D204" s="1" t="s">
        <v>219</v>
      </c>
      <c r="E204" s="15" t="s">
        <v>125</v>
      </c>
      <c r="F204" s="1" t="s">
        <v>23</v>
      </c>
      <c r="G204" s="16">
        <v>1294355</v>
      </c>
      <c r="H204" s="92">
        <v>0</v>
      </c>
      <c r="I204" s="92">
        <f>(H204*G204)/2000</f>
        <v>0</v>
      </c>
      <c r="J204" s="92"/>
      <c r="K204" s="17" t="s">
        <v>223</v>
      </c>
      <c r="M204" s="19"/>
      <c r="N204" s="19"/>
      <c r="O204" s="19"/>
      <c r="P204" s="19"/>
    </row>
    <row r="205" spans="1:17" x14ac:dyDescent="0.25">
      <c r="A205" s="91">
        <v>326</v>
      </c>
      <c r="B205" s="15">
        <v>2006</v>
      </c>
      <c r="C205" s="1" t="s">
        <v>19</v>
      </c>
      <c r="D205" s="1" t="s">
        <v>219</v>
      </c>
      <c r="E205" s="15" t="s">
        <v>125</v>
      </c>
      <c r="F205" s="1" t="s">
        <v>24</v>
      </c>
      <c r="G205" s="16">
        <v>2365522</v>
      </c>
      <c r="H205" s="92">
        <v>0</v>
      </c>
      <c r="I205" s="92">
        <f>(H205*G205)/2000</f>
        <v>0</v>
      </c>
      <c r="J205" s="92"/>
      <c r="K205" s="17" t="s">
        <v>223</v>
      </c>
      <c r="M205" s="19"/>
      <c r="N205" s="19"/>
      <c r="O205" s="19"/>
      <c r="P205" s="19"/>
    </row>
    <row r="206" spans="1:17" x14ac:dyDescent="0.25">
      <c r="A206" s="91">
        <v>327</v>
      </c>
      <c r="B206" s="15">
        <v>2006</v>
      </c>
      <c r="C206" s="1" t="s">
        <v>19</v>
      </c>
      <c r="D206" s="1" t="s">
        <v>219</v>
      </c>
      <c r="E206" s="15" t="s">
        <v>125</v>
      </c>
      <c r="F206" s="1" t="s">
        <v>25</v>
      </c>
      <c r="G206" s="16">
        <v>1133871</v>
      </c>
      <c r="H206" s="92">
        <v>0</v>
      </c>
      <c r="I206" s="92">
        <f>(H206*G206)/2000</f>
        <v>0</v>
      </c>
      <c r="J206" s="92"/>
      <c r="K206" s="17" t="s">
        <v>223</v>
      </c>
      <c r="M206" s="19"/>
      <c r="N206" s="19"/>
      <c r="O206" s="19"/>
      <c r="P206" s="19"/>
    </row>
    <row r="207" spans="1:17" x14ac:dyDescent="0.25">
      <c r="A207" s="91">
        <v>328</v>
      </c>
      <c r="B207" s="15">
        <v>2006</v>
      </c>
      <c r="C207" s="1" t="s">
        <v>19</v>
      </c>
      <c r="D207" s="1" t="s">
        <v>219</v>
      </c>
      <c r="E207" s="15" t="s">
        <v>125</v>
      </c>
      <c r="F207" s="1" t="s">
        <v>26</v>
      </c>
      <c r="G207" s="16">
        <v>443113</v>
      </c>
      <c r="H207" s="92">
        <v>0</v>
      </c>
      <c r="I207" s="92">
        <f>(H207*G207)/2000</f>
        <v>0</v>
      </c>
      <c r="J207" s="92"/>
      <c r="K207" s="17" t="s">
        <v>223</v>
      </c>
      <c r="M207" s="19"/>
      <c r="N207" s="19"/>
      <c r="O207" s="19"/>
      <c r="P207" s="19"/>
    </row>
    <row r="208" spans="1:17" x14ac:dyDescent="0.25">
      <c r="A208" s="91">
        <v>329</v>
      </c>
      <c r="B208" s="15">
        <v>2006</v>
      </c>
      <c r="C208" s="1" t="s">
        <v>19</v>
      </c>
      <c r="D208" s="1" t="s">
        <v>219</v>
      </c>
      <c r="E208" s="15" t="s">
        <v>125</v>
      </c>
      <c r="F208" s="1" t="s">
        <v>27</v>
      </c>
      <c r="G208" s="16">
        <v>455505</v>
      </c>
      <c r="H208" s="92">
        <v>0</v>
      </c>
      <c r="I208" s="92">
        <f>(H208*G208)/2000</f>
        <v>0</v>
      </c>
      <c r="J208" s="92"/>
      <c r="K208" s="17" t="s">
        <v>223</v>
      </c>
      <c r="M208" s="19"/>
      <c r="N208" s="19"/>
      <c r="O208" s="19"/>
      <c r="P208" s="19"/>
    </row>
    <row r="209" spans="1:17" x14ac:dyDescent="0.25">
      <c r="A209" s="91">
        <v>330</v>
      </c>
      <c r="B209" s="15">
        <v>2006</v>
      </c>
      <c r="C209" s="1" t="s">
        <v>19</v>
      </c>
      <c r="D209" s="1" t="s">
        <v>219</v>
      </c>
      <c r="E209" s="15" t="s">
        <v>122</v>
      </c>
      <c r="F209" s="1" t="s">
        <v>28</v>
      </c>
      <c r="G209" s="16">
        <v>723917</v>
      </c>
      <c r="H209" s="92">
        <v>2465.7022625701302</v>
      </c>
      <c r="I209" s="92">
        <f>(G209*H209)/2000</f>
        <v>892481.8924064904</v>
      </c>
      <c r="J209" s="92"/>
      <c r="K209" s="17" t="s">
        <v>233</v>
      </c>
      <c r="M209" s="19"/>
      <c r="N209" s="19"/>
      <c r="O209" s="19"/>
      <c r="P209" s="19"/>
      <c r="Q209" s="15" t="s">
        <v>258</v>
      </c>
    </row>
    <row r="210" spans="1:17" x14ac:dyDescent="0.25">
      <c r="A210" s="91">
        <v>331</v>
      </c>
      <c r="B210" s="15">
        <v>2006</v>
      </c>
      <c r="C210" s="1" t="s">
        <v>19</v>
      </c>
      <c r="D210" s="1" t="s">
        <v>219</v>
      </c>
      <c r="E210" s="15" t="s">
        <v>217</v>
      </c>
      <c r="F210" s="1" t="s">
        <v>29</v>
      </c>
      <c r="G210" s="16">
        <v>89664</v>
      </c>
      <c r="H210" s="93">
        <f>'Emission Rates Net-by-Count'!$D$4</f>
        <v>1013.8429781871461</v>
      </c>
      <c r="I210" s="16">
        <f>(G210*H210)/2000</f>
        <v>45452.608398086129</v>
      </c>
      <c r="M210" s="19"/>
      <c r="N210" s="19"/>
      <c r="O210" s="19"/>
      <c r="P210" s="19"/>
    </row>
    <row r="211" spans="1:17" x14ac:dyDescent="0.25">
      <c r="A211" s="91">
        <v>332</v>
      </c>
      <c r="B211" s="15">
        <v>2006</v>
      </c>
      <c r="C211" s="1" t="s">
        <v>19</v>
      </c>
      <c r="D211" s="1" t="s">
        <v>219</v>
      </c>
      <c r="E211" s="15" t="s">
        <v>125</v>
      </c>
      <c r="F211" s="1" t="s">
        <v>30</v>
      </c>
      <c r="G211" s="16">
        <v>1823.28</v>
      </c>
      <c r="H211" s="92">
        <v>0</v>
      </c>
      <c r="I211" s="92">
        <f>(H211*G211)/2000</f>
        <v>0</v>
      </c>
      <c r="J211" s="92"/>
      <c r="K211" s="17" t="s">
        <v>232</v>
      </c>
      <c r="M211" s="19"/>
      <c r="N211" s="19"/>
      <c r="O211" s="19"/>
      <c r="P211" s="19"/>
    </row>
    <row r="212" spans="1:17" x14ac:dyDescent="0.25">
      <c r="A212" s="91">
        <v>333</v>
      </c>
      <c r="B212" s="15">
        <v>2006</v>
      </c>
      <c r="C212" s="1" t="s">
        <v>19</v>
      </c>
      <c r="D212" s="1" t="s">
        <v>219</v>
      </c>
      <c r="E212" s="15" t="s">
        <v>125</v>
      </c>
      <c r="F212" s="1" t="s">
        <v>31</v>
      </c>
      <c r="G212" s="16">
        <v>36732</v>
      </c>
      <c r="H212" s="92">
        <v>0</v>
      </c>
      <c r="I212" s="92">
        <f>(H212*G212)/2000</f>
        <v>0</v>
      </c>
      <c r="J212" s="92"/>
      <c r="K212" s="17" t="s">
        <v>223</v>
      </c>
      <c r="M212" s="19"/>
      <c r="N212" s="19"/>
      <c r="O212" s="19"/>
      <c r="P212" s="19"/>
    </row>
    <row r="213" spans="1:17" x14ac:dyDescent="0.25">
      <c r="A213" s="91">
        <v>335</v>
      </c>
      <c r="B213" s="15">
        <v>2006</v>
      </c>
      <c r="C213" s="1" t="s">
        <v>32</v>
      </c>
      <c r="D213" s="1" t="s">
        <v>219</v>
      </c>
      <c r="E213" s="15" t="s">
        <v>125</v>
      </c>
      <c r="F213" s="1" t="s">
        <v>33</v>
      </c>
      <c r="G213" s="16">
        <v>2171.36</v>
      </c>
      <c r="H213" s="92">
        <v>0</v>
      </c>
      <c r="I213" s="92">
        <f>(H213*G213)/2000</f>
        <v>0</v>
      </c>
      <c r="J213" s="92"/>
      <c r="K213" s="17" t="s">
        <v>223</v>
      </c>
      <c r="M213" s="19"/>
      <c r="N213" s="19"/>
      <c r="O213" s="19"/>
      <c r="P213" s="19"/>
    </row>
    <row r="214" spans="1:17" x14ac:dyDescent="0.25">
      <c r="A214" s="91">
        <v>336</v>
      </c>
      <c r="B214" s="15">
        <v>2006</v>
      </c>
      <c r="C214" s="1" t="s">
        <v>32</v>
      </c>
      <c r="D214" s="1" t="s">
        <v>219</v>
      </c>
      <c r="E214" s="15" t="s">
        <v>125</v>
      </c>
      <c r="F214" s="1" t="s">
        <v>34</v>
      </c>
      <c r="G214" s="16">
        <v>33468</v>
      </c>
      <c r="H214" s="92">
        <v>0</v>
      </c>
      <c r="I214" s="92">
        <f>(H214*G214)/2000</f>
        <v>0</v>
      </c>
      <c r="J214" s="92"/>
      <c r="K214" s="17" t="s">
        <v>223</v>
      </c>
      <c r="M214" s="19"/>
      <c r="N214" s="19"/>
      <c r="O214" s="19"/>
      <c r="P214" s="19"/>
    </row>
    <row r="215" spans="1:17" x14ac:dyDescent="0.25">
      <c r="A215" s="91">
        <v>338</v>
      </c>
      <c r="B215" s="15">
        <v>2006</v>
      </c>
      <c r="C215" s="1" t="s">
        <v>32</v>
      </c>
      <c r="D215" s="1" t="s">
        <v>219</v>
      </c>
      <c r="E215" s="15" t="s">
        <v>123</v>
      </c>
      <c r="F215" s="1" t="s">
        <v>254</v>
      </c>
      <c r="G215" s="16">
        <v>983695.89</v>
      </c>
      <c r="H215" s="92">
        <f>P215</f>
        <v>726.80073847423307</v>
      </c>
      <c r="I215" s="92">
        <f>(+G215*H215)/2000</f>
        <v>357475.44964303396</v>
      </c>
      <c r="J215" s="92"/>
      <c r="K215" s="17" t="s">
        <v>224</v>
      </c>
      <c r="L215" s="18">
        <v>5.8439999999999999E-2</v>
      </c>
      <c r="M215" s="15">
        <v>5992212.7400000002</v>
      </c>
      <c r="N215" s="19">
        <f>(M215*L215)</f>
        <v>350184.9125256</v>
      </c>
      <c r="O215" s="15">
        <v>963633.89299999992</v>
      </c>
      <c r="P215" s="19">
        <f>(N215*2000)/O215</f>
        <v>726.80073847423307</v>
      </c>
      <c r="Q215" s="15" t="s">
        <v>255</v>
      </c>
    </row>
    <row r="216" spans="1:17" x14ac:dyDescent="0.25">
      <c r="A216" s="91">
        <v>339</v>
      </c>
      <c r="B216" s="15">
        <v>2006</v>
      </c>
      <c r="C216" s="1" t="s">
        <v>32</v>
      </c>
      <c r="D216" s="1" t="s">
        <v>219</v>
      </c>
      <c r="E216" s="15" t="s">
        <v>125</v>
      </c>
      <c r="F216" s="1" t="s">
        <v>35</v>
      </c>
      <c r="G216" s="16">
        <v>17652.95</v>
      </c>
      <c r="H216" s="92">
        <v>0</v>
      </c>
      <c r="I216" s="92">
        <f>(H216*G216)/2000</f>
        <v>0</v>
      </c>
      <c r="J216" s="92"/>
      <c r="K216" s="17" t="s">
        <v>223</v>
      </c>
      <c r="M216" s="19"/>
      <c r="N216" s="19"/>
      <c r="O216" s="19"/>
      <c r="P216" s="19"/>
    </row>
    <row r="217" spans="1:17" x14ac:dyDescent="0.25">
      <c r="A217" s="91">
        <v>340</v>
      </c>
      <c r="B217" s="15">
        <v>2006</v>
      </c>
      <c r="C217" s="1" t="s">
        <v>32</v>
      </c>
      <c r="D217" s="1" t="s">
        <v>219</v>
      </c>
      <c r="E217" s="15" t="s">
        <v>225</v>
      </c>
      <c r="F217" s="1" t="s">
        <v>36</v>
      </c>
      <c r="G217" s="16">
        <v>1847.0640000000001</v>
      </c>
      <c r="H217" s="92">
        <f>P217</f>
        <v>1056.3533228240403</v>
      </c>
      <c r="I217" s="92">
        <f>(+G217*H217)/2000</f>
        <v>975.57609693433164</v>
      </c>
      <c r="J217" s="92"/>
      <c r="K217" s="17" t="s">
        <v>225</v>
      </c>
      <c r="L217" s="18">
        <v>0.10448</v>
      </c>
      <c r="M217" s="19">
        <v>243613.24</v>
      </c>
      <c r="N217" s="19">
        <f>(M217*L217)</f>
        <v>25452.711315199998</v>
      </c>
      <c r="O217" s="19">
        <v>48189.76902</v>
      </c>
      <c r="P217" s="19">
        <f>(N217*2000)/O217</f>
        <v>1056.3533228240403</v>
      </c>
      <c r="Q217" s="15" t="s">
        <v>255</v>
      </c>
    </row>
    <row r="218" spans="1:17" x14ac:dyDescent="0.25">
      <c r="A218" s="91">
        <v>341</v>
      </c>
      <c r="B218" s="15">
        <v>2006</v>
      </c>
      <c r="C218" s="1" t="s">
        <v>32</v>
      </c>
      <c r="D218" s="1" t="s">
        <v>219</v>
      </c>
      <c r="E218" s="15" t="s">
        <v>125</v>
      </c>
      <c r="F218" s="1" t="s">
        <v>37</v>
      </c>
      <c r="G218" s="16">
        <v>4828.6099999999997</v>
      </c>
      <c r="H218" s="92">
        <v>0</v>
      </c>
      <c r="I218" s="92">
        <f>(H218*G218)/2000</f>
        <v>0</v>
      </c>
      <c r="J218" s="92"/>
      <c r="K218" s="17" t="s">
        <v>226</v>
      </c>
      <c r="M218" s="19"/>
      <c r="N218" s="19"/>
      <c r="O218" s="19"/>
      <c r="P218" s="19"/>
    </row>
    <row r="219" spans="1:17" x14ac:dyDescent="0.25">
      <c r="A219" s="91">
        <v>342</v>
      </c>
      <c r="B219" s="15">
        <v>2006</v>
      </c>
      <c r="C219" s="1" t="s">
        <v>32</v>
      </c>
      <c r="D219" s="1" t="s">
        <v>219</v>
      </c>
      <c r="E219" s="15" t="s">
        <v>227</v>
      </c>
      <c r="F219" s="1" t="s">
        <v>38</v>
      </c>
      <c r="G219" s="16">
        <v>141325</v>
      </c>
      <c r="H219" s="92">
        <f>P219</f>
        <v>4573.6816773508808</v>
      </c>
      <c r="I219" s="92">
        <f>(+G219*H219)/2000</f>
        <v>323187.78152580658</v>
      </c>
      <c r="J219" s="92"/>
      <c r="K219" s="17" t="s">
        <v>228</v>
      </c>
      <c r="L219" s="18">
        <v>0.11289</v>
      </c>
      <c r="M219" s="19">
        <v>2862957</v>
      </c>
      <c r="N219" s="19">
        <f>(M219*L219)</f>
        <v>323199.21573</v>
      </c>
      <c r="O219" s="19">
        <v>141330</v>
      </c>
      <c r="P219" s="19">
        <f>(N219*2000)/O219</f>
        <v>4573.6816773508808</v>
      </c>
      <c r="Q219" s="15" t="s">
        <v>255</v>
      </c>
    </row>
    <row r="220" spans="1:17" x14ac:dyDescent="0.25">
      <c r="A220" s="91">
        <v>343</v>
      </c>
      <c r="B220" s="15">
        <v>2006</v>
      </c>
      <c r="C220" s="1" t="s">
        <v>32</v>
      </c>
      <c r="D220" s="1" t="s">
        <v>219</v>
      </c>
      <c r="E220" s="15" t="s">
        <v>123</v>
      </c>
      <c r="F220" s="1" t="s">
        <v>39</v>
      </c>
      <c r="G220" s="16">
        <v>579513.65</v>
      </c>
      <c r="H220" s="92">
        <f>P220</f>
        <v>927.49481118458982</v>
      </c>
      <c r="I220" s="92">
        <f>(+G220*H220)/2000</f>
        <v>268747.95169282128</v>
      </c>
      <c r="J220" s="92"/>
      <c r="K220" s="17" t="s">
        <v>224</v>
      </c>
      <c r="L220" s="18">
        <v>5.8439999999999999E-2</v>
      </c>
      <c r="M220" s="15">
        <v>4718833.6500000004</v>
      </c>
      <c r="N220" s="19">
        <f>(M220*L220)</f>
        <v>275768.63850599999</v>
      </c>
      <c r="O220" s="15">
        <v>594652.68200000003</v>
      </c>
      <c r="P220" s="19">
        <f>(N220*2000)/O220</f>
        <v>927.49481118458982</v>
      </c>
      <c r="Q220" s="15" t="s">
        <v>255</v>
      </c>
    </row>
    <row r="221" spans="1:17" x14ac:dyDescent="0.25">
      <c r="A221" s="91">
        <v>344</v>
      </c>
      <c r="B221" s="15">
        <v>2006</v>
      </c>
      <c r="C221" s="1" t="s">
        <v>32</v>
      </c>
      <c r="D221" s="1" t="s">
        <v>219</v>
      </c>
      <c r="E221" s="15" t="s">
        <v>125</v>
      </c>
      <c r="F221" s="1" t="s">
        <v>40</v>
      </c>
      <c r="G221" s="16">
        <v>585.6</v>
      </c>
      <c r="H221" s="92">
        <v>0</v>
      </c>
      <c r="I221" s="92">
        <f>(H221*G221)/2000</f>
        <v>0</v>
      </c>
      <c r="J221" s="92"/>
      <c r="K221" s="17" t="s">
        <v>223</v>
      </c>
      <c r="M221" s="19"/>
      <c r="N221" s="19"/>
      <c r="O221" s="19"/>
      <c r="P221" s="19"/>
    </row>
    <row r="222" spans="1:17" x14ac:dyDescent="0.25">
      <c r="A222" s="91">
        <v>345</v>
      </c>
      <c r="B222" s="15">
        <v>2006</v>
      </c>
      <c r="C222" s="1" t="s">
        <v>32</v>
      </c>
      <c r="D222" s="1" t="s">
        <v>219</v>
      </c>
      <c r="E222" s="15" t="s">
        <v>123</v>
      </c>
      <c r="F222" s="1" t="s">
        <v>41</v>
      </c>
      <c r="G222" s="16">
        <v>844472.04</v>
      </c>
      <c r="H222" s="92">
        <f>P222</f>
        <v>861.38534731103448</v>
      </c>
      <c r="I222" s="92">
        <f>(+G222*H222)/2000</f>
        <v>363707.92073492892</v>
      </c>
      <c r="J222" s="92"/>
      <c r="K222" s="17" t="s">
        <v>224</v>
      </c>
      <c r="L222" s="18">
        <v>5.8439999999999999E-2</v>
      </c>
      <c r="M222" s="15">
        <v>6043344.9500000002</v>
      </c>
      <c r="N222" s="19">
        <f>(M222*L222)</f>
        <v>353173.07887800003</v>
      </c>
      <c r="O222" s="15">
        <v>820011.81</v>
      </c>
      <c r="P222" s="19">
        <f>(N222*2000)/O222</f>
        <v>861.38534731103448</v>
      </c>
      <c r="Q222" s="15" t="s">
        <v>255</v>
      </c>
    </row>
    <row r="223" spans="1:17" x14ac:dyDescent="0.25">
      <c r="A223" s="91">
        <v>346</v>
      </c>
      <c r="B223" s="15">
        <v>2006</v>
      </c>
      <c r="C223" s="1" t="s">
        <v>32</v>
      </c>
      <c r="D223" s="1" t="s">
        <v>219</v>
      </c>
      <c r="E223" s="15" t="s">
        <v>125</v>
      </c>
      <c r="F223" s="1" t="s">
        <v>42</v>
      </c>
      <c r="G223" s="16">
        <v>67233</v>
      </c>
      <c r="H223" s="92">
        <v>0</v>
      </c>
      <c r="I223" s="92">
        <f>(H223*G223)/2000</f>
        <v>0</v>
      </c>
      <c r="J223" s="92"/>
      <c r="K223" s="17" t="s">
        <v>223</v>
      </c>
      <c r="M223" s="19"/>
      <c r="N223" s="19"/>
      <c r="O223" s="19"/>
      <c r="P223" s="19"/>
    </row>
    <row r="224" spans="1:17" x14ac:dyDescent="0.25">
      <c r="A224" s="91">
        <v>347</v>
      </c>
      <c r="B224" s="15">
        <v>2006</v>
      </c>
      <c r="C224" s="1" t="s">
        <v>32</v>
      </c>
      <c r="D224" s="1" t="s">
        <v>219</v>
      </c>
      <c r="E224" s="15" t="s">
        <v>125</v>
      </c>
      <c r="F224" s="1" t="s">
        <v>43</v>
      </c>
      <c r="G224" s="16">
        <v>12691</v>
      </c>
      <c r="H224" s="92">
        <v>0</v>
      </c>
      <c r="I224" s="92">
        <f>(H224*G224)/2000</f>
        <v>0</v>
      </c>
      <c r="J224" s="92"/>
      <c r="K224" s="17" t="s">
        <v>223</v>
      </c>
      <c r="M224" s="19"/>
      <c r="N224" s="19"/>
      <c r="O224" s="19"/>
      <c r="P224" s="19"/>
    </row>
    <row r="225" spans="1:16" x14ac:dyDescent="0.25">
      <c r="A225" s="91">
        <v>349</v>
      </c>
      <c r="B225" s="15">
        <v>2006</v>
      </c>
      <c r="C225" s="1" t="s">
        <v>44</v>
      </c>
      <c r="D225" s="1" t="s">
        <v>216</v>
      </c>
      <c r="E225" s="15" t="s">
        <v>217</v>
      </c>
      <c r="F225" s="1" t="s">
        <v>45</v>
      </c>
      <c r="G225" s="16">
        <v>2000</v>
      </c>
      <c r="H225" s="93">
        <f>'Emission Rates Net-by-Count'!$D$4</f>
        <v>1013.8429781871461</v>
      </c>
      <c r="I225" s="16">
        <f t="shared" ref="I225:I256" si="7">(G225*H225)/2000</f>
        <v>1013.8429781871461</v>
      </c>
      <c r="M225" s="19"/>
      <c r="N225" s="19"/>
      <c r="O225" s="19"/>
      <c r="P225" s="19"/>
    </row>
    <row r="226" spans="1:16" x14ac:dyDescent="0.25">
      <c r="A226" s="91">
        <v>350</v>
      </c>
      <c r="B226" s="15">
        <v>2006</v>
      </c>
      <c r="C226" s="1" t="s">
        <v>44</v>
      </c>
      <c r="D226" s="1" t="s">
        <v>216</v>
      </c>
      <c r="E226" s="15" t="s">
        <v>217</v>
      </c>
      <c r="F226" s="1" t="s">
        <v>46</v>
      </c>
      <c r="G226" s="16">
        <v>820</v>
      </c>
      <c r="H226" s="93">
        <f>'Emission Rates Net-by-Count'!$D$4</f>
        <v>1013.8429781871461</v>
      </c>
      <c r="I226" s="16">
        <f t="shared" si="7"/>
        <v>415.67562105672988</v>
      </c>
      <c r="M226" s="19"/>
      <c r="N226" s="19"/>
      <c r="O226" s="19"/>
      <c r="P226" s="19"/>
    </row>
    <row r="227" spans="1:16" x14ac:dyDescent="0.25">
      <c r="A227" s="91">
        <v>351</v>
      </c>
      <c r="B227" s="15">
        <v>2006</v>
      </c>
      <c r="C227" s="1" t="s">
        <v>44</v>
      </c>
      <c r="D227" s="1" t="s">
        <v>216</v>
      </c>
      <c r="E227" s="15" t="s">
        <v>217</v>
      </c>
      <c r="F227" s="1" t="s">
        <v>47</v>
      </c>
      <c r="G227" s="16">
        <v>102666.8</v>
      </c>
      <c r="H227" s="93">
        <f>'Emission Rates Net-by-Count'!$D$4</f>
        <v>1013.8429781871461</v>
      </c>
      <c r="I227" s="16">
        <f t="shared" si="7"/>
        <v>52044.00713647205</v>
      </c>
      <c r="M227" s="19"/>
      <c r="N227" s="19"/>
      <c r="O227" s="19"/>
      <c r="P227" s="19"/>
    </row>
    <row r="228" spans="1:16" x14ac:dyDescent="0.25">
      <c r="A228" s="91">
        <v>352</v>
      </c>
      <c r="B228" s="15">
        <v>2006</v>
      </c>
      <c r="C228" s="1" t="s">
        <v>44</v>
      </c>
      <c r="D228" s="1" t="s">
        <v>216</v>
      </c>
      <c r="E228" s="15" t="s">
        <v>217</v>
      </c>
      <c r="F228" s="1" t="s">
        <v>48</v>
      </c>
      <c r="G228" s="16">
        <v>713907</v>
      </c>
      <c r="H228" s="93">
        <f>'Emission Rates Net-by-Count'!$D$4</f>
        <v>1013.8429781871461</v>
      </c>
      <c r="I228" s="16">
        <f t="shared" si="7"/>
        <v>361894.79951432545</v>
      </c>
      <c r="M228" s="19"/>
      <c r="N228" s="19"/>
      <c r="O228" s="19"/>
      <c r="P228" s="19"/>
    </row>
    <row r="229" spans="1:16" x14ac:dyDescent="0.25">
      <c r="A229" s="91">
        <v>353</v>
      </c>
      <c r="B229" s="15">
        <v>2006</v>
      </c>
      <c r="C229" s="1" t="s">
        <v>44</v>
      </c>
      <c r="D229" s="1" t="s">
        <v>216</v>
      </c>
      <c r="E229" s="15" t="s">
        <v>217</v>
      </c>
      <c r="F229" s="1" t="s">
        <v>127</v>
      </c>
      <c r="G229" s="16">
        <v>7600</v>
      </c>
      <c r="H229" s="93">
        <f>'Emission Rates Net-by-Count'!$D$4</f>
        <v>1013.8429781871461</v>
      </c>
      <c r="I229" s="16">
        <f t="shared" si="7"/>
        <v>3852.6033171111549</v>
      </c>
      <c r="M229" s="19"/>
      <c r="N229" s="19"/>
      <c r="O229" s="19"/>
      <c r="P229" s="19"/>
    </row>
    <row r="230" spans="1:16" x14ac:dyDescent="0.25">
      <c r="A230" s="91">
        <v>354</v>
      </c>
      <c r="B230" s="15">
        <v>2006</v>
      </c>
      <c r="C230" s="1" t="s">
        <v>44</v>
      </c>
      <c r="D230" s="1" t="s">
        <v>216</v>
      </c>
      <c r="E230" s="15" t="s">
        <v>217</v>
      </c>
      <c r="F230" s="1" t="s">
        <v>128</v>
      </c>
      <c r="G230" s="16">
        <v>48</v>
      </c>
      <c r="H230" s="93">
        <f>'Emission Rates Net-by-Count'!$D$4</f>
        <v>1013.8429781871461</v>
      </c>
      <c r="I230" s="16">
        <f t="shared" si="7"/>
        <v>24.332231476491508</v>
      </c>
      <c r="M230" s="19"/>
      <c r="N230" s="19"/>
      <c r="O230" s="19"/>
      <c r="P230" s="19"/>
    </row>
    <row r="231" spans="1:16" x14ac:dyDescent="0.25">
      <c r="A231" s="91">
        <v>355</v>
      </c>
      <c r="B231" s="15">
        <v>2006</v>
      </c>
      <c r="C231" s="1" t="s">
        <v>44</v>
      </c>
      <c r="D231" s="1" t="s">
        <v>216</v>
      </c>
      <c r="E231" s="15" t="s">
        <v>217</v>
      </c>
      <c r="F231" s="1" t="s">
        <v>49</v>
      </c>
      <c r="G231" s="16">
        <v>22518</v>
      </c>
      <c r="H231" s="93">
        <f>'Emission Rates Net-by-Count'!$D$4</f>
        <v>1013.8429781871461</v>
      </c>
      <c r="I231" s="16">
        <f t="shared" si="7"/>
        <v>11414.858091409078</v>
      </c>
      <c r="M231" s="19"/>
      <c r="N231" s="19"/>
      <c r="O231" s="19"/>
      <c r="P231" s="19"/>
    </row>
    <row r="232" spans="1:16" x14ac:dyDescent="0.25">
      <c r="A232" s="91">
        <v>356</v>
      </c>
      <c r="B232" s="15">
        <v>2006</v>
      </c>
      <c r="C232" s="1" t="s">
        <v>44</v>
      </c>
      <c r="D232" s="1" t="s">
        <v>216</v>
      </c>
      <c r="E232" s="15" t="s">
        <v>217</v>
      </c>
      <c r="F232" s="1" t="s">
        <v>50</v>
      </c>
      <c r="G232" s="16">
        <v>12360</v>
      </c>
      <c r="H232" s="93">
        <f>'Emission Rates Net-by-Count'!$D$4</f>
        <v>1013.8429781871461</v>
      </c>
      <c r="I232" s="16">
        <f t="shared" si="7"/>
        <v>6265.5496051965629</v>
      </c>
      <c r="M232" s="19"/>
      <c r="N232" s="19"/>
      <c r="O232" s="19"/>
      <c r="P232" s="19"/>
    </row>
    <row r="233" spans="1:16" x14ac:dyDescent="0.25">
      <c r="A233" s="91">
        <v>357</v>
      </c>
      <c r="B233" s="15">
        <v>2006</v>
      </c>
      <c r="C233" s="1" t="s">
        <v>44</v>
      </c>
      <c r="D233" s="1" t="s">
        <v>216</v>
      </c>
      <c r="E233" s="15" t="s">
        <v>217</v>
      </c>
      <c r="F233" s="1" t="s">
        <v>51</v>
      </c>
      <c r="G233" s="16">
        <v>-2421278</v>
      </c>
      <c r="H233" s="93">
        <f>'Emission Rates Net-by-Count'!$D$4</f>
        <v>1013.8429781871461</v>
      </c>
      <c r="I233" s="16">
        <f t="shared" si="7"/>
        <v>-1227397.8492695084</v>
      </c>
      <c r="M233" s="19"/>
      <c r="N233" s="19"/>
      <c r="O233" s="19"/>
      <c r="P233" s="19"/>
    </row>
    <row r="234" spans="1:16" x14ac:dyDescent="0.25">
      <c r="A234" s="91">
        <v>358</v>
      </c>
      <c r="B234" s="15">
        <v>2006</v>
      </c>
      <c r="C234" s="1" t="s">
        <v>44</v>
      </c>
      <c r="D234" s="1" t="s">
        <v>216</v>
      </c>
      <c r="E234" s="15" t="s">
        <v>217</v>
      </c>
      <c r="F234" s="1" t="s">
        <v>52</v>
      </c>
      <c r="G234" s="16">
        <v>181121</v>
      </c>
      <c r="H234" s="93">
        <f>'Emission Rates Net-by-Count'!$D$4</f>
        <v>1013.8429781871461</v>
      </c>
      <c r="I234" s="16">
        <f t="shared" si="7"/>
        <v>91814.127026117043</v>
      </c>
      <c r="M234" s="19"/>
      <c r="N234" s="19"/>
      <c r="O234" s="19"/>
      <c r="P234" s="19"/>
    </row>
    <row r="235" spans="1:16" x14ac:dyDescent="0.25">
      <c r="A235" s="91">
        <v>359</v>
      </c>
      <c r="B235" s="15">
        <v>2006</v>
      </c>
      <c r="C235" s="1" t="s">
        <v>44</v>
      </c>
      <c r="D235" s="1" t="s">
        <v>216</v>
      </c>
      <c r="E235" s="15" t="s">
        <v>217</v>
      </c>
      <c r="F235" s="1" t="s">
        <v>21</v>
      </c>
      <c r="G235" s="16">
        <v>739012</v>
      </c>
      <c r="H235" s="93">
        <f>'Emission Rates Net-by-Count'!$D$4</f>
        <v>1013.8429781871461</v>
      </c>
      <c r="I235" s="16">
        <f t="shared" si="7"/>
        <v>374621.06349801959</v>
      </c>
      <c r="M235" s="19"/>
      <c r="N235" s="19"/>
      <c r="O235" s="19"/>
      <c r="P235" s="19"/>
    </row>
    <row r="236" spans="1:16" x14ac:dyDescent="0.25">
      <c r="A236" s="91">
        <v>360</v>
      </c>
      <c r="B236" s="15">
        <v>2006</v>
      </c>
      <c r="C236" s="1" t="s">
        <v>44</v>
      </c>
      <c r="D236" s="1" t="s">
        <v>216</v>
      </c>
      <c r="E236" s="15" t="s">
        <v>217</v>
      </c>
      <c r="F236" s="1" t="s">
        <v>53</v>
      </c>
      <c r="G236" s="16">
        <v>4195</v>
      </c>
      <c r="H236" s="93">
        <f>'Emission Rates Net-by-Count'!$D$4</f>
        <v>1013.8429781871461</v>
      </c>
      <c r="I236" s="16">
        <f t="shared" si="7"/>
        <v>2126.535646747539</v>
      </c>
      <c r="M236" s="19"/>
      <c r="N236" s="19"/>
      <c r="O236" s="19"/>
      <c r="P236" s="19"/>
    </row>
    <row r="237" spans="1:16" x14ac:dyDescent="0.25">
      <c r="A237" s="91">
        <v>361</v>
      </c>
      <c r="B237" s="15">
        <v>2006</v>
      </c>
      <c r="C237" s="1" t="s">
        <v>44</v>
      </c>
      <c r="D237" s="1" t="s">
        <v>216</v>
      </c>
      <c r="E237" s="15" t="s">
        <v>217</v>
      </c>
      <c r="F237" s="1" t="s">
        <v>56</v>
      </c>
      <c r="G237" s="16">
        <v>48374</v>
      </c>
      <c r="H237" s="93">
        <f>'Emission Rates Net-by-Count'!$D$4</f>
        <v>1013.8429781871461</v>
      </c>
      <c r="I237" s="16">
        <f t="shared" si="7"/>
        <v>24521.820113412505</v>
      </c>
      <c r="M237" s="19"/>
      <c r="N237" s="19"/>
      <c r="O237" s="19"/>
      <c r="P237" s="19"/>
    </row>
    <row r="238" spans="1:16" x14ac:dyDescent="0.25">
      <c r="A238" s="91">
        <v>362</v>
      </c>
      <c r="B238" s="15">
        <v>2006</v>
      </c>
      <c r="C238" s="1" t="s">
        <v>44</v>
      </c>
      <c r="D238" s="1" t="s">
        <v>216</v>
      </c>
      <c r="E238" s="15" t="s">
        <v>217</v>
      </c>
      <c r="F238" s="1" t="s">
        <v>57</v>
      </c>
      <c r="G238" s="16">
        <v>40907</v>
      </c>
      <c r="H238" s="93">
        <f>'Emission Rates Net-by-Count'!$D$4</f>
        <v>1013.8429781871461</v>
      </c>
      <c r="I238" s="16">
        <f t="shared" si="7"/>
        <v>20736.637354350791</v>
      </c>
      <c r="M238" s="19"/>
      <c r="N238" s="19"/>
      <c r="O238" s="19"/>
      <c r="P238" s="19"/>
    </row>
    <row r="239" spans="1:16" x14ac:dyDescent="0.25">
      <c r="A239" s="91">
        <v>363</v>
      </c>
      <c r="B239" s="15">
        <v>2006</v>
      </c>
      <c r="C239" s="1" t="s">
        <v>44</v>
      </c>
      <c r="D239" s="1" t="s">
        <v>216</v>
      </c>
      <c r="E239" s="15" t="s">
        <v>217</v>
      </c>
      <c r="F239" s="1" t="s">
        <v>129</v>
      </c>
      <c r="G239" s="16">
        <v>7400</v>
      </c>
      <c r="H239" s="93">
        <f>'Emission Rates Net-by-Count'!$D$4</f>
        <v>1013.8429781871461</v>
      </c>
      <c r="I239" s="16">
        <f t="shared" si="7"/>
        <v>3751.2190192924404</v>
      </c>
      <c r="M239" s="19"/>
      <c r="N239" s="19"/>
      <c r="O239" s="19"/>
      <c r="P239" s="19"/>
    </row>
    <row r="240" spans="1:16" x14ac:dyDescent="0.25">
      <c r="A240" s="91">
        <v>364</v>
      </c>
      <c r="B240" s="15">
        <v>2006</v>
      </c>
      <c r="C240" s="1" t="s">
        <v>44</v>
      </c>
      <c r="D240" s="1" t="s">
        <v>216</v>
      </c>
      <c r="E240" s="15" t="s">
        <v>217</v>
      </c>
      <c r="F240" s="1" t="s">
        <v>130</v>
      </c>
      <c r="G240" s="16">
        <v>21330</v>
      </c>
      <c r="H240" s="93">
        <f>'Emission Rates Net-by-Count'!$D$4</f>
        <v>1013.8429781871461</v>
      </c>
      <c r="I240" s="16">
        <f t="shared" si="7"/>
        <v>10812.635362365912</v>
      </c>
      <c r="M240" s="19"/>
      <c r="N240" s="19"/>
      <c r="O240" s="19"/>
      <c r="P240" s="19"/>
    </row>
    <row r="241" spans="1:16" x14ac:dyDescent="0.25">
      <c r="A241" s="91">
        <v>365</v>
      </c>
      <c r="B241" s="15">
        <v>2006</v>
      </c>
      <c r="C241" s="1" t="s">
        <v>44</v>
      </c>
      <c r="D241" s="1" t="s">
        <v>216</v>
      </c>
      <c r="E241" s="15" t="s">
        <v>217</v>
      </c>
      <c r="F241" s="1" t="s">
        <v>58</v>
      </c>
      <c r="G241" s="16">
        <v>117050</v>
      </c>
      <c r="H241" s="93">
        <f>'Emission Rates Net-by-Count'!$D$4</f>
        <v>1013.8429781871461</v>
      </c>
      <c r="I241" s="16">
        <f t="shared" si="7"/>
        <v>59335.160298402727</v>
      </c>
      <c r="M241" s="19"/>
      <c r="N241" s="19"/>
      <c r="O241" s="19"/>
      <c r="P241" s="19"/>
    </row>
    <row r="242" spans="1:16" x14ac:dyDescent="0.25">
      <c r="A242" s="91">
        <v>366</v>
      </c>
      <c r="B242" s="15">
        <v>2006</v>
      </c>
      <c r="C242" s="1" t="s">
        <v>44</v>
      </c>
      <c r="D242" s="1" t="s">
        <v>216</v>
      </c>
      <c r="E242" s="15" t="s">
        <v>217</v>
      </c>
      <c r="F242" s="1" t="s">
        <v>59</v>
      </c>
      <c r="G242" s="16">
        <v>9785</v>
      </c>
      <c r="H242" s="93">
        <f>'Emission Rates Net-by-Count'!$D$4</f>
        <v>1013.8429781871461</v>
      </c>
      <c r="I242" s="16">
        <f t="shared" si="7"/>
        <v>4960.2267707806113</v>
      </c>
      <c r="M242" s="19"/>
      <c r="N242" s="19"/>
      <c r="O242" s="19"/>
      <c r="P242" s="19"/>
    </row>
    <row r="243" spans="1:16" x14ac:dyDescent="0.25">
      <c r="A243" s="91">
        <v>367</v>
      </c>
      <c r="B243" s="15">
        <v>2006</v>
      </c>
      <c r="C243" s="1" t="s">
        <v>44</v>
      </c>
      <c r="D243" s="1" t="s">
        <v>216</v>
      </c>
      <c r="E243" s="15" t="s">
        <v>217</v>
      </c>
      <c r="F243" s="1" t="s">
        <v>60</v>
      </c>
      <c r="G243" s="16">
        <v>17475</v>
      </c>
      <c r="H243" s="93">
        <f>'Emission Rates Net-by-Count'!$D$4</f>
        <v>1013.8429781871461</v>
      </c>
      <c r="I243" s="16">
        <f t="shared" si="7"/>
        <v>8858.4530219101889</v>
      </c>
      <c r="M243" s="19"/>
      <c r="N243" s="19"/>
      <c r="O243" s="19"/>
      <c r="P243" s="19"/>
    </row>
    <row r="244" spans="1:16" x14ac:dyDescent="0.25">
      <c r="A244" s="91">
        <v>368</v>
      </c>
      <c r="B244" s="15">
        <v>2006</v>
      </c>
      <c r="C244" s="1" t="s">
        <v>44</v>
      </c>
      <c r="D244" s="1" t="s">
        <v>216</v>
      </c>
      <c r="E244" s="15" t="s">
        <v>217</v>
      </c>
      <c r="F244" s="1" t="s">
        <v>61</v>
      </c>
      <c r="G244" s="16">
        <v>320060</v>
      </c>
      <c r="H244" s="93">
        <f>'Emission Rates Net-by-Count'!$D$4</f>
        <v>1013.8429781871461</v>
      </c>
      <c r="I244" s="16">
        <f t="shared" si="7"/>
        <v>162245.291799289</v>
      </c>
      <c r="M244" s="19"/>
      <c r="N244" s="19"/>
      <c r="O244" s="19"/>
      <c r="P244" s="19"/>
    </row>
    <row r="245" spans="1:16" x14ac:dyDescent="0.25">
      <c r="A245" s="91">
        <v>369</v>
      </c>
      <c r="B245" s="15">
        <v>2006</v>
      </c>
      <c r="C245" s="1" t="s">
        <v>44</v>
      </c>
      <c r="D245" s="1" t="s">
        <v>216</v>
      </c>
      <c r="E245" s="15" t="s">
        <v>217</v>
      </c>
      <c r="F245" s="1" t="s">
        <v>131</v>
      </c>
      <c r="G245" s="16">
        <v>27200</v>
      </c>
      <c r="H245" s="93">
        <f>'Emission Rates Net-by-Count'!$D$4</f>
        <v>1013.8429781871461</v>
      </c>
      <c r="I245" s="16">
        <f t="shared" si="7"/>
        <v>13788.264503345186</v>
      </c>
      <c r="M245" s="19"/>
      <c r="N245" s="19"/>
      <c r="O245" s="19"/>
      <c r="P245" s="19"/>
    </row>
    <row r="246" spans="1:16" x14ac:dyDescent="0.25">
      <c r="A246" s="91">
        <v>370</v>
      </c>
      <c r="B246" s="15">
        <v>2006</v>
      </c>
      <c r="C246" s="1" t="s">
        <v>44</v>
      </c>
      <c r="D246" s="1" t="s">
        <v>216</v>
      </c>
      <c r="E246" s="15" t="s">
        <v>217</v>
      </c>
      <c r="F246" s="1" t="s">
        <v>62</v>
      </c>
      <c r="G246" s="16">
        <v>292497</v>
      </c>
      <c r="H246" s="93">
        <f>'Emission Rates Net-by-Count'!$D$4</f>
        <v>1013.8429781871461</v>
      </c>
      <c r="I246" s="16">
        <f t="shared" si="7"/>
        <v>148273.01479540282</v>
      </c>
      <c r="M246" s="19"/>
      <c r="N246" s="19"/>
      <c r="O246" s="19"/>
      <c r="P246" s="19"/>
    </row>
    <row r="247" spans="1:16" x14ac:dyDescent="0.25">
      <c r="A247" s="91">
        <v>371</v>
      </c>
      <c r="B247" s="15">
        <v>2006</v>
      </c>
      <c r="C247" s="1" t="s">
        <v>44</v>
      </c>
      <c r="D247" s="1" t="s">
        <v>216</v>
      </c>
      <c r="E247" s="15" t="s">
        <v>217</v>
      </c>
      <c r="F247" s="1" t="s">
        <v>63</v>
      </c>
      <c r="G247" s="16">
        <v>175</v>
      </c>
      <c r="H247" s="93">
        <f>'Emission Rates Net-by-Count'!$D$4</f>
        <v>1013.8429781871461</v>
      </c>
      <c r="I247" s="16">
        <f t="shared" si="7"/>
        <v>88.711260591375279</v>
      </c>
      <c r="M247" s="19"/>
      <c r="N247" s="19"/>
      <c r="O247" s="19"/>
      <c r="P247" s="19"/>
    </row>
    <row r="248" spans="1:16" x14ac:dyDescent="0.25">
      <c r="A248" s="91">
        <v>372</v>
      </c>
      <c r="B248" s="15">
        <v>2006</v>
      </c>
      <c r="C248" s="1" t="s">
        <v>44</v>
      </c>
      <c r="D248" s="1" t="s">
        <v>216</v>
      </c>
      <c r="E248" s="15" t="s">
        <v>217</v>
      </c>
      <c r="F248" s="1" t="s">
        <v>64</v>
      </c>
      <c r="G248" s="16">
        <v>63703</v>
      </c>
      <c r="H248" s="93">
        <f>'Emission Rates Net-by-Count'!$D$4</f>
        <v>1013.8429781871461</v>
      </c>
      <c r="I248" s="16">
        <f t="shared" si="7"/>
        <v>32292.419619727883</v>
      </c>
      <c r="M248" s="19"/>
      <c r="N248" s="19"/>
      <c r="O248" s="19"/>
      <c r="P248" s="19"/>
    </row>
    <row r="249" spans="1:16" x14ac:dyDescent="0.25">
      <c r="A249" s="91">
        <v>373</v>
      </c>
      <c r="B249" s="15">
        <v>2006</v>
      </c>
      <c r="C249" s="1" t="s">
        <v>44</v>
      </c>
      <c r="D249" s="1" t="s">
        <v>216</v>
      </c>
      <c r="E249" s="15" t="s">
        <v>217</v>
      </c>
      <c r="F249" s="1" t="s">
        <v>65</v>
      </c>
      <c r="G249" s="16">
        <v>63650</v>
      </c>
      <c r="H249" s="93">
        <f>'Emission Rates Net-by-Count'!$D$4</f>
        <v>1013.8429781871461</v>
      </c>
      <c r="I249" s="16">
        <f t="shared" si="7"/>
        <v>32265.552780805923</v>
      </c>
      <c r="M249" s="19"/>
      <c r="N249" s="19"/>
      <c r="O249" s="19"/>
      <c r="P249" s="19"/>
    </row>
    <row r="250" spans="1:16" x14ac:dyDescent="0.25">
      <c r="A250" s="91">
        <v>374</v>
      </c>
      <c r="B250" s="15">
        <v>2006</v>
      </c>
      <c r="C250" s="1" t="s">
        <v>44</v>
      </c>
      <c r="D250" s="1" t="s">
        <v>216</v>
      </c>
      <c r="E250" s="15" t="s">
        <v>217</v>
      </c>
      <c r="F250" s="1" t="s">
        <v>132</v>
      </c>
      <c r="G250" s="16">
        <v>16400</v>
      </c>
      <c r="H250" s="93">
        <f>'Emission Rates Net-by-Count'!$D$4</f>
        <v>1013.8429781871461</v>
      </c>
      <c r="I250" s="16">
        <f t="shared" si="7"/>
        <v>8313.5124211345974</v>
      </c>
      <c r="M250" s="19"/>
      <c r="N250" s="19"/>
      <c r="O250" s="19"/>
      <c r="P250" s="19"/>
    </row>
    <row r="251" spans="1:16" x14ac:dyDescent="0.25">
      <c r="A251" s="91">
        <v>375</v>
      </c>
      <c r="B251" s="15">
        <v>2006</v>
      </c>
      <c r="C251" s="1" t="s">
        <v>44</v>
      </c>
      <c r="D251" s="1" t="s">
        <v>216</v>
      </c>
      <c r="E251" s="15" t="s">
        <v>217</v>
      </c>
      <c r="F251" s="1" t="s">
        <v>66</v>
      </c>
      <c r="G251" s="16">
        <v>15035</v>
      </c>
      <c r="H251" s="93">
        <f>'Emission Rates Net-by-Count'!$D$4</f>
        <v>1013.8429781871461</v>
      </c>
      <c r="I251" s="16">
        <f t="shared" si="7"/>
        <v>7621.564588521871</v>
      </c>
      <c r="M251" s="19"/>
      <c r="N251" s="19"/>
      <c r="O251" s="19"/>
      <c r="P251" s="19"/>
    </row>
    <row r="252" spans="1:16" x14ac:dyDescent="0.25">
      <c r="A252" s="91">
        <v>376</v>
      </c>
      <c r="B252" s="15">
        <v>2006</v>
      </c>
      <c r="C252" s="1" t="s">
        <v>44</v>
      </c>
      <c r="D252" s="1" t="s">
        <v>216</v>
      </c>
      <c r="E252" s="15" t="s">
        <v>217</v>
      </c>
      <c r="F252" s="1" t="s">
        <v>67</v>
      </c>
      <c r="G252" s="16">
        <v>89108</v>
      </c>
      <c r="H252" s="93">
        <f>'Emission Rates Net-by-Count'!$D$4</f>
        <v>1013.8429781871461</v>
      </c>
      <c r="I252" s="16">
        <f t="shared" si="7"/>
        <v>45170.760050150107</v>
      </c>
      <c r="M252" s="19"/>
      <c r="N252" s="19"/>
      <c r="O252" s="19"/>
      <c r="P252" s="19"/>
    </row>
    <row r="253" spans="1:16" x14ac:dyDescent="0.25">
      <c r="A253" s="91">
        <v>377</v>
      </c>
      <c r="B253" s="15">
        <v>2006</v>
      </c>
      <c r="C253" s="1" t="s">
        <v>44</v>
      </c>
      <c r="D253" s="1" t="s">
        <v>216</v>
      </c>
      <c r="E253" s="15" t="s">
        <v>217</v>
      </c>
      <c r="F253" s="1" t="s">
        <v>68</v>
      </c>
      <c r="G253" s="16">
        <v>21400</v>
      </c>
      <c r="H253" s="93">
        <f>'Emission Rates Net-by-Count'!$D$4</f>
        <v>1013.8429781871461</v>
      </c>
      <c r="I253" s="16">
        <f t="shared" si="7"/>
        <v>10848.119866602463</v>
      </c>
      <c r="M253" s="19"/>
      <c r="N253" s="19"/>
      <c r="O253" s="19"/>
      <c r="P253" s="19"/>
    </row>
    <row r="254" spans="1:16" x14ac:dyDescent="0.25">
      <c r="A254" s="91">
        <v>378</v>
      </c>
      <c r="B254" s="15">
        <v>2006</v>
      </c>
      <c r="C254" s="1" t="s">
        <v>44</v>
      </c>
      <c r="D254" s="1" t="s">
        <v>216</v>
      </c>
      <c r="E254" s="15" t="s">
        <v>217</v>
      </c>
      <c r="F254" s="1" t="s">
        <v>69</v>
      </c>
      <c r="G254" s="16">
        <v>400182</v>
      </c>
      <c r="H254" s="93">
        <f>'Emission Rates Net-by-Count'!$D$4</f>
        <v>1013.8429781871461</v>
      </c>
      <c r="I254" s="16">
        <f t="shared" si="7"/>
        <v>202860.85534844425</v>
      </c>
      <c r="M254" s="19"/>
      <c r="N254" s="19"/>
      <c r="O254" s="19"/>
      <c r="P254" s="19"/>
    </row>
    <row r="255" spans="1:16" x14ac:dyDescent="0.25">
      <c r="A255" s="91">
        <v>379</v>
      </c>
      <c r="B255" s="15">
        <v>2006</v>
      </c>
      <c r="C255" s="1" t="s">
        <v>44</v>
      </c>
      <c r="D255" s="1" t="s">
        <v>216</v>
      </c>
      <c r="E255" s="15" t="s">
        <v>217</v>
      </c>
      <c r="F255" s="1" t="s">
        <v>70</v>
      </c>
      <c r="G255" s="16">
        <v>84230</v>
      </c>
      <c r="H255" s="93">
        <f>'Emission Rates Net-by-Count'!$D$4</f>
        <v>1013.8429781871461</v>
      </c>
      <c r="I255" s="16">
        <f t="shared" si="7"/>
        <v>42697.997026351652</v>
      </c>
      <c r="M255" s="19"/>
      <c r="N255" s="19"/>
      <c r="O255" s="19"/>
      <c r="P255" s="19"/>
    </row>
    <row r="256" spans="1:16" x14ac:dyDescent="0.25">
      <c r="A256" s="91">
        <v>380</v>
      </c>
      <c r="B256" s="15">
        <v>2006</v>
      </c>
      <c r="C256" s="1" t="s">
        <v>44</v>
      </c>
      <c r="D256" s="1" t="s">
        <v>216</v>
      </c>
      <c r="E256" s="15" t="s">
        <v>217</v>
      </c>
      <c r="F256" s="1" t="s">
        <v>71</v>
      </c>
      <c r="G256" s="16">
        <v>99558</v>
      </c>
      <c r="H256" s="93">
        <f>'Emission Rates Net-by-Count'!$D$4</f>
        <v>1013.8429781871461</v>
      </c>
      <c r="I256" s="16">
        <f t="shared" si="7"/>
        <v>50468.089611177944</v>
      </c>
      <c r="M256" s="19"/>
      <c r="N256" s="19"/>
      <c r="O256" s="19"/>
      <c r="P256" s="19"/>
    </row>
    <row r="257" spans="1:16" x14ac:dyDescent="0.25">
      <c r="A257" s="91">
        <v>381</v>
      </c>
      <c r="B257" s="15">
        <v>2006</v>
      </c>
      <c r="C257" s="1" t="s">
        <v>44</v>
      </c>
      <c r="D257" s="1" t="s">
        <v>216</v>
      </c>
      <c r="E257" s="15" t="s">
        <v>217</v>
      </c>
      <c r="F257" s="1" t="s">
        <v>72</v>
      </c>
      <c r="G257" s="16">
        <v>20000</v>
      </c>
      <c r="H257" s="93">
        <f>'Emission Rates Net-by-Count'!$D$4</f>
        <v>1013.8429781871461</v>
      </c>
      <c r="I257" s="16">
        <f t="shared" ref="I257:I288" si="8">(G257*H257)/2000</f>
        <v>10138.42978187146</v>
      </c>
      <c r="M257" s="19"/>
      <c r="N257" s="19"/>
      <c r="O257" s="19"/>
      <c r="P257" s="19"/>
    </row>
    <row r="258" spans="1:16" x14ac:dyDescent="0.25">
      <c r="A258" s="91">
        <v>382</v>
      </c>
      <c r="B258" s="15">
        <v>2006</v>
      </c>
      <c r="C258" s="1" t="s">
        <v>44</v>
      </c>
      <c r="D258" s="1" t="s">
        <v>216</v>
      </c>
      <c r="E258" s="15" t="s">
        <v>217</v>
      </c>
      <c r="F258" s="1" t="s">
        <v>133</v>
      </c>
      <c r="G258" s="16">
        <v>10000</v>
      </c>
      <c r="H258" s="93">
        <f>'Emission Rates Net-by-Count'!$D$4</f>
        <v>1013.8429781871461</v>
      </c>
      <c r="I258" s="16">
        <f t="shared" si="8"/>
        <v>5069.2148909357302</v>
      </c>
      <c r="M258" s="19"/>
      <c r="N258" s="19"/>
      <c r="O258" s="19"/>
      <c r="P258" s="19"/>
    </row>
    <row r="259" spans="1:16" x14ac:dyDescent="0.25">
      <c r="A259" s="91">
        <v>383</v>
      </c>
      <c r="B259" s="15">
        <v>2006</v>
      </c>
      <c r="C259" s="1" t="s">
        <v>44</v>
      </c>
      <c r="D259" s="1" t="s">
        <v>216</v>
      </c>
      <c r="E259" s="15" t="s">
        <v>217</v>
      </c>
      <c r="F259" s="1" t="s">
        <v>134</v>
      </c>
      <c r="G259" s="16">
        <v>39.591999999999999</v>
      </c>
      <c r="H259" s="93">
        <f>'Emission Rates Net-by-Count'!$D$4</f>
        <v>1013.8429781871461</v>
      </c>
      <c r="I259" s="16">
        <f t="shared" si="8"/>
        <v>20.070035596192742</v>
      </c>
      <c r="M259" s="19"/>
      <c r="N259" s="19"/>
      <c r="O259" s="19"/>
      <c r="P259" s="19"/>
    </row>
    <row r="260" spans="1:16" x14ac:dyDescent="0.25">
      <c r="A260" s="91">
        <v>384</v>
      </c>
      <c r="B260" s="15">
        <v>2006</v>
      </c>
      <c r="C260" s="1" t="s">
        <v>44</v>
      </c>
      <c r="D260" s="1" t="s">
        <v>216</v>
      </c>
      <c r="E260" s="15" t="s">
        <v>217</v>
      </c>
      <c r="F260" s="1" t="s">
        <v>73</v>
      </c>
      <c r="G260" s="16">
        <v>31207</v>
      </c>
      <c r="H260" s="93">
        <f>'Emission Rates Net-by-Count'!$D$4</f>
        <v>1013.8429781871461</v>
      </c>
      <c r="I260" s="16">
        <f t="shared" si="8"/>
        <v>15819.498910143133</v>
      </c>
      <c r="M260" s="19"/>
      <c r="N260" s="19"/>
      <c r="O260" s="19"/>
      <c r="P260" s="19"/>
    </row>
    <row r="261" spans="1:16" x14ac:dyDescent="0.25">
      <c r="A261" s="91">
        <v>385</v>
      </c>
      <c r="B261" s="15">
        <v>2006</v>
      </c>
      <c r="C261" s="1" t="s">
        <v>44</v>
      </c>
      <c r="D261" s="1" t="s">
        <v>216</v>
      </c>
      <c r="E261" s="15" t="s">
        <v>217</v>
      </c>
      <c r="F261" s="1" t="s">
        <v>135</v>
      </c>
      <c r="G261" s="16">
        <v>7800</v>
      </c>
      <c r="H261" s="93">
        <f>'Emission Rates Net-by-Count'!$D$4</f>
        <v>1013.8429781871461</v>
      </c>
      <c r="I261" s="16">
        <f t="shared" si="8"/>
        <v>3953.9876149298698</v>
      </c>
      <c r="M261" s="19"/>
      <c r="N261" s="19"/>
      <c r="O261" s="19"/>
      <c r="P261" s="19"/>
    </row>
    <row r="262" spans="1:16" x14ac:dyDescent="0.25">
      <c r="A262" s="91">
        <v>386</v>
      </c>
      <c r="B262" s="15">
        <v>2006</v>
      </c>
      <c r="C262" s="1" t="s">
        <v>44</v>
      </c>
      <c r="D262" s="1" t="s">
        <v>216</v>
      </c>
      <c r="E262" s="15" t="s">
        <v>217</v>
      </c>
      <c r="F262" s="1" t="s">
        <v>74</v>
      </c>
      <c r="G262" s="16">
        <v>1275</v>
      </c>
      <c r="H262" s="93">
        <f>'Emission Rates Net-by-Count'!$D$4</f>
        <v>1013.8429781871461</v>
      </c>
      <c r="I262" s="16">
        <f t="shared" si="8"/>
        <v>646.32489859430564</v>
      </c>
      <c r="M262" s="19"/>
      <c r="N262" s="19"/>
      <c r="O262" s="19"/>
      <c r="P262" s="19"/>
    </row>
    <row r="263" spans="1:16" x14ac:dyDescent="0.25">
      <c r="A263" s="91">
        <v>387</v>
      </c>
      <c r="B263" s="15">
        <v>2006</v>
      </c>
      <c r="C263" s="1" t="s">
        <v>44</v>
      </c>
      <c r="D263" s="1" t="s">
        <v>216</v>
      </c>
      <c r="E263" s="15" t="s">
        <v>217</v>
      </c>
      <c r="F263" s="1" t="s">
        <v>75</v>
      </c>
      <c r="G263" s="16">
        <v>83200</v>
      </c>
      <c r="H263" s="93">
        <f>'Emission Rates Net-by-Count'!$D$4</f>
        <v>1013.8429781871461</v>
      </c>
      <c r="I263" s="16">
        <f t="shared" si="8"/>
        <v>42175.86789258528</v>
      </c>
      <c r="M263" s="19"/>
      <c r="N263" s="19"/>
      <c r="O263" s="19"/>
      <c r="P263" s="19"/>
    </row>
    <row r="264" spans="1:16" x14ac:dyDescent="0.25">
      <c r="A264" s="91">
        <v>388</v>
      </c>
      <c r="B264" s="15">
        <v>2006</v>
      </c>
      <c r="C264" s="1" t="s">
        <v>44</v>
      </c>
      <c r="D264" s="1" t="s">
        <v>216</v>
      </c>
      <c r="E264" s="15" t="s">
        <v>217</v>
      </c>
      <c r="F264" s="1" t="s">
        <v>76</v>
      </c>
      <c r="G264" s="16">
        <v>24400</v>
      </c>
      <c r="H264" s="93">
        <f>'Emission Rates Net-by-Count'!$D$4</f>
        <v>1013.8429781871461</v>
      </c>
      <c r="I264" s="16">
        <f t="shared" si="8"/>
        <v>12368.884333883181</v>
      </c>
      <c r="M264" s="19"/>
      <c r="N264" s="19"/>
      <c r="O264" s="19"/>
      <c r="P264" s="19"/>
    </row>
    <row r="265" spans="1:16" x14ac:dyDescent="0.25">
      <c r="A265" s="91">
        <v>389</v>
      </c>
      <c r="B265" s="15">
        <v>2006</v>
      </c>
      <c r="C265" s="1" t="s">
        <v>44</v>
      </c>
      <c r="D265" s="1" t="s">
        <v>216</v>
      </c>
      <c r="E265" s="15" t="s">
        <v>217</v>
      </c>
      <c r="F265" s="1" t="s">
        <v>77</v>
      </c>
      <c r="G265" s="16">
        <v>852</v>
      </c>
      <c r="H265" s="93">
        <f>'Emission Rates Net-by-Count'!$D$4</f>
        <v>1013.8429781871461</v>
      </c>
      <c r="I265" s="16">
        <f t="shared" si="8"/>
        <v>431.89710870772421</v>
      </c>
      <c r="M265" s="19"/>
      <c r="N265" s="19"/>
      <c r="O265" s="19"/>
      <c r="P265" s="19"/>
    </row>
    <row r="266" spans="1:16" x14ac:dyDescent="0.25">
      <c r="A266" s="91">
        <v>390</v>
      </c>
      <c r="B266" s="15">
        <v>2006</v>
      </c>
      <c r="C266" s="1" t="s">
        <v>44</v>
      </c>
      <c r="D266" s="1" t="s">
        <v>216</v>
      </c>
      <c r="E266" s="15" t="s">
        <v>217</v>
      </c>
      <c r="F266" s="1" t="s">
        <v>78</v>
      </c>
      <c r="G266" s="16">
        <v>276663</v>
      </c>
      <c r="H266" s="93">
        <f>'Emission Rates Net-by-Count'!$D$4</f>
        <v>1013.8429781871461</v>
      </c>
      <c r="I266" s="16">
        <f t="shared" si="8"/>
        <v>140246.4199370952</v>
      </c>
      <c r="M266" s="19"/>
      <c r="N266" s="19"/>
      <c r="O266" s="19"/>
      <c r="P266" s="19"/>
    </row>
    <row r="267" spans="1:16" x14ac:dyDescent="0.25">
      <c r="A267" s="91">
        <v>391</v>
      </c>
      <c r="B267" s="15">
        <v>2006</v>
      </c>
      <c r="C267" s="1" t="s">
        <v>44</v>
      </c>
      <c r="D267" s="1" t="s">
        <v>216</v>
      </c>
      <c r="E267" s="15" t="s">
        <v>217</v>
      </c>
      <c r="F267" s="1" t="s">
        <v>79</v>
      </c>
      <c r="G267" s="16">
        <v>1315</v>
      </c>
      <c r="H267" s="93">
        <f>'Emission Rates Net-by-Count'!$D$4</f>
        <v>1013.8429781871461</v>
      </c>
      <c r="I267" s="16">
        <f t="shared" si="8"/>
        <v>666.60175815804848</v>
      </c>
      <c r="M267" s="19"/>
      <c r="N267" s="19"/>
      <c r="O267" s="19"/>
      <c r="P267" s="19"/>
    </row>
    <row r="268" spans="1:16" x14ac:dyDescent="0.25">
      <c r="A268" s="91">
        <v>392</v>
      </c>
      <c r="B268" s="15">
        <v>2006</v>
      </c>
      <c r="C268" s="1" t="s">
        <v>44</v>
      </c>
      <c r="D268" s="1" t="s">
        <v>216</v>
      </c>
      <c r="E268" s="15" t="s">
        <v>217</v>
      </c>
      <c r="F268" s="1" t="s">
        <v>136</v>
      </c>
      <c r="G268" s="16">
        <v>3200</v>
      </c>
      <c r="H268" s="93">
        <f>'Emission Rates Net-by-Count'!$D$4</f>
        <v>1013.8429781871461</v>
      </c>
      <c r="I268" s="16">
        <f t="shared" si="8"/>
        <v>1622.1487650994336</v>
      </c>
      <c r="M268" s="19"/>
      <c r="N268" s="19"/>
      <c r="O268" s="19"/>
      <c r="P268" s="19"/>
    </row>
    <row r="269" spans="1:16" x14ac:dyDescent="0.25">
      <c r="A269" s="91">
        <v>393</v>
      </c>
      <c r="B269" s="15">
        <v>2006</v>
      </c>
      <c r="C269" s="1" t="s">
        <v>44</v>
      </c>
      <c r="D269" s="1" t="s">
        <v>216</v>
      </c>
      <c r="E269" s="15" t="s">
        <v>217</v>
      </c>
      <c r="F269" s="1" t="s">
        <v>80</v>
      </c>
      <c r="G269" s="16">
        <v>29225</v>
      </c>
      <c r="H269" s="93">
        <f>'Emission Rates Net-by-Count'!$D$4</f>
        <v>1013.8429781871461</v>
      </c>
      <c r="I269" s="16">
        <f t="shared" si="8"/>
        <v>14814.780518759671</v>
      </c>
      <c r="M269" s="19"/>
      <c r="N269" s="19"/>
      <c r="O269" s="19"/>
      <c r="P269" s="19"/>
    </row>
    <row r="270" spans="1:16" x14ac:dyDescent="0.25">
      <c r="A270" s="91">
        <v>394</v>
      </c>
      <c r="B270" s="15">
        <v>2006</v>
      </c>
      <c r="C270" s="1" t="s">
        <v>44</v>
      </c>
      <c r="D270" s="1" t="s">
        <v>216</v>
      </c>
      <c r="E270" s="15" t="s">
        <v>217</v>
      </c>
      <c r="F270" s="1" t="s">
        <v>81</v>
      </c>
      <c r="G270" s="16">
        <v>1342</v>
      </c>
      <c r="H270" s="93">
        <f>'Emission Rates Net-by-Count'!$D$4</f>
        <v>1013.8429781871461</v>
      </c>
      <c r="I270" s="16">
        <f t="shared" si="8"/>
        <v>680.28863836357493</v>
      </c>
      <c r="M270" s="19"/>
      <c r="N270" s="19"/>
      <c r="O270" s="19"/>
      <c r="P270" s="19"/>
    </row>
    <row r="271" spans="1:16" x14ac:dyDescent="0.25">
      <c r="A271" s="91">
        <v>395</v>
      </c>
      <c r="B271" s="15">
        <v>2006</v>
      </c>
      <c r="C271" s="1" t="s">
        <v>44</v>
      </c>
      <c r="D271" s="1" t="s">
        <v>216</v>
      </c>
      <c r="E271" s="15" t="s">
        <v>217</v>
      </c>
      <c r="F271" s="1" t="s">
        <v>82</v>
      </c>
      <c r="G271" s="16">
        <v>9629</v>
      </c>
      <c r="H271" s="93">
        <f>'Emission Rates Net-by-Count'!$D$4</f>
        <v>1013.8429781871461</v>
      </c>
      <c r="I271" s="16">
        <f t="shared" si="8"/>
        <v>4881.1470184820146</v>
      </c>
      <c r="M271" s="19"/>
      <c r="N271" s="19"/>
      <c r="O271" s="19"/>
      <c r="P271" s="19"/>
    </row>
    <row r="272" spans="1:16" x14ac:dyDescent="0.25">
      <c r="A272" s="91">
        <v>396</v>
      </c>
      <c r="B272" s="15">
        <v>2006</v>
      </c>
      <c r="C272" s="1" t="s">
        <v>44</v>
      </c>
      <c r="D272" s="1" t="s">
        <v>216</v>
      </c>
      <c r="E272" s="15" t="s">
        <v>217</v>
      </c>
      <c r="F272" s="1" t="s">
        <v>137</v>
      </c>
      <c r="G272" s="16">
        <v>1064</v>
      </c>
      <c r="H272" s="93">
        <f>'Emission Rates Net-by-Count'!$D$4</f>
        <v>1013.8429781871461</v>
      </c>
      <c r="I272" s="16">
        <f t="shared" si="8"/>
        <v>539.36446439556175</v>
      </c>
      <c r="M272" s="19"/>
      <c r="N272" s="19"/>
      <c r="O272" s="19"/>
      <c r="P272" s="19"/>
    </row>
    <row r="273" spans="1:16" x14ac:dyDescent="0.25">
      <c r="A273" s="91">
        <v>397</v>
      </c>
      <c r="B273" s="15">
        <v>2006</v>
      </c>
      <c r="C273" s="1" t="s">
        <v>44</v>
      </c>
      <c r="D273" s="1" t="s">
        <v>216</v>
      </c>
      <c r="E273" s="15" t="s">
        <v>217</v>
      </c>
      <c r="F273" s="1" t="s">
        <v>83</v>
      </c>
      <c r="G273" s="16">
        <v>3761</v>
      </c>
      <c r="H273" s="93">
        <f>'Emission Rates Net-by-Count'!$D$4</f>
        <v>1013.8429781871461</v>
      </c>
      <c r="I273" s="16">
        <f t="shared" si="8"/>
        <v>1906.5317204809282</v>
      </c>
      <c r="M273" s="19"/>
      <c r="N273" s="19"/>
      <c r="O273" s="19"/>
      <c r="P273" s="19"/>
    </row>
    <row r="274" spans="1:16" x14ac:dyDescent="0.25">
      <c r="A274" s="91">
        <v>398</v>
      </c>
      <c r="B274" s="15">
        <v>2006</v>
      </c>
      <c r="C274" s="1" t="s">
        <v>44</v>
      </c>
      <c r="D274" s="1" t="s">
        <v>216</v>
      </c>
      <c r="E274" s="15" t="s">
        <v>217</v>
      </c>
      <c r="F274" s="1" t="s">
        <v>84</v>
      </c>
      <c r="G274" s="16">
        <v>181909</v>
      </c>
      <c r="H274" s="93">
        <f>'Emission Rates Net-by-Count'!$D$4</f>
        <v>1013.8429781871461</v>
      </c>
      <c r="I274" s="16">
        <f t="shared" si="8"/>
        <v>92213.581159522771</v>
      </c>
      <c r="M274" s="19"/>
      <c r="N274" s="19"/>
      <c r="O274" s="19"/>
      <c r="P274" s="19"/>
    </row>
    <row r="275" spans="1:16" x14ac:dyDescent="0.25">
      <c r="A275" s="91">
        <v>399</v>
      </c>
      <c r="B275" s="15">
        <v>2006</v>
      </c>
      <c r="C275" s="1" t="s">
        <v>44</v>
      </c>
      <c r="D275" s="1" t="s">
        <v>216</v>
      </c>
      <c r="E275" s="15" t="s">
        <v>217</v>
      </c>
      <c r="F275" s="1" t="s">
        <v>85</v>
      </c>
      <c r="G275" s="16">
        <v>352506</v>
      </c>
      <c r="H275" s="93">
        <f>'Emission Rates Net-by-Count'!$D$4</f>
        <v>1013.8429781871461</v>
      </c>
      <c r="I275" s="16">
        <f t="shared" si="8"/>
        <v>178692.86643441906</v>
      </c>
      <c r="M275" s="19"/>
      <c r="N275" s="19"/>
      <c r="O275" s="19"/>
      <c r="P275" s="19"/>
    </row>
    <row r="276" spans="1:16" x14ac:dyDescent="0.25">
      <c r="A276" s="91">
        <v>400</v>
      </c>
      <c r="B276" s="15">
        <v>2006</v>
      </c>
      <c r="C276" s="1" t="s">
        <v>44</v>
      </c>
      <c r="D276" s="1" t="s">
        <v>216</v>
      </c>
      <c r="E276" s="15" t="s">
        <v>217</v>
      </c>
      <c r="F276" s="1" t="s">
        <v>138</v>
      </c>
      <c r="G276" s="16">
        <v>24945</v>
      </c>
      <c r="H276" s="93">
        <f>'Emission Rates Net-by-Count'!$D$4</f>
        <v>1013.8429781871461</v>
      </c>
      <c r="I276" s="16">
        <f t="shared" si="8"/>
        <v>12645.15654543918</v>
      </c>
      <c r="M276" s="19"/>
      <c r="N276" s="19"/>
      <c r="O276" s="19"/>
      <c r="P276" s="19"/>
    </row>
    <row r="277" spans="1:16" x14ac:dyDescent="0.25">
      <c r="A277" s="91">
        <v>401</v>
      </c>
      <c r="B277" s="15">
        <v>2006</v>
      </c>
      <c r="C277" s="1" t="s">
        <v>44</v>
      </c>
      <c r="D277" s="1" t="s">
        <v>216</v>
      </c>
      <c r="E277" s="15" t="s">
        <v>217</v>
      </c>
      <c r="F277" s="1" t="s">
        <v>86</v>
      </c>
      <c r="G277" s="16">
        <v>889475</v>
      </c>
      <c r="H277" s="93">
        <f>'Emission Rates Net-by-Count'!$D$4</f>
        <v>1013.8429781871461</v>
      </c>
      <c r="I277" s="16">
        <f t="shared" si="8"/>
        <v>450893.99151150585</v>
      </c>
      <c r="M277" s="19"/>
      <c r="N277" s="19"/>
      <c r="O277" s="19"/>
      <c r="P277" s="19"/>
    </row>
    <row r="278" spans="1:16" x14ac:dyDescent="0.25">
      <c r="A278" s="91">
        <v>402</v>
      </c>
      <c r="B278" s="15">
        <v>2006</v>
      </c>
      <c r="C278" s="1" t="s">
        <v>44</v>
      </c>
      <c r="D278" s="1" t="s">
        <v>216</v>
      </c>
      <c r="E278" s="15" t="s">
        <v>217</v>
      </c>
      <c r="F278" s="1" t="s">
        <v>87</v>
      </c>
      <c r="G278" s="16">
        <v>500872</v>
      </c>
      <c r="H278" s="93">
        <f>'Emission Rates Net-by-Count'!$D$4</f>
        <v>1013.8429781871461</v>
      </c>
      <c r="I278" s="16">
        <f t="shared" si="8"/>
        <v>253902.78008527608</v>
      </c>
      <c r="M278" s="19"/>
      <c r="N278" s="19"/>
      <c r="O278" s="19"/>
      <c r="P278" s="19"/>
    </row>
    <row r="279" spans="1:16" x14ac:dyDescent="0.25">
      <c r="A279" s="91">
        <v>403</v>
      </c>
      <c r="B279" s="15">
        <v>2006</v>
      </c>
      <c r="C279" s="1" t="s">
        <v>44</v>
      </c>
      <c r="D279" s="1" t="s">
        <v>216</v>
      </c>
      <c r="E279" s="15" t="s">
        <v>217</v>
      </c>
      <c r="F279" s="1" t="s">
        <v>88</v>
      </c>
      <c r="G279" s="16">
        <v>504275</v>
      </c>
      <c r="H279" s="93">
        <f>'Emission Rates Net-by-Count'!$D$4</f>
        <v>1013.8429781871461</v>
      </c>
      <c r="I279" s="16">
        <f t="shared" si="8"/>
        <v>255627.83391266156</v>
      </c>
      <c r="M279" s="19"/>
      <c r="N279" s="19"/>
      <c r="O279" s="19"/>
      <c r="P279" s="19"/>
    </row>
    <row r="280" spans="1:16" x14ac:dyDescent="0.25">
      <c r="A280" s="91">
        <v>404</v>
      </c>
      <c r="B280" s="15">
        <v>2006</v>
      </c>
      <c r="C280" s="1" t="s">
        <v>44</v>
      </c>
      <c r="D280" s="1" t="s">
        <v>216</v>
      </c>
      <c r="E280" s="15" t="s">
        <v>217</v>
      </c>
      <c r="F280" s="1" t="s">
        <v>89</v>
      </c>
      <c r="G280" s="16">
        <v>41793</v>
      </c>
      <c r="H280" s="93">
        <f>'Emission Rates Net-by-Count'!$D$4</f>
        <v>1013.8429781871461</v>
      </c>
      <c r="I280" s="16">
        <f t="shared" si="8"/>
        <v>21185.769793687698</v>
      </c>
      <c r="M280" s="19"/>
      <c r="N280" s="19"/>
      <c r="O280" s="19"/>
      <c r="P280" s="19"/>
    </row>
    <row r="281" spans="1:16" x14ac:dyDescent="0.25">
      <c r="A281" s="91">
        <v>405</v>
      </c>
      <c r="B281" s="15">
        <v>2006</v>
      </c>
      <c r="C281" s="1" t="s">
        <v>44</v>
      </c>
      <c r="D281" s="1" t="s">
        <v>216</v>
      </c>
      <c r="E281" s="15" t="s">
        <v>217</v>
      </c>
      <c r="F281" s="1" t="s">
        <v>90</v>
      </c>
      <c r="G281" s="16">
        <v>19800</v>
      </c>
      <c r="H281" s="93">
        <f>'Emission Rates Net-by-Count'!$D$4</f>
        <v>1013.8429781871461</v>
      </c>
      <c r="I281" s="16">
        <f t="shared" si="8"/>
        <v>10037.045484052745</v>
      </c>
      <c r="M281" s="19"/>
      <c r="N281" s="19"/>
      <c r="O281" s="19"/>
      <c r="P281" s="19"/>
    </row>
    <row r="282" spans="1:16" x14ac:dyDescent="0.25">
      <c r="A282" s="91">
        <v>406</v>
      </c>
      <c r="B282" s="15">
        <v>2006</v>
      </c>
      <c r="C282" s="1" t="s">
        <v>44</v>
      </c>
      <c r="D282" s="1" t="s">
        <v>216</v>
      </c>
      <c r="E282" s="15" t="s">
        <v>217</v>
      </c>
      <c r="F282" s="1" t="s">
        <v>91</v>
      </c>
      <c r="G282" s="16">
        <v>121336</v>
      </c>
      <c r="H282" s="93">
        <f>'Emission Rates Net-by-Count'!$D$4</f>
        <v>1013.8429781871461</v>
      </c>
      <c r="I282" s="16">
        <f t="shared" si="8"/>
        <v>61507.825800657782</v>
      </c>
      <c r="M282" s="19"/>
      <c r="N282" s="19"/>
      <c r="O282" s="19"/>
      <c r="P282" s="19"/>
    </row>
    <row r="283" spans="1:16" x14ac:dyDescent="0.25">
      <c r="A283" s="91">
        <v>407</v>
      </c>
      <c r="B283" s="15">
        <v>2006</v>
      </c>
      <c r="C283" s="1" t="s">
        <v>44</v>
      </c>
      <c r="D283" s="1" t="s">
        <v>216</v>
      </c>
      <c r="E283" s="15" t="s">
        <v>217</v>
      </c>
      <c r="F283" s="1" t="s">
        <v>92</v>
      </c>
      <c r="G283" s="16">
        <v>2903</v>
      </c>
      <c r="H283" s="93">
        <f>'Emission Rates Net-by-Count'!$D$4</f>
        <v>1013.8429781871461</v>
      </c>
      <c r="I283" s="16">
        <f t="shared" si="8"/>
        <v>1471.5930828386424</v>
      </c>
      <c r="M283" s="19"/>
      <c r="N283" s="19"/>
      <c r="O283" s="19"/>
      <c r="P283" s="19"/>
    </row>
    <row r="284" spans="1:16" x14ac:dyDescent="0.25">
      <c r="A284" s="91">
        <v>408</v>
      </c>
      <c r="B284" s="15">
        <v>2006</v>
      </c>
      <c r="C284" s="1" t="s">
        <v>44</v>
      </c>
      <c r="D284" s="1" t="s">
        <v>216</v>
      </c>
      <c r="E284" s="15" t="s">
        <v>217</v>
      </c>
      <c r="F284" s="1" t="s">
        <v>93</v>
      </c>
      <c r="G284" s="16">
        <v>5025</v>
      </c>
      <c r="H284" s="93">
        <f>'Emission Rates Net-by-Count'!$D$4</f>
        <v>1013.8429781871461</v>
      </c>
      <c r="I284" s="16">
        <f t="shared" si="8"/>
        <v>2547.2804826952047</v>
      </c>
      <c r="M284" s="19"/>
      <c r="N284" s="19"/>
      <c r="O284" s="19"/>
      <c r="P284" s="19"/>
    </row>
    <row r="285" spans="1:16" x14ac:dyDescent="0.25">
      <c r="A285" s="91">
        <v>409</v>
      </c>
      <c r="B285" s="15">
        <v>2006</v>
      </c>
      <c r="C285" s="1" t="s">
        <v>44</v>
      </c>
      <c r="D285" s="1" t="s">
        <v>216</v>
      </c>
      <c r="E285" s="15" t="s">
        <v>217</v>
      </c>
      <c r="F285" s="1" t="s">
        <v>94</v>
      </c>
      <c r="G285" s="16">
        <v>6904</v>
      </c>
      <c r="H285" s="93">
        <f>'Emission Rates Net-by-Count'!$D$4</f>
        <v>1013.8429781871461</v>
      </c>
      <c r="I285" s="16">
        <f t="shared" si="8"/>
        <v>3499.7859607020282</v>
      </c>
      <c r="M285" s="19"/>
      <c r="N285" s="19"/>
      <c r="O285" s="19"/>
      <c r="P285" s="19"/>
    </row>
    <row r="286" spans="1:16" x14ac:dyDescent="0.25">
      <c r="A286" s="91">
        <v>410</v>
      </c>
      <c r="B286" s="15">
        <v>2006</v>
      </c>
      <c r="C286" s="1" t="s">
        <v>44</v>
      </c>
      <c r="D286" s="1" t="s">
        <v>216</v>
      </c>
      <c r="E286" s="15" t="s">
        <v>217</v>
      </c>
      <c r="F286" s="1" t="s">
        <v>95</v>
      </c>
      <c r="G286" s="16">
        <v>172078</v>
      </c>
      <c r="H286" s="93">
        <f>'Emission Rates Net-by-Count'!$D$4</f>
        <v>1013.8429781871461</v>
      </c>
      <c r="I286" s="16">
        <f t="shared" si="8"/>
        <v>87230.036000243854</v>
      </c>
      <c r="M286" s="19"/>
      <c r="N286" s="19"/>
      <c r="O286" s="19"/>
      <c r="P286" s="19"/>
    </row>
    <row r="287" spans="1:16" x14ac:dyDescent="0.25">
      <c r="A287" s="91">
        <v>411</v>
      </c>
      <c r="B287" s="15">
        <v>2006</v>
      </c>
      <c r="C287" s="1" t="s">
        <v>44</v>
      </c>
      <c r="D287" s="1" t="s">
        <v>216</v>
      </c>
      <c r="E287" s="15" t="s">
        <v>217</v>
      </c>
      <c r="F287" s="1" t="s">
        <v>96</v>
      </c>
      <c r="G287" s="16">
        <v>1226010</v>
      </c>
      <c r="H287" s="93">
        <f>'Emission Rates Net-by-Count'!$D$4</f>
        <v>1013.8429781871461</v>
      </c>
      <c r="I287" s="16">
        <f t="shared" si="8"/>
        <v>621490.81484361144</v>
      </c>
      <c r="M287" s="19"/>
      <c r="N287" s="19"/>
      <c r="O287" s="19"/>
      <c r="P287" s="19"/>
    </row>
    <row r="288" spans="1:16" x14ac:dyDescent="0.25">
      <c r="A288" s="91">
        <v>412</v>
      </c>
      <c r="B288" s="15">
        <v>2006</v>
      </c>
      <c r="C288" s="1" t="s">
        <v>44</v>
      </c>
      <c r="D288" s="1" t="s">
        <v>216</v>
      </c>
      <c r="E288" s="15" t="s">
        <v>217</v>
      </c>
      <c r="F288" s="1" t="s">
        <v>97</v>
      </c>
      <c r="G288" s="16">
        <v>730645</v>
      </c>
      <c r="H288" s="93">
        <f>'Emission Rates Net-by-Count'!$D$4</f>
        <v>1013.8429781871461</v>
      </c>
      <c r="I288" s="16">
        <f t="shared" si="8"/>
        <v>370379.65139877365</v>
      </c>
      <c r="M288" s="19"/>
      <c r="N288" s="19"/>
      <c r="O288" s="19"/>
      <c r="P288" s="19"/>
    </row>
    <row r="289" spans="1:16" x14ac:dyDescent="0.25">
      <c r="A289" s="91">
        <v>413</v>
      </c>
      <c r="B289" s="15">
        <v>2006</v>
      </c>
      <c r="C289" s="1" t="s">
        <v>44</v>
      </c>
      <c r="D289" s="1" t="s">
        <v>216</v>
      </c>
      <c r="E289" s="15" t="s">
        <v>217</v>
      </c>
      <c r="F289" s="1" t="s">
        <v>98</v>
      </c>
      <c r="G289" s="16">
        <v>26329</v>
      </c>
      <c r="H289" s="93">
        <f>'Emission Rates Net-by-Count'!$D$4</f>
        <v>1013.8429781871461</v>
      </c>
      <c r="I289" s="16">
        <f t="shared" ref="I289:I320" si="9">(G289*H289)/2000</f>
        <v>13346.735886344684</v>
      </c>
      <c r="M289" s="19"/>
      <c r="N289" s="19"/>
      <c r="O289" s="19"/>
      <c r="P289" s="19"/>
    </row>
    <row r="290" spans="1:16" x14ac:dyDescent="0.25">
      <c r="A290" s="91">
        <v>414</v>
      </c>
      <c r="B290" s="15">
        <v>2006</v>
      </c>
      <c r="C290" s="1" t="s">
        <v>44</v>
      </c>
      <c r="D290" s="1" t="s">
        <v>216</v>
      </c>
      <c r="E290" s="15" t="s">
        <v>217</v>
      </c>
      <c r="F290" s="1" t="s">
        <v>99</v>
      </c>
      <c r="G290" s="16">
        <v>448</v>
      </c>
      <c r="H290" s="93">
        <f>'Emission Rates Net-by-Count'!$D$4</f>
        <v>1013.8429781871461</v>
      </c>
      <c r="I290" s="16">
        <f t="shared" si="9"/>
        <v>227.1008271139207</v>
      </c>
      <c r="M290" s="19"/>
      <c r="N290" s="19"/>
      <c r="O290" s="19"/>
      <c r="P290" s="19"/>
    </row>
    <row r="291" spans="1:16" x14ac:dyDescent="0.25">
      <c r="A291" s="91">
        <v>415</v>
      </c>
      <c r="B291" s="15">
        <v>2006</v>
      </c>
      <c r="C291" s="1" t="s">
        <v>44</v>
      </c>
      <c r="D291" s="1" t="s">
        <v>216</v>
      </c>
      <c r="E291" s="15" t="s">
        <v>217</v>
      </c>
      <c r="F291" s="1" t="s">
        <v>100</v>
      </c>
      <c r="G291" s="16">
        <v>80505</v>
      </c>
      <c r="H291" s="93">
        <f>'Emission Rates Net-by-Count'!$D$4</f>
        <v>1013.8429781871461</v>
      </c>
      <c r="I291" s="16">
        <f t="shared" si="9"/>
        <v>40809.714479478098</v>
      </c>
      <c r="M291" s="19"/>
      <c r="N291" s="19"/>
      <c r="O291" s="19"/>
      <c r="P291" s="19"/>
    </row>
    <row r="292" spans="1:16" x14ac:dyDescent="0.25">
      <c r="A292" s="91">
        <v>416</v>
      </c>
      <c r="B292" s="15">
        <v>2006</v>
      </c>
      <c r="C292" s="1" t="s">
        <v>44</v>
      </c>
      <c r="D292" s="1" t="s">
        <v>216</v>
      </c>
      <c r="E292" s="15" t="s">
        <v>217</v>
      </c>
      <c r="F292" s="1" t="s">
        <v>101</v>
      </c>
      <c r="G292" s="16">
        <v>29334</v>
      </c>
      <c r="H292" s="93">
        <f>'Emission Rates Net-by-Count'!$D$4</f>
        <v>1013.8429781871461</v>
      </c>
      <c r="I292" s="16">
        <f t="shared" si="9"/>
        <v>14870.034961070871</v>
      </c>
      <c r="M292" s="19"/>
      <c r="N292" s="19"/>
      <c r="O292" s="19"/>
      <c r="P292" s="19"/>
    </row>
    <row r="293" spans="1:16" x14ac:dyDescent="0.25">
      <c r="A293" s="91">
        <v>417</v>
      </c>
      <c r="B293" s="15">
        <v>2006</v>
      </c>
      <c r="C293" s="1" t="s">
        <v>44</v>
      </c>
      <c r="D293" s="1" t="s">
        <v>216</v>
      </c>
      <c r="E293" s="15" t="s">
        <v>217</v>
      </c>
      <c r="F293" s="1" t="s">
        <v>102</v>
      </c>
      <c r="G293" s="16">
        <v>116640</v>
      </c>
      <c r="H293" s="93">
        <f>'Emission Rates Net-by-Count'!$D$4</f>
        <v>1013.8429781871461</v>
      </c>
      <c r="I293" s="16">
        <f t="shared" si="9"/>
        <v>59127.322487874357</v>
      </c>
      <c r="M293" s="19"/>
      <c r="N293" s="19"/>
      <c r="O293" s="19"/>
      <c r="P293" s="19"/>
    </row>
    <row r="294" spans="1:16" x14ac:dyDescent="0.25">
      <c r="A294" s="91">
        <v>418</v>
      </c>
      <c r="B294" s="15">
        <v>2006</v>
      </c>
      <c r="C294" s="1" t="s">
        <v>44</v>
      </c>
      <c r="D294" s="1" t="s">
        <v>216</v>
      </c>
      <c r="E294" s="15" t="s">
        <v>217</v>
      </c>
      <c r="F294" s="1" t="s">
        <v>39</v>
      </c>
      <c r="G294" s="16">
        <v>21787.52</v>
      </c>
      <c r="H294" s="93">
        <f>'Emission Rates Net-by-Count'!$D$4</f>
        <v>1013.8429781871461</v>
      </c>
      <c r="I294" s="16">
        <f t="shared" si="9"/>
        <v>11044.562082056005</v>
      </c>
      <c r="M294" s="19"/>
      <c r="N294" s="19"/>
      <c r="O294" s="19"/>
      <c r="P294" s="19"/>
    </row>
    <row r="295" spans="1:16" x14ac:dyDescent="0.25">
      <c r="A295" s="91">
        <v>419</v>
      </c>
      <c r="B295" s="15">
        <v>2006</v>
      </c>
      <c r="C295" s="1" t="s">
        <v>44</v>
      </c>
      <c r="D295" s="1" t="s">
        <v>216</v>
      </c>
      <c r="E295" s="15" t="s">
        <v>217</v>
      </c>
      <c r="F295" s="1" t="s">
        <v>103</v>
      </c>
      <c r="G295" s="16">
        <v>107444</v>
      </c>
      <c r="H295" s="93">
        <f>'Emission Rates Net-by-Count'!$D$4</f>
        <v>1013.8429781871461</v>
      </c>
      <c r="I295" s="16">
        <f t="shared" si="9"/>
        <v>54465.672474169856</v>
      </c>
      <c r="M295" s="19"/>
      <c r="N295" s="19"/>
      <c r="O295" s="19"/>
      <c r="P295" s="19"/>
    </row>
    <row r="296" spans="1:16" x14ac:dyDescent="0.25">
      <c r="A296" s="91">
        <v>420</v>
      </c>
      <c r="B296" s="15">
        <v>2006</v>
      </c>
      <c r="C296" s="1" t="s">
        <v>44</v>
      </c>
      <c r="D296" s="1" t="s">
        <v>216</v>
      </c>
      <c r="E296" s="15" t="s">
        <v>217</v>
      </c>
      <c r="F296" s="1" t="s">
        <v>41</v>
      </c>
      <c r="G296" s="16">
        <v>1537</v>
      </c>
      <c r="H296" s="93">
        <f>'Emission Rates Net-by-Count'!$D$4</f>
        <v>1013.8429781871461</v>
      </c>
      <c r="I296" s="16">
        <f t="shared" si="9"/>
        <v>779.13832873682179</v>
      </c>
      <c r="M296" s="19"/>
      <c r="N296" s="19"/>
      <c r="O296" s="19"/>
      <c r="P296" s="19"/>
    </row>
    <row r="297" spans="1:16" x14ac:dyDescent="0.25">
      <c r="A297" s="91">
        <v>421</v>
      </c>
      <c r="B297" s="15">
        <v>2006</v>
      </c>
      <c r="C297" s="1" t="s">
        <v>44</v>
      </c>
      <c r="D297" s="1" t="s">
        <v>216</v>
      </c>
      <c r="E297" s="15" t="s">
        <v>217</v>
      </c>
      <c r="F297" s="1" t="s">
        <v>104</v>
      </c>
      <c r="G297" s="16">
        <v>1162941</v>
      </c>
      <c r="H297" s="93">
        <f>'Emission Rates Net-by-Count'!$D$4</f>
        <v>1013.8429781871461</v>
      </c>
      <c r="I297" s="16">
        <f t="shared" si="9"/>
        <v>589519.78344796901</v>
      </c>
      <c r="M297" s="19"/>
      <c r="N297" s="19"/>
      <c r="O297" s="19"/>
      <c r="P297" s="19"/>
    </row>
    <row r="298" spans="1:16" x14ac:dyDescent="0.25">
      <c r="A298" s="91">
        <v>422</v>
      </c>
      <c r="B298" s="15">
        <v>2006</v>
      </c>
      <c r="C298" s="1" t="s">
        <v>44</v>
      </c>
      <c r="D298" s="1" t="s">
        <v>216</v>
      </c>
      <c r="E298" s="15" t="s">
        <v>217</v>
      </c>
      <c r="F298" s="1" t="s">
        <v>105</v>
      </c>
      <c r="G298" s="16">
        <v>3828</v>
      </c>
      <c r="H298" s="93">
        <f>'Emission Rates Net-by-Count'!$D$4</f>
        <v>1013.8429781871461</v>
      </c>
      <c r="I298" s="16">
        <f t="shared" si="9"/>
        <v>1940.4954602501975</v>
      </c>
      <c r="M298" s="19"/>
      <c r="N298" s="19"/>
      <c r="O298" s="19"/>
      <c r="P298" s="19"/>
    </row>
    <row r="299" spans="1:16" x14ac:dyDescent="0.25">
      <c r="A299" s="91">
        <v>423</v>
      </c>
      <c r="B299" s="15">
        <v>2006</v>
      </c>
      <c r="C299" s="1" t="s">
        <v>44</v>
      </c>
      <c r="D299" s="1" t="s">
        <v>216</v>
      </c>
      <c r="E299" s="15" t="s">
        <v>217</v>
      </c>
      <c r="F299" s="1" t="s">
        <v>106</v>
      </c>
      <c r="G299" s="16">
        <v>13371</v>
      </c>
      <c r="H299" s="93">
        <f>'Emission Rates Net-by-Count'!$D$4</f>
        <v>1013.8429781871461</v>
      </c>
      <c r="I299" s="16">
        <f t="shared" si="9"/>
        <v>6778.0472306701649</v>
      </c>
      <c r="M299" s="19"/>
      <c r="N299" s="19"/>
      <c r="O299" s="19"/>
      <c r="P299" s="19"/>
    </row>
    <row r="300" spans="1:16" x14ac:dyDescent="0.25">
      <c r="A300" s="91">
        <v>424</v>
      </c>
      <c r="B300" s="15">
        <v>2006</v>
      </c>
      <c r="C300" s="1" t="s">
        <v>44</v>
      </c>
      <c r="D300" s="1" t="s">
        <v>216</v>
      </c>
      <c r="E300" s="15" t="s">
        <v>217</v>
      </c>
      <c r="F300" s="1" t="s">
        <v>107</v>
      </c>
      <c r="G300" s="16">
        <v>100496</v>
      </c>
      <c r="H300" s="93">
        <f>'Emission Rates Net-by-Count'!$D$4</f>
        <v>1013.8429781871461</v>
      </c>
      <c r="I300" s="16">
        <f t="shared" si="9"/>
        <v>50943.581967947714</v>
      </c>
      <c r="M300" s="19"/>
      <c r="N300" s="19"/>
      <c r="O300" s="19"/>
      <c r="P300" s="19"/>
    </row>
    <row r="301" spans="1:16" x14ac:dyDescent="0.25">
      <c r="A301" s="91">
        <v>425</v>
      </c>
      <c r="B301" s="15">
        <v>2006</v>
      </c>
      <c r="C301" s="1" t="s">
        <v>44</v>
      </c>
      <c r="D301" s="1" t="s">
        <v>216</v>
      </c>
      <c r="E301" s="15" t="s">
        <v>217</v>
      </c>
      <c r="F301" s="1" t="s">
        <v>108</v>
      </c>
      <c r="G301" s="16">
        <v>473</v>
      </c>
      <c r="H301" s="93">
        <f>'Emission Rates Net-by-Count'!$D$4</f>
        <v>1013.8429781871461</v>
      </c>
      <c r="I301" s="16">
        <f t="shared" si="9"/>
        <v>239.77386434126004</v>
      </c>
      <c r="M301" s="19"/>
      <c r="N301" s="19"/>
      <c r="O301" s="19"/>
      <c r="P301" s="19"/>
    </row>
    <row r="302" spans="1:16" x14ac:dyDescent="0.25">
      <c r="A302" s="91">
        <v>426</v>
      </c>
      <c r="B302" s="15">
        <v>2006</v>
      </c>
      <c r="C302" s="1" t="s">
        <v>44</v>
      </c>
      <c r="D302" s="1" t="s">
        <v>216</v>
      </c>
      <c r="E302" s="15" t="s">
        <v>217</v>
      </c>
      <c r="F302" s="1" t="s">
        <v>139</v>
      </c>
      <c r="G302" s="16">
        <v>144854</v>
      </c>
      <c r="H302" s="93">
        <f>'Emission Rates Net-by-Count'!$D$4</f>
        <v>1013.8429781871461</v>
      </c>
      <c r="I302" s="16">
        <f t="shared" si="9"/>
        <v>73429.605381160422</v>
      </c>
      <c r="M302" s="19"/>
      <c r="N302" s="19"/>
      <c r="O302" s="19"/>
      <c r="P302" s="19"/>
    </row>
    <row r="303" spans="1:16" x14ac:dyDescent="0.25">
      <c r="A303" s="91">
        <v>427</v>
      </c>
      <c r="B303" s="15">
        <v>2006</v>
      </c>
      <c r="C303" s="1" t="s">
        <v>44</v>
      </c>
      <c r="D303" s="1" t="s">
        <v>216</v>
      </c>
      <c r="E303" s="15" t="s">
        <v>217</v>
      </c>
      <c r="F303" s="1" t="s">
        <v>140</v>
      </c>
      <c r="G303" s="16">
        <v>425</v>
      </c>
      <c r="H303" s="93">
        <f>'Emission Rates Net-by-Count'!$D$4</f>
        <v>1013.8429781871461</v>
      </c>
      <c r="I303" s="16">
        <f t="shared" si="9"/>
        <v>215.44163286476854</v>
      </c>
      <c r="M303" s="19"/>
      <c r="N303" s="19"/>
      <c r="O303" s="19"/>
      <c r="P303" s="19"/>
    </row>
    <row r="304" spans="1:16" x14ac:dyDescent="0.25">
      <c r="A304" s="91">
        <v>429</v>
      </c>
      <c r="B304" s="15">
        <v>2006</v>
      </c>
      <c r="C304" s="1" t="s">
        <v>109</v>
      </c>
      <c r="D304" s="1" t="s">
        <v>216</v>
      </c>
      <c r="E304" s="15" t="s">
        <v>217</v>
      </c>
      <c r="F304" s="1" t="s">
        <v>48</v>
      </c>
      <c r="G304" s="16">
        <v>305656</v>
      </c>
      <c r="H304" s="93">
        <f>'Emission Rates Net-by-Count'!$D$4</f>
        <v>1013.8429781871461</v>
      </c>
      <c r="I304" s="16">
        <f t="shared" si="9"/>
        <v>154943.59467038515</v>
      </c>
      <c r="M304" s="19"/>
      <c r="N304" s="19"/>
      <c r="O304" s="19"/>
      <c r="P304" s="19"/>
    </row>
    <row r="305" spans="1:16" x14ac:dyDescent="0.25">
      <c r="A305" s="91">
        <v>430</v>
      </c>
      <c r="B305" s="15">
        <v>2006</v>
      </c>
      <c r="C305" s="1" t="s">
        <v>109</v>
      </c>
      <c r="D305" s="1" t="s">
        <v>216</v>
      </c>
      <c r="E305" s="15" t="s">
        <v>217</v>
      </c>
      <c r="F305" s="1" t="s">
        <v>110</v>
      </c>
      <c r="G305" s="16">
        <v>2816</v>
      </c>
      <c r="H305" s="93">
        <f>'Emission Rates Net-by-Count'!$D$4</f>
        <v>1013.8429781871461</v>
      </c>
      <c r="I305" s="16">
        <f t="shared" si="9"/>
        <v>1427.4909132875016</v>
      </c>
      <c r="M305" s="19"/>
      <c r="N305" s="19"/>
      <c r="O305" s="19"/>
      <c r="P305" s="19"/>
    </row>
    <row r="306" spans="1:16" x14ac:dyDescent="0.25">
      <c r="A306" s="91">
        <v>431</v>
      </c>
      <c r="B306" s="15">
        <v>2006</v>
      </c>
      <c r="C306" s="1" t="s">
        <v>109</v>
      </c>
      <c r="D306" s="1" t="s">
        <v>216</v>
      </c>
      <c r="E306" s="15" t="s">
        <v>217</v>
      </c>
      <c r="F306" s="1" t="s">
        <v>21</v>
      </c>
      <c r="G306" s="16">
        <v>102038</v>
      </c>
      <c r="H306" s="93">
        <f>'Emission Rates Net-by-Count'!$D$4</f>
        <v>1013.8429781871461</v>
      </c>
      <c r="I306" s="16">
        <f t="shared" si="9"/>
        <v>51725.254904130001</v>
      </c>
      <c r="M306" s="19"/>
      <c r="N306" s="19"/>
      <c r="O306" s="19"/>
      <c r="P306" s="19"/>
    </row>
    <row r="307" spans="1:16" x14ac:dyDescent="0.25">
      <c r="A307" s="91">
        <v>432</v>
      </c>
      <c r="B307" s="15">
        <v>2006</v>
      </c>
      <c r="C307" s="1" t="s">
        <v>109</v>
      </c>
      <c r="D307" s="1" t="s">
        <v>216</v>
      </c>
      <c r="E307" s="15" t="s">
        <v>217</v>
      </c>
      <c r="F307" s="1" t="s">
        <v>56</v>
      </c>
      <c r="G307" s="16">
        <v>30396</v>
      </c>
      <c r="H307" s="93">
        <f>'Emission Rates Net-by-Count'!$D$4</f>
        <v>1013.8429781871461</v>
      </c>
      <c r="I307" s="16">
        <f t="shared" si="9"/>
        <v>15408.385582488247</v>
      </c>
      <c r="M307" s="19"/>
      <c r="N307" s="19"/>
      <c r="O307" s="19"/>
      <c r="P307" s="19"/>
    </row>
    <row r="308" spans="1:16" x14ac:dyDescent="0.25">
      <c r="A308" s="91">
        <v>433</v>
      </c>
      <c r="B308" s="15">
        <v>2006</v>
      </c>
      <c r="C308" s="1" t="s">
        <v>109</v>
      </c>
      <c r="D308" s="1" t="s">
        <v>216</v>
      </c>
      <c r="E308" s="15" t="s">
        <v>217</v>
      </c>
      <c r="F308" s="1" t="s">
        <v>114</v>
      </c>
      <c r="G308" s="16">
        <v>-24937.741999999998</v>
      </c>
      <c r="H308" s="93">
        <f>'Emission Rates Net-by-Count'!$D$4</f>
        <v>1013.8429781871461</v>
      </c>
      <c r="I308" s="16">
        <f t="shared" si="9"/>
        <v>-12641.477309271337</v>
      </c>
      <c r="M308" s="19"/>
      <c r="N308" s="19"/>
      <c r="O308" s="19"/>
      <c r="P308" s="19"/>
    </row>
    <row r="309" spans="1:16" x14ac:dyDescent="0.25">
      <c r="A309" s="91">
        <v>434</v>
      </c>
      <c r="B309" s="15">
        <v>2006</v>
      </c>
      <c r="C309" s="1" t="s">
        <v>109</v>
      </c>
      <c r="D309" s="1" t="s">
        <v>216</v>
      </c>
      <c r="E309" s="15" t="s">
        <v>217</v>
      </c>
      <c r="F309" s="1" t="s">
        <v>62</v>
      </c>
      <c r="G309" s="16">
        <v>75</v>
      </c>
      <c r="H309" s="93">
        <f>'Emission Rates Net-by-Count'!$D$4</f>
        <v>1013.8429781871461</v>
      </c>
      <c r="I309" s="16">
        <f t="shared" si="9"/>
        <v>38.019111682017972</v>
      </c>
      <c r="M309" s="19"/>
      <c r="N309" s="19"/>
      <c r="O309" s="19"/>
      <c r="P309" s="19"/>
    </row>
    <row r="310" spans="1:16" x14ac:dyDescent="0.25">
      <c r="A310" s="91">
        <v>435</v>
      </c>
      <c r="B310" s="15">
        <v>2006</v>
      </c>
      <c r="C310" s="1" t="s">
        <v>109</v>
      </c>
      <c r="D310" s="1" t="s">
        <v>216</v>
      </c>
      <c r="E310" s="15" t="s">
        <v>217</v>
      </c>
      <c r="F310" s="1" t="s">
        <v>111</v>
      </c>
      <c r="G310" s="16">
        <v>412904</v>
      </c>
      <c r="H310" s="93">
        <f>'Emission Rates Net-by-Count'!$D$4</f>
        <v>1013.8429781871461</v>
      </c>
      <c r="I310" s="16">
        <f t="shared" si="9"/>
        <v>209309.91053269268</v>
      </c>
      <c r="M310" s="19"/>
      <c r="N310" s="19"/>
      <c r="O310" s="19"/>
      <c r="P310" s="19"/>
    </row>
    <row r="311" spans="1:16" x14ac:dyDescent="0.25">
      <c r="A311" s="91">
        <v>436</v>
      </c>
      <c r="B311" s="15">
        <v>2006</v>
      </c>
      <c r="C311" s="1" t="s">
        <v>109</v>
      </c>
      <c r="D311" s="1" t="s">
        <v>216</v>
      </c>
      <c r="E311" s="15" t="s">
        <v>217</v>
      </c>
      <c r="F311" s="1" t="s">
        <v>112</v>
      </c>
      <c r="G311" s="16">
        <v>610192</v>
      </c>
      <c r="H311" s="93">
        <f>'Emission Rates Net-by-Count'!$D$4</f>
        <v>1013.8429781871461</v>
      </c>
      <c r="I311" s="16">
        <f t="shared" si="9"/>
        <v>309319.43727298552</v>
      </c>
      <c r="M311" s="19"/>
      <c r="N311" s="19"/>
      <c r="O311" s="19"/>
      <c r="P311" s="19"/>
    </row>
    <row r="312" spans="1:16" x14ac:dyDescent="0.25">
      <c r="A312" s="91">
        <v>437</v>
      </c>
      <c r="B312" s="15">
        <v>2006</v>
      </c>
      <c r="C312" s="1" t="s">
        <v>109</v>
      </c>
      <c r="D312" s="1" t="s">
        <v>216</v>
      </c>
      <c r="E312" s="15" t="s">
        <v>217</v>
      </c>
      <c r="F312" s="1" t="s">
        <v>95</v>
      </c>
      <c r="G312" s="16">
        <v>78400</v>
      </c>
      <c r="H312" s="93">
        <f>'Emission Rates Net-by-Count'!$D$4</f>
        <v>1013.8429781871461</v>
      </c>
      <c r="I312" s="16">
        <f t="shared" si="9"/>
        <v>39742.644744936122</v>
      </c>
      <c r="M312" s="19"/>
      <c r="N312" s="19"/>
      <c r="O312" s="19"/>
      <c r="P312" s="19"/>
    </row>
    <row r="313" spans="1:16" x14ac:dyDescent="0.25">
      <c r="A313" s="91">
        <v>438</v>
      </c>
      <c r="B313" s="15">
        <v>2006</v>
      </c>
      <c r="C313" s="1" t="s">
        <v>109</v>
      </c>
      <c r="D313" s="1" t="s">
        <v>216</v>
      </c>
      <c r="E313" s="15" t="s">
        <v>217</v>
      </c>
      <c r="F313" s="1" t="s">
        <v>103</v>
      </c>
      <c r="G313" s="16">
        <v>24876</v>
      </c>
      <c r="H313" s="93">
        <f>'Emission Rates Net-by-Count'!$D$4</f>
        <v>1013.8429781871461</v>
      </c>
      <c r="I313" s="16">
        <f t="shared" si="9"/>
        <v>12610.178962691722</v>
      </c>
      <c r="M313" s="19"/>
      <c r="N313" s="19"/>
      <c r="O313" s="19"/>
      <c r="P313" s="19"/>
    </row>
    <row r="314" spans="1:16" x14ac:dyDescent="0.25">
      <c r="A314" s="91">
        <v>439</v>
      </c>
      <c r="B314" s="15">
        <v>2006</v>
      </c>
      <c r="C314" s="1" t="s">
        <v>109</v>
      </c>
      <c r="D314" s="1" t="s">
        <v>216</v>
      </c>
      <c r="E314" s="15" t="s">
        <v>217</v>
      </c>
      <c r="F314" s="1" t="s">
        <v>141</v>
      </c>
      <c r="G314" s="16">
        <v>210</v>
      </c>
      <c r="H314" s="93">
        <f>'Emission Rates Net-by-Count'!$D$4</f>
        <v>1013.8429781871461</v>
      </c>
      <c r="I314" s="16">
        <f t="shared" si="9"/>
        <v>106.45351270965034</v>
      </c>
      <c r="M314" s="19"/>
      <c r="N314" s="19"/>
      <c r="O314" s="19"/>
      <c r="P314" s="19"/>
    </row>
    <row r="315" spans="1:16" x14ac:dyDescent="0.25">
      <c r="A315" s="91">
        <v>440</v>
      </c>
      <c r="B315" s="15">
        <v>2006</v>
      </c>
      <c r="C315" s="1" t="s">
        <v>109</v>
      </c>
      <c r="D315" s="1" t="s">
        <v>216</v>
      </c>
      <c r="E315" s="15" t="s">
        <v>217</v>
      </c>
      <c r="F315" s="1" t="s">
        <v>104</v>
      </c>
      <c r="G315" s="16">
        <v>895958</v>
      </c>
      <c r="H315" s="93">
        <f>'Emission Rates Net-by-Count'!$D$4</f>
        <v>1013.8429781871461</v>
      </c>
      <c r="I315" s="16">
        <f t="shared" si="9"/>
        <v>454180.36352529947</v>
      </c>
      <c r="M315" s="19"/>
      <c r="N315" s="19"/>
      <c r="O315" s="19"/>
      <c r="P315" s="19"/>
    </row>
    <row r="316" spans="1:16" x14ac:dyDescent="0.25">
      <c r="A316" s="91">
        <v>442</v>
      </c>
      <c r="B316" s="15">
        <v>2006</v>
      </c>
      <c r="C316" s="1" t="s">
        <v>113</v>
      </c>
      <c r="D316" s="1" t="s">
        <v>216</v>
      </c>
      <c r="E316" s="15" t="s">
        <v>217</v>
      </c>
      <c r="F316" s="1" t="s">
        <v>48</v>
      </c>
      <c r="G316" s="16">
        <v>-309216</v>
      </c>
      <c r="H316" s="93">
        <f>'Emission Rates Net-by-Count'!$D$4</f>
        <v>1013.8429781871461</v>
      </c>
      <c r="I316" s="16">
        <f t="shared" si="9"/>
        <v>-156748.23517155828</v>
      </c>
      <c r="M316" s="19"/>
      <c r="N316" s="19"/>
      <c r="O316" s="19"/>
      <c r="P316" s="19"/>
    </row>
    <row r="317" spans="1:16" x14ac:dyDescent="0.25">
      <c r="A317" s="91">
        <v>443</v>
      </c>
      <c r="B317" s="15">
        <v>2006</v>
      </c>
      <c r="C317" s="1" t="s">
        <v>113</v>
      </c>
      <c r="D317" s="1" t="s">
        <v>216</v>
      </c>
      <c r="E317" s="15" t="s">
        <v>217</v>
      </c>
      <c r="F317" s="1" t="s">
        <v>110</v>
      </c>
      <c r="G317" s="16">
        <v>-3057</v>
      </c>
      <c r="H317" s="93">
        <f>'Emission Rates Net-by-Count'!$D$4</f>
        <v>1013.8429781871461</v>
      </c>
      <c r="I317" s="16">
        <f t="shared" si="9"/>
        <v>-1549.6589921590528</v>
      </c>
      <c r="M317" s="19"/>
      <c r="N317" s="19"/>
      <c r="O317" s="19"/>
      <c r="P317" s="19"/>
    </row>
    <row r="318" spans="1:16" x14ac:dyDescent="0.25">
      <c r="A318" s="91">
        <v>444</v>
      </c>
      <c r="B318" s="15">
        <v>2006</v>
      </c>
      <c r="C318" s="1" t="s">
        <v>113</v>
      </c>
      <c r="D318" s="1" t="s">
        <v>216</v>
      </c>
      <c r="E318" s="15" t="s">
        <v>217</v>
      </c>
      <c r="F318" s="1" t="s">
        <v>21</v>
      </c>
      <c r="G318" s="16">
        <v>-103655</v>
      </c>
      <c r="H318" s="93">
        <f>'Emission Rates Net-by-Count'!$D$4</f>
        <v>1013.8429781871461</v>
      </c>
      <c r="I318" s="16">
        <f t="shared" si="9"/>
        <v>-52544.946951994316</v>
      </c>
      <c r="M318" s="19"/>
      <c r="N318" s="19"/>
      <c r="O318" s="19"/>
      <c r="P318" s="19"/>
    </row>
    <row r="319" spans="1:16" x14ac:dyDescent="0.25">
      <c r="A319" s="91">
        <v>445</v>
      </c>
      <c r="B319" s="15">
        <v>2006</v>
      </c>
      <c r="C319" s="1" t="s">
        <v>113</v>
      </c>
      <c r="D319" s="1" t="s">
        <v>216</v>
      </c>
      <c r="E319" s="15" t="s">
        <v>217</v>
      </c>
      <c r="F319" s="1" t="s">
        <v>56</v>
      </c>
      <c r="G319" s="16">
        <v>-31096</v>
      </c>
      <c r="H319" s="93">
        <f>'Emission Rates Net-by-Count'!$D$4</f>
        <v>1013.8429781871461</v>
      </c>
      <c r="I319" s="16">
        <f t="shared" si="9"/>
        <v>-15763.230624853746</v>
      </c>
      <c r="M319" s="19"/>
      <c r="N319" s="19"/>
      <c r="O319" s="19"/>
      <c r="P319" s="19"/>
    </row>
    <row r="320" spans="1:16" x14ac:dyDescent="0.25">
      <c r="A320" s="91">
        <v>446</v>
      </c>
      <c r="B320" s="15">
        <v>2006</v>
      </c>
      <c r="C320" s="1" t="s">
        <v>113</v>
      </c>
      <c r="D320" s="1" t="s">
        <v>216</v>
      </c>
      <c r="E320" s="15" t="s">
        <v>217</v>
      </c>
      <c r="F320" s="1" t="s">
        <v>62</v>
      </c>
      <c r="G320" s="16">
        <v>-75</v>
      </c>
      <c r="H320" s="93">
        <f>'Emission Rates Net-by-Count'!$D$4</f>
        <v>1013.8429781871461</v>
      </c>
      <c r="I320" s="16">
        <f t="shared" si="9"/>
        <v>-38.019111682017972</v>
      </c>
      <c r="M320" s="19"/>
      <c r="N320" s="19"/>
      <c r="O320" s="19"/>
      <c r="P320" s="19"/>
    </row>
    <row r="321" spans="1:16" x14ac:dyDescent="0.25">
      <c r="A321" s="91">
        <v>447</v>
      </c>
      <c r="B321" s="15">
        <v>2006</v>
      </c>
      <c r="C321" s="1" t="s">
        <v>113</v>
      </c>
      <c r="D321" s="1" t="s">
        <v>216</v>
      </c>
      <c r="E321" s="15" t="s">
        <v>217</v>
      </c>
      <c r="F321" s="1" t="s">
        <v>111</v>
      </c>
      <c r="G321" s="16">
        <v>-413000</v>
      </c>
      <c r="H321" s="93">
        <f>'Emission Rates Net-by-Count'!$D$4</f>
        <v>1013.8429781871461</v>
      </c>
      <c r="I321" s="16">
        <f t="shared" ref="I321:I352" si="10">(G321*H321)/2000</f>
        <v>-209358.57499564567</v>
      </c>
      <c r="M321" s="19"/>
      <c r="N321" s="19"/>
      <c r="O321" s="19"/>
      <c r="P321" s="19"/>
    </row>
    <row r="322" spans="1:16" x14ac:dyDescent="0.25">
      <c r="A322" s="91">
        <v>448</v>
      </c>
      <c r="B322" s="15">
        <v>2006</v>
      </c>
      <c r="C322" s="1" t="s">
        <v>113</v>
      </c>
      <c r="D322" s="1" t="s">
        <v>216</v>
      </c>
      <c r="E322" s="15" t="s">
        <v>217</v>
      </c>
      <c r="F322" s="1" t="s">
        <v>112</v>
      </c>
      <c r="G322" s="16">
        <v>-610192</v>
      </c>
      <c r="H322" s="93">
        <f>'Emission Rates Net-by-Count'!$D$4</f>
        <v>1013.8429781871461</v>
      </c>
      <c r="I322" s="16">
        <f t="shared" si="10"/>
        <v>-309319.43727298552</v>
      </c>
      <c r="M322" s="19"/>
      <c r="N322" s="19"/>
      <c r="O322" s="19"/>
      <c r="P322" s="19"/>
    </row>
    <row r="323" spans="1:16" x14ac:dyDescent="0.25">
      <c r="A323" s="91">
        <v>449</v>
      </c>
      <c r="B323" s="15">
        <v>2006</v>
      </c>
      <c r="C323" s="1" t="s">
        <v>113</v>
      </c>
      <c r="D323" s="1" t="s">
        <v>216</v>
      </c>
      <c r="E323" s="15" t="s">
        <v>217</v>
      </c>
      <c r="F323" s="1" t="s">
        <v>95</v>
      </c>
      <c r="G323" s="16">
        <v>-78400</v>
      </c>
      <c r="H323" s="93">
        <f>'Emission Rates Net-by-Count'!$D$4</f>
        <v>1013.8429781871461</v>
      </c>
      <c r="I323" s="16">
        <f t="shared" si="10"/>
        <v>-39742.644744936122</v>
      </c>
      <c r="M323" s="19"/>
      <c r="N323" s="19"/>
      <c r="O323" s="19"/>
      <c r="P323" s="19"/>
    </row>
    <row r="324" spans="1:16" x14ac:dyDescent="0.25">
      <c r="A324" s="91">
        <v>450</v>
      </c>
      <c r="B324" s="15">
        <v>2006</v>
      </c>
      <c r="C324" s="1" t="s">
        <v>113</v>
      </c>
      <c r="D324" s="1" t="s">
        <v>216</v>
      </c>
      <c r="E324" s="15" t="s">
        <v>217</v>
      </c>
      <c r="F324" s="1" t="s">
        <v>142</v>
      </c>
      <c r="G324" s="16">
        <v>-21</v>
      </c>
      <c r="H324" s="93">
        <f>'Emission Rates Net-by-Count'!$D$4</f>
        <v>1013.8429781871461</v>
      </c>
      <c r="I324" s="16">
        <f t="shared" si="10"/>
        <v>-10.645351270965033</v>
      </c>
      <c r="M324" s="19"/>
      <c r="N324" s="19"/>
      <c r="O324" s="19"/>
      <c r="P324" s="19"/>
    </row>
    <row r="325" spans="1:16" x14ac:dyDescent="0.25">
      <c r="A325" s="91">
        <v>451</v>
      </c>
      <c r="B325" s="15">
        <v>2006</v>
      </c>
      <c r="C325" s="1" t="s">
        <v>113</v>
      </c>
      <c r="D325" s="1" t="s">
        <v>216</v>
      </c>
      <c r="E325" s="15" t="s">
        <v>217</v>
      </c>
      <c r="F325" s="1" t="s">
        <v>103</v>
      </c>
      <c r="G325" s="16">
        <v>-25065</v>
      </c>
      <c r="H325" s="93">
        <f>'Emission Rates Net-by-Count'!$D$4</f>
        <v>1013.8429781871461</v>
      </c>
      <c r="I325" s="16">
        <f t="shared" si="10"/>
        <v>-12705.987124130408</v>
      </c>
      <c r="M325" s="19"/>
      <c r="N325" s="19"/>
      <c r="O325" s="19"/>
      <c r="P325" s="19"/>
    </row>
    <row r="326" spans="1:16" x14ac:dyDescent="0.25">
      <c r="A326" s="91">
        <v>452</v>
      </c>
      <c r="B326" s="15">
        <v>2006</v>
      </c>
      <c r="C326" s="1" t="s">
        <v>113</v>
      </c>
      <c r="D326" s="1" t="s">
        <v>216</v>
      </c>
      <c r="E326" s="15" t="s">
        <v>217</v>
      </c>
      <c r="F326" s="1" t="s">
        <v>104</v>
      </c>
      <c r="G326" s="16">
        <v>-895958</v>
      </c>
      <c r="H326" s="93">
        <f>'Emission Rates Net-by-Count'!$D$4</f>
        <v>1013.8429781871461</v>
      </c>
      <c r="I326" s="16">
        <f t="shared" si="10"/>
        <v>-454180.36352529947</v>
      </c>
      <c r="M326" s="19"/>
      <c r="N326" s="19"/>
      <c r="O326" s="19"/>
      <c r="P326" s="19"/>
    </row>
    <row r="327" spans="1:16" x14ac:dyDescent="0.25">
      <c r="A327" s="91">
        <v>504</v>
      </c>
      <c r="B327" s="15">
        <v>2006</v>
      </c>
      <c r="C327" s="1" t="s">
        <v>120</v>
      </c>
      <c r="D327" s="1" t="s">
        <v>216</v>
      </c>
      <c r="E327" s="15" t="s">
        <v>217</v>
      </c>
      <c r="F327" s="1" t="s">
        <v>45</v>
      </c>
      <c r="G327" s="16">
        <v>-3400</v>
      </c>
      <c r="H327" s="93">
        <f>'Emission Rates Net-by-Count'!$D$4</f>
        <v>1013.8429781871461</v>
      </c>
      <c r="I327" s="16">
        <f t="shared" si="10"/>
        <v>-1723.5330629181483</v>
      </c>
      <c r="M327" s="19"/>
      <c r="N327" s="19"/>
      <c r="O327" s="19"/>
      <c r="P327" s="19"/>
    </row>
    <row r="328" spans="1:16" x14ac:dyDescent="0.25">
      <c r="A328" s="91">
        <v>505</v>
      </c>
      <c r="B328" s="15">
        <v>2006</v>
      </c>
      <c r="C328" s="1" t="s">
        <v>120</v>
      </c>
      <c r="D328" s="1" t="s">
        <v>216</v>
      </c>
      <c r="E328" s="15" t="s">
        <v>217</v>
      </c>
      <c r="F328" s="1" t="s">
        <v>47</v>
      </c>
      <c r="G328" s="16">
        <v>-41478</v>
      </c>
      <c r="H328" s="93">
        <f>'Emission Rates Net-by-Count'!$D$4</f>
        <v>1013.8429781871461</v>
      </c>
      <c r="I328" s="16">
        <f t="shared" si="10"/>
        <v>-21026.089524623221</v>
      </c>
      <c r="M328" s="19"/>
      <c r="N328" s="19"/>
      <c r="O328" s="19"/>
      <c r="P328" s="19"/>
    </row>
    <row r="329" spans="1:16" x14ac:dyDescent="0.25">
      <c r="A329" s="91">
        <v>506</v>
      </c>
      <c r="B329" s="15">
        <v>2006</v>
      </c>
      <c r="C329" s="1" t="s">
        <v>120</v>
      </c>
      <c r="D329" s="1" t="s">
        <v>216</v>
      </c>
      <c r="E329" s="15" t="s">
        <v>217</v>
      </c>
      <c r="F329" s="1" t="s">
        <v>48</v>
      </c>
      <c r="G329" s="16">
        <v>-307922</v>
      </c>
      <c r="H329" s="93">
        <f>'Emission Rates Net-by-Count'!$D$4</f>
        <v>1013.8429781871461</v>
      </c>
      <c r="I329" s="16">
        <f t="shared" si="10"/>
        <v>-156092.27876467121</v>
      </c>
      <c r="M329" s="19"/>
      <c r="N329" s="19"/>
      <c r="O329" s="19"/>
      <c r="P329" s="19"/>
    </row>
    <row r="330" spans="1:16" x14ac:dyDescent="0.25">
      <c r="A330" s="91">
        <v>507</v>
      </c>
      <c r="B330" s="15">
        <v>2006</v>
      </c>
      <c r="C330" s="1" t="s">
        <v>120</v>
      </c>
      <c r="D330" s="1" t="s">
        <v>216</v>
      </c>
      <c r="E330" s="15" t="s">
        <v>217</v>
      </c>
      <c r="F330" s="1" t="s">
        <v>127</v>
      </c>
      <c r="G330" s="16">
        <v>-6000</v>
      </c>
      <c r="H330" s="93">
        <f>'Emission Rates Net-by-Count'!$D$4</f>
        <v>1013.8429781871461</v>
      </c>
      <c r="I330" s="16">
        <f t="shared" si="10"/>
        <v>-3041.5289345614383</v>
      </c>
      <c r="M330" s="19"/>
      <c r="N330" s="19"/>
      <c r="O330" s="19"/>
      <c r="P330" s="19"/>
    </row>
    <row r="331" spans="1:16" x14ac:dyDescent="0.25">
      <c r="A331" s="91">
        <v>508</v>
      </c>
      <c r="B331" s="15">
        <v>2006</v>
      </c>
      <c r="C331" s="1" t="s">
        <v>120</v>
      </c>
      <c r="D331" s="1" t="s">
        <v>216</v>
      </c>
      <c r="E331" s="15" t="s">
        <v>217</v>
      </c>
      <c r="F331" s="1" t="s">
        <v>128</v>
      </c>
      <c r="G331" s="16">
        <v>-3298</v>
      </c>
      <c r="H331" s="93">
        <f>'Emission Rates Net-by-Count'!$D$4</f>
        <v>1013.8429781871461</v>
      </c>
      <c r="I331" s="16">
        <f t="shared" si="10"/>
        <v>-1671.827071030604</v>
      </c>
      <c r="M331" s="19"/>
      <c r="N331" s="19"/>
      <c r="O331" s="19"/>
      <c r="P331" s="19"/>
    </row>
    <row r="332" spans="1:16" x14ac:dyDescent="0.25">
      <c r="A332" s="91">
        <v>509</v>
      </c>
      <c r="B332" s="15">
        <v>2006</v>
      </c>
      <c r="C332" s="1" t="s">
        <v>120</v>
      </c>
      <c r="D332" s="1" t="s">
        <v>216</v>
      </c>
      <c r="E332" s="15" t="s">
        <v>217</v>
      </c>
      <c r="F332" s="1" t="s">
        <v>49</v>
      </c>
      <c r="G332" s="16">
        <v>-4433</v>
      </c>
      <c r="H332" s="93">
        <f>'Emission Rates Net-by-Count'!$D$4</f>
        <v>1013.8429781871461</v>
      </c>
      <c r="I332" s="16">
        <f t="shared" si="10"/>
        <v>-2247.1829611518096</v>
      </c>
      <c r="M332" s="19"/>
      <c r="N332" s="19"/>
      <c r="O332" s="19"/>
      <c r="P332" s="19"/>
    </row>
    <row r="333" spans="1:16" x14ac:dyDescent="0.25">
      <c r="A333" s="91">
        <v>510</v>
      </c>
      <c r="B333" s="15">
        <v>2006</v>
      </c>
      <c r="C333" s="1" t="s">
        <v>120</v>
      </c>
      <c r="D333" s="1" t="s">
        <v>216</v>
      </c>
      <c r="E333" s="15" t="s">
        <v>217</v>
      </c>
      <c r="F333" s="1" t="s">
        <v>50</v>
      </c>
      <c r="G333" s="16">
        <v>-650</v>
      </c>
      <c r="H333" s="93">
        <f>'Emission Rates Net-by-Count'!$D$4</f>
        <v>1013.8429781871461</v>
      </c>
      <c r="I333" s="16">
        <f t="shared" si="10"/>
        <v>-329.4989679108225</v>
      </c>
      <c r="M333" s="19"/>
      <c r="N333" s="19"/>
      <c r="O333" s="19"/>
      <c r="P333" s="19"/>
    </row>
    <row r="334" spans="1:16" x14ac:dyDescent="0.25">
      <c r="A334" s="91">
        <v>511</v>
      </c>
      <c r="B334" s="15">
        <v>2006</v>
      </c>
      <c r="C334" s="1" t="s">
        <v>120</v>
      </c>
      <c r="D334" s="1" t="s">
        <v>216</v>
      </c>
      <c r="E334" s="15" t="s">
        <v>217</v>
      </c>
      <c r="F334" s="1" t="s">
        <v>51</v>
      </c>
      <c r="G334" s="16">
        <v>2421278</v>
      </c>
      <c r="H334" s="93">
        <f>'Emission Rates Net-by-Count'!$D$4</f>
        <v>1013.8429781871461</v>
      </c>
      <c r="I334" s="16">
        <f t="shared" si="10"/>
        <v>1227397.8492695084</v>
      </c>
      <c r="K334" s="17" t="s">
        <v>244</v>
      </c>
      <c r="M334" s="19"/>
      <c r="N334" s="19"/>
      <c r="O334" s="19"/>
      <c r="P334" s="19"/>
    </row>
    <row r="335" spans="1:16" x14ac:dyDescent="0.25">
      <c r="A335" s="91">
        <v>512</v>
      </c>
      <c r="B335" s="15">
        <v>2006</v>
      </c>
      <c r="C335" s="1" t="s">
        <v>120</v>
      </c>
      <c r="D335" s="1" t="s">
        <v>216</v>
      </c>
      <c r="E335" s="15" t="s">
        <v>217</v>
      </c>
      <c r="F335" s="1" t="s">
        <v>52</v>
      </c>
      <c r="G335" s="16">
        <v>-95783</v>
      </c>
      <c r="H335" s="93">
        <f>'Emission Rates Net-by-Count'!$D$4</f>
        <v>1013.8429781871461</v>
      </c>
      <c r="I335" s="16">
        <f t="shared" si="10"/>
        <v>-48554.460989849707</v>
      </c>
      <c r="M335" s="19"/>
      <c r="N335" s="19"/>
      <c r="O335" s="19"/>
      <c r="P335" s="19"/>
    </row>
    <row r="336" spans="1:16" x14ac:dyDescent="0.25">
      <c r="A336" s="91">
        <v>513</v>
      </c>
      <c r="B336" s="15">
        <v>2006</v>
      </c>
      <c r="C336" s="1" t="s">
        <v>120</v>
      </c>
      <c r="D336" s="1" t="s">
        <v>216</v>
      </c>
      <c r="E336" s="15" t="s">
        <v>217</v>
      </c>
      <c r="F336" s="1" t="s">
        <v>21</v>
      </c>
      <c r="G336" s="16">
        <v>-141345</v>
      </c>
      <c r="H336" s="93">
        <f>'Emission Rates Net-by-Count'!$D$4</f>
        <v>1013.8429781871461</v>
      </c>
      <c r="I336" s="16">
        <f t="shared" si="10"/>
        <v>-71650.817875931083</v>
      </c>
      <c r="M336" s="19"/>
      <c r="N336" s="19"/>
      <c r="O336" s="19"/>
      <c r="P336" s="19"/>
    </row>
    <row r="337" spans="1:16" x14ac:dyDescent="0.25">
      <c r="A337" s="91">
        <v>514</v>
      </c>
      <c r="B337" s="15">
        <v>2006</v>
      </c>
      <c r="C337" s="1" t="s">
        <v>120</v>
      </c>
      <c r="D337" s="1" t="s">
        <v>216</v>
      </c>
      <c r="E337" s="15" t="s">
        <v>217</v>
      </c>
      <c r="F337" s="1" t="s">
        <v>143</v>
      </c>
      <c r="G337" s="16">
        <v>-23</v>
      </c>
      <c r="H337" s="93">
        <f>'Emission Rates Net-by-Count'!$D$4</f>
        <v>1013.8429781871461</v>
      </c>
      <c r="I337" s="16">
        <f t="shared" si="10"/>
        <v>-11.659194249152181</v>
      </c>
      <c r="M337" s="19"/>
      <c r="N337" s="19"/>
      <c r="O337" s="19"/>
      <c r="P337" s="19"/>
    </row>
    <row r="338" spans="1:16" x14ac:dyDescent="0.25">
      <c r="A338" s="91">
        <v>515</v>
      </c>
      <c r="B338" s="15">
        <v>2006</v>
      </c>
      <c r="C338" s="1" t="s">
        <v>120</v>
      </c>
      <c r="D338" s="1" t="s">
        <v>216</v>
      </c>
      <c r="E338" s="15" t="s">
        <v>217</v>
      </c>
      <c r="F338" s="1" t="s">
        <v>53</v>
      </c>
      <c r="G338" s="16">
        <v>-3121</v>
      </c>
      <c r="H338" s="93">
        <f>'Emission Rates Net-by-Count'!$D$4</f>
        <v>1013.8429781871461</v>
      </c>
      <c r="I338" s="16">
        <f t="shared" si="10"/>
        <v>-1582.1019674610413</v>
      </c>
      <c r="M338" s="19"/>
      <c r="N338" s="19"/>
      <c r="O338" s="19"/>
      <c r="P338" s="19"/>
    </row>
    <row r="339" spans="1:16" x14ac:dyDescent="0.25">
      <c r="A339" s="91">
        <v>516</v>
      </c>
      <c r="B339" s="15">
        <v>2006</v>
      </c>
      <c r="C339" s="1" t="s">
        <v>120</v>
      </c>
      <c r="D339" s="1" t="s">
        <v>216</v>
      </c>
      <c r="E339" s="15" t="s">
        <v>217</v>
      </c>
      <c r="F339" s="1" t="s">
        <v>56</v>
      </c>
      <c r="G339" s="16">
        <v>-84873</v>
      </c>
      <c r="H339" s="93">
        <f>'Emission Rates Net-by-Count'!$D$4</f>
        <v>1013.8429781871461</v>
      </c>
      <c r="I339" s="16">
        <f t="shared" si="10"/>
        <v>-43023.947543838818</v>
      </c>
      <c r="M339" s="19"/>
      <c r="N339" s="19"/>
      <c r="O339" s="19"/>
      <c r="P339" s="19"/>
    </row>
    <row r="340" spans="1:16" x14ac:dyDescent="0.25">
      <c r="A340" s="91">
        <v>517</v>
      </c>
      <c r="B340" s="15">
        <v>2006</v>
      </c>
      <c r="C340" s="1" t="s">
        <v>120</v>
      </c>
      <c r="D340" s="1" t="s">
        <v>216</v>
      </c>
      <c r="E340" s="15" t="s">
        <v>217</v>
      </c>
      <c r="F340" s="1" t="s">
        <v>57</v>
      </c>
      <c r="G340" s="16">
        <v>-1200</v>
      </c>
      <c r="H340" s="93">
        <f>'Emission Rates Net-by-Count'!$D$4</f>
        <v>1013.8429781871461</v>
      </c>
      <c r="I340" s="16">
        <f t="shared" si="10"/>
        <v>-608.30578691228754</v>
      </c>
      <c r="M340" s="19"/>
      <c r="N340" s="19"/>
      <c r="O340" s="19"/>
      <c r="P340" s="19"/>
    </row>
    <row r="341" spans="1:16" x14ac:dyDescent="0.25">
      <c r="A341" s="91">
        <v>518</v>
      </c>
      <c r="B341" s="15">
        <v>2006</v>
      </c>
      <c r="C341" s="1" t="s">
        <v>120</v>
      </c>
      <c r="D341" s="1" t="s">
        <v>216</v>
      </c>
      <c r="E341" s="15" t="s">
        <v>217</v>
      </c>
      <c r="F341" s="1" t="s">
        <v>129</v>
      </c>
      <c r="G341" s="16">
        <v>-13200</v>
      </c>
      <c r="H341" s="93">
        <f>'Emission Rates Net-by-Count'!$D$4</f>
        <v>1013.8429781871461</v>
      </c>
      <c r="I341" s="16">
        <f t="shared" si="10"/>
        <v>-6691.3636560351642</v>
      </c>
      <c r="M341" s="19"/>
      <c r="N341" s="19"/>
      <c r="O341" s="19"/>
      <c r="P341" s="19"/>
    </row>
    <row r="342" spans="1:16" x14ac:dyDescent="0.25">
      <c r="A342" s="91">
        <v>519</v>
      </c>
      <c r="B342" s="15">
        <v>2006</v>
      </c>
      <c r="C342" s="1" t="s">
        <v>120</v>
      </c>
      <c r="D342" s="1" t="s">
        <v>216</v>
      </c>
      <c r="E342" s="15" t="s">
        <v>217</v>
      </c>
      <c r="F342" s="1" t="s">
        <v>130</v>
      </c>
      <c r="G342" s="16">
        <v>-24697</v>
      </c>
      <c r="H342" s="93">
        <f>'Emission Rates Net-by-Count'!$D$4</f>
        <v>1013.8429781871461</v>
      </c>
      <c r="I342" s="16">
        <f t="shared" si="10"/>
        <v>-12519.440016143973</v>
      </c>
      <c r="M342" s="19"/>
      <c r="N342" s="19"/>
      <c r="O342" s="19"/>
      <c r="P342" s="19"/>
    </row>
    <row r="343" spans="1:16" x14ac:dyDescent="0.25">
      <c r="A343" s="91">
        <v>520</v>
      </c>
      <c r="B343" s="15">
        <v>2006</v>
      </c>
      <c r="C343" s="1" t="s">
        <v>120</v>
      </c>
      <c r="D343" s="1" t="s">
        <v>216</v>
      </c>
      <c r="E343" s="15" t="s">
        <v>217</v>
      </c>
      <c r="F343" s="1" t="s">
        <v>58</v>
      </c>
      <c r="G343" s="16">
        <v>-88920</v>
      </c>
      <c r="H343" s="93">
        <f>'Emission Rates Net-by-Count'!$D$4</f>
        <v>1013.8429781871461</v>
      </c>
      <c r="I343" s="16">
        <f t="shared" si="10"/>
        <v>-45075.458810200515</v>
      </c>
      <c r="M343" s="19"/>
      <c r="N343" s="19"/>
      <c r="O343" s="19"/>
      <c r="P343" s="19"/>
    </row>
    <row r="344" spans="1:16" x14ac:dyDescent="0.25">
      <c r="A344" s="91">
        <v>521</v>
      </c>
      <c r="B344" s="15">
        <v>2006</v>
      </c>
      <c r="C344" s="1" t="s">
        <v>120</v>
      </c>
      <c r="D344" s="1" t="s">
        <v>216</v>
      </c>
      <c r="E344" s="15" t="s">
        <v>217</v>
      </c>
      <c r="F344" s="1" t="s">
        <v>59</v>
      </c>
      <c r="G344" s="16">
        <v>-4691</v>
      </c>
      <c r="H344" s="93">
        <f>'Emission Rates Net-by-Count'!$D$4</f>
        <v>1013.8429781871461</v>
      </c>
      <c r="I344" s="16">
        <f t="shared" si="10"/>
        <v>-2377.9687053379512</v>
      </c>
      <c r="M344" s="19"/>
      <c r="N344" s="19"/>
      <c r="O344" s="19"/>
      <c r="P344" s="19"/>
    </row>
    <row r="345" spans="1:16" x14ac:dyDescent="0.25">
      <c r="A345" s="91">
        <v>522</v>
      </c>
      <c r="B345" s="15">
        <v>2006</v>
      </c>
      <c r="C345" s="1" t="s">
        <v>120</v>
      </c>
      <c r="D345" s="1" t="s">
        <v>216</v>
      </c>
      <c r="E345" s="15" t="s">
        <v>217</v>
      </c>
      <c r="F345" s="1" t="s">
        <v>60</v>
      </c>
      <c r="G345" s="16">
        <v>-44413</v>
      </c>
      <c r="H345" s="93">
        <f>'Emission Rates Net-by-Count'!$D$4</f>
        <v>1013.8429781871461</v>
      </c>
      <c r="I345" s="16">
        <f t="shared" si="10"/>
        <v>-22513.904095112859</v>
      </c>
      <c r="M345" s="19"/>
      <c r="N345" s="19"/>
      <c r="O345" s="19"/>
      <c r="P345" s="19"/>
    </row>
    <row r="346" spans="1:16" x14ac:dyDescent="0.25">
      <c r="A346" s="91">
        <v>523</v>
      </c>
      <c r="B346" s="15">
        <v>2006</v>
      </c>
      <c r="C346" s="1" t="s">
        <v>120</v>
      </c>
      <c r="D346" s="1" t="s">
        <v>216</v>
      </c>
      <c r="E346" s="15" t="s">
        <v>217</v>
      </c>
      <c r="F346" s="1" t="s">
        <v>61</v>
      </c>
      <c r="G346" s="16">
        <v>-80970</v>
      </c>
      <c r="H346" s="93">
        <f>'Emission Rates Net-by-Count'!$D$4</f>
        <v>1013.8429781871461</v>
      </c>
      <c r="I346" s="16">
        <f t="shared" si="10"/>
        <v>-41045.432971906608</v>
      </c>
      <c r="M346" s="19"/>
      <c r="N346" s="19"/>
      <c r="O346" s="19"/>
      <c r="P346" s="19"/>
    </row>
    <row r="347" spans="1:16" x14ac:dyDescent="0.25">
      <c r="A347" s="91">
        <v>524</v>
      </c>
      <c r="B347" s="15">
        <v>2006</v>
      </c>
      <c r="C347" s="1" t="s">
        <v>120</v>
      </c>
      <c r="D347" s="1" t="s">
        <v>216</v>
      </c>
      <c r="E347" s="15" t="s">
        <v>217</v>
      </c>
      <c r="F347" s="1" t="s">
        <v>131</v>
      </c>
      <c r="G347" s="16">
        <v>-30000</v>
      </c>
      <c r="H347" s="93">
        <f>'Emission Rates Net-by-Count'!$D$4</f>
        <v>1013.8429781871461</v>
      </c>
      <c r="I347" s="16">
        <f t="shared" si="10"/>
        <v>-15207.644672807191</v>
      </c>
      <c r="M347" s="19"/>
      <c r="N347" s="19"/>
      <c r="O347" s="19"/>
      <c r="P347" s="19"/>
    </row>
    <row r="348" spans="1:16" x14ac:dyDescent="0.25">
      <c r="A348" s="91">
        <v>525</v>
      </c>
      <c r="B348" s="15">
        <v>2006</v>
      </c>
      <c r="C348" s="1" t="s">
        <v>120</v>
      </c>
      <c r="D348" s="1" t="s">
        <v>216</v>
      </c>
      <c r="E348" s="15" t="s">
        <v>217</v>
      </c>
      <c r="F348" s="1" t="s">
        <v>62</v>
      </c>
      <c r="G348" s="16">
        <v>-980</v>
      </c>
      <c r="H348" s="93">
        <f>'Emission Rates Net-by-Count'!$D$4</f>
        <v>1013.8429781871461</v>
      </c>
      <c r="I348" s="16">
        <f t="shared" si="10"/>
        <v>-496.78305931170155</v>
      </c>
      <c r="M348" s="19"/>
      <c r="N348" s="19"/>
      <c r="O348" s="19"/>
      <c r="P348" s="19"/>
    </row>
    <row r="349" spans="1:16" x14ac:dyDescent="0.25">
      <c r="A349" s="91">
        <v>526</v>
      </c>
      <c r="B349" s="15">
        <v>2006</v>
      </c>
      <c r="C349" s="1" t="s">
        <v>120</v>
      </c>
      <c r="D349" s="1" t="s">
        <v>216</v>
      </c>
      <c r="E349" s="15" t="s">
        <v>217</v>
      </c>
      <c r="F349" s="1" t="s">
        <v>63</v>
      </c>
      <c r="G349" s="16">
        <v>-6322</v>
      </c>
      <c r="H349" s="93">
        <f>'Emission Rates Net-by-Count'!$D$4</f>
        <v>1013.8429781871461</v>
      </c>
      <c r="I349" s="16">
        <f t="shared" si="10"/>
        <v>-3204.7576540495688</v>
      </c>
      <c r="M349" s="19"/>
      <c r="N349" s="19"/>
      <c r="O349" s="19"/>
      <c r="P349" s="19"/>
    </row>
    <row r="350" spans="1:16" x14ac:dyDescent="0.25">
      <c r="A350" s="91">
        <v>527</v>
      </c>
      <c r="B350" s="15">
        <v>2006</v>
      </c>
      <c r="C350" s="1" t="s">
        <v>120</v>
      </c>
      <c r="D350" s="1" t="s">
        <v>216</v>
      </c>
      <c r="E350" s="15" t="s">
        <v>217</v>
      </c>
      <c r="F350" s="1" t="s">
        <v>64</v>
      </c>
      <c r="G350" s="16">
        <v>-21189</v>
      </c>
      <c r="H350" s="93">
        <f>'Emission Rates Net-by-Count'!$D$4</f>
        <v>1013.8429781871461</v>
      </c>
      <c r="I350" s="16">
        <f t="shared" si="10"/>
        <v>-10741.15943240372</v>
      </c>
      <c r="M350" s="19"/>
      <c r="N350" s="19"/>
      <c r="O350" s="19"/>
      <c r="P350" s="19"/>
    </row>
    <row r="351" spans="1:16" x14ac:dyDescent="0.25">
      <c r="A351" s="91">
        <v>528</v>
      </c>
      <c r="B351" s="15">
        <v>2006</v>
      </c>
      <c r="C351" s="1" t="s">
        <v>120</v>
      </c>
      <c r="D351" s="1" t="s">
        <v>216</v>
      </c>
      <c r="E351" s="15" t="s">
        <v>217</v>
      </c>
      <c r="F351" s="1" t="s">
        <v>65</v>
      </c>
      <c r="G351" s="16">
        <v>-16203</v>
      </c>
      <c r="H351" s="93">
        <f>'Emission Rates Net-by-Count'!$D$4</f>
        <v>1013.8429781871461</v>
      </c>
      <c r="I351" s="16">
        <f t="shared" si="10"/>
        <v>-8213.6488877831634</v>
      </c>
      <c r="M351" s="19"/>
      <c r="N351" s="19"/>
      <c r="O351" s="19"/>
      <c r="P351" s="19"/>
    </row>
    <row r="352" spans="1:16" x14ac:dyDescent="0.25">
      <c r="A352" s="91">
        <v>529</v>
      </c>
      <c r="B352" s="15">
        <v>2006</v>
      </c>
      <c r="C352" s="1" t="s">
        <v>120</v>
      </c>
      <c r="D352" s="1" t="s">
        <v>216</v>
      </c>
      <c r="E352" s="15" t="s">
        <v>217</v>
      </c>
      <c r="F352" s="1" t="s">
        <v>132</v>
      </c>
      <c r="G352" s="16">
        <v>-45575</v>
      </c>
      <c r="H352" s="93">
        <f>'Emission Rates Net-by-Count'!$D$4</f>
        <v>1013.8429781871461</v>
      </c>
      <c r="I352" s="16">
        <f t="shared" si="10"/>
        <v>-23102.94686543959</v>
      </c>
      <c r="M352" s="19"/>
      <c r="N352" s="19"/>
      <c r="O352" s="19"/>
      <c r="P352" s="19"/>
    </row>
    <row r="353" spans="1:16" x14ac:dyDescent="0.25">
      <c r="A353" s="91">
        <v>530</v>
      </c>
      <c r="B353" s="15">
        <v>2006</v>
      </c>
      <c r="C353" s="1" t="s">
        <v>120</v>
      </c>
      <c r="D353" s="1" t="s">
        <v>216</v>
      </c>
      <c r="E353" s="15" t="s">
        <v>217</v>
      </c>
      <c r="F353" s="1" t="s">
        <v>66</v>
      </c>
      <c r="G353" s="16">
        <v>-1725</v>
      </c>
      <c r="H353" s="93">
        <f>'Emission Rates Net-by-Count'!$D$4</f>
        <v>1013.8429781871461</v>
      </c>
      <c r="I353" s="16">
        <f t="shared" ref="I353:I384" si="11">(G353*H353)/2000</f>
        <v>-874.43956868641351</v>
      </c>
      <c r="M353" s="19"/>
      <c r="N353" s="19"/>
      <c r="O353" s="19"/>
      <c r="P353" s="19"/>
    </row>
    <row r="354" spans="1:16" x14ac:dyDescent="0.25">
      <c r="A354" s="91">
        <v>531</v>
      </c>
      <c r="B354" s="15">
        <v>2006</v>
      </c>
      <c r="C354" s="1" t="s">
        <v>120</v>
      </c>
      <c r="D354" s="1" t="s">
        <v>216</v>
      </c>
      <c r="E354" s="15" t="s">
        <v>217</v>
      </c>
      <c r="F354" s="1" t="s">
        <v>67</v>
      </c>
      <c r="G354" s="16">
        <v>-16830</v>
      </c>
      <c r="H354" s="93">
        <f>'Emission Rates Net-by-Count'!$D$4</f>
        <v>1013.8429781871461</v>
      </c>
      <c r="I354" s="16">
        <f t="shared" si="11"/>
        <v>-8531.4886614448333</v>
      </c>
      <c r="M354" s="19"/>
      <c r="N354" s="19"/>
      <c r="O354" s="19"/>
      <c r="P354" s="19"/>
    </row>
    <row r="355" spans="1:16" x14ac:dyDescent="0.25">
      <c r="A355" s="91">
        <v>532</v>
      </c>
      <c r="B355" s="15">
        <v>2006</v>
      </c>
      <c r="C355" s="1" t="s">
        <v>120</v>
      </c>
      <c r="D355" s="1" t="s">
        <v>216</v>
      </c>
      <c r="E355" s="15" t="s">
        <v>217</v>
      </c>
      <c r="F355" s="1" t="s">
        <v>68</v>
      </c>
      <c r="G355" s="16">
        <v>-4477</v>
      </c>
      <c r="H355" s="93">
        <f>'Emission Rates Net-by-Count'!$D$4</f>
        <v>1013.8429781871461</v>
      </c>
      <c r="I355" s="16">
        <f t="shared" si="11"/>
        <v>-2269.4875066719264</v>
      </c>
      <c r="M355" s="19"/>
      <c r="N355" s="19"/>
      <c r="O355" s="19"/>
      <c r="P355" s="19"/>
    </row>
    <row r="356" spans="1:16" x14ac:dyDescent="0.25">
      <c r="A356" s="91">
        <v>533</v>
      </c>
      <c r="B356" s="15">
        <v>2006</v>
      </c>
      <c r="C356" s="1" t="s">
        <v>120</v>
      </c>
      <c r="D356" s="1" t="s">
        <v>216</v>
      </c>
      <c r="E356" s="15" t="s">
        <v>217</v>
      </c>
      <c r="F356" s="1" t="s">
        <v>121</v>
      </c>
      <c r="G356" s="16">
        <v>-3200</v>
      </c>
      <c r="H356" s="93">
        <f>'Emission Rates Net-by-Count'!$D$4</f>
        <v>1013.8429781871461</v>
      </c>
      <c r="I356" s="16">
        <f t="shared" si="11"/>
        <v>-1622.1487650994336</v>
      </c>
      <c r="M356" s="19"/>
      <c r="N356" s="19"/>
      <c r="O356" s="19"/>
      <c r="P356" s="19"/>
    </row>
    <row r="357" spans="1:16" x14ac:dyDescent="0.25">
      <c r="A357" s="91">
        <v>534</v>
      </c>
      <c r="B357" s="15">
        <v>2006</v>
      </c>
      <c r="C357" s="1" t="s">
        <v>120</v>
      </c>
      <c r="D357" s="1" t="s">
        <v>216</v>
      </c>
      <c r="E357" s="15" t="s">
        <v>217</v>
      </c>
      <c r="F357" s="1" t="s">
        <v>69</v>
      </c>
      <c r="G357" s="16">
        <v>-183683</v>
      </c>
      <c r="H357" s="93">
        <f>'Emission Rates Net-by-Count'!$D$4</f>
        <v>1013.8429781871461</v>
      </c>
      <c r="I357" s="16">
        <f t="shared" si="11"/>
        <v>-93112.85988117478</v>
      </c>
      <c r="M357" s="19"/>
      <c r="N357" s="19"/>
      <c r="O357" s="19"/>
      <c r="P357" s="19"/>
    </row>
    <row r="358" spans="1:16" x14ac:dyDescent="0.25">
      <c r="A358" s="91">
        <v>535</v>
      </c>
      <c r="B358" s="15">
        <v>2006</v>
      </c>
      <c r="C358" s="1" t="s">
        <v>120</v>
      </c>
      <c r="D358" s="1" t="s">
        <v>216</v>
      </c>
      <c r="E358" s="15" t="s">
        <v>217</v>
      </c>
      <c r="F358" s="1" t="s">
        <v>71</v>
      </c>
      <c r="G358" s="16">
        <v>-77637</v>
      </c>
      <c r="H358" s="93">
        <f>'Emission Rates Net-by-Count'!$D$4</f>
        <v>1013.8429781871461</v>
      </c>
      <c r="I358" s="16">
        <f t="shared" si="11"/>
        <v>-39355.863648757724</v>
      </c>
      <c r="M358" s="19"/>
      <c r="N358" s="19"/>
      <c r="O358" s="19"/>
      <c r="P358" s="19"/>
    </row>
    <row r="359" spans="1:16" x14ac:dyDescent="0.25">
      <c r="A359" s="91">
        <v>536</v>
      </c>
      <c r="B359" s="15">
        <v>2006</v>
      </c>
      <c r="C359" s="1" t="s">
        <v>120</v>
      </c>
      <c r="D359" s="1" t="s">
        <v>216</v>
      </c>
      <c r="E359" s="15" t="s">
        <v>217</v>
      </c>
      <c r="F359" s="1" t="s">
        <v>72</v>
      </c>
      <c r="G359" s="16">
        <v>-13600</v>
      </c>
      <c r="H359" s="93">
        <f>'Emission Rates Net-by-Count'!$D$4</f>
        <v>1013.8429781871461</v>
      </c>
      <c r="I359" s="16">
        <f t="shared" si="11"/>
        <v>-6894.1322516725932</v>
      </c>
      <c r="M359" s="19"/>
      <c r="N359" s="19"/>
      <c r="O359" s="19"/>
      <c r="P359" s="19"/>
    </row>
    <row r="360" spans="1:16" x14ac:dyDescent="0.25">
      <c r="A360" s="91">
        <v>537</v>
      </c>
      <c r="B360" s="15">
        <v>2006</v>
      </c>
      <c r="C360" s="1" t="s">
        <v>120</v>
      </c>
      <c r="D360" s="1" t="s">
        <v>216</v>
      </c>
      <c r="E360" s="15" t="s">
        <v>217</v>
      </c>
      <c r="F360" s="1" t="s">
        <v>133</v>
      </c>
      <c r="G360" s="16">
        <v>-20000</v>
      </c>
      <c r="H360" s="93">
        <f>'Emission Rates Net-by-Count'!$D$4</f>
        <v>1013.8429781871461</v>
      </c>
      <c r="I360" s="16">
        <f t="shared" si="11"/>
        <v>-10138.42978187146</v>
      </c>
      <c r="M360" s="19"/>
      <c r="N360" s="19"/>
      <c r="O360" s="19"/>
      <c r="P360" s="19"/>
    </row>
    <row r="361" spans="1:16" x14ac:dyDescent="0.25">
      <c r="A361" s="91">
        <v>538</v>
      </c>
      <c r="B361" s="15">
        <v>2006</v>
      </c>
      <c r="C361" s="1" t="s">
        <v>120</v>
      </c>
      <c r="D361" s="1" t="s">
        <v>216</v>
      </c>
      <c r="E361" s="15" t="s">
        <v>217</v>
      </c>
      <c r="F361" s="1" t="s">
        <v>73</v>
      </c>
      <c r="G361" s="16">
        <v>-9281</v>
      </c>
      <c r="H361" s="93">
        <f>'Emission Rates Net-by-Count'!$D$4</f>
        <v>1013.8429781871461</v>
      </c>
      <c r="I361" s="16">
        <f t="shared" si="11"/>
        <v>-4704.7383402774512</v>
      </c>
      <c r="M361" s="19"/>
      <c r="N361" s="19"/>
      <c r="O361" s="19"/>
      <c r="P361" s="19"/>
    </row>
    <row r="362" spans="1:16" x14ac:dyDescent="0.25">
      <c r="A362" s="91">
        <v>539</v>
      </c>
      <c r="B362" s="15">
        <v>2006</v>
      </c>
      <c r="C362" s="1" t="s">
        <v>120</v>
      </c>
      <c r="D362" s="1" t="s">
        <v>216</v>
      </c>
      <c r="E362" s="15" t="s">
        <v>217</v>
      </c>
      <c r="F362" s="1" t="s">
        <v>135</v>
      </c>
      <c r="G362" s="16">
        <v>-49275</v>
      </c>
      <c r="H362" s="93">
        <f>'Emission Rates Net-by-Count'!$D$4</f>
        <v>1013.8429781871461</v>
      </c>
      <c r="I362" s="16">
        <f t="shared" si="11"/>
        <v>-24978.556375085813</v>
      </c>
      <c r="M362" s="19"/>
      <c r="N362" s="19"/>
      <c r="O362" s="19"/>
      <c r="P362" s="19"/>
    </row>
    <row r="363" spans="1:16" x14ac:dyDescent="0.25">
      <c r="A363" s="91">
        <v>540</v>
      </c>
      <c r="B363" s="15">
        <v>2006</v>
      </c>
      <c r="C363" s="1" t="s">
        <v>120</v>
      </c>
      <c r="D363" s="1" t="s">
        <v>216</v>
      </c>
      <c r="E363" s="15" t="s">
        <v>217</v>
      </c>
      <c r="F363" s="1" t="s">
        <v>74</v>
      </c>
      <c r="G363" s="16">
        <v>-3215</v>
      </c>
      <c r="H363" s="93">
        <f>'Emission Rates Net-by-Count'!$D$4</f>
        <v>1013.8429781871461</v>
      </c>
      <c r="I363" s="16">
        <f t="shared" si="11"/>
        <v>-1629.7525874358373</v>
      </c>
      <c r="M363" s="19"/>
      <c r="N363" s="19"/>
      <c r="O363" s="19"/>
      <c r="P363" s="19"/>
    </row>
    <row r="364" spans="1:16" x14ac:dyDescent="0.25">
      <c r="A364" s="91">
        <v>541</v>
      </c>
      <c r="B364" s="15">
        <v>2006</v>
      </c>
      <c r="C364" s="1" t="s">
        <v>120</v>
      </c>
      <c r="D364" s="1" t="s">
        <v>216</v>
      </c>
      <c r="E364" s="15" t="s">
        <v>217</v>
      </c>
      <c r="F364" s="1" t="s">
        <v>75</v>
      </c>
      <c r="G364" s="16">
        <v>-77000</v>
      </c>
      <c r="H364" s="93">
        <f>'Emission Rates Net-by-Count'!$D$4</f>
        <v>1013.8429781871461</v>
      </c>
      <c r="I364" s="16">
        <f t="shared" si="11"/>
        <v>-39032.954660205127</v>
      </c>
      <c r="M364" s="19"/>
      <c r="N364" s="19"/>
      <c r="O364" s="19"/>
      <c r="P364" s="19"/>
    </row>
    <row r="365" spans="1:16" x14ac:dyDescent="0.25">
      <c r="A365" s="91">
        <v>542</v>
      </c>
      <c r="B365" s="15">
        <v>2006</v>
      </c>
      <c r="C365" s="1" t="s">
        <v>120</v>
      </c>
      <c r="D365" s="1" t="s">
        <v>216</v>
      </c>
      <c r="E365" s="15" t="s">
        <v>217</v>
      </c>
      <c r="F365" s="1" t="s">
        <v>76</v>
      </c>
      <c r="G365" s="16">
        <v>-40881</v>
      </c>
      <c r="H365" s="93">
        <f>'Emission Rates Net-by-Count'!$D$4</f>
        <v>1013.8429781871461</v>
      </c>
      <c r="I365" s="16">
        <f t="shared" si="11"/>
        <v>-20723.457395634359</v>
      </c>
      <c r="M365" s="19"/>
      <c r="N365" s="19"/>
      <c r="O365" s="19"/>
      <c r="P365" s="19"/>
    </row>
    <row r="366" spans="1:16" x14ac:dyDescent="0.25">
      <c r="A366" s="91">
        <v>543</v>
      </c>
      <c r="B366" s="15">
        <v>2006</v>
      </c>
      <c r="C366" s="1" t="s">
        <v>120</v>
      </c>
      <c r="D366" s="1" t="s">
        <v>216</v>
      </c>
      <c r="E366" s="15" t="s">
        <v>217</v>
      </c>
      <c r="F366" s="1" t="s">
        <v>77</v>
      </c>
      <c r="G366" s="16">
        <v>-8394</v>
      </c>
      <c r="H366" s="93">
        <f>'Emission Rates Net-by-Count'!$D$4</f>
        <v>1013.8429781871461</v>
      </c>
      <c r="I366" s="16">
        <f t="shared" si="11"/>
        <v>-4255.0989794514526</v>
      </c>
      <c r="M366" s="19"/>
      <c r="N366" s="19"/>
      <c r="O366" s="19"/>
      <c r="P366" s="19"/>
    </row>
    <row r="367" spans="1:16" x14ac:dyDescent="0.25">
      <c r="A367" s="91">
        <v>544</v>
      </c>
      <c r="B367" s="15">
        <v>2006</v>
      </c>
      <c r="C367" s="1" t="s">
        <v>120</v>
      </c>
      <c r="D367" s="1" t="s">
        <v>216</v>
      </c>
      <c r="E367" s="15" t="s">
        <v>217</v>
      </c>
      <c r="F367" s="1" t="s">
        <v>78</v>
      </c>
      <c r="G367" s="16">
        <v>-252602</v>
      </c>
      <c r="H367" s="93">
        <f>'Emission Rates Net-by-Count'!$D$4</f>
        <v>1013.8429781871461</v>
      </c>
      <c r="I367" s="16">
        <f t="shared" si="11"/>
        <v>-128049.38198801473</v>
      </c>
      <c r="M367" s="19"/>
      <c r="N367" s="19"/>
      <c r="O367" s="19"/>
      <c r="P367" s="19"/>
    </row>
    <row r="368" spans="1:16" x14ac:dyDescent="0.25">
      <c r="A368" s="91">
        <v>545</v>
      </c>
      <c r="B368" s="15">
        <v>2006</v>
      </c>
      <c r="C368" s="1" t="s">
        <v>120</v>
      </c>
      <c r="D368" s="1" t="s">
        <v>216</v>
      </c>
      <c r="E368" s="15" t="s">
        <v>217</v>
      </c>
      <c r="F368" s="1" t="s">
        <v>79</v>
      </c>
      <c r="G368" s="16">
        <v>-3417</v>
      </c>
      <c r="H368" s="93">
        <f>'Emission Rates Net-by-Count'!$D$4</f>
        <v>1013.8429781871461</v>
      </c>
      <c r="I368" s="16">
        <f t="shared" si="11"/>
        <v>-1732.1507282327391</v>
      </c>
      <c r="M368" s="19"/>
      <c r="N368" s="19"/>
      <c r="O368" s="19"/>
      <c r="P368" s="19"/>
    </row>
    <row r="369" spans="1:16" x14ac:dyDescent="0.25">
      <c r="A369" s="91">
        <v>546</v>
      </c>
      <c r="B369" s="15">
        <v>2006</v>
      </c>
      <c r="C369" s="1" t="s">
        <v>120</v>
      </c>
      <c r="D369" s="1" t="s">
        <v>216</v>
      </c>
      <c r="E369" s="15" t="s">
        <v>217</v>
      </c>
      <c r="F369" s="1" t="s">
        <v>80</v>
      </c>
      <c r="G369" s="16">
        <v>-2072</v>
      </c>
      <c r="H369" s="93">
        <f>'Emission Rates Net-by-Count'!$D$4</f>
        <v>1013.8429781871461</v>
      </c>
      <c r="I369" s="16">
        <f t="shared" si="11"/>
        <v>-1050.3413254018833</v>
      </c>
      <c r="M369" s="19"/>
      <c r="N369" s="19"/>
      <c r="O369" s="19"/>
      <c r="P369" s="19"/>
    </row>
    <row r="370" spans="1:16" x14ac:dyDescent="0.25">
      <c r="A370" s="91">
        <v>547</v>
      </c>
      <c r="B370" s="15">
        <v>2006</v>
      </c>
      <c r="C370" s="1" t="s">
        <v>120</v>
      </c>
      <c r="D370" s="1" t="s">
        <v>216</v>
      </c>
      <c r="E370" s="15" t="s">
        <v>217</v>
      </c>
      <c r="F370" s="1" t="s">
        <v>81</v>
      </c>
      <c r="G370" s="16">
        <v>-17324</v>
      </c>
      <c r="H370" s="93">
        <f>'Emission Rates Net-by-Count'!$D$4</f>
        <v>1013.8429781871461</v>
      </c>
      <c r="I370" s="16">
        <f t="shared" si="11"/>
        <v>-8781.9078770570595</v>
      </c>
      <c r="M370" s="19"/>
      <c r="N370" s="19"/>
      <c r="O370" s="19"/>
      <c r="P370" s="19"/>
    </row>
    <row r="371" spans="1:16" x14ac:dyDescent="0.25">
      <c r="A371" s="91">
        <v>548</v>
      </c>
      <c r="B371" s="15">
        <v>2006</v>
      </c>
      <c r="C371" s="1" t="s">
        <v>120</v>
      </c>
      <c r="D371" s="1" t="s">
        <v>216</v>
      </c>
      <c r="E371" s="15" t="s">
        <v>217</v>
      </c>
      <c r="F371" s="1" t="s">
        <v>82</v>
      </c>
      <c r="G371" s="16">
        <v>-25569</v>
      </c>
      <c r="H371" s="93">
        <f>'Emission Rates Net-by-Count'!$D$4</f>
        <v>1013.8429781871461</v>
      </c>
      <c r="I371" s="16">
        <f t="shared" si="11"/>
        <v>-12961.475554633569</v>
      </c>
      <c r="M371" s="19"/>
      <c r="N371" s="19"/>
      <c r="O371" s="19"/>
      <c r="P371" s="19"/>
    </row>
    <row r="372" spans="1:16" x14ac:dyDescent="0.25">
      <c r="A372" s="91">
        <v>549</v>
      </c>
      <c r="B372" s="15">
        <v>2006</v>
      </c>
      <c r="C372" s="1" t="s">
        <v>120</v>
      </c>
      <c r="D372" s="1" t="s">
        <v>216</v>
      </c>
      <c r="E372" s="15" t="s">
        <v>217</v>
      </c>
      <c r="F372" s="1" t="s">
        <v>137</v>
      </c>
      <c r="G372" s="16">
        <v>-5300</v>
      </c>
      <c r="H372" s="93">
        <f>'Emission Rates Net-by-Count'!$D$4</f>
        <v>1013.8429781871461</v>
      </c>
      <c r="I372" s="16">
        <f t="shared" si="11"/>
        <v>-2686.683892195937</v>
      </c>
      <c r="M372" s="19"/>
      <c r="N372" s="19"/>
      <c r="O372" s="19"/>
      <c r="P372" s="19"/>
    </row>
    <row r="373" spans="1:16" x14ac:dyDescent="0.25">
      <c r="A373" s="91">
        <v>550</v>
      </c>
      <c r="B373" s="15">
        <v>2006</v>
      </c>
      <c r="C373" s="1" t="s">
        <v>120</v>
      </c>
      <c r="D373" s="1" t="s">
        <v>216</v>
      </c>
      <c r="E373" s="15" t="s">
        <v>217</v>
      </c>
      <c r="F373" s="1" t="s">
        <v>83</v>
      </c>
      <c r="G373" s="16">
        <v>-260</v>
      </c>
      <c r="H373" s="93">
        <f>'Emission Rates Net-by-Count'!$D$4</f>
        <v>1013.8429781871461</v>
      </c>
      <c r="I373" s="16">
        <f t="shared" si="11"/>
        <v>-131.79958716432898</v>
      </c>
      <c r="M373" s="19"/>
      <c r="N373" s="19"/>
      <c r="O373" s="19"/>
      <c r="P373" s="19"/>
    </row>
    <row r="374" spans="1:16" x14ac:dyDescent="0.25">
      <c r="A374" s="91">
        <v>551</v>
      </c>
      <c r="B374" s="15">
        <v>2006</v>
      </c>
      <c r="C374" s="1" t="s">
        <v>120</v>
      </c>
      <c r="D374" s="1" t="s">
        <v>216</v>
      </c>
      <c r="E374" s="15" t="s">
        <v>217</v>
      </c>
      <c r="F374" s="1" t="s">
        <v>84</v>
      </c>
      <c r="G374" s="16">
        <v>-7665</v>
      </c>
      <c r="H374" s="93">
        <f>'Emission Rates Net-by-Count'!$D$4</f>
        <v>1013.8429781871461</v>
      </c>
      <c r="I374" s="16">
        <f t="shared" si="11"/>
        <v>-3885.5532139022375</v>
      </c>
      <c r="M374" s="19"/>
      <c r="N374" s="19"/>
      <c r="O374" s="19"/>
      <c r="P374" s="19"/>
    </row>
    <row r="375" spans="1:16" x14ac:dyDescent="0.25">
      <c r="A375" s="91">
        <v>552</v>
      </c>
      <c r="B375" s="15">
        <v>2006</v>
      </c>
      <c r="C375" s="1" t="s">
        <v>120</v>
      </c>
      <c r="D375" s="1" t="s">
        <v>216</v>
      </c>
      <c r="E375" s="15" t="s">
        <v>217</v>
      </c>
      <c r="F375" s="1" t="s">
        <v>85</v>
      </c>
      <c r="G375" s="16">
        <v>-299493</v>
      </c>
      <c r="H375" s="93">
        <f>'Emission Rates Net-by-Count'!$D$4</f>
        <v>1013.8429781871461</v>
      </c>
      <c r="I375" s="16">
        <f t="shared" si="11"/>
        <v>-151819.43753310147</v>
      </c>
      <c r="M375" s="19"/>
      <c r="N375" s="19"/>
      <c r="O375" s="19"/>
      <c r="P375" s="19"/>
    </row>
    <row r="376" spans="1:16" x14ac:dyDescent="0.25">
      <c r="A376" s="91">
        <v>553</v>
      </c>
      <c r="B376" s="15">
        <v>2006</v>
      </c>
      <c r="C376" s="1" t="s">
        <v>120</v>
      </c>
      <c r="D376" s="1" t="s">
        <v>216</v>
      </c>
      <c r="E376" s="15" t="s">
        <v>217</v>
      </c>
      <c r="F376" s="1" t="s">
        <v>138</v>
      </c>
      <c r="G376" s="16">
        <v>-10225</v>
      </c>
      <c r="H376" s="93">
        <f>'Emission Rates Net-by-Count'!$D$4</f>
        <v>1013.8429781871461</v>
      </c>
      <c r="I376" s="16">
        <f t="shared" si="11"/>
        <v>-5183.2722259817838</v>
      </c>
      <c r="M376" s="19"/>
      <c r="N376" s="19"/>
      <c r="O376" s="19"/>
      <c r="P376" s="19"/>
    </row>
    <row r="377" spans="1:16" x14ac:dyDescent="0.25">
      <c r="A377" s="91">
        <v>554</v>
      </c>
      <c r="B377" s="15">
        <v>2006</v>
      </c>
      <c r="C377" s="1" t="s">
        <v>120</v>
      </c>
      <c r="D377" s="1" t="s">
        <v>216</v>
      </c>
      <c r="E377" s="15" t="s">
        <v>217</v>
      </c>
      <c r="F377" s="1" t="s">
        <v>86</v>
      </c>
      <c r="G377" s="16">
        <v>-11000</v>
      </c>
      <c r="H377" s="93">
        <f>'Emission Rates Net-by-Count'!$D$4</f>
        <v>1013.8429781871461</v>
      </c>
      <c r="I377" s="16">
        <f t="shared" si="11"/>
        <v>-5576.1363800293029</v>
      </c>
      <c r="M377" s="19"/>
      <c r="N377" s="19"/>
      <c r="O377" s="19"/>
      <c r="P377" s="19"/>
    </row>
    <row r="378" spans="1:16" x14ac:dyDescent="0.25">
      <c r="A378" s="91">
        <v>555</v>
      </c>
      <c r="B378" s="15">
        <v>2006</v>
      </c>
      <c r="C378" s="1" t="s">
        <v>120</v>
      </c>
      <c r="D378" s="1" t="s">
        <v>216</v>
      </c>
      <c r="E378" s="15" t="s">
        <v>217</v>
      </c>
      <c r="F378" s="1" t="s">
        <v>87</v>
      </c>
      <c r="G378" s="16">
        <v>-84922</v>
      </c>
      <c r="H378" s="93">
        <f>'Emission Rates Net-by-Count'!$D$4</f>
        <v>1013.8429781871461</v>
      </c>
      <c r="I378" s="16">
        <f t="shared" si="11"/>
        <v>-43048.786696804411</v>
      </c>
      <c r="M378" s="19"/>
      <c r="N378" s="19"/>
      <c r="O378" s="19"/>
      <c r="P378" s="19"/>
    </row>
    <row r="379" spans="1:16" x14ac:dyDescent="0.25">
      <c r="A379" s="91">
        <v>556</v>
      </c>
      <c r="B379" s="15">
        <v>2006</v>
      </c>
      <c r="C379" s="1" t="s">
        <v>120</v>
      </c>
      <c r="D379" s="1" t="s">
        <v>216</v>
      </c>
      <c r="E379" s="15" t="s">
        <v>217</v>
      </c>
      <c r="F379" s="1" t="s">
        <v>88</v>
      </c>
      <c r="G379" s="16">
        <v>-546974</v>
      </c>
      <c r="H379" s="93">
        <f>'Emission Rates Net-by-Count'!$D$4</f>
        <v>1013.8429781871461</v>
      </c>
      <c r="I379" s="16">
        <f t="shared" si="11"/>
        <v>-277272.87457546801</v>
      </c>
      <c r="M379" s="19"/>
      <c r="N379" s="19"/>
      <c r="O379" s="19"/>
      <c r="P379" s="19"/>
    </row>
    <row r="380" spans="1:16" x14ac:dyDescent="0.25">
      <c r="A380" s="91">
        <v>557</v>
      </c>
      <c r="B380" s="15">
        <v>2006</v>
      </c>
      <c r="C380" s="1" t="s">
        <v>120</v>
      </c>
      <c r="D380" s="1" t="s">
        <v>216</v>
      </c>
      <c r="E380" s="15" t="s">
        <v>217</v>
      </c>
      <c r="F380" s="1" t="s">
        <v>89</v>
      </c>
      <c r="G380" s="16">
        <v>-54840</v>
      </c>
      <c r="H380" s="93">
        <f>'Emission Rates Net-by-Count'!$D$4</f>
        <v>1013.8429781871461</v>
      </c>
      <c r="I380" s="16">
        <f t="shared" si="11"/>
        <v>-27799.574461891541</v>
      </c>
      <c r="M380" s="19"/>
      <c r="N380" s="19"/>
      <c r="O380" s="19"/>
      <c r="P380" s="19"/>
    </row>
    <row r="381" spans="1:16" x14ac:dyDescent="0.25">
      <c r="A381" s="91">
        <v>558</v>
      </c>
      <c r="B381" s="15">
        <v>2006</v>
      </c>
      <c r="C381" s="1" t="s">
        <v>120</v>
      </c>
      <c r="D381" s="1" t="s">
        <v>216</v>
      </c>
      <c r="E381" s="15" t="s">
        <v>217</v>
      </c>
      <c r="F381" s="1" t="s">
        <v>90</v>
      </c>
      <c r="G381" s="16">
        <v>-12930</v>
      </c>
      <c r="H381" s="93">
        <f>'Emission Rates Net-by-Count'!$D$4</f>
        <v>1013.8429781871461</v>
      </c>
      <c r="I381" s="16">
        <f t="shared" si="11"/>
        <v>-6554.4948539798997</v>
      </c>
      <c r="M381" s="19"/>
      <c r="N381" s="19"/>
      <c r="O381" s="19"/>
      <c r="P381" s="19"/>
    </row>
    <row r="382" spans="1:16" x14ac:dyDescent="0.25">
      <c r="A382" s="91">
        <v>559</v>
      </c>
      <c r="B382" s="15">
        <v>2006</v>
      </c>
      <c r="C382" s="1" t="s">
        <v>120</v>
      </c>
      <c r="D382" s="1" t="s">
        <v>216</v>
      </c>
      <c r="E382" s="15" t="s">
        <v>217</v>
      </c>
      <c r="F382" s="1" t="s">
        <v>91</v>
      </c>
      <c r="G382" s="16">
        <v>-182633</v>
      </c>
      <c r="H382" s="93">
        <f>'Emission Rates Net-by-Count'!$D$4</f>
        <v>1013.8429781871461</v>
      </c>
      <c r="I382" s="16">
        <f t="shared" si="11"/>
        <v>-92580.592317626521</v>
      </c>
      <c r="M382" s="19"/>
      <c r="N382" s="19"/>
      <c r="O382" s="19"/>
      <c r="P382" s="19"/>
    </row>
    <row r="383" spans="1:16" x14ac:dyDescent="0.25">
      <c r="A383" s="91">
        <v>560</v>
      </c>
      <c r="B383" s="15">
        <v>2006</v>
      </c>
      <c r="C383" s="1" t="s">
        <v>120</v>
      </c>
      <c r="D383" s="1" t="s">
        <v>216</v>
      </c>
      <c r="E383" s="15" t="s">
        <v>217</v>
      </c>
      <c r="F383" s="1" t="s">
        <v>92</v>
      </c>
      <c r="G383" s="16">
        <v>-2030</v>
      </c>
      <c r="H383" s="93">
        <f>'Emission Rates Net-by-Count'!$D$4</f>
        <v>1013.8429781871461</v>
      </c>
      <c r="I383" s="16">
        <f t="shared" si="11"/>
        <v>-1029.0506228599531</v>
      </c>
      <c r="M383" s="19"/>
      <c r="N383" s="19"/>
      <c r="O383" s="19"/>
      <c r="P383" s="19"/>
    </row>
    <row r="384" spans="1:16" x14ac:dyDescent="0.25">
      <c r="A384" s="91">
        <v>561</v>
      </c>
      <c r="B384" s="15">
        <v>2006</v>
      </c>
      <c r="C384" s="1" t="s">
        <v>120</v>
      </c>
      <c r="D384" s="1" t="s">
        <v>216</v>
      </c>
      <c r="E384" s="15" t="s">
        <v>217</v>
      </c>
      <c r="F384" s="1" t="s">
        <v>93</v>
      </c>
      <c r="G384" s="16">
        <v>-9398</v>
      </c>
      <c r="H384" s="93">
        <f>'Emission Rates Net-by-Count'!$D$4</f>
        <v>1013.8429781871461</v>
      </c>
      <c r="I384" s="16">
        <f t="shared" si="11"/>
        <v>-4764.048154501399</v>
      </c>
      <c r="M384" s="19"/>
      <c r="N384" s="19"/>
      <c r="O384" s="19"/>
      <c r="P384" s="19"/>
    </row>
    <row r="385" spans="1:16" x14ac:dyDescent="0.25">
      <c r="A385" s="91">
        <v>562</v>
      </c>
      <c r="B385" s="15">
        <v>2006</v>
      </c>
      <c r="C385" s="1" t="s">
        <v>120</v>
      </c>
      <c r="D385" s="1" t="s">
        <v>216</v>
      </c>
      <c r="E385" s="15" t="s">
        <v>217</v>
      </c>
      <c r="F385" s="1" t="s">
        <v>94</v>
      </c>
      <c r="G385" s="16">
        <v>-11112</v>
      </c>
      <c r="H385" s="93">
        <f>'Emission Rates Net-by-Count'!$D$4</f>
        <v>1013.8429781871461</v>
      </c>
      <c r="I385" s="16">
        <f t="shared" ref="I385:I400" si="12">(G385*H385)/2000</f>
        <v>-5632.9115868077834</v>
      </c>
      <c r="M385" s="19"/>
      <c r="N385" s="19"/>
      <c r="O385" s="19"/>
      <c r="P385" s="19"/>
    </row>
    <row r="386" spans="1:16" x14ac:dyDescent="0.25">
      <c r="A386" s="91">
        <v>563</v>
      </c>
      <c r="B386" s="15">
        <v>2006</v>
      </c>
      <c r="C386" s="1" t="s">
        <v>120</v>
      </c>
      <c r="D386" s="1" t="s">
        <v>216</v>
      </c>
      <c r="E386" s="15" t="s">
        <v>217</v>
      </c>
      <c r="F386" s="1" t="s">
        <v>95</v>
      </c>
      <c r="G386" s="16">
        <v>-43046</v>
      </c>
      <c r="H386" s="93">
        <f>'Emission Rates Net-by-Count'!$D$4</f>
        <v>1013.8429781871461</v>
      </c>
      <c r="I386" s="16">
        <f t="shared" si="12"/>
        <v>-21820.942419521947</v>
      </c>
      <c r="M386" s="19"/>
      <c r="N386" s="19"/>
      <c r="O386" s="19"/>
      <c r="P386" s="19"/>
    </row>
    <row r="387" spans="1:16" x14ac:dyDescent="0.25">
      <c r="A387" s="91">
        <v>564</v>
      </c>
      <c r="B387" s="15">
        <v>2006</v>
      </c>
      <c r="C387" s="1" t="s">
        <v>120</v>
      </c>
      <c r="D387" s="1" t="s">
        <v>216</v>
      </c>
      <c r="E387" s="15" t="s">
        <v>217</v>
      </c>
      <c r="F387" s="1" t="s">
        <v>96</v>
      </c>
      <c r="G387" s="16">
        <v>-186355</v>
      </c>
      <c r="H387" s="93">
        <f>'Emission Rates Net-by-Count'!$D$4</f>
        <v>1013.8429781871461</v>
      </c>
      <c r="I387" s="16">
        <f t="shared" si="12"/>
        <v>-94467.354100032811</v>
      </c>
      <c r="M387" s="19"/>
      <c r="N387" s="19"/>
      <c r="O387" s="19"/>
      <c r="P387" s="19"/>
    </row>
    <row r="388" spans="1:16" x14ac:dyDescent="0.25">
      <c r="A388" s="91">
        <v>565</v>
      </c>
      <c r="B388" s="15">
        <v>2006</v>
      </c>
      <c r="C388" s="1" t="s">
        <v>120</v>
      </c>
      <c r="D388" s="1" t="s">
        <v>216</v>
      </c>
      <c r="E388" s="15" t="s">
        <v>217</v>
      </c>
      <c r="F388" s="1" t="s">
        <v>97</v>
      </c>
      <c r="G388" s="16">
        <v>-215517</v>
      </c>
      <c r="H388" s="93">
        <f>'Emission Rates Net-by-Count'!$D$4</f>
        <v>1013.8429781871461</v>
      </c>
      <c r="I388" s="16">
        <f t="shared" si="12"/>
        <v>-109250.19856497958</v>
      </c>
      <c r="M388" s="19"/>
      <c r="N388" s="19"/>
      <c r="O388" s="19"/>
      <c r="P388" s="19"/>
    </row>
    <row r="389" spans="1:16" x14ac:dyDescent="0.25">
      <c r="A389" s="91">
        <v>566</v>
      </c>
      <c r="B389" s="15">
        <v>2006</v>
      </c>
      <c r="C389" s="1" t="s">
        <v>120</v>
      </c>
      <c r="D389" s="1" t="s">
        <v>216</v>
      </c>
      <c r="E389" s="15" t="s">
        <v>217</v>
      </c>
      <c r="F389" s="1" t="s">
        <v>98</v>
      </c>
      <c r="G389" s="16">
        <v>-23099</v>
      </c>
      <c r="H389" s="93">
        <f>'Emission Rates Net-by-Count'!$D$4</f>
        <v>1013.8429781871461</v>
      </c>
      <c r="I389" s="16">
        <f t="shared" si="12"/>
        <v>-11709.379476572443</v>
      </c>
      <c r="M389" s="19"/>
      <c r="N389" s="19"/>
      <c r="O389" s="19"/>
      <c r="P389" s="19"/>
    </row>
    <row r="390" spans="1:16" x14ac:dyDescent="0.25">
      <c r="A390" s="91">
        <v>567</v>
      </c>
      <c r="B390" s="15">
        <v>2006</v>
      </c>
      <c r="C390" s="1" t="s">
        <v>120</v>
      </c>
      <c r="D390" s="1" t="s">
        <v>216</v>
      </c>
      <c r="E390" s="15" t="s">
        <v>217</v>
      </c>
      <c r="F390" s="1" t="s">
        <v>99</v>
      </c>
      <c r="G390" s="16">
        <v>-16202</v>
      </c>
      <c r="H390" s="93">
        <f>'Emission Rates Net-by-Count'!$D$4</f>
        <v>1013.8429781871461</v>
      </c>
      <c r="I390" s="16">
        <f t="shared" si="12"/>
        <v>-8213.1419662940698</v>
      </c>
      <c r="M390" s="19"/>
      <c r="N390" s="19"/>
      <c r="O390" s="19"/>
      <c r="P390" s="19"/>
    </row>
    <row r="391" spans="1:16" x14ac:dyDescent="0.25">
      <c r="A391" s="91">
        <v>568</v>
      </c>
      <c r="B391" s="15">
        <v>2006</v>
      </c>
      <c r="C391" s="1" t="s">
        <v>120</v>
      </c>
      <c r="D391" s="1" t="s">
        <v>216</v>
      </c>
      <c r="E391" s="15" t="s">
        <v>217</v>
      </c>
      <c r="F391" s="1" t="s">
        <v>100</v>
      </c>
      <c r="G391" s="16">
        <v>-29170</v>
      </c>
      <c r="H391" s="93">
        <f>'Emission Rates Net-by-Count'!$D$4</f>
        <v>1013.8429781871461</v>
      </c>
      <c r="I391" s="16">
        <f t="shared" si="12"/>
        <v>-14786.899836859526</v>
      </c>
      <c r="M391" s="19"/>
      <c r="N391" s="19"/>
      <c r="O391" s="19"/>
      <c r="P391" s="19"/>
    </row>
    <row r="392" spans="1:16" x14ac:dyDescent="0.25">
      <c r="A392" s="91">
        <v>569</v>
      </c>
      <c r="B392" s="15">
        <v>2006</v>
      </c>
      <c r="C392" s="1" t="s">
        <v>120</v>
      </c>
      <c r="D392" s="1" t="s">
        <v>216</v>
      </c>
      <c r="E392" s="15" t="s">
        <v>217</v>
      </c>
      <c r="F392" s="1" t="s">
        <v>101</v>
      </c>
      <c r="G392" s="16">
        <v>-18966</v>
      </c>
      <c r="H392" s="93">
        <f>'Emission Rates Net-by-Count'!$D$4</f>
        <v>1013.8429781871461</v>
      </c>
      <c r="I392" s="16">
        <f t="shared" si="12"/>
        <v>-9614.2729621487051</v>
      </c>
      <c r="M392" s="19"/>
      <c r="N392" s="19"/>
      <c r="O392" s="19"/>
      <c r="P392" s="19"/>
    </row>
    <row r="393" spans="1:16" x14ac:dyDescent="0.25">
      <c r="A393" s="91">
        <v>570</v>
      </c>
      <c r="B393" s="15">
        <v>2006</v>
      </c>
      <c r="C393" s="1" t="s">
        <v>120</v>
      </c>
      <c r="D393" s="1" t="s">
        <v>216</v>
      </c>
      <c r="E393" s="15" t="s">
        <v>217</v>
      </c>
      <c r="F393" s="1" t="s">
        <v>102</v>
      </c>
      <c r="G393" s="16">
        <v>-115860</v>
      </c>
      <c r="H393" s="93">
        <f>'Emission Rates Net-by-Count'!$D$4</f>
        <v>1013.8429781871461</v>
      </c>
      <c r="I393" s="16">
        <f t="shared" si="12"/>
        <v>-58731.92372638137</v>
      </c>
      <c r="M393" s="19"/>
      <c r="N393" s="19"/>
      <c r="O393" s="19"/>
      <c r="P393" s="19"/>
    </row>
    <row r="394" spans="1:16" x14ac:dyDescent="0.25">
      <c r="A394" s="91">
        <v>571</v>
      </c>
      <c r="B394" s="15">
        <v>2006</v>
      </c>
      <c r="C394" s="1" t="s">
        <v>120</v>
      </c>
      <c r="D394" s="1" t="s">
        <v>216</v>
      </c>
      <c r="E394" s="15" t="s">
        <v>217</v>
      </c>
      <c r="F394" s="1" t="s">
        <v>103</v>
      </c>
      <c r="G394" s="16">
        <v>-9162</v>
      </c>
      <c r="H394" s="93">
        <f>'Emission Rates Net-by-Count'!$D$4</f>
        <v>1013.8429781871461</v>
      </c>
      <c r="I394" s="16">
        <f t="shared" si="12"/>
        <v>-4644.4146830753161</v>
      </c>
      <c r="M394" s="19"/>
      <c r="N394" s="19"/>
      <c r="O394" s="19"/>
      <c r="P394" s="19"/>
    </row>
    <row r="395" spans="1:16" x14ac:dyDescent="0.25">
      <c r="A395" s="91">
        <v>572</v>
      </c>
      <c r="B395" s="15">
        <v>2006</v>
      </c>
      <c r="C395" s="1" t="s">
        <v>120</v>
      </c>
      <c r="D395" s="1" t="s">
        <v>216</v>
      </c>
      <c r="E395" s="15" t="s">
        <v>217</v>
      </c>
      <c r="F395" s="1" t="s">
        <v>104</v>
      </c>
      <c r="G395" s="16">
        <v>-618699</v>
      </c>
      <c r="H395" s="93">
        <f>'Emission Rates Net-by-Count'!$D$4</f>
        <v>1013.8429781871461</v>
      </c>
      <c r="I395" s="16">
        <f t="shared" si="12"/>
        <v>-313631.8183807045</v>
      </c>
      <c r="M395" s="19"/>
      <c r="N395" s="19"/>
      <c r="O395" s="19"/>
      <c r="P395" s="19"/>
    </row>
    <row r="396" spans="1:16" x14ac:dyDescent="0.25">
      <c r="A396" s="91">
        <v>573</v>
      </c>
      <c r="B396" s="15">
        <v>2006</v>
      </c>
      <c r="C396" s="1" t="s">
        <v>120</v>
      </c>
      <c r="D396" s="1" t="s">
        <v>216</v>
      </c>
      <c r="E396" s="15" t="s">
        <v>217</v>
      </c>
      <c r="F396" s="1" t="s">
        <v>105</v>
      </c>
      <c r="G396" s="16">
        <v>-15432</v>
      </c>
      <c r="H396" s="93">
        <f>'Emission Rates Net-by-Count'!$D$4</f>
        <v>1013.8429781871461</v>
      </c>
      <c r="I396" s="16">
        <f t="shared" si="12"/>
        <v>-7822.8124196920189</v>
      </c>
      <c r="M396" s="19"/>
      <c r="N396" s="19"/>
      <c r="O396" s="19"/>
      <c r="P396" s="19"/>
    </row>
    <row r="397" spans="1:16" x14ac:dyDescent="0.25">
      <c r="A397" s="91">
        <v>574</v>
      </c>
      <c r="B397" s="15">
        <v>2006</v>
      </c>
      <c r="C397" s="1" t="s">
        <v>120</v>
      </c>
      <c r="D397" s="1" t="s">
        <v>216</v>
      </c>
      <c r="E397" s="15" t="s">
        <v>217</v>
      </c>
      <c r="F397" s="1" t="s">
        <v>106</v>
      </c>
      <c r="G397" s="16">
        <v>-2765</v>
      </c>
      <c r="H397" s="93">
        <f>'Emission Rates Net-by-Count'!$D$4</f>
        <v>1013.8429781871461</v>
      </c>
      <c r="I397" s="16">
        <f t="shared" si="12"/>
        <v>-1401.6379173437294</v>
      </c>
      <c r="M397" s="19"/>
      <c r="N397" s="19"/>
      <c r="O397" s="19"/>
      <c r="P397" s="19"/>
    </row>
    <row r="398" spans="1:16" x14ac:dyDescent="0.25">
      <c r="A398" s="91">
        <v>575</v>
      </c>
      <c r="B398" s="15">
        <v>2006</v>
      </c>
      <c r="C398" s="1" t="s">
        <v>120</v>
      </c>
      <c r="D398" s="1" t="s">
        <v>216</v>
      </c>
      <c r="E398" s="15" t="s">
        <v>217</v>
      </c>
      <c r="F398" s="1" t="s">
        <v>107</v>
      </c>
      <c r="G398" s="16">
        <v>-74264</v>
      </c>
      <c r="H398" s="93">
        <f>'Emission Rates Net-by-Count'!$D$4</f>
        <v>1013.8429781871461</v>
      </c>
      <c r="I398" s="16">
        <f t="shared" si="12"/>
        <v>-37646.017466045101</v>
      </c>
      <c r="M398" s="19"/>
      <c r="N398" s="19"/>
      <c r="O398" s="19"/>
      <c r="P398" s="19"/>
    </row>
    <row r="399" spans="1:16" x14ac:dyDescent="0.25">
      <c r="A399" s="91">
        <v>576</v>
      </c>
      <c r="B399" s="15">
        <v>2006</v>
      </c>
      <c r="C399" s="1" t="s">
        <v>120</v>
      </c>
      <c r="D399" s="1" t="s">
        <v>216</v>
      </c>
      <c r="E399" s="15" t="s">
        <v>217</v>
      </c>
      <c r="F399" s="1" t="s">
        <v>108</v>
      </c>
      <c r="G399" s="16">
        <v>-515</v>
      </c>
      <c r="H399" s="93">
        <f>'Emission Rates Net-by-Count'!$D$4</f>
        <v>1013.8429781871461</v>
      </c>
      <c r="I399" s="16">
        <f t="shared" si="12"/>
        <v>-261.06456688319008</v>
      </c>
      <c r="M399" s="19"/>
      <c r="N399" s="19"/>
      <c r="O399" s="19"/>
      <c r="P399" s="19"/>
    </row>
    <row r="400" spans="1:16" x14ac:dyDescent="0.25">
      <c r="A400" s="91">
        <v>577</v>
      </c>
      <c r="B400" s="15">
        <v>2006</v>
      </c>
      <c r="C400" s="1" t="s">
        <v>120</v>
      </c>
      <c r="D400" s="1" t="s">
        <v>216</v>
      </c>
      <c r="E400" s="15" t="s">
        <v>217</v>
      </c>
      <c r="F400" s="1" t="s">
        <v>140</v>
      </c>
      <c r="G400" s="16">
        <v>-425</v>
      </c>
      <c r="H400" s="93">
        <f>'Emission Rates Net-by-Count'!$D$4</f>
        <v>1013.8429781871461</v>
      </c>
      <c r="I400" s="16">
        <f t="shared" si="12"/>
        <v>-215.44163286476854</v>
      </c>
      <c r="M400" s="19"/>
      <c r="N400" s="19"/>
      <c r="O400" s="19"/>
      <c r="P400" s="19"/>
    </row>
    <row r="401" spans="1:17" x14ac:dyDescent="0.25">
      <c r="A401" s="91">
        <v>617</v>
      </c>
      <c r="B401" s="15">
        <v>2007</v>
      </c>
      <c r="C401" s="1" t="s">
        <v>0</v>
      </c>
      <c r="D401" s="1" t="s">
        <v>215</v>
      </c>
      <c r="E401" s="15" t="s">
        <v>125</v>
      </c>
      <c r="F401" s="1" t="s">
        <v>1</v>
      </c>
      <c r="G401" s="16">
        <v>88728.5</v>
      </c>
      <c r="H401" s="92">
        <v>0</v>
      </c>
      <c r="I401" s="92">
        <f>(H401*G401)/2000</f>
        <v>0</v>
      </c>
      <c r="J401" s="92"/>
      <c r="K401" s="17" t="s">
        <v>223</v>
      </c>
      <c r="M401" s="19"/>
      <c r="N401" s="19"/>
      <c r="O401" s="19"/>
      <c r="P401" s="19"/>
    </row>
    <row r="402" spans="1:17" x14ac:dyDescent="0.25">
      <c r="A402" s="91">
        <v>618</v>
      </c>
      <c r="B402" s="15">
        <v>2007</v>
      </c>
      <c r="C402" s="1" t="s">
        <v>0</v>
      </c>
      <c r="D402" s="1" t="s">
        <v>215</v>
      </c>
      <c r="E402" s="15" t="s">
        <v>125</v>
      </c>
      <c r="F402" s="1" t="s">
        <v>2</v>
      </c>
      <c r="G402" s="16">
        <v>436208.3</v>
      </c>
      <c r="H402" s="92">
        <v>0</v>
      </c>
      <c r="I402" s="92">
        <f>(H402*G402)/2000</f>
        <v>0</v>
      </c>
      <c r="J402" s="92"/>
      <c r="K402" s="17" t="s">
        <v>223</v>
      </c>
      <c r="M402" s="19"/>
      <c r="N402" s="19"/>
      <c r="O402" s="19"/>
      <c r="P402" s="19"/>
    </row>
    <row r="403" spans="1:17" x14ac:dyDescent="0.25">
      <c r="A403" s="91">
        <v>620</v>
      </c>
      <c r="B403" s="15">
        <v>2007</v>
      </c>
      <c r="C403" s="1" t="s">
        <v>0</v>
      </c>
      <c r="D403" s="1" t="s">
        <v>215</v>
      </c>
      <c r="E403" s="15" t="s">
        <v>125</v>
      </c>
      <c r="F403" s="1" t="s">
        <v>4</v>
      </c>
      <c r="G403" s="16">
        <v>52146.400000000001</v>
      </c>
      <c r="H403" s="92">
        <v>0</v>
      </c>
      <c r="I403" s="92">
        <f>(H403*G403)/2000</f>
        <v>0</v>
      </c>
      <c r="J403" s="92"/>
      <c r="K403" s="17" t="s">
        <v>223</v>
      </c>
      <c r="M403" s="19"/>
      <c r="N403" s="19"/>
      <c r="O403" s="19"/>
      <c r="P403" s="19"/>
    </row>
    <row r="404" spans="1:17" x14ac:dyDescent="0.25">
      <c r="A404" s="91">
        <v>621</v>
      </c>
      <c r="B404" s="15">
        <v>2007</v>
      </c>
      <c r="C404" s="1" t="s">
        <v>0</v>
      </c>
      <c r="D404" s="1" t="s">
        <v>215</v>
      </c>
      <c r="E404" s="15" t="s">
        <v>125</v>
      </c>
      <c r="F404" s="1" t="s">
        <v>5</v>
      </c>
      <c r="G404" s="16">
        <v>176100.2</v>
      </c>
      <c r="H404" s="92">
        <v>0</v>
      </c>
      <c r="I404" s="92">
        <f>(H404*G404)/2000</f>
        <v>0</v>
      </c>
      <c r="J404" s="92"/>
      <c r="K404" s="17" t="s">
        <v>223</v>
      </c>
      <c r="M404" s="19"/>
      <c r="N404" s="19"/>
      <c r="O404" s="19"/>
      <c r="P404" s="19"/>
    </row>
    <row r="405" spans="1:17" x14ac:dyDescent="0.25">
      <c r="A405" s="91">
        <v>623</v>
      </c>
      <c r="B405" s="15">
        <v>2007</v>
      </c>
      <c r="C405" s="1" t="s">
        <v>0</v>
      </c>
      <c r="D405" s="1" t="s">
        <v>215</v>
      </c>
      <c r="E405" s="15" t="s">
        <v>125</v>
      </c>
      <c r="F405" s="1" t="s">
        <v>6</v>
      </c>
      <c r="G405" s="16">
        <v>401050.43</v>
      </c>
      <c r="H405" s="92">
        <v>0</v>
      </c>
      <c r="I405" s="92">
        <f>(H405*G405)/2000</f>
        <v>0</v>
      </c>
      <c r="J405" s="92"/>
      <c r="K405" s="17" t="s">
        <v>223</v>
      </c>
      <c r="M405" s="19"/>
      <c r="N405" s="19"/>
      <c r="O405" s="19"/>
      <c r="P405" s="19"/>
    </row>
    <row r="406" spans="1:17" x14ac:dyDescent="0.25">
      <c r="A406" s="91">
        <v>627</v>
      </c>
      <c r="B406" s="15">
        <v>2007</v>
      </c>
      <c r="C406" s="1" t="s">
        <v>7</v>
      </c>
      <c r="D406" s="1" t="s">
        <v>215</v>
      </c>
      <c r="E406" s="15" t="s">
        <v>122</v>
      </c>
      <c r="F406" s="1" t="s">
        <v>8</v>
      </c>
      <c r="G406" s="16">
        <v>2366043</v>
      </c>
      <c r="H406" s="16">
        <f t="shared" ref="H406:H414" si="13">(I406*2000)/G406</f>
        <v>2509.6325806420255</v>
      </c>
      <c r="I406" s="16">
        <v>2968949.3</v>
      </c>
      <c r="M406" s="19"/>
      <c r="N406" s="19"/>
      <c r="O406" s="19"/>
      <c r="P406" s="19"/>
      <c r="Q406" s="15" t="s">
        <v>263</v>
      </c>
    </row>
    <row r="407" spans="1:17" x14ac:dyDescent="0.25">
      <c r="A407" s="91">
        <v>628</v>
      </c>
      <c r="B407" s="15">
        <v>2007</v>
      </c>
      <c r="C407" s="1" t="s">
        <v>7</v>
      </c>
      <c r="D407" s="1" t="s">
        <v>215</v>
      </c>
      <c r="E407" s="15" t="s">
        <v>122</v>
      </c>
      <c r="F407" s="1" t="s">
        <v>9</v>
      </c>
      <c r="G407" s="16">
        <v>2776869</v>
      </c>
      <c r="H407" s="16">
        <f t="shared" si="13"/>
        <v>2420.5408501445331</v>
      </c>
      <c r="I407" s="94">
        <v>3360762.4249999998</v>
      </c>
      <c r="M407" s="19"/>
      <c r="N407" s="19"/>
      <c r="O407" s="19"/>
      <c r="P407" s="19"/>
      <c r="Q407" s="15" t="s">
        <v>263</v>
      </c>
    </row>
    <row r="408" spans="1:17" x14ac:dyDescent="0.25">
      <c r="A408" s="91">
        <v>629</v>
      </c>
      <c r="B408" s="15">
        <v>2007</v>
      </c>
      <c r="C408" s="1" t="s">
        <v>7</v>
      </c>
      <c r="D408" s="1" t="s">
        <v>215</v>
      </c>
      <c r="E408" s="15" t="s">
        <v>123</v>
      </c>
      <c r="F408" s="1" t="s">
        <v>10</v>
      </c>
      <c r="G408" s="16">
        <v>182970</v>
      </c>
      <c r="H408" s="16">
        <f t="shared" si="13"/>
        <v>1127.5436203061972</v>
      </c>
      <c r="I408" s="16">
        <v>103153.32810371245</v>
      </c>
      <c r="M408" s="19"/>
      <c r="N408" s="19"/>
      <c r="O408" s="19"/>
      <c r="P408" s="19"/>
      <c r="Q408" s="15" t="s">
        <v>264</v>
      </c>
    </row>
    <row r="409" spans="1:17" x14ac:dyDescent="0.25">
      <c r="A409" s="91">
        <v>630</v>
      </c>
      <c r="B409" s="15">
        <v>2007</v>
      </c>
      <c r="C409" s="1" t="s">
        <v>7</v>
      </c>
      <c r="D409" s="1" t="s">
        <v>215</v>
      </c>
      <c r="E409" s="15" t="s">
        <v>123</v>
      </c>
      <c r="F409" s="1" t="s">
        <v>144</v>
      </c>
      <c r="G409" s="16">
        <v>636737.19999999995</v>
      </c>
      <c r="H409" s="16">
        <f t="shared" si="13"/>
        <v>783.94989064411186</v>
      </c>
      <c r="I409" s="16">
        <v>249585.02915451897</v>
      </c>
      <c r="M409" s="19"/>
      <c r="N409" s="19"/>
      <c r="O409" s="19"/>
      <c r="P409" s="19"/>
      <c r="Q409" s="15" t="s">
        <v>264</v>
      </c>
    </row>
    <row r="410" spans="1:17" x14ac:dyDescent="0.25">
      <c r="A410" s="91">
        <v>632</v>
      </c>
      <c r="B410" s="15">
        <v>2007</v>
      </c>
      <c r="C410" s="1" t="s">
        <v>11</v>
      </c>
      <c r="D410" s="1" t="s">
        <v>215</v>
      </c>
      <c r="E410" s="15" t="s">
        <v>124</v>
      </c>
      <c r="F410" s="1" t="s">
        <v>12</v>
      </c>
      <c r="G410" s="16">
        <v>313.42</v>
      </c>
      <c r="H410" s="16">
        <f t="shared" si="13"/>
        <v>1963.3964030374577</v>
      </c>
      <c r="I410" s="16">
        <v>307.68385032000003</v>
      </c>
      <c r="M410" s="19"/>
      <c r="N410" s="19"/>
      <c r="O410" s="19"/>
      <c r="P410" s="19"/>
      <c r="Q410" s="15" t="s">
        <v>264</v>
      </c>
    </row>
    <row r="411" spans="1:17" x14ac:dyDescent="0.25">
      <c r="A411" s="91">
        <v>634</v>
      </c>
      <c r="B411" s="15">
        <v>2007</v>
      </c>
      <c r="C411" s="1" t="s">
        <v>11</v>
      </c>
      <c r="D411" s="1" t="s">
        <v>215</v>
      </c>
      <c r="E411" s="15" t="s">
        <v>123</v>
      </c>
      <c r="F411" s="1" t="s">
        <v>13</v>
      </c>
      <c r="G411" s="16">
        <v>440914</v>
      </c>
      <c r="H411" s="16">
        <f t="shared" si="13"/>
        <v>391.94270735263399</v>
      </c>
      <c r="I411" s="16">
        <v>86406.513434839639</v>
      </c>
      <c r="M411" s="19"/>
      <c r="N411" s="19"/>
      <c r="O411" s="19"/>
      <c r="P411" s="19"/>
      <c r="Q411" s="15" t="s">
        <v>264</v>
      </c>
    </row>
    <row r="412" spans="1:17" x14ac:dyDescent="0.25">
      <c r="A412" s="91">
        <v>635</v>
      </c>
      <c r="B412" s="15">
        <v>2007</v>
      </c>
      <c r="C412" s="1" t="s">
        <v>11</v>
      </c>
      <c r="D412" s="1" t="s">
        <v>215</v>
      </c>
      <c r="E412" s="15" t="s">
        <v>123</v>
      </c>
      <c r="F412" s="1" t="s">
        <v>14</v>
      </c>
      <c r="G412" s="16">
        <v>7927.5</v>
      </c>
      <c r="H412" s="16">
        <f t="shared" si="13"/>
        <v>1599.7328073884109</v>
      </c>
      <c r="I412" s="16">
        <v>6340.9409152858134</v>
      </c>
      <c r="M412" s="19"/>
      <c r="N412" s="19"/>
      <c r="O412" s="19"/>
      <c r="P412" s="19"/>
      <c r="Q412" s="15" t="s">
        <v>264</v>
      </c>
    </row>
    <row r="413" spans="1:17" x14ac:dyDescent="0.25">
      <c r="A413" s="91">
        <v>636</v>
      </c>
      <c r="B413" s="15">
        <v>2007</v>
      </c>
      <c r="C413" s="1" t="s">
        <v>11</v>
      </c>
      <c r="D413" s="1" t="s">
        <v>215</v>
      </c>
      <c r="E413" s="15" t="s">
        <v>123</v>
      </c>
      <c r="F413" s="1" t="s">
        <v>15</v>
      </c>
      <c r="G413" s="16">
        <v>19646.900000000001</v>
      </c>
      <c r="H413" s="16">
        <f t="shared" si="13"/>
        <v>1159.4426591845654</v>
      </c>
      <c r="I413" s="16">
        <v>11389.726990366618</v>
      </c>
      <c r="M413" s="19"/>
      <c r="N413" s="19"/>
      <c r="O413" s="19"/>
      <c r="P413" s="19"/>
      <c r="Q413" s="15" t="s">
        <v>264</v>
      </c>
    </row>
    <row r="414" spans="1:17" x14ac:dyDescent="0.25">
      <c r="A414" s="91">
        <v>637</v>
      </c>
      <c r="B414" s="15">
        <v>2007</v>
      </c>
      <c r="C414" s="1" t="s">
        <v>11</v>
      </c>
      <c r="D414" s="1" t="s">
        <v>215</v>
      </c>
      <c r="E414" s="15" t="s">
        <v>123</v>
      </c>
      <c r="F414" s="1" t="s">
        <v>16</v>
      </c>
      <c r="G414" s="16">
        <v>8908</v>
      </c>
      <c r="H414" s="16">
        <f t="shared" si="13"/>
        <v>1324.5215387832911</v>
      </c>
      <c r="I414" s="16">
        <v>5899.4189337407788</v>
      </c>
      <c r="M414" s="19"/>
      <c r="N414" s="19"/>
      <c r="O414" s="19"/>
      <c r="P414" s="19"/>
      <c r="Q414" s="15" t="s">
        <v>264</v>
      </c>
    </row>
    <row r="415" spans="1:17" x14ac:dyDescent="0.25">
      <c r="A415" s="91">
        <v>639</v>
      </c>
      <c r="B415" s="15">
        <v>2007</v>
      </c>
      <c r="C415" s="1" t="s">
        <v>11</v>
      </c>
      <c r="D415" s="1" t="s">
        <v>215</v>
      </c>
      <c r="E415" s="15" t="s">
        <v>125</v>
      </c>
      <c r="F415" s="1" t="s">
        <v>17</v>
      </c>
      <c r="G415" s="16">
        <v>402465.2</v>
      </c>
      <c r="H415" s="92">
        <v>0</v>
      </c>
      <c r="I415" s="92">
        <f>(H415*G415)/2000</f>
        <v>0</v>
      </c>
      <c r="J415" s="92"/>
      <c r="K415" s="17" t="s">
        <v>229</v>
      </c>
      <c r="M415" s="19"/>
      <c r="N415" s="19"/>
      <c r="O415" s="19"/>
      <c r="P415" s="19"/>
    </row>
    <row r="416" spans="1:17" x14ac:dyDescent="0.25">
      <c r="A416" s="91">
        <v>642</v>
      </c>
      <c r="B416" s="15">
        <v>2007</v>
      </c>
      <c r="C416" s="1" t="s">
        <v>11</v>
      </c>
      <c r="D416" s="1" t="s">
        <v>215</v>
      </c>
      <c r="E416" s="15" t="s">
        <v>123</v>
      </c>
      <c r="F416" s="1" t="s">
        <v>18</v>
      </c>
      <c r="G416" s="16">
        <v>13208</v>
      </c>
      <c r="H416" s="16">
        <f>(I416*2000)/G416</f>
        <v>1471.3440376388919</v>
      </c>
      <c r="I416" s="16">
        <v>9716.756024567243</v>
      </c>
      <c r="M416" s="19"/>
      <c r="N416" s="19"/>
      <c r="O416" s="19"/>
      <c r="P416" s="19"/>
      <c r="Q416" s="15" t="s">
        <v>264</v>
      </c>
    </row>
    <row r="417" spans="1:17" x14ac:dyDescent="0.25">
      <c r="A417" s="91">
        <v>643</v>
      </c>
      <c r="B417" s="15">
        <v>2007</v>
      </c>
      <c r="C417" s="1" t="s">
        <v>11</v>
      </c>
      <c r="D417" s="1" t="s">
        <v>215</v>
      </c>
      <c r="E417" s="15" t="s">
        <v>125</v>
      </c>
      <c r="F417" s="1" t="s">
        <v>126</v>
      </c>
      <c r="G417" s="16">
        <v>612858.34600000002</v>
      </c>
      <c r="H417" s="92">
        <v>0</v>
      </c>
      <c r="I417" s="92">
        <f>(H417*G417)/2000</f>
        <v>0</v>
      </c>
      <c r="J417" s="92"/>
      <c r="K417" s="17" t="s">
        <v>229</v>
      </c>
      <c r="M417" s="19"/>
      <c r="N417" s="19"/>
      <c r="O417" s="19"/>
      <c r="P417" s="19"/>
    </row>
    <row r="418" spans="1:17" x14ac:dyDescent="0.25">
      <c r="A418" s="91">
        <v>645</v>
      </c>
      <c r="B418" s="15">
        <v>2007</v>
      </c>
      <c r="C418" s="1" t="s">
        <v>19</v>
      </c>
      <c r="D418" s="1" t="s">
        <v>219</v>
      </c>
      <c r="E418" s="15" t="s">
        <v>217</v>
      </c>
      <c r="F418" s="1" t="s">
        <v>20</v>
      </c>
      <c r="G418" s="16">
        <v>22373.439999999999</v>
      </c>
      <c r="H418" s="93">
        <f>'Emission Rates Net-by-Count'!$D$5</f>
        <v>1201.8007841674578</v>
      </c>
      <c r="I418" s="16">
        <f>(G418*H418)/2000</f>
        <v>13444.208868261783</v>
      </c>
      <c r="M418" s="19"/>
      <c r="N418" s="19"/>
      <c r="O418" s="19"/>
      <c r="P418" s="19"/>
    </row>
    <row r="419" spans="1:17" x14ac:dyDescent="0.25">
      <c r="A419" s="91">
        <v>646</v>
      </c>
      <c r="B419" s="15">
        <v>2007</v>
      </c>
      <c r="C419" s="1" t="s">
        <v>19</v>
      </c>
      <c r="D419" s="1" t="s">
        <v>219</v>
      </c>
      <c r="E419" s="15" t="s">
        <v>125</v>
      </c>
      <c r="F419" s="1" t="s">
        <v>21</v>
      </c>
      <c r="G419" s="16">
        <v>6923</v>
      </c>
      <c r="H419" s="92">
        <v>0</v>
      </c>
      <c r="I419" s="92">
        <f>(H419*G419)/2000</f>
        <v>0</v>
      </c>
      <c r="J419" s="92"/>
      <c r="K419" s="17" t="s">
        <v>235</v>
      </c>
      <c r="M419" s="19"/>
      <c r="N419" s="19"/>
      <c r="O419" s="19"/>
      <c r="P419" s="19"/>
    </row>
    <row r="420" spans="1:17" x14ac:dyDescent="0.25">
      <c r="A420" s="91">
        <v>647</v>
      </c>
      <c r="B420" s="15">
        <v>2007</v>
      </c>
      <c r="C420" s="1" t="s">
        <v>19</v>
      </c>
      <c r="D420" s="1" t="s">
        <v>219</v>
      </c>
      <c r="E420" s="15" t="s">
        <v>217</v>
      </c>
      <c r="F420" s="1" t="s">
        <v>22</v>
      </c>
      <c r="G420" s="16">
        <v>339510</v>
      </c>
      <c r="H420" s="93">
        <f>'Emission Rates Net-by-Count'!$D$5</f>
        <v>1201.8007841674578</v>
      </c>
      <c r="I420" s="16">
        <f>(G420*H420)/2000</f>
        <v>204011.69211634679</v>
      </c>
      <c r="J420" s="92"/>
      <c r="K420" s="17" t="s">
        <v>236</v>
      </c>
      <c r="M420" s="19"/>
      <c r="N420" s="19"/>
      <c r="O420" s="19"/>
      <c r="P420" s="19"/>
    </row>
    <row r="421" spans="1:17" x14ac:dyDescent="0.25">
      <c r="A421" s="91">
        <v>649</v>
      </c>
      <c r="B421" s="15">
        <v>2007</v>
      </c>
      <c r="C421" s="1" t="s">
        <v>19</v>
      </c>
      <c r="D421" s="1" t="s">
        <v>219</v>
      </c>
      <c r="E421" s="15" t="s">
        <v>125</v>
      </c>
      <c r="F421" s="1" t="s">
        <v>23</v>
      </c>
      <c r="G421" s="16">
        <v>1279176</v>
      </c>
      <c r="H421" s="92">
        <v>0</v>
      </c>
      <c r="I421" s="92">
        <f t="shared" ref="I421:I426" si="14">(H421*G421)/2000</f>
        <v>0</v>
      </c>
      <c r="J421" s="92"/>
      <c r="K421" s="17" t="s">
        <v>223</v>
      </c>
      <c r="M421" s="19"/>
      <c r="N421" s="19"/>
      <c r="O421" s="19"/>
      <c r="P421" s="19"/>
    </row>
    <row r="422" spans="1:17" x14ac:dyDescent="0.25">
      <c r="A422" s="91">
        <v>650</v>
      </c>
      <c r="B422" s="15">
        <v>2007</v>
      </c>
      <c r="C422" s="1" t="s">
        <v>19</v>
      </c>
      <c r="D422" s="1" t="s">
        <v>219</v>
      </c>
      <c r="E422" s="15" t="s">
        <v>125</v>
      </c>
      <c r="F422" s="1" t="s">
        <v>24</v>
      </c>
      <c r="G422" s="16">
        <v>2478149</v>
      </c>
      <c r="H422" s="92">
        <v>0</v>
      </c>
      <c r="I422" s="92">
        <f t="shared" si="14"/>
        <v>0</v>
      </c>
      <c r="J422" s="92"/>
      <c r="K422" s="17" t="s">
        <v>223</v>
      </c>
      <c r="M422" s="19"/>
      <c r="N422" s="19"/>
      <c r="O422" s="19"/>
      <c r="P422" s="19"/>
    </row>
    <row r="423" spans="1:17" x14ac:dyDescent="0.25">
      <c r="A423" s="91">
        <v>651</v>
      </c>
      <c r="B423" s="15">
        <v>2007</v>
      </c>
      <c r="C423" s="1" t="s">
        <v>19</v>
      </c>
      <c r="D423" s="1" t="s">
        <v>219</v>
      </c>
      <c r="E423" s="15" t="s">
        <v>125</v>
      </c>
      <c r="F423" s="1" t="s">
        <v>25</v>
      </c>
      <c r="G423" s="16">
        <v>1143974</v>
      </c>
      <c r="H423" s="92">
        <v>0</v>
      </c>
      <c r="I423" s="92">
        <f t="shared" si="14"/>
        <v>0</v>
      </c>
      <c r="J423" s="92"/>
      <c r="K423" s="17" t="s">
        <v>223</v>
      </c>
      <c r="M423" s="19"/>
      <c r="N423" s="19"/>
      <c r="O423" s="19"/>
      <c r="P423" s="19"/>
    </row>
    <row r="424" spans="1:17" x14ac:dyDescent="0.25">
      <c r="A424" s="91">
        <v>652</v>
      </c>
      <c r="B424" s="15">
        <v>2007</v>
      </c>
      <c r="C424" s="1" t="s">
        <v>19</v>
      </c>
      <c r="D424" s="1" t="s">
        <v>219</v>
      </c>
      <c r="E424" s="15" t="s">
        <v>125</v>
      </c>
      <c r="F424" s="1" t="s">
        <v>26</v>
      </c>
      <c r="G424" s="16">
        <v>437351</v>
      </c>
      <c r="H424" s="92">
        <v>0</v>
      </c>
      <c r="I424" s="92">
        <f t="shared" si="14"/>
        <v>0</v>
      </c>
      <c r="J424" s="92"/>
      <c r="K424" s="17" t="s">
        <v>223</v>
      </c>
      <c r="M424" s="19"/>
      <c r="N424" s="19"/>
      <c r="O424" s="19"/>
      <c r="P424" s="19"/>
    </row>
    <row r="425" spans="1:17" x14ac:dyDescent="0.25">
      <c r="A425" s="91">
        <v>653</v>
      </c>
      <c r="B425" s="15">
        <v>2007</v>
      </c>
      <c r="C425" s="1" t="s">
        <v>19</v>
      </c>
      <c r="D425" s="1" t="s">
        <v>219</v>
      </c>
      <c r="E425" s="15" t="s">
        <v>125</v>
      </c>
      <c r="F425" s="1" t="s">
        <v>27</v>
      </c>
      <c r="G425" s="16">
        <v>471766</v>
      </c>
      <c r="H425" s="92">
        <v>0</v>
      </c>
      <c r="I425" s="92">
        <f t="shared" si="14"/>
        <v>0</v>
      </c>
      <c r="J425" s="92"/>
      <c r="K425" s="17" t="s">
        <v>223</v>
      </c>
      <c r="M425" s="19"/>
      <c r="N425" s="19"/>
      <c r="O425" s="19"/>
      <c r="P425" s="19"/>
    </row>
    <row r="426" spans="1:17" x14ac:dyDescent="0.25">
      <c r="A426" s="91">
        <v>654</v>
      </c>
      <c r="B426" s="15">
        <v>2007</v>
      </c>
      <c r="C426" s="1" t="s">
        <v>19</v>
      </c>
      <c r="D426" s="1" t="s">
        <v>219</v>
      </c>
      <c r="E426" s="15" t="s">
        <v>125</v>
      </c>
      <c r="F426" s="1" t="s">
        <v>145</v>
      </c>
      <c r="G426" s="16">
        <v>8570</v>
      </c>
      <c r="H426" s="92">
        <v>0</v>
      </c>
      <c r="I426" s="92">
        <f t="shared" si="14"/>
        <v>0</v>
      </c>
      <c r="J426" s="92"/>
      <c r="K426" s="17" t="s">
        <v>229</v>
      </c>
      <c r="M426" s="19"/>
      <c r="N426" s="19"/>
      <c r="O426" s="19"/>
      <c r="P426" s="19"/>
    </row>
    <row r="427" spans="1:17" x14ac:dyDescent="0.25">
      <c r="A427" s="91">
        <v>655</v>
      </c>
      <c r="B427" s="15">
        <v>2007</v>
      </c>
      <c r="C427" s="1" t="s">
        <v>19</v>
      </c>
      <c r="D427" s="1" t="s">
        <v>219</v>
      </c>
      <c r="E427" s="15" t="s">
        <v>122</v>
      </c>
      <c r="F427" s="1" t="s">
        <v>28</v>
      </c>
      <c r="G427" s="16">
        <v>744477</v>
      </c>
      <c r="H427" s="92">
        <v>2461.5283034203198</v>
      </c>
      <c r="I427" s="92">
        <f>(G427*H427)/2000</f>
        <v>916275.60337272473</v>
      </c>
      <c r="J427" s="92"/>
      <c r="K427" s="17" t="s">
        <v>233</v>
      </c>
      <c r="M427" s="19"/>
      <c r="N427" s="19"/>
      <c r="O427" s="19"/>
      <c r="P427" s="19"/>
      <c r="Q427" s="15" t="s">
        <v>258</v>
      </c>
    </row>
    <row r="428" spans="1:17" x14ac:dyDescent="0.25">
      <c r="A428" s="91">
        <v>656</v>
      </c>
      <c r="B428" s="15">
        <v>2007</v>
      </c>
      <c r="C428" s="1" t="s">
        <v>19</v>
      </c>
      <c r="D428" s="1" t="s">
        <v>219</v>
      </c>
      <c r="E428" s="15" t="s">
        <v>217</v>
      </c>
      <c r="F428" s="1" t="s">
        <v>29</v>
      </c>
      <c r="G428" s="16">
        <v>89728</v>
      </c>
      <c r="H428" s="93">
        <f>'Emission Rates Net-by-Count'!$D$5</f>
        <v>1201.8007841674578</v>
      </c>
      <c r="I428" s="16">
        <f>(G428*H428)/2000</f>
        <v>53917.590380888825</v>
      </c>
      <c r="M428" s="19"/>
      <c r="N428" s="19"/>
      <c r="O428" s="19"/>
      <c r="P428" s="19"/>
    </row>
    <row r="429" spans="1:17" x14ac:dyDescent="0.25">
      <c r="A429" s="91">
        <v>657</v>
      </c>
      <c r="B429" s="15">
        <v>2007</v>
      </c>
      <c r="C429" s="1" t="s">
        <v>19</v>
      </c>
      <c r="D429" s="1" t="s">
        <v>219</v>
      </c>
      <c r="E429" s="15" t="s">
        <v>125</v>
      </c>
      <c r="F429" s="1" t="s">
        <v>30</v>
      </c>
      <c r="G429" s="16">
        <v>2091.6</v>
      </c>
      <c r="H429" s="92">
        <v>0</v>
      </c>
      <c r="I429" s="92">
        <f>(H429*G429)/2000</f>
        <v>0</v>
      </c>
      <c r="J429" s="92"/>
      <c r="K429" s="17" t="s">
        <v>232</v>
      </c>
      <c r="M429" s="19"/>
      <c r="N429" s="19"/>
      <c r="O429" s="19"/>
      <c r="P429" s="19"/>
    </row>
    <row r="430" spans="1:17" x14ac:dyDescent="0.25">
      <c r="A430" s="91">
        <v>658</v>
      </c>
      <c r="B430" s="15">
        <v>2007</v>
      </c>
      <c r="C430" s="1" t="s">
        <v>19</v>
      </c>
      <c r="D430" s="1" t="s">
        <v>219</v>
      </c>
      <c r="E430" s="15" t="s">
        <v>125</v>
      </c>
      <c r="F430" s="1" t="s">
        <v>31</v>
      </c>
      <c r="G430" s="16">
        <v>43893</v>
      </c>
      <c r="H430" s="92">
        <v>0</v>
      </c>
      <c r="I430" s="92">
        <f>(H430*G430)/2000</f>
        <v>0</v>
      </c>
      <c r="J430" s="92"/>
      <c r="K430" s="17" t="s">
        <v>223</v>
      </c>
      <c r="M430" s="19"/>
      <c r="N430" s="19"/>
      <c r="O430" s="19"/>
      <c r="P430" s="19"/>
    </row>
    <row r="431" spans="1:17" x14ac:dyDescent="0.25">
      <c r="A431" s="91">
        <v>660</v>
      </c>
      <c r="B431" s="15">
        <v>2007</v>
      </c>
      <c r="C431" s="1" t="s">
        <v>32</v>
      </c>
      <c r="D431" s="1" t="s">
        <v>219</v>
      </c>
      <c r="E431" s="15" t="s">
        <v>125</v>
      </c>
      <c r="F431" s="1" t="s">
        <v>33</v>
      </c>
      <c r="G431" s="16">
        <v>1860.32</v>
      </c>
      <c r="H431" s="92">
        <v>0</v>
      </c>
      <c r="I431" s="92">
        <f>(H431*G431)/2000</f>
        <v>0</v>
      </c>
      <c r="J431" s="92"/>
      <c r="K431" s="17" t="s">
        <v>223</v>
      </c>
      <c r="M431" s="19"/>
      <c r="N431" s="19"/>
      <c r="O431" s="19"/>
      <c r="P431" s="19"/>
    </row>
    <row r="432" spans="1:17" x14ac:dyDescent="0.25">
      <c r="A432" s="91">
        <v>661</v>
      </c>
      <c r="B432" s="15">
        <v>2007</v>
      </c>
      <c r="C432" s="1" t="s">
        <v>32</v>
      </c>
      <c r="D432" s="1" t="s">
        <v>219</v>
      </c>
      <c r="E432" s="15" t="s">
        <v>125</v>
      </c>
      <c r="F432" s="1" t="s">
        <v>34</v>
      </c>
      <c r="G432" s="16">
        <v>43644</v>
      </c>
      <c r="H432" s="92">
        <v>0</v>
      </c>
      <c r="I432" s="92">
        <f>(H432*G432)/2000</f>
        <v>0</v>
      </c>
      <c r="J432" s="92"/>
      <c r="K432" s="17" t="s">
        <v>223</v>
      </c>
      <c r="M432" s="19"/>
      <c r="N432" s="19"/>
      <c r="O432" s="19"/>
      <c r="P432" s="19"/>
    </row>
    <row r="433" spans="1:17" x14ac:dyDescent="0.25">
      <c r="A433" s="91">
        <v>663</v>
      </c>
      <c r="B433" s="15">
        <v>2007</v>
      </c>
      <c r="C433" s="1" t="s">
        <v>32</v>
      </c>
      <c r="D433" s="1" t="s">
        <v>219</v>
      </c>
      <c r="E433" s="15" t="s">
        <v>123</v>
      </c>
      <c r="F433" s="1" t="s">
        <v>254</v>
      </c>
      <c r="G433" s="16">
        <v>1025307.58</v>
      </c>
      <c r="H433" s="92">
        <f>P433</f>
        <v>716.46716245229504</v>
      </c>
      <c r="I433" s="92">
        <f>(+G433*H433)/2000</f>
        <v>367299.60624171473</v>
      </c>
      <c r="J433" s="92"/>
      <c r="K433" s="17" t="s">
        <v>224</v>
      </c>
      <c r="L433" s="18">
        <v>5.8439999999999999E-2</v>
      </c>
      <c r="M433" s="19">
        <v>6157053</v>
      </c>
      <c r="N433" s="19">
        <f>(M433*L433)</f>
        <v>359818.17732000002</v>
      </c>
      <c r="O433" s="19">
        <v>1004423.3599999999</v>
      </c>
      <c r="P433" s="19">
        <f>(N433*2000)/O433</f>
        <v>716.46716245229504</v>
      </c>
      <c r="Q433" s="15" t="s">
        <v>255</v>
      </c>
    </row>
    <row r="434" spans="1:17" x14ac:dyDescent="0.25">
      <c r="A434" s="91">
        <v>664</v>
      </c>
      <c r="B434" s="15">
        <v>2007</v>
      </c>
      <c r="C434" s="1" t="s">
        <v>32</v>
      </c>
      <c r="D434" s="1" t="s">
        <v>219</v>
      </c>
      <c r="E434" s="15" t="s">
        <v>125</v>
      </c>
      <c r="F434" s="1" t="s">
        <v>35</v>
      </c>
      <c r="G434" s="16">
        <v>22963.77</v>
      </c>
      <c r="H434" s="92">
        <v>0</v>
      </c>
      <c r="I434" s="92">
        <f>(H434*G434)/2000</f>
        <v>0</v>
      </c>
      <c r="J434" s="92"/>
      <c r="K434" s="17" t="s">
        <v>223</v>
      </c>
      <c r="M434" s="19"/>
      <c r="N434" s="19"/>
      <c r="O434" s="19"/>
      <c r="P434" s="19"/>
    </row>
    <row r="435" spans="1:17" x14ac:dyDescent="0.25">
      <c r="A435" s="91">
        <v>665</v>
      </c>
      <c r="B435" s="15">
        <v>2007</v>
      </c>
      <c r="C435" s="1" t="s">
        <v>32</v>
      </c>
      <c r="D435" s="1" t="s">
        <v>219</v>
      </c>
      <c r="E435" s="15" t="s">
        <v>225</v>
      </c>
      <c r="F435" s="1" t="s">
        <v>36</v>
      </c>
      <c r="G435" s="16">
        <v>2611.3200000000002</v>
      </c>
      <c r="H435" s="92">
        <f>P435</f>
        <v>1070.767948493221</v>
      </c>
      <c r="I435" s="92">
        <f>(+G435*H435)/2000</f>
        <v>1398.058879629659</v>
      </c>
      <c r="J435" s="92"/>
      <c r="K435" s="17" t="s">
        <v>225</v>
      </c>
      <c r="L435" s="18">
        <v>0.10448</v>
      </c>
      <c r="M435" s="19">
        <v>255267</v>
      </c>
      <c r="N435" s="19">
        <f>(M435*L435)</f>
        <v>26670.296160000002</v>
      </c>
      <c r="O435" s="19">
        <v>49815.268000000004</v>
      </c>
      <c r="P435" s="19">
        <f>(N435*2000)/O435</f>
        <v>1070.767948493221</v>
      </c>
      <c r="Q435" s="15" t="s">
        <v>255</v>
      </c>
    </row>
    <row r="436" spans="1:17" x14ac:dyDescent="0.25">
      <c r="A436" s="91">
        <v>666</v>
      </c>
      <c r="B436" s="15">
        <v>2007</v>
      </c>
      <c r="C436" s="1" t="s">
        <v>32</v>
      </c>
      <c r="D436" s="1" t="s">
        <v>219</v>
      </c>
      <c r="E436" s="15" t="s">
        <v>125</v>
      </c>
      <c r="F436" s="1" t="s">
        <v>37</v>
      </c>
      <c r="G436" s="16">
        <v>2756.55</v>
      </c>
      <c r="H436" s="92">
        <v>0</v>
      </c>
      <c r="I436" s="92">
        <f>(H436*G436)/2000</f>
        <v>0</v>
      </c>
      <c r="J436" s="92"/>
      <c r="K436" s="17" t="s">
        <v>226</v>
      </c>
      <c r="M436" s="19"/>
      <c r="N436" s="19"/>
      <c r="O436" s="19"/>
      <c r="P436" s="19"/>
    </row>
    <row r="437" spans="1:17" x14ac:dyDescent="0.25">
      <c r="A437" s="91">
        <v>667</v>
      </c>
      <c r="B437" s="15">
        <v>2007</v>
      </c>
      <c r="C437" s="1" t="s">
        <v>32</v>
      </c>
      <c r="D437" s="1" t="s">
        <v>219</v>
      </c>
      <c r="E437" s="15" t="s">
        <v>227</v>
      </c>
      <c r="F437" s="1" t="s">
        <v>38</v>
      </c>
      <c r="G437" s="16">
        <v>141747</v>
      </c>
      <c r="H437" s="92">
        <f>P437</f>
        <v>4476.201431413494</v>
      </c>
      <c r="I437" s="92">
        <f>(+G437*H437)/2000</f>
        <v>317244.06214928423</v>
      </c>
      <c r="J437" s="92"/>
      <c r="K437" s="17" t="s">
        <v>228</v>
      </c>
      <c r="L437" s="18">
        <v>0.11289</v>
      </c>
      <c r="M437" s="19">
        <v>2810225</v>
      </c>
      <c r="N437" s="19">
        <f>(M437*L437)</f>
        <v>317246.30025000003</v>
      </c>
      <c r="O437" s="19">
        <v>141748</v>
      </c>
      <c r="P437" s="19">
        <f>(N437*2000)/O437</f>
        <v>4476.201431413494</v>
      </c>
      <c r="Q437" s="15" t="s">
        <v>255</v>
      </c>
    </row>
    <row r="438" spans="1:17" x14ac:dyDescent="0.25">
      <c r="A438" s="91">
        <v>668</v>
      </c>
      <c r="B438" s="15">
        <v>2007</v>
      </c>
      <c r="C438" s="1" t="s">
        <v>32</v>
      </c>
      <c r="D438" s="1" t="s">
        <v>219</v>
      </c>
      <c r="E438" s="15" t="s">
        <v>123</v>
      </c>
      <c r="F438" s="1" t="s">
        <v>39</v>
      </c>
      <c r="G438" s="16">
        <v>228957.17</v>
      </c>
      <c r="H438" s="92">
        <f>P438</f>
        <v>848.73172220786239</v>
      </c>
      <c r="I438" s="92">
        <f>(+G438*H438)/2000</f>
        <v>97161.606602969172</v>
      </c>
      <c r="J438" s="92"/>
      <c r="K438" s="17" t="s">
        <v>224</v>
      </c>
      <c r="L438" s="18">
        <v>5.8439999999999999E-2</v>
      </c>
      <c r="M438" s="19">
        <v>1662332</v>
      </c>
      <c r="N438" s="19">
        <f>(M438*L438)</f>
        <v>97146.682079999999</v>
      </c>
      <c r="O438" s="19">
        <v>228922.00099999999</v>
      </c>
      <c r="P438" s="19">
        <f>(N438*2000)/O438</f>
        <v>848.73172220786239</v>
      </c>
      <c r="Q438" s="15" t="s">
        <v>255</v>
      </c>
    </row>
    <row r="439" spans="1:17" x14ac:dyDescent="0.25">
      <c r="A439" s="91">
        <v>669</v>
      </c>
      <c r="B439" s="15">
        <v>2007</v>
      </c>
      <c r="C439" s="1" t="s">
        <v>32</v>
      </c>
      <c r="D439" s="1" t="s">
        <v>219</v>
      </c>
      <c r="E439" s="15" t="s">
        <v>125</v>
      </c>
      <c r="F439" s="1" t="s">
        <v>40</v>
      </c>
      <c r="G439" s="16">
        <v>458.4</v>
      </c>
      <c r="H439" s="92">
        <v>0</v>
      </c>
      <c r="I439" s="92">
        <f>(H439*G439)/2000</f>
        <v>0</v>
      </c>
      <c r="J439" s="92"/>
      <c r="K439" s="17" t="s">
        <v>223</v>
      </c>
      <c r="M439" s="19"/>
      <c r="N439" s="19"/>
      <c r="O439" s="19"/>
      <c r="P439" s="19"/>
    </row>
    <row r="440" spans="1:17" x14ac:dyDescent="0.25">
      <c r="A440" s="91">
        <v>670</v>
      </c>
      <c r="B440" s="15">
        <v>2007</v>
      </c>
      <c r="C440" s="1" t="s">
        <v>32</v>
      </c>
      <c r="D440" s="1" t="s">
        <v>219</v>
      </c>
      <c r="E440" s="15" t="s">
        <v>123</v>
      </c>
      <c r="F440" s="1" t="s">
        <v>41</v>
      </c>
      <c r="G440" s="16">
        <v>729134</v>
      </c>
      <c r="H440" s="92">
        <f>P440</f>
        <v>885.29203093487365</v>
      </c>
      <c r="I440" s="92">
        <f>(+G440*H440)/2000</f>
        <v>322748.25984183408</v>
      </c>
      <c r="J440" s="92"/>
      <c r="K440" s="17" t="s">
        <v>224</v>
      </c>
      <c r="L440" s="18">
        <v>5.8439999999999999E-2</v>
      </c>
      <c r="M440" s="19">
        <v>5412716</v>
      </c>
      <c r="N440" s="19">
        <f>(M440*L440)</f>
        <v>316319.12303999998</v>
      </c>
      <c r="O440" s="19">
        <v>714609.67</v>
      </c>
      <c r="P440" s="19">
        <f>(N440*2000)/O440</f>
        <v>885.29203093487365</v>
      </c>
      <c r="Q440" s="15" t="s">
        <v>255</v>
      </c>
    </row>
    <row r="441" spans="1:17" x14ac:dyDescent="0.25">
      <c r="A441" s="91">
        <v>671</v>
      </c>
      <c r="B441" s="15">
        <v>2007</v>
      </c>
      <c r="C441" s="1" t="s">
        <v>32</v>
      </c>
      <c r="D441" s="1" t="s">
        <v>219</v>
      </c>
      <c r="E441" s="15" t="s">
        <v>125</v>
      </c>
      <c r="F441" s="1" t="s">
        <v>42</v>
      </c>
      <c r="G441" s="16">
        <v>73012</v>
      </c>
      <c r="H441" s="92">
        <v>0</v>
      </c>
      <c r="I441" s="92">
        <f>(H441*G441)/2000</f>
        <v>0</v>
      </c>
      <c r="J441" s="92"/>
      <c r="K441" s="17" t="s">
        <v>223</v>
      </c>
      <c r="M441" s="19"/>
      <c r="N441" s="19"/>
      <c r="O441" s="19"/>
      <c r="P441" s="19"/>
    </row>
    <row r="442" spans="1:17" x14ac:dyDescent="0.25">
      <c r="A442" s="91">
        <v>672</v>
      </c>
      <c r="B442" s="15">
        <v>2007</v>
      </c>
      <c r="C442" s="1" t="s">
        <v>32</v>
      </c>
      <c r="D442" s="1" t="s">
        <v>219</v>
      </c>
      <c r="E442" s="15" t="s">
        <v>125</v>
      </c>
      <c r="F442" s="1" t="s">
        <v>43</v>
      </c>
      <c r="G442" s="16">
        <v>13389.6</v>
      </c>
      <c r="H442" s="92">
        <v>0</v>
      </c>
      <c r="I442" s="92">
        <f>(H442*G442)/2000</f>
        <v>0</v>
      </c>
      <c r="J442" s="92"/>
      <c r="K442" s="17" t="s">
        <v>223</v>
      </c>
      <c r="M442" s="19"/>
      <c r="N442" s="19"/>
      <c r="O442" s="19"/>
      <c r="P442" s="19"/>
    </row>
    <row r="443" spans="1:17" x14ac:dyDescent="0.25">
      <c r="A443" s="91">
        <v>674</v>
      </c>
      <c r="B443" s="15">
        <v>2007</v>
      </c>
      <c r="C443" s="1" t="s">
        <v>44</v>
      </c>
      <c r="D443" s="1" t="s">
        <v>216</v>
      </c>
      <c r="E443" s="15" t="s">
        <v>217</v>
      </c>
      <c r="F443" s="1" t="s">
        <v>46</v>
      </c>
      <c r="G443" s="16">
        <v>343</v>
      </c>
      <c r="H443" s="93">
        <f>'Emission Rates Net-by-Count'!$D$5</f>
        <v>1201.8007841674578</v>
      </c>
      <c r="I443" s="16">
        <f t="shared" ref="I443:I474" si="15">(G443*H443)/2000</f>
        <v>206.10883448471901</v>
      </c>
      <c r="M443" s="19"/>
      <c r="N443" s="19"/>
      <c r="O443" s="19"/>
      <c r="P443" s="19"/>
    </row>
    <row r="444" spans="1:17" x14ac:dyDescent="0.25">
      <c r="A444" s="91">
        <v>675</v>
      </c>
      <c r="B444" s="15">
        <v>2007</v>
      </c>
      <c r="C444" s="1" t="s">
        <v>44</v>
      </c>
      <c r="D444" s="1" t="s">
        <v>216</v>
      </c>
      <c r="E444" s="15" t="s">
        <v>217</v>
      </c>
      <c r="F444" s="1" t="s">
        <v>47</v>
      </c>
      <c r="G444" s="16">
        <v>78343.520000000004</v>
      </c>
      <c r="H444" s="93">
        <f>'Emission Rates Net-by-Count'!$D$5</f>
        <v>1201.8007841674578</v>
      </c>
      <c r="I444" s="16">
        <f t="shared" si="15"/>
        <v>47076.651885219457</v>
      </c>
      <c r="M444" s="19"/>
      <c r="N444" s="19"/>
      <c r="O444" s="19"/>
      <c r="P444" s="19"/>
    </row>
    <row r="445" spans="1:17" x14ac:dyDescent="0.25">
      <c r="A445" s="91">
        <v>676</v>
      </c>
      <c r="B445" s="15">
        <v>2007</v>
      </c>
      <c r="C445" s="1" t="s">
        <v>44</v>
      </c>
      <c r="D445" s="1" t="s">
        <v>216</v>
      </c>
      <c r="E445" s="15" t="s">
        <v>217</v>
      </c>
      <c r="F445" s="1" t="s">
        <v>48</v>
      </c>
      <c r="G445" s="16">
        <v>213884</v>
      </c>
      <c r="H445" s="93">
        <f>'Emission Rates Net-by-Count'!$D$5</f>
        <v>1201.8007841674578</v>
      </c>
      <c r="I445" s="16">
        <f t="shared" si="15"/>
        <v>128522.97946043627</v>
      </c>
      <c r="M445" s="19"/>
      <c r="N445" s="19"/>
      <c r="O445" s="19"/>
      <c r="P445" s="19"/>
    </row>
    <row r="446" spans="1:17" x14ac:dyDescent="0.25">
      <c r="A446" s="91">
        <v>677</v>
      </c>
      <c r="B446" s="15">
        <v>2007</v>
      </c>
      <c r="C446" s="1" t="s">
        <v>44</v>
      </c>
      <c r="D446" s="1" t="s">
        <v>216</v>
      </c>
      <c r="E446" s="15" t="s">
        <v>217</v>
      </c>
      <c r="F446" s="1" t="s">
        <v>127</v>
      </c>
      <c r="G446" s="16">
        <v>61000</v>
      </c>
      <c r="H446" s="93">
        <f>'Emission Rates Net-by-Count'!$D$5</f>
        <v>1201.8007841674578</v>
      </c>
      <c r="I446" s="16">
        <f t="shared" si="15"/>
        <v>36654.923917107466</v>
      </c>
      <c r="M446" s="19"/>
      <c r="N446" s="19"/>
      <c r="O446" s="19"/>
      <c r="P446" s="19"/>
    </row>
    <row r="447" spans="1:17" x14ac:dyDescent="0.25">
      <c r="A447" s="91">
        <v>678</v>
      </c>
      <c r="B447" s="15">
        <v>2007</v>
      </c>
      <c r="C447" s="1" t="s">
        <v>44</v>
      </c>
      <c r="D447" s="1" t="s">
        <v>216</v>
      </c>
      <c r="E447" s="15" t="s">
        <v>217</v>
      </c>
      <c r="F447" s="1" t="s">
        <v>128</v>
      </c>
      <c r="G447" s="16">
        <v>160006</v>
      </c>
      <c r="H447" s="93">
        <f>'Emission Rates Net-by-Count'!$D$5</f>
        <v>1201.8007841674578</v>
      </c>
      <c r="I447" s="16">
        <f t="shared" si="15"/>
        <v>96147.668135749132</v>
      </c>
      <c r="M447" s="19"/>
      <c r="N447" s="19"/>
      <c r="O447" s="19"/>
      <c r="P447" s="19"/>
    </row>
    <row r="448" spans="1:17" x14ac:dyDescent="0.25">
      <c r="A448" s="91">
        <v>679</v>
      </c>
      <c r="B448" s="15">
        <v>2007</v>
      </c>
      <c r="C448" s="1" t="s">
        <v>44</v>
      </c>
      <c r="D448" s="1" t="s">
        <v>216</v>
      </c>
      <c r="E448" s="15" t="s">
        <v>217</v>
      </c>
      <c r="F448" s="1" t="s">
        <v>49</v>
      </c>
      <c r="G448" s="16">
        <v>23621</v>
      </c>
      <c r="H448" s="93">
        <f>'Emission Rates Net-by-Count'!$D$5</f>
        <v>1201.8007841674578</v>
      </c>
      <c r="I448" s="16">
        <f t="shared" si="15"/>
        <v>14193.86816140976</v>
      </c>
      <c r="M448" s="19"/>
      <c r="N448" s="19"/>
      <c r="O448" s="19"/>
      <c r="P448" s="19"/>
    </row>
    <row r="449" spans="1:16" x14ac:dyDescent="0.25">
      <c r="A449" s="91">
        <v>680</v>
      </c>
      <c r="B449" s="15">
        <v>2007</v>
      </c>
      <c r="C449" s="1" t="s">
        <v>44</v>
      </c>
      <c r="D449" s="1" t="s">
        <v>216</v>
      </c>
      <c r="E449" s="15" t="s">
        <v>217</v>
      </c>
      <c r="F449" s="1" t="s">
        <v>50</v>
      </c>
      <c r="G449" s="16">
        <v>4400</v>
      </c>
      <c r="H449" s="93">
        <f>'Emission Rates Net-by-Count'!$D$5</f>
        <v>1201.8007841674578</v>
      </c>
      <c r="I449" s="16">
        <f t="shared" si="15"/>
        <v>2643.9617251684072</v>
      </c>
      <c r="M449" s="19"/>
      <c r="N449" s="19"/>
      <c r="O449" s="19"/>
      <c r="P449" s="19"/>
    </row>
    <row r="450" spans="1:16" x14ac:dyDescent="0.25">
      <c r="A450" s="91">
        <v>681</v>
      </c>
      <c r="B450" s="15">
        <v>2007</v>
      </c>
      <c r="C450" s="1" t="s">
        <v>44</v>
      </c>
      <c r="D450" s="1" t="s">
        <v>216</v>
      </c>
      <c r="E450" s="15" t="s">
        <v>217</v>
      </c>
      <c r="F450" s="1" t="s">
        <v>51</v>
      </c>
      <c r="G450" s="16">
        <v>-2169507</v>
      </c>
      <c r="H450" s="93">
        <f>'Emission Rates Net-by-Count'!$D$5</f>
        <v>1201.8007841674578</v>
      </c>
      <c r="I450" s="16">
        <f t="shared" si="15"/>
        <v>-1303657.6069283944</v>
      </c>
      <c r="M450" s="19"/>
      <c r="N450" s="19"/>
      <c r="O450" s="19"/>
      <c r="P450" s="19"/>
    </row>
    <row r="451" spans="1:16" x14ac:dyDescent="0.25">
      <c r="A451" s="91">
        <v>682</v>
      </c>
      <c r="B451" s="15">
        <v>2007</v>
      </c>
      <c r="C451" s="1" t="s">
        <v>44</v>
      </c>
      <c r="D451" s="1" t="s">
        <v>216</v>
      </c>
      <c r="E451" s="15" t="s">
        <v>217</v>
      </c>
      <c r="F451" s="1" t="s">
        <v>52</v>
      </c>
      <c r="G451" s="16">
        <v>32332</v>
      </c>
      <c r="H451" s="93">
        <f>'Emission Rates Net-by-Count'!$D$5</f>
        <v>1201.8007841674578</v>
      </c>
      <c r="I451" s="16">
        <f t="shared" si="15"/>
        <v>19428.311476851122</v>
      </c>
      <c r="M451" s="19"/>
      <c r="N451" s="19"/>
      <c r="O451" s="19"/>
      <c r="P451" s="19"/>
    </row>
    <row r="452" spans="1:16" x14ac:dyDescent="0.25">
      <c r="A452" s="91">
        <v>683</v>
      </c>
      <c r="B452" s="15">
        <v>2007</v>
      </c>
      <c r="C452" s="1" t="s">
        <v>44</v>
      </c>
      <c r="D452" s="1" t="s">
        <v>216</v>
      </c>
      <c r="E452" s="15" t="s">
        <v>217</v>
      </c>
      <c r="F452" s="1" t="s">
        <v>21</v>
      </c>
      <c r="G452" s="16">
        <v>246829</v>
      </c>
      <c r="H452" s="93">
        <f>'Emission Rates Net-by-Count'!$D$5</f>
        <v>1201.8007841674578</v>
      </c>
      <c r="I452" s="16">
        <f t="shared" si="15"/>
        <v>148319.6428776347</v>
      </c>
      <c r="M452" s="19"/>
      <c r="N452" s="19"/>
      <c r="O452" s="19"/>
      <c r="P452" s="19"/>
    </row>
    <row r="453" spans="1:16" x14ac:dyDescent="0.25">
      <c r="A453" s="91">
        <v>684</v>
      </c>
      <c r="B453" s="15">
        <v>2007</v>
      </c>
      <c r="C453" s="1" t="s">
        <v>44</v>
      </c>
      <c r="D453" s="1" t="s">
        <v>216</v>
      </c>
      <c r="E453" s="15" t="s">
        <v>217</v>
      </c>
      <c r="F453" s="1" t="s">
        <v>143</v>
      </c>
      <c r="G453" s="16">
        <v>85</v>
      </c>
      <c r="H453" s="93">
        <f>'Emission Rates Net-by-Count'!$D$5</f>
        <v>1201.8007841674578</v>
      </c>
      <c r="I453" s="16">
        <f t="shared" si="15"/>
        <v>51.076533327116955</v>
      </c>
      <c r="M453" s="19"/>
      <c r="N453" s="19"/>
      <c r="O453" s="19"/>
      <c r="P453" s="19"/>
    </row>
    <row r="454" spans="1:16" x14ac:dyDescent="0.25">
      <c r="A454" s="91">
        <v>685</v>
      </c>
      <c r="B454" s="15">
        <v>2007</v>
      </c>
      <c r="C454" s="1" t="s">
        <v>44</v>
      </c>
      <c r="D454" s="1" t="s">
        <v>216</v>
      </c>
      <c r="E454" s="15" t="s">
        <v>217</v>
      </c>
      <c r="F454" s="1" t="s">
        <v>53</v>
      </c>
      <c r="G454" s="16">
        <v>1105</v>
      </c>
      <c r="H454" s="93">
        <f>'Emission Rates Net-by-Count'!$D$5</f>
        <v>1201.8007841674578</v>
      </c>
      <c r="I454" s="16">
        <f t="shared" si="15"/>
        <v>663.99493325252035</v>
      </c>
      <c r="M454" s="19"/>
      <c r="N454" s="19"/>
      <c r="O454" s="19"/>
      <c r="P454" s="19"/>
    </row>
    <row r="455" spans="1:16" x14ac:dyDescent="0.25">
      <c r="A455" s="91">
        <v>686</v>
      </c>
      <c r="B455" s="15">
        <v>2007</v>
      </c>
      <c r="C455" s="1" t="s">
        <v>44</v>
      </c>
      <c r="D455" s="1" t="s">
        <v>216</v>
      </c>
      <c r="E455" s="15" t="s">
        <v>217</v>
      </c>
      <c r="F455" s="1" t="s">
        <v>56</v>
      </c>
      <c r="G455" s="16">
        <v>87029</v>
      </c>
      <c r="H455" s="93">
        <f>'Emission Rates Net-by-Count'!$D$5</f>
        <v>1201.8007841674578</v>
      </c>
      <c r="I455" s="16">
        <f t="shared" si="15"/>
        <v>52295.760222654841</v>
      </c>
      <c r="M455" s="19"/>
      <c r="N455" s="19"/>
      <c r="O455" s="19"/>
      <c r="P455" s="19"/>
    </row>
    <row r="456" spans="1:16" x14ac:dyDescent="0.25">
      <c r="A456" s="91">
        <v>687</v>
      </c>
      <c r="B456" s="15">
        <v>2007</v>
      </c>
      <c r="C456" s="1" t="s">
        <v>44</v>
      </c>
      <c r="D456" s="1" t="s">
        <v>216</v>
      </c>
      <c r="E456" s="15" t="s">
        <v>217</v>
      </c>
      <c r="F456" s="1" t="s">
        <v>57</v>
      </c>
      <c r="G456" s="16">
        <v>57329</v>
      </c>
      <c r="H456" s="93">
        <f>'Emission Rates Net-by-Count'!$D$5</f>
        <v>1201.8007841674578</v>
      </c>
      <c r="I456" s="16">
        <f t="shared" si="15"/>
        <v>34449.018577768096</v>
      </c>
      <c r="M456" s="19"/>
      <c r="N456" s="19"/>
      <c r="O456" s="19"/>
      <c r="P456" s="19"/>
    </row>
    <row r="457" spans="1:16" x14ac:dyDescent="0.25">
      <c r="A457" s="91">
        <v>688</v>
      </c>
      <c r="B457" s="15">
        <v>2007</v>
      </c>
      <c r="C457" s="1" t="s">
        <v>44</v>
      </c>
      <c r="D457" s="1" t="s">
        <v>216</v>
      </c>
      <c r="E457" s="15" t="s">
        <v>217</v>
      </c>
      <c r="F457" s="1" t="s">
        <v>58</v>
      </c>
      <c r="G457" s="16">
        <v>186496</v>
      </c>
      <c r="H457" s="93">
        <f>'Emission Rates Net-by-Count'!$D$5</f>
        <v>1201.8007841674578</v>
      </c>
      <c r="I457" s="16">
        <f t="shared" si="15"/>
        <v>112065.51952204711</v>
      </c>
      <c r="M457" s="19"/>
      <c r="N457" s="19"/>
      <c r="O457" s="19"/>
      <c r="P457" s="19"/>
    </row>
    <row r="458" spans="1:16" x14ac:dyDescent="0.25">
      <c r="A458" s="91">
        <v>689</v>
      </c>
      <c r="B458" s="15">
        <v>2007</v>
      </c>
      <c r="C458" s="1" t="s">
        <v>44</v>
      </c>
      <c r="D458" s="1" t="s">
        <v>216</v>
      </c>
      <c r="E458" s="15" t="s">
        <v>217</v>
      </c>
      <c r="F458" s="1" t="s">
        <v>59</v>
      </c>
      <c r="G458" s="16">
        <v>17582</v>
      </c>
      <c r="H458" s="93">
        <f>'Emission Rates Net-by-Count'!$D$5</f>
        <v>1201.8007841674578</v>
      </c>
      <c r="I458" s="16">
        <f t="shared" si="15"/>
        <v>10565.030693616121</v>
      </c>
      <c r="M458" s="19"/>
      <c r="N458" s="19"/>
      <c r="O458" s="19"/>
      <c r="P458" s="19"/>
    </row>
    <row r="459" spans="1:16" x14ac:dyDescent="0.25">
      <c r="A459" s="91">
        <v>690</v>
      </c>
      <c r="B459" s="15">
        <v>2007</v>
      </c>
      <c r="C459" s="1" t="s">
        <v>44</v>
      </c>
      <c r="D459" s="1" t="s">
        <v>216</v>
      </c>
      <c r="E459" s="15" t="s">
        <v>217</v>
      </c>
      <c r="F459" s="1" t="s">
        <v>60</v>
      </c>
      <c r="G459" s="16">
        <v>46240</v>
      </c>
      <c r="H459" s="93">
        <f>'Emission Rates Net-by-Count'!$D$5</f>
        <v>1201.8007841674578</v>
      </c>
      <c r="I459" s="16">
        <f t="shared" si="15"/>
        <v>27785.634129951621</v>
      </c>
      <c r="M459" s="19"/>
      <c r="N459" s="19"/>
      <c r="O459" s="19"/>
      <c r="P459" s="19"/>
    </row>
    <row r="460" spans="1:16" x14ac:dyDescent="0.25">
      <c r="A460" s="91">
        <v>691</v>
      </c>
      <c r="B460" s="15">
        <v>2007</v>
      </c>
      <c r="C460" s="1" t="s">
        <v>44</v>
      </c>
      <c r="D460" s="1" t="s">
        <v>216</v>
      </c>
      <c r="E460" s="15" t="s">
        <v>217</v>
      </c>
      <c r="F460" s="1" t="s">
        <v>61</v>
      </c>
      <c r="G460" s="16">
        <v>927668</v>
      </c>
      <c r="H460" s="93">
        <f>'Emission Rates Net-by-Count'!$D$5</f>
        <v>1201.8007841674578</v>
      </c>
      <c r="I460" s="16">
        <f t="shared" si="15"/>
        <v>557436.06492352858</v>
      </c>
      <c r="M460" s="19"/>
      <c r="N460" s="19"/>
      <c r="O460" s="19"/>
      <c r="P460" s="19"/>
    </row>
    <row r="461" spans="1:16" x14ac:dyDescent="0.25">
      <c r="A461" s="91">
        <v>692</v>
      </c>
      <c r="B461" s="15">
        <v>2007</v>
      </c>
      <c r="C461" s="1" t="s">
        <v>44</v>
      </c>
      <c r="D461" s="1" t="s">
        <v>216</v>
      </c>
      <c r="E461" s="15" t="s">
        <v>217</v>
      </c>
      <c r="F461" s="1" t="s">
        <v>146</v>
      </c>
      <c r="G461" s="16">
        <v>79114</v>
      </c>
      <c r="H461" s="93">
        <f>'Emission Rates Net-by-Count'!$D$5</f>
        <v>1201.8007841674578</v>
      </c>
      <c r="I461" s="16">
        <f t="shared" si="15"/>
        <v>47539.633619312131</v>
      </c>
      <c r="M461" s="19"/>
      <c r="N461" s="19"/>
      <c r="O461" s="19"/>
      <c r="P461" s="19"/>
    </row>
    <row r="462" spans="1:16" x14ac:dyDescent="0.25">
      <c r="A462" s="91">
        <v>693</v>
      </c>
      <c r="B462" s="15">
        <v>2007</v>
      </c>
      <c r="C462" s="1" t="s">
        <v>44</v>
      </c>
      <c r="D462" s="1" t="s">
        <v>216</v>
      </c>
      <c r="E462" s="15" t="s">
        <v>217</v>
      </c>
      <c r="F462" s="1" t="s">
        <v>147</v>
      </c>
      <c r="G462" s="16">
        <v>153200</v>
      </c>
      <c r="H462" s="93">
        <f>'Emission Rates Net-by-Count'!$D$5</f>
        <v>1201.8007841674578</v>
      </c>
      <c r="I462" s="16">
        <f t="shared" si="15"/>
        <v>92057.94006722726</v>
      </c>
      <c r="M462" s="19"/>
      <c r="N462" s="19"/>
      <c r="O462" s="19"/>
      <c r="P462" s="19"/>
    </row>
    <row r="463" spans="1:16" x14ac:dyDescent="0.25">
      <c r="A463" s="91">
        <v>694</v>
      </c>
      <c r="B463" s="15">
        <v>2007</v>
      </c>
      <c r="C463" s="1" t="s">
        <v>44</v>
      </c>
      <c r="D463" s="1" t="s">
        <v>216</v>
      </c>
      <c r="E463" s="15" t="s">
        <v>217</v>
      </c>
      <c r="F463" s="1" t="s">
        <v>131</v>
      </c>
      <c r="G463" s="16">
        <v>25400</v>
      </c>
      <c r="H463" s="93">
        <f>'Emission Rates Net-by-Count'!$D$5</f>
        <v>1201.8007841674578</v>
      </c>
      <c r="I463" s="16">
        <f t="shared" si="15"/>
        <v>15262.869958926713</v>
      </c>
      <c r="M463" s="19"/>
      <c r="N463" s="19"/>
      <c r="O463" s="19"/>
      <c r="P463" s="19"/>
    </row>
    <row r="464" spans="1:16" x14ac:dyDescent="0.25">
      <c r="A464" s="91">
        <v>695</v>
      </c>
      <c r="B464" s="15">
        <v>2007</v>
      </c>
      <c r="C464" s="1" t="s">
        <v>44</v>
      </c>
      <c r="D464" s="1" t="s">
        <v>216</v>
      </c>
      <c r="E464" s="15" t="s">
        <v>217</v>
      </c>
      <c r="F464" s="1" t="s">
        <v>62</v>
      </c>
      <c r="G464" s="16">
        <v>299493</v>
      </c>
      <c r="H464" s="93">
        <f>'Emission Rates Net-by-Count'!$D$5</f>
        <v>1201.8007841674578</v>
      </c>
      <c r="I464" s="16">
        <f t="shared" si="15"/>
        <v>179965.46112633223</v>
      </c>
      <c r="M464" s="19"/>
      <c r="N464" s="19"/>
      <c r="O464" s="19"/>
      <c r="P464" s="19"/>
    </row>
    <row r="465" spans="1:16" x14ac:dyDescent="0.25">
      <c r="A465" s="91">
        <v>696</v>
      </c>
      <c r="B465" s="15">
        <v>2007</v>
      </c>
      <c r="C465" s="1" t="s">
        <v>44</v>
      </c>
      <c r="D465" s="1" t="s">
        <v>216</v>
      </c>
      <c r="E465" s="15" t="s">
        <v>217</v>
      </c>
      <c r="F465" s="1" t="s">
        <v>63</v>
      </c>
      <c r="G465" s="16">
        <v>1711</v>
      </c>
      <c r="H465" s="93">
        <f>'Emission Rates Net-by-Count'!$D$5</f>
        <v>1201.8007841674578</v>
      </c>
      <c r="I465" s="16">
        <f t="shared" si="15"/>
        <v>1028.1405708552602</v>
      </c>
      <c r="M465" s="19"/>
      <c r="N465" s="19"/>
      <c r="O465" s="19"/>
      <c r="P465" s="19"/>
    </row>
    <row r="466" spans="1:16" x14ac:dyDescent="0.25">
      <c r="A466" s="91">
        <v>698</v>
      </c>
      <c r="B466" s="15">
        <v>2007</v>
      </c>
      <c r="C466" s="1" t="s">
        <v>44</v>
      </c>
      <c r="D466" s="1" t="s">
        <v>216</v>
      </c>
      <c r="E466" s="15" t="s">
        <v>217</v>
      </c>
      <c r="F466" s="1" t="s">
        <v>65</v>
      </c>
      <c r="G466" s="16">
        <v>94235</v>
      </c>
      <c r="H466" s="93">
        <f>'Emission Rates Net-by-Count'!$D$5</f>
        <v>1201.8007841674578</v>
      </c>
      <c r="I466" s="16">
        <f t="shared" si="15"/>
        <v>56625.848448010191</v>
      </c>
      <c r="M466" s="19"/>
      <c r="N466" s="19"/>
      <c r="O466" s="19"/>
      <c r="P466" s="19"/>
    </row>
    <row r="467" spans="1:16" x14ac:dyDescent="0.25">
      <c r="A467" s="91">
        <v>699</v>
      </c>
      <c r="B467" s="15">
        <v>2007</v>
      </c>
      <c r="C467" s="1" t="s">
        <v>44</v>
      </c>
      <c r="D467" s="1" t="s">
        <v>216</v>
      </c>
      <c r="E467" s="15" t="s">
        <v>217</v>
      </c>
      <c r="F467" s="1" t="s">
        <v>132</v>
      </c>
      <c r="G467" s="16">
        <v>93400</v>
      </c>
      <c r="H467" s="93">
        <f>'Emission Rates Net-by-Count'!$D$5</f>
        <v>1201.8007841674578</v>
      </c>
      <c r="I467" s="16">
        <f t="shared" si="15"/>
        <v>56124.096620620279</v>
      </c>
      <c r="M467" s="19"/>
      <c r="N467" s="19"/>
      <c r="O467" s="19"/>
      <c r="P467" s="19"/>
    </row>
    <row r="468" spans="1:16" x14ac:dyDescent="0.25">
      <c r="A468" s="91">
        <v>700</v>
      </c>
      <c r="B468" s="15">
        <v>2007</v>
      </c>
      <c r="C468" s="1" t="s">
        <v>44</v>
      </c>
      <c r="D468" s="1" t="s">
        <v>216</v>
      </c>
      <c r="E468" s="15" t="s">
        <v>217</v>
      </c>
      <c r="F468" s="1" t="s">
        <v>66</v>
      </c>
      <c r="G468" s="16">
        <v>18589</v>
      </c>
      <c r="H468" s="93">
        <f>'Emission Rates Net-by-Count'!$D$5</f>
        <v>1201.8007841674578</v>
      </c>
      <c r="I468" s="16">
        <f t="shared" si="15"/>
        <v>11170.137388444437</v>
      </c>
      <c r="M468" s="19"/>
      <c r="N468" s="19"/>
      <c r="O468" s="19"/>
      <c r="P468" s="19"/>
    </row>
    <row r="469" spans="1:16" x14ac:dyDescent="0.25">
      <c r="A469" s="91">
        <v>701</v>
      </c>
      <c r="B469" s="15">
        <v>2007</v>
      </c>
      <c r="C469" s="1" t="s">
        <v>44</v>
      </c>
      <c r="D469" s="1" t="s">
        <v>216</v>
      </c>
      <c r="E469" s="15" t="s">
        <v>217</v>
      </c>
      <c r="F469" s="1" t="s">
        <v>67</v>
      </c>
      <c r="G469" s="16">
        <v>56689</v>
      </c>
      <c r="H469" s="93">
        <f>'Emission Rates Net-by-Count'!$D$5</f>
        <v>1201.8007841674578</v>
      </c>
      <c r="I469" s="16">
        <f t="shared" si="15"/>
        <v>34064.442326834505</v>
      </c>
      <c r="M469" s="19"/>
      <c r="N469" s="19"/>
      <c r="O469" s="19"/>
      <c r="P469" s="19"/>
    </row>
    <row r="470" spans="1:16" x14ac:dyDescent="0.25">
      <c r="A470" s="91">
        <v>702</v>
      </c>
      <c r="B470" s="15">
        <v>2007</v>
      </c>
      <c r="C470" s="1" t="s">
        <v>44</v>
      </c>
      <c r="D470" s="1" t="s">
        <v>216</v>
      </c>
      <c r="E470" s="15" t="s">
        <v>217</v>
      </c>
      <c r="F470" s="1" t="s">
        <v>68</v>
      </c>
      <c r="G470" s="16">
        <v>32287</v>
      </c>
      <c r="H470" s="93">
        <f>'Emission Rates Net-by-Count'!$D$5</f>
        <v>1201.8007841674578</v>
      </c>
      <c r="I470" s="16">
        <f t="shared" si="15"/>
        <v>19401.270959207355</v>
      </c>
      <c r="M470" s="19"/>
      <c r="N470" s="19"/>
      <c r="O470" s="19"/>
      <c r="P470" s="19"/>
    </row>
    <row r="471" spans="1:16" x14ac:dyDescent="0.25">
      <c r="A471" s="91">
        <v>703</v>
      </c>
      <c r="B471" s="15">
        <v>2007</v>
      </c>
      <c r="C471" s="1" t="s">
        <v>44</v>
      </c>
      <c r="D471" s="1" t="s">
        <v>216</v>
      </c>
      <c r="E471" s="15" t="s">
        <v>217</v>
      </c>
      <c r="F471" s="1" t="s">
        <v>148</v>
      </c>
      <c r="G471" s="16">
        <v>950</v>
      </c>
      <c r="H471" s="93">
        <f>'Emission Rates Net-by-Count'!$D$5</f>
        <v>1201.8007841674578</v>
      </c>
      <c r="I471" s="16">
        <f t="shared" si="15"/>
        <v>570.85537247954244</v>
      </c>
      <c r="M471" s="19"/>
      <c r="N471" s="19"/>
      <c r="O471" s="19"/>
      <c r="P471" s="19"/>
    </row>
    <row r="472" spans="1:16" x14ac:dyDescent="0.25">
      <c r="A472" s="91">
        <v>704</v>
      </c>
      <c r="B472" s="15">
        <v>2007</v>
      </c>
      <c r="C472" s="1" t="s">
        <v>44</v>
      </c>
      <c r="D472" s="1" t="s">
        <v>216</v>
      </c>
      <c r="E472" s="15" t="s">
        <v>217</v>
      </c>
      <c r="F472" s="1" t="s">
        <v>121</v>
      </c>
      <c r="G472" s="16">
        <v>1600</v>
      </c>
      <c r="H472" s="93">
        <f>'Emission Rates Net-by-Count'!$D$5</f>
        <v>1201.8007841674578</v>
      </c>
      <c r="I472" s="16">
        <f t="shared" si="15"/>
        <v>961.44062733396618</v>
      </c>
      <c r="M472" s="19"/>
      <c r="N472" s="19"/>
      <c r="O472" s="19"/>
      <c r="P472" s="19"/>
    </row>
    <row r="473" spans="1:16" x14ac:dyDescent="0.25">
      <c r="A473" s="91">
        <v>705</v>
      </c>
      <c r="B473" s="15">
        <v>2007</v>
      </c>
      <c r="C473" s="1" t="s">
        <v>44</v>
      </c>
      <c r="D473" s="1" t="s">
        <v>216</v>
      </c>
      <c r="E473" s="15" t="s">
        <v>217</v>
      </c>
      <c r="F473" s="1" t="s">
        <v>69</v>
      </c>
      <c r="G473" s="16">
        <v>297538</v>
      </c>
      <c r="H473" s="93">
        <f>'Emission Rates Net-by-Count'!$D$5</f>
        <v>1201.8007841674578</v>
      </c>
      <c r="I473" s="16">
        <f t="shared" si="15"/>
        <v>178790.70085980854</v>
      </c>
      <c r="M473" s="19"/>
      <c r="N473" s="19"/>
      <c r="O473" s="19"/>
      <c r="P473" s="19"/>
    </row>
    <row r="474" spans="1:16" x14ac:dyDescent="0.25">
      <c r="A474" s="91">
        <v>706</v>
      </c>
      <c r="B474" s="15">
        <v>2007</v>
      </c>
      <c r="C474" s="1" t="s">
        <v>44</v>
      </c>
      <c r="D474" s="1" t="s">
        <v>216</v>
      </c>
      <c r="E474" s="15" t="s">
        <v>217</v>
      </c>
      <c r="F474" s="1" t="s">
        <v>70</v>
      </c>
      <c r="G474" s="16">
        <v>42710</v>
      </c>
      <c r="H474" s="93">
        <f>'Emission Rates Net-by-Count'!$D$5</f>
        <v>1201.8007841674578</v>
      </c>
      <c r="I474" s="16">
        <f t="shared" si="15"/>
        <v>25664.455745896059</v>
      </c>
      <c r="M474" s="19"/>
      <c r="N474" s="19"/>
      <c r="O474" s="19"/>
      <c r="P474" s="19"/>
    </row>
    <row r="475" spans="1:16" x14ac:dyDescent="0.25">
      <c r="A475" s="91">
        <v>707</v>
      </c>
      <c r="B475" s="15">
        <v>2007</v>
      </c>
      <c r="C475" s="1" t="s">
        <v>44</v>
      </c>
      <c r="D475" s="1" t="s">
        <v>216</v>
      </c>
      <c r="E475" s="15" t="s">
        <v>217</v>
      </c>
      <c r="F475" s="1" t="s">
        <v>71</v>
      </c>
      <c r="G475" s="16">
        <v>60463</v>
      </c>
      <c r="H475" s="93">
        <f>'Emission Rates Net-by-Count'!$D$5</f>
        <v>1201.8007841674578</v>
      </c>
      <c r="I475" s="16">
        <f t="shared" ref="I475:I506" si="16">(G475*H475)/2000</f>
        <v>36332.2404065585</v>
      </c>
      <c r="M475" s="19"/>
      <c r="N475" s="19"/>
      <c r="O475" s="19"/>
      <c r="P475" s="19"/>
    </row>
    <row r="476" spans="1:16" x14ac:dyDescent="0.25">
      <c r="A476" s="91">
        <v>708</v>
      </c>
      <c r="B476" s="15">
        <v>2007</v>
      </c>
      <c r="C476" s="1" t="s">
        <v>44</v>
      </c>
      <c r="D476" s="1" t="s">
        <v>216</v>
      </c>
      <c r="E476" s="15" t="s">
        <v>217</v>
      </c>
      <c r="F476" s="1" t="s">
        <v>72</v>
      </c>
      <c r="G476" s="16">
        <v>22050</v>
      </c>
      <c r="H476" s="93">
        <f>'Emission Rates Net-by-Count'!$D$5</f>
        <v>1201.8007841674578</v>
      </c>
      <c r="I476" s="16">
        <f t="shared" si="16"/>
        <v>13249.853645446223</v>
      </c>
      <c r="M476" s="19"/>
      <c r="N476" s="19"/>
      <c r="O476" s="19"/>
      <c r="P476" s="19"/>
    </row>
    <row r="477" spans="1:16" x14ac:dyDescent="0.25">
      <c r="A477" s="91">
        <v>709</v>
      </c>
      <c r="B477" s="15">
        <v>2007</v>
      </c>
      <c r="C477" s="1" t="s">
        <v>44</v>
      </c>
      <c r="D477" s="1" t="s">
        <v>216</v>
      </c>
      <c r="E477" s="15" t="s">
        <v>217</v>
      </c>
      <c r="F477" s="1" t="s">
        <v>133</v>
      </c>
      <c r="G477" s="16">
        <v>79600</v>
      </c>
      <c r="H477" s="93">
        <f>'Emission Rates Net-by-Count'!$D$5</f>
        <v>1201.8007841674578</v>
      </c>
      <c r="I477" s="16">
        <f t="shared" si="16"/>
        <v>47831.67120986482</v>
      </c>
      <c r="M477" s="19"/>
      <c r="N477" s="19"/>
      <c r="O477" s="19"/>
      <c r="P477" s="19"/>
    </row>
    <row r="478" spans="1:16" x14ac:dyDescent="0.25">
      <c r="A478" s="91">
        <v>710</v>
      </c>
      <c r="B478" s="15">
        <v>2007</v>
      </c>
      <c r="C478" s="1" t="s">
        <v>44</v>
      </c>
      <c r="D478" s="1" t="s">
        <v>216</v>
      </c>
      <c r="E478" s="15" t="s">
        <v>217</v>
      </c>
      <c r="F478" s="1" t="s">
        <v>73</v>
      </c>
      <c r="G478" s="16">
        <v>139856</v>
      </c>
      <c r="H478" s="93">
        <f>'Emission Rates Net-by-Count'!$D$5</f>
        <v>1201.8007841674578</v>
      </c>
      <c r="I478" s="16">
        <f t="shared" si="16"/>
        <v>84039.525235261986</v>
      </c>
      <c r="M478" s="19"/>
      <c r="N478" s="19"/>
      <c r="O478" s="19"/>
      <c r="P478" s="19"/>
    </row>
    <row r="479" spans="1:16" x14ac:dyDescent="0.25">
      <c r="A479" s="91">
        <v>711</v>
      </c>
      <c r="B479" s="15">
        <v>2007</v>
      </c>
      <c r="C479" s="1" t="s">
        <v>44</v>
      </c>
      <c r="D479" s="1" t="s">
        <v>216</v>
      </c>
      <c r="E479" s="15" t="s">
        <v>217</v>
      </c>
      <c r="F479" s="1" t="s">
        <v>135</v>
      </c>
      <c r="G479" s="16">
        <v>67050</v>
      </c>
      <c r="H479" s="93">
        <f>'Emission Rates Net-by-Count'!$D$5</f>
        <v>1201.8007841674578</v>
      </c>
      <c r="I479" s="16">
        <f t="shared" si="16"/>
        <v>40290.371289214025</v>
      </c>
      <c r="M479" s="19"/>
      <c r="N479" s="19"/>
      <c r="O479" s="19"/>
      <c r="P479" s="19"/>
    </row>
    <row r="480" spans="1:16" x14ac:dyDescent="0.25">
      <c r="A480" s="91">
        <v>712</v>
      </c>
      <c r="B480" s="15">
        <v>2007</v>
      </c>
      <c r="C480" s="1" t="s">
        <v>44</v>
      </c>
      <c r="D480" s="1" t="s">
        <v>216</v>
      </c>
      <c r="E480" s="15" t="s">
        <v>217</v>
      </c>
      <c r="F480" s="1" t="s">
        <v>74</v>
      </c>
      <c r="G480" s="16">
        <v>1425</v>
      </c>
      <c r="H480" s="93">
        <f>'Emission Rates Net-by-Count'!$D$5</f>
        <v>1201.8007841674578</v>
      </c>
      <c r="I480" s="16">
        <f t="shared" si="16"/>
        <v>856.28305871931366</v>
      </c>
      <c r="M480" s="19"/>
      <c r="N480" s="19"/>
      <c r="O480" s="19"/>
      <c r="P480" s="19"/>
    </row>
    <row r="481" spans="1:16" x14ac:dyDescent="0.25">
      <c r="A481" s="91">
        <v>713</v>
      </c>
      <c r="B481" s="15">
        <v>2007</v>
      </c>
      <c r="C481" s="1" t="s">
        <v>44</v>
      </c>
      <c r="D481" s="1" t="s">
        <v>216</v>
      </c>
      <c r="E481" s="15" t="s">
        <v>217</v>
      </c>
      <c r="F481" s="1" t="s">
        <v>76</v>
      </c>
      <c r="G481" s="16">
        <v>16400</v>
      </c>
      <c r="H481" s="93">
        <f>'Emission Rates Net-by-Count'!$D$5</f>
        <v>1201.8007841674578</v>
      </c>
      <c r="I481" s="16">
        <f t="shared" si="16"/>
        <v>9854.7664301731529</v>
      </c>
      <c r="M481" s="19"/>
      <c r="N481" s="19"/>
      <c r="O481" s="19"/>
      <c r="P481" s="19"/>
    </row>
    <row r="482" spans="1:16" x14ac:dyDescent="0.25">
      <c r="A482" s="91">
        <v>714</v>
      </c>
      <c r="B482" s="15">
        <v>2007</v>
      </c>
      <c r="C482" s="1" t="s">
        <v>44</v>
      </c>
      <c r="D482" s="1" t="s">
        <v>216</v>
      </c>
      <c r="E482" s="15" t="s">
        <v>217</v>
      </c>
      <c r="F482" s="1" t="s">
        <v>77</v>
      </c>
      <c r="G482" s="16">
        <v>2538</v>
      </c>
      <c r="H482" s="93">
        <f>'Emission Rates Net-by-Count'!$D$5</f>
        <v>1201.8007841674578</v>
      </c>
      <c r="I482" s="16">
        <f t="shared" si="16"/>
        <v>1525.085195108504</v>
      </c>
      <c r="M482" s="19"/>
      <c r="N482" s="19"/>
      <c r="O482" s="19"/>
      <c r="P482" s="19"/>
    </row>
    <row r="483" spans="1:16" x14ac:dyDescent="0.25">
      <c r="A483" s="91">
        <v>715</v>
      </c>
      <c r="B483" s="15">
        <v>2007</v>
      </c>
      <c r="C483" s="1" t="s">
        <v>44</v>
      </c>
      <c r="D483" s="1" t="s">
        <v>216</v>
      </c>
      <c r="E483" s="15" t="s">
        <v>217</v>
      </c>
      <c r="F483" s="1" t="s">
        <v>78</v>
      </c>
      <c r="G483" s="16">
        <v>744517</v>
      </c>
      <c r="H483" s="93">
        <f>'Emission Rates Net-by-Count'!$D$5</f>
        <v>1201.8007841674578</v>
      </c>
      <c r="I483" s="16">
        <f t="shared" si="16"/>
        <v>447380.55721300159</v>
      </c>
      <c r="M483" s="19"/>
      <c r="N483" s="19"/>
      <c r="O483" s="19"/>
      <c r="P483" s="19"/>
    </row>
    <row r="484" spans="1:16" x14ac:dyDescent="0.25">
      <c r="A484" s="91">
        <v>716</v>
      </c>
      <c r="B484" s="15">
        <v>2007</v>
      </c>
      <c r="C484" s="1" t="s">
        <v>44</v>
      </c>
      <c r="D484" s="1" t="s">
        <v>216</v>
      </c>
      <c r="E484" s="15" t="s">
        <v>217</v>
      </c>
      <c r="F484" s="1" t="s">
        <v>79</v>
      </c>
      <c r="G484" s="16">
        <v>521</v>
      </c>
      <c r="H484" s="93">
        <f>'Emission Rates Net-by-Count'!$D$5</f>
        <v>1201.8007841674578</v>
      </c>
      <c r="I484" s="16">
        <f t="shared" si="16"/>
        <v>313.06910427562275</v>
      </c>
      <c r="M484" s="19"/>
      <c r="N484" s="19"/>
      <c r="O484" s="19"/>
      <c r="P484" s="19"/>
    </row>
    <row r="485" spans="1:16" x14ac:dyDescent="0.25">
      <c r="A485" s="91">
        <v>717</v>
      </c>
      <c r="B485" s="15">
        <v>2007</v>
      </c>
      <c r="C485" s="1" t="s">
        <v>44</v>
      </c>
      <c r="D485" s="1" t="s">
        <v>216</v>
      </c>
      <c r="E485" s="15" t="s">
        <v>217</v>
      </c>
      <c r="F485" s="1" t="s">
        <v>80</v>
      </c>
      <c r="G485" s="16">
        <v>2096</v>
      </c>
      <c r="H485" s="93">
        <f>'Emission Rates Net-by-Count'!$D$5</f>
        <v>1201.8007841674578</v>
      </c>
      <c r="I485" s="16">
        <f t="shared" si="16"/>
        <v>1259.4872218074956</v>
      </c>
      <c r="M485" s="19"/>
      <c r="N485" s="19"/>
      <c r="O485" s="19"/>
      <c r="P485" s="19"/>
    </row>
    <row r="486" spans="1:16" x14ac:dyDescent="0.25">
      <c r="A486" s="91">
        <v>718</v>
      </c>
      <c r="B486" s="15">
        <v>2007</v>
      </c>
      <c r="C486" s="1" t="s">
        <v>44</v>
      </c>
      <c r="D486" s="1" t="s">
        <v>216</v>
      </c>
      <c r="E486" s="15" t="s">
        <v>217</v>
      </c>
      <c r="F486" s="1" t="s">
        <v>81</v>
      </c>
      <c r="G486" s="16">
        <v>6276</v>
      </c>
      <c r="H486" s="93">
        <f>'Emission Rates Net-by-Count'!$D$5</f>
        <v>1201.8007841674578</v>
      </c>
      <c r="I486" s="16">
        <f t="shared" si="16"/>
        <v>3771.2508607174823</v>
      </c>
      <c r="M486" s="19"/>
      <c r="N486" s="19"/>
      <c r="O486" s="19"/>
      <c r="P486" s="19"/>
    </row>
    <row r="487" spans="1:16" x14ac:dyDescent="0.25">
      <c r="A487" s="91">
        <v>719</v>
      </c>
      <c r="B487" s="15">
        <v>2007</v>
      </c>
      <c r="C487" s="1" t="s">
        <v>44</v>
      </c>
      <c r="D487" s="1" t="s">
        <v>216</v>
      </c>
      <c r="E487" s="15" t="s">
        <v>217</v>
      </c>
      <c r="F487" s="1" t="s">
        <v>82</v>
      </c>
      <c r="G487" s="16">
        <v>12808</v>
      </c>
      <c r="H487" s="93">
        <f>'Emission Rates Net-by-Count'!$D$5</f>
        <v>1201.8007841674578</v>
      </c>
      <c r="I487" s="16">
        <f t="shared" si="16"/>
        <v>7696.3322218084004</v>
      </c>
      <c r="M487" s="19"/>
      <c r="N487" s="19"/>
      <c r="O487" s="19"/>
      <c r="P487" s="19"/>
    </row>
    <row r="488" spans="1:16" x14ac:dyDescent="0.25">
      <c r="A488" s="91">
        <v>720</v>
      </c>
      <c r="B488" s="15">
        <v>2007</v>
      </c>
      <c r="C488" s="1" t="s">
        <v>44</v>
      </c>
      <c r="D488" s="1" t="s">
        <v>216</v>
      </c>
      <c r="E488" s="15" t="s">
        <v>217</v>
      </c>
      <c r="F488" s="1" t="s">
        <v>137</v>
      </c>
      <c r="G488" s="16">
        <v>10803</v>
      </c>
      <c r="H488" s="93">
        <f>'Emission Rates Net-by-Count'!$D$5</f>
        <v>1201.8007841674578</v>
      </c>
      <c r="I488" s="16">
        <f t="shared" si="16"/>
        <v>6491.5269356805238</v>
      </c>
      <c r="M488" s="19"/>
      <c r="N488" s="19"/>
      <c r="O488" s="19"/>
      <c r="P488" s="19"/>
    </row>
    <row r="489" spans="1:16" x14ac:dyDescent="0.25">
      <c r="A489" s="91">
        <v>721</v>
      </c>
      <c r="B489" s="15">
        <v>2007</v>
      </c>
      <c r="C489" s="1" t="s">
        <v>44</v>
      </c>
      <c r="D489" s="1" t="s">
        <v>216</v>
      </c>
      <c r="E489" s="15" t="s">
        <v>217</v>
      </c>
      <c r="F489" s="1" t="s">
        <v>83</v>
      </c>
      <c r="G489" s="16">
        <v>4694</v>
      </c>
      <c r="H489" s="93">
        <f>'Emission Rates Net-by-Count'!$D$5</f>
        <v>1201.8007841674578</v>
      </c>
      <c r="I489" s="16">
        <f t="shared" si="16"/>
        <v>2820.6264404410235</v>
      </c>
      <c r="M489" s="19"/>
      <c r="N489" s="19"/>
      <c r="O489" s="19"/>
      <c r="P489" s="19"/>
    </row>
    <row r="490" spans="1:16" x14ac:dyDescent="0.25">
      <c r="A490" s="91">
        <v>722</v>
      </c>
      <c r="B490" s="15">
        <v>2007</v>
      </c>
      <c r="C490" s="1" t="s">
        <v>44</v>
      </c>
      <c r="D490" s="1" t="s">
        <v>216</v>
      </c>
      <c r="E490" s="15" t="s">
        <v>217</v>
      </c>
      <c r="F490" s="1" t="s">
        <v>84</v>
      </c>
      <c r="G490" s="16">
        <v>170767</v>
      </c>
      <c r="H490" s="93">
        <f>'Emission Rates Net-by-Count'!$D$5</f>
        <v>1201.8007841674578</v>
      </c>
      <c r="I490" s="16">
        <f t="shared" si="16"/>
        <v>102613.95725496214</v>
      </c>
      <c r="M490" s="19"/>
      <c r="N490" s="19"/>
      <c r="O490" s="19"/>
      <c r="P490" s="19"/>
    </row>
    <row r="491" spans="1:16" x14ac:dyDescent="0.25">
      <c r="A491" s="91">
        <v>723</v>
      </c>
      <c r="B491" s="15">
        <v>2007</v>
      </c>
      <c r="C491" s="1" t="s">
        <v>44</v>
      </c>
      <c r="D491" s="1" t="s">
        <v>216</v>
      </c>
      <c r="E491" s="15" t="s">
        <v>217</v>
      </c>
      <c r="F491" s="1" t="s">
        <v>149</v>
      </c>
      <c r="G491" s="16">
        <v>5580</v>
      </c>
      <c r="H491" s="93">
        <f>'Emission Rates Net-by-Count'!$D$5</f>
        <v>1201.8007841674578</v>
      </c>
      <c r="I491" s="16">
        <f t="shared" si="16"/>
        <v>3353.0241878272072</v>
      </c>
      <c r="M491" s="19"/>
      <c r="N491" s="19"/>
      <c r="O491" s="19"/>
      <c r="P491" s="19"/>
    </row>
    <row r="492" spans="1:16" x14ac:dyDescent="0.25">
      <c r="A492" s="91">
        <v>724</v>
      </c>
      <c r="B492" s="15">
        <v>2007</v>
      </c>
      <c r="C492" s="1" t="s">
        <v>44</v>
      </c>
      <c r="D492" s="1" t="s">
        <v>216</v>
      </c>
      <c r="E492" s="15" t="s">
        <v>217</v>
      </c>
      <c r="F492" s="1" t="s">
        <v>85</v>
      </c>
      <c r="G492" s="16">
        <v>207443</v>
      </c>
      <c r="H492" s="93">
        <f>'Emission Rates Net-by-Count'!$D$5</f>
        <v>1201.8007841674578</v>
      </c>
      <c r="I492" s="16">
        <f t="shared" si="16"/>
        <v>124652.58003502498</v>
      </c>
      <c r="M492" s="19"/>
      <c r="N492" s="19"/>
      <c r="O492" s="19"/>
      <c r="P492" s="19"/>
    </row>
    <row r="493" spans="1:16" x14ac:dyDescent="0.25">
      <c r="A493" s="91">
        <v>725</v>
      </c>
      <c r="B493" s="15">
        <v>2007</v>
      </c>
      <c r="C493" s="1" t="s">
        <v>44</v>
      </c>
      <c r="D493" s="1" t="s">
        <v>216</v>
      </c>
      <c r="E493" s="15" t="s">
        <v>217</v>
      </c>
      <c r="F493" s="1" t="s">
        <v>138</v>
      </c>
      <c r="G493" s="16">
        <v>7857</v>
      </c>
      <c r="H493" s="93">
        <f>'Emission Rates Net-by-Count'!$D$5</f>
        <v>1201.8007841674578</v>
      </c>
      <c r="I493" s="16">
        <f t="shared" si="16"/>
        <v>4721.274380601858</v>
      </c>
      <c r="M493" s="19"/>
      <c r="N493" s="19"/>
      <c r="O493" s="19"/>
      <c r="P493" s="19"/>
    </row>
    <row r="494" spans="1:16" x14ac:dyDescent="0.25">
      <c r="A494" s="91">
        <v>726</v>
      </c>
      <c r="B494" s="15">
        <v>2007</v>
      </c>
      <c r="C494" s="1" t="s">
        <v>44</v>
      </c>
      <c r="D494" s="1" t="s">
        <v>216</v>
      </c>
      <c r="E494" s="15" t="s">
        <v>217</v>
      </c>
      <c r="F494" s="1" t="s">
        <v>150</v>
      </c>
      <c r="G494" s="16">
        <v>21000</v>
      </c>
      <c r="H494" s="93">
        <f>'Emission Rates Net-by-Count'!$D$5</f>
        <v>1201.8007841674578</v>
      </c>
      <c r="I494" s="16">
        <f t="shared" si="16"/>
        <v>12618.908233758306</v>
      </c>
      <c r="M494" s="19"/>
      <c r="N494" s="19"/>
      <c r="O494" s="19"/>
      <c r="P494" s="19"/>
    </row>
    <row r="495" spans="1:16" x14ac:dyDescent="0.25">
      <c r="A495" s="91">
        <v>727</v>
      </c>
      <c r="B495" s="15">
        <v>2007</v>
      </c>
      <c r="C495" s="1" t="s">
        <v>44</v>
      </c>
      <c r="D495" s="1" t="s">
        <v>216</v>
      </c>
      <c r="E495" s="15" t="s">
        <v>217</v>
      </c>
      <c r="F495" s="1" t="s">
        <v>87</v>
      </c>
      <c r="G495" s="16">
        <v>315978</v>
      </c>
      <c r="H495" s="93">
        <f>'Emission Rates Net-by-Count'!$D$5</f>
        <v>1201.8007841674578</v>
      </c>
      <c r="I495" s="16">
        <f t="shared" si="16"/>
        <v>189871.3040898325</v>
      </c>
      <c r="M495" s="19"/>
      <c r="N495" s="19"/>
      <c r="O495" s="19"/>
      <c r="P495" s="19"/>
    </row>
    <row r="496" spans="1:16" x14ac:dyDescent="0.25">
      <c r="A496" s="91">
        <v>728</v>
      </c>
      <c r="B496" s="15">
        <v>2007</v>
      </c>
      <c r="C496" s="1" t="s">
        <v>44</v>
      </c>
      <c r="D496" s="1" t="s">
        <v>216</v>
      </c>
      <c r="E496" s="15" t="s">
        <v>217</v>
      </c>
      <c r="F496" s="1" t="s">
        <v>88</v>
      </c>
      <c r="G496" s="16">
        <v>287187</v>
      </c>
      <c r="H496" s="93">
        <f>'Emission Rates Net-by-Count'!$D$5</f>
        <v>1201.8007841674578</v>
      </c>
      <c r="I496" s="16">
        <f t="shared" si="16"/>
        <v>172570.78090134985</v>
      </c>
      <c r="M496" s="19"/>
      <c r="N496" s="19"/>
      <c r="O496" s="19"/>
      <c r="P496" s="19"/>
    </row>
    <row r="497" spans="1:16" x14ac:dyDescent="0.25">
      <c r="A497" s="91">
        <v>729</v>
      </c>
      <c r="B497" s="15">
        <v>2007</v>
      </c>
      <c r="C497" s="1" t="s">
        <v>44</v>
      </c>
      <c r="D497" s="1" t="s">
        <v>216</v>
      </c>
      <c r="E497" s="15" t="s">
        <v>217</v>
      </c>
      <c r="F497" s="1" t="s">
        <v>89</v>
      </c>
      <c r="G497" s="16">
        <v>61832</v>
      </c>
      <c r="H497" s="93">
        <f>'Emission Rates Net-by-Count'!$D$5</f>
        <v>1201.8007841674578</v>
      </c>
      <c r="I497" s="16">
        <f t="shared" si="16"/>
        <v>37154.873043321124</v>
      </c>
      <c r="M497" s="19"/>
      <c r="N497" s="19"/>
      <c r="O497" s="19"/>
      <c r="P497" s="19"/>
    </row>
    <row r="498" spans="1:16" x14ac:dyDescent="0.25">
      <c r="A498" s="91">
        <v>730</v>
      </c>
      <c r="B498" s="15">
        <v>2007</v>
      </c>
      <c r="C498" s="1" t="s">
        <v>44</v>
      </c>
      <c r="D498" s="1" t="s">
        <v>216</v>
      </c>
      <c r="E498" s="15" t="s">
        <v>217</v>
      </c>
      <c r="F498" s="1" t="s">
        <v>90</v>
      </c>
      <c r="G498" s="16">
        <v>18791</v>
      </c>
      <c r="H498" s="93">
        <f>'Emission Rates Net-by-Count'!$D$5</f>
        <v>1201.8007841674578</v>
      </c>
      <c r="I498" s="16">
        <f t="shared" si="16"/>
        <v>11291.51926764535</v>
      </c>
      <c r="M498" s="19"/>
      <c r="N498" s="19"/>
      <c r="O498" s="19"/>
      <c r="P498" s="19"/>
    </row>
    <row r="499" spans="1:16" x14ac:dyDescent="0.25">
      <c r="A499" s="91">
        <v>731</v>
      </c>
      <c r="B499" s="15">
        <v>2007</v>
      </c>
      <c r="C499" s="1" t="s">
        <v>44</v>
      </c>
      <c r="D499" s="1" t="s">
        <v>216</v>
      </c>
      <c r="E499" s="15" t="s">
        <v>217</v>
      </c>
      <c r="F499" s="1" t="s">
        <v>91</v>
      </c>
      <c r="G499" s="16">
        <v>181241</v>
      </c>
      <c r="H499" s="93">
        <f>'Emission Rates Net-by-Count'!$D$5</f>
        <v>1201.8007841674578</v>
      </c>
      <c r="I499" s="16">
        <f t="shared" si="16"/>
        <v>108907.7879616471</v>
      </c>
      <c r="M499" s="19"/>
      <c r="N499" s="19"/>
      <c r="O499" s="19"/>
      <c r="P499" s="19"/>
    </row>
    <row r="500" spans="1:16" x14ac:dyDescent="0.25">
      <c r="A500" s="91">
        <v>732</v>
      </c>
      <c r="B500" s="15">
        <v>2007</v>
      </c>
      <c r="C500" s="1" t="s">
        <v>44</v>
      </c>
      <c r="D500" s="1" t="s">
        <v>216</v>
      </c>
      <c r="E500" s="15" t="s">
        <v>217</v>
      </c>
      <c r="F500" s="1" t="s">
        <v>92</v>
      </c>
      <c r="G500" s="16">
        <v>1171</v>
      </c>
      <c r="H500" s="93">
        <f>'Emission Rates Net-by-Count'!$D$5</f>
        <v>1201.8007841674578</v>
      </c>
      <c r="I500" s="16">
        <f t="shared" si="16"/>
        <v>703.6543591300466</v>
      </c>
      <c r="M500" s="19"/>
      <c r="N500" s="19"/>
      <c r="O500" s="19"/>
      <c r="P500" s="19"/>
    </row>
    <row r="501" spans="1:16" x14ac:dyDescent="0.25">
      <c r="A501" s="91">
        <v>733</v>
      </c>
      <c r="B501" s="15">
        <v>2007</v>
      </c>
      <c r="C501" s="1" t="s">
        <v>44</v>
      </c>
      <c r="D501" s="1" t="s">
        <v>216</v>
      </c>
      <c r="E501" s="15" t="s">
        <v>217</v>
      </c>
      <c r="F501" s="1" t="s">
        <v>93</v>
      </c>
      <c r="G501" s="16">
        <v>4925</v>
      </c>
      <c r="H501" s="93">
        <f>'Emission Rates Net-by-Count'!$D$5</f>
        <v>1201.8007841674578</v>
      </c>
      <c r="I501" s="16">
        <f t="shared" si="16"/>
        <v>2959.4344310123647</v>
      </c>
      <c r="M501" s="19"/>
      <c r="N501" s="19"/>
      <c r="O501" s="19"/>
      <c r="P501" s="19"/>
    </row>
    <row r="502" spans="1:16" x14ac:dyDescent="0.25">
      <c r="A502" s="91">
        <v>734</v>
      </c>
      <c r="B502" s="15">
        <v>2007</v>
      </c>
      <c r="C502" s="1" t="s">
        <v>44</v>
      </c>
      <c r="D502" s="1" t="s">
        <v>216</v>
      </c>
      <c r="E502" s="15" t="s">
        <v>217</v>
      </c>
      <c r="F502" s="1" t="s">
        <v>94</v>
      </c>
      <c r="G502" s="16">
        <v>3300</v>
      </c>
      <c r="H502" s="93">
        <f>'Emission Rates Net-by-Count'!$D$5</f>
        <v>1201.8007841674578</v>
      </c>
      <c r="I502" s="16">
        <f t="shared" si="16"/>
        <v>1982.9712938763053</v>
      </c>
      <c r="M502" s="19"/>
      <c r="N502" s="19"/>
      <c r="O502" s="19"/>
      <c r="P502" s="19"/>
    </row>
    <row r="503" spans="1:16" x14ac:dyDescent="0.25">
      <c r="A503" s="91">
        <v>735</v>
      </c>
      <c r="B503" s="15">
        <v>2007</v>
      </c>
      <c r="C503" s="1" t="s">
        <v>44</v>
      </c>
      <c r="D503" s="1" t="s">
        <v>216</v>
      </c>
      <c r="E503" s="15" t="s">
        <v>217</v>
      </c>
      <c r="F503" s="1" t="s">
        <v>95</v>
      </c>
      <c r="G503" s="16">
        <v>132332</v>
      </c>
      <c r="H503" s="93">
        <f>'Emission Rates Net-by-Count'!$D$5</f>
        <v>1201.8007841674578</v>
      </c>
      <c r="I503" s="16">
        <f t="shared" si="16"/>
        <v>79518.35068522401</v>
      </c>
      <c r="M503" s="19"/>
      <c r="N503" s="19"/>
      <c r="O503" s="19"/>
      <c r="P503" s="19"/>
    </row>
    <row r="504" spans="1:16" x14ac:dyDescent="0.25">
      <c r="A504" s="91">
        <v>736</v>
      </c>
      <c r="B504" s="15">
        <v>2007</v>
      </c>
      <c r="C504" s="1" t="s">
        <v>44</v>
      </c>
      <c r="D504" s="1" t="s">
        <v>216</v>
      </c>
      <c r="E504" s="15" t="s">
        <v>217</v>
      </c>
      <c r="F504" s="1" t="s">
        <v>96</v>
      </c>
      <c r="G504" s="16">
        <v>934094</v>
      </c>
      <c r="H504" s="93">
        <f>'Emission Rates Net-by-Count'!$D$5</f>
        <v>1201.8007841674578</v>
      </c>
      <c r="I504" s="16">
        <f t="shared" si="16"/>
        <v>561297.45084305876</v>
      </c>
      <c r="M504" s="19"/>
      <c r="N504" s="19"/>
      <c r="O504" s="19"/>
      <c r="P504" s="19"/>
    </row>
    <row r="505" spans="1:16" x14ac:dyDescent="0.25">
      <c r="A505" s="91">
        <v>737</v>
      </c>
      <c r="B505" s="15">
        <v>2007</v>
      </c>
      <c r="C505" s="1" t="s">
        <v>44</v>
      </c>
      <c r="D505" s="1" t="s">
        <v>216</v>
      </c>
      <c r="E505" s="15" t="s">
        <v>217</v>
      </c>
      <c r="F505" s="1" t="s">
        <v>97</v>
      </c>
      <c r="G505" s="16">
        <v>700864</v>
      </c>
      <c r="H505" s="93">
        <f>'Emission Rates Net-by-Count'!$D$5</f>
        <v>1201.8007841674578</v>
      </c>
      <c r="I505" s="16">
        <f t="shared" si="16"/>
        <v>421149.45239737059</v>
      </c>
      <c r="M505" s="19"/>
      <c r="N505" s="19"/>
      <c r="O505" s="19"/>
      <c r="P505" s="19"/>
    </row>
    <row r="506" spans="1:16" x14ac:dyDescent="0.25">
      <c r="A506" s="91">
        <v>738</v>
      </c>
      <c r="B506" s="15">
        <v>2007</v>
      </c>
      <c r="C506" s="1" t="s">
        <v>44</v>
      </c>
      <c r="D506" s="1" t="s">
        <v>216</v>
      </c>
      <c r="E506" s="15" t="s">
        <v>217</v>
      </c>
      <c r="F506" s="1" t="s">
        <v>151</v>
      </c>
      <c r="G506" s="16">
        <v>13296.48</v>
      </c>
      <c r="H506" s="93">
        <f>'Emission Rates Net-by-Count'!$D$5</f>
        <v>1201.8007841674578</v>
      </c>
      <c r="I506" s="16">
        <f t="shared" si="16"/>
        <v>7989.8600453334593</v>
      </c>
      <c r="M506" s="19"/>
      <c r="N506" s="19"/>
      <c r="O506" s="19"/>
      <c r="P506" s="19"/>
    </row>
    <row r="507" spans="1:16" x14ac:dyDescent="0.25">
      <c r="A507" s="91">
        <v>739</v>
      </c>
      <c r="B507" s="15">
        <v>2007</v>
      </c>
      <c r="C507" s="1" t="s">
        <v>44</v>
      </c>
      <c r="D507" s="1" t="s">
        <v>216</v>
      </c>
      <c r="E507" s="15" t="s">
        <v>217</v>
      </c>
      <c r="F507" s="1" t="s">
        <v>98</v>
      </c>
      <c r="G507" s="16">
        <v>16272</v>
      </c>
      <c r="H507" s="93">
        <f>'Emission Rates Net-by-Count'!$D$5</f>
        <v>1201.8007841674578</v>
      </c>
      <c r="I507" s="16">
        <f t="shared" ref="I507:I538" si="17">(G507*H507)/2000</f>
        <v>9777.8511799864355</v>
      </c>
      <c r="M507" s="19"/>
      <c r="N507" s="19"/>
      <c r="O507" s="19"/>
      <c r="P507" s="19"/>
    </row>
    <row r="508" spans="1:16" x14ac:dyDescent="0.25">
      <c r="A508" s="91">
        <v>740</v>
      </c>
      <c r="B508" s="15">
        <v>2007</v>
      </c>
      <c r="C508" s="1" t="s">
        <v>44</v>
      </c>
      <c r="D508" s="1" t="s">
        <v>216</v>
      </c>
      <c r="E508" s="15" t="s">
        <v>217</v>
      </c>
      <c r="F508" s="1" t="s">
        <v>99</v>
      </c>
      <c r="G508" s="16">
        <v>80</v>
      </c>
      <c r="H508" s="93">
        <f>'Emission Rates Net-by-Count'!$D$5</f>
        <v>1201.8007841674578</v>
      </c>
      <c r="I508" s="16">
        <f t="shared" si="17"/>
        <v>48.072031366698312</v>
      </c>
      <c r="M508" s="19"/>
      <c r="N508" s="19"/>
      <c r="O508" s="19"/>
      <c r="P508" s="19"/>
    </row>
    <row r="509" spans="1:16" x14ac:dyDescent="0.25">
      <c r="A509" s="91">
        <v>741</v>
      </c>
      <c r="B509" s="15">
        <v>2007</v>
      </c>
      <c r="C509" s="1" t="s">
        <v>44</v>
      </c>
      <c r="D509" s="1" t="s">
        <v>216</v>
      </c>
      <c r="E509" s="15" t="s">
        <v>217</v>
      </c>
      <c r="F509" s="1" t="s">
        <v>100</v>
      </c>
      <c r="G509" s="16">
        <v>72772</v>
      </c>
      <c r="H509" s="93">
        <f>'Emission Rates Net-by-Count'!$D$5</f>
        <v>1201.8007841674578</v>
      </c>
      <c r="I509" s="16">
        <f t="shared" si="17"/>
        <v>43728.72333271712</v>
      </c>
      <c r="M509" s="19"/>
      <c r="N509" s="19"/>
      <c r="O509" s="19"/>
      <c r="P509" s="19"/>
    </row>
    <row r="510" spans="1:16" x14ac:dyDescent="0.25">
      <c r="A510" s="91">
        <v>742</v>
      </c>
      <c r="B510" s="15">
        <v>2007</v>
      </c>
      <c r="C510" s="1" t="s">
        <v>44</v>
      </c>
      <c r="D510" s="1" t="s">
        <v>216</v>
      </c>
      <c r="E510" s="15" t="s">
        <v>217</v>
      </c>
      <c r="F510" s="1" t="s">
        <v>101</v>
      </c>
      <c r="G510" s="16">
        <v>10850</v>
      </c>
      <c r="H510" s="93">
        <f>'Emission Rates Net-by-Count'!$D$5</f>
        <v>1201.8007841674578</v>
      </c>
      <c r="I510" s="16">
        <f t="shared" si="17"/>
        <v>6519.7692541084589</v>
      </c>
      <c r="M510" s="19"/>
      <c r="N510" s="19"/>
      <c r="O510" s="19"/>
      <c r="P510" s="19"/>
    </row>
    <row r="511" spans="1:16" x14ac:dyDescent="0.25">
      <c r="A511" s="91">
        <v>743</v>
      </c>
      <c r="B511" s="15">
        <v>2007</v>
      </c>
      <c r="C511" s="1" t="s">
        <v>44</v>
      </c>
      <c r="D511" s="1" t="s">
        <v>216</v>
      </c>
      <c r="E511" s="15" t="s">
        <v>217</v>
      </c>
      <c r="F511" s="1" t="s">
        <v>102</v>
      </c>
      <c r="G511" s="16">
        <v>106896</v>
      </c>
      <c r="H511" s="93">
        <f>'Emission Rates Net-by-Count'!$D$5</f>
        <v>1201.8007841674578</v>
      </c>
      <c r="I511" s="16">
        <f t="shared" si="17"/>
        <v>64233.848312182286</v>
      </c>
      <c r="M511" s="19"/>
      <c r="N511" s="19"/>
      <c r="O511" s="19"/>
      <c r="P511" s="19"/>
    </row>
    <row r="512" spans="1:16" x14ac:dyDescent="0.25">
      <c r="A512" s="91">
        <v>744</v>
      </c>
      <c r="B512" s="15">
        <v>2007</v>
      </c>
      <c r="C512" s="1" t="s">
        <v>44</v>
      </c>
      <c r="D512" s="1" t="s">
        <v>216</v>
      </c>
      <c r="E512" s="15" t="s">
        <v>217</v>
      </c>
      <c r="F512" s="1" t="s">
        <v>103</v>
      </c>
      <c r="G512" s="16">
        <v>81554</v>
      </c>
      <c r="H512" s="93">
        <f>'Emission Rates Net-by-Count'!$D$5</f>
        <v>1201.8007841674578</v>
      </c>
      <c r="I512" s="16">
        <f t="shared" si="17"/>
        <v>49005.830575996428</v>
      </c>
      <c r="M512" s="19"/>
      <c r="N512" s="19"/>
      <c r="O512" s="19"/>
      <c r="P512" s="19"/>
    </row>
    <row r="513" spans="1:16" x14ac:dyDescent="0.25">
      <c r="A513" s="91">
        <v>745</v>
      </c>
      <c r="B513" s="15">
        <v>2007</v>
      </c>
      <c r="C513" s="1" t="s">
        <v>44</v>
      </c>
      <c r="D513" s="1" t="s">
        <v>216</v>
      </c>
      <c r="E513" s="15" t="s">
        <v>217</v>
      </c>
      <c r="F513" s="1" t="s">
        <v>152</v>
      </c>
      <c r="G513" s="16">
        <v>11082</v>
      </c>
      <c r="H513" s="93">
        <f>'Emission Rates Net-by-Count'!$D$5</f>
        <v>1201.8007841674578</v>
      </c>
      <c r="I513" s="16">
        <f t="shared" si="17"/>
        <v>6659.1781450718836</v>
      </c>
      <c r="M513" s="19"/>
      <c r="N513" s="19"/>
      <c r="O513" s="19"/>
      <c r="P513" s="19"/>
    </row>
    <row r="514" spans="1:16" x14ac:dyDescent="0.25">
      <c r="A514" s="91">
        <v>746</v>
      </c>
      <c r="B514" s="15">
        <v>2007</v>
      </c>
      <c r="C514" s="1" t="s">
        <v>44</v>
      </c>
      <c r="D514" s="1" t="s">
        <v>216</v>
      </c>
      <c r="E514" s="15" t="s">
        <v>217</v>
      </c>
      <c r="F514" s="1" t="s">
        <v>41</v>
      </c>
      <c r="G514" s="16">
        <v>658</v>
      </c>
      <c r="H514" s="93">
        <f>'Emission Rates Net-by-Count'!$D$5</f>
        <v>1201.8007841674578</v>
      </c>
      <c r="I514" s="16">
        <f t="shared" si="17"/>
        <v>395.39245799109364</v>
      </c>
      <c r="M514" s="19"/>
      <c r="N514" s="19"/>
      <c r="O514" s="19"/>
      <c r="P514" s="19"/>
    </row>
    <row r="515" spans="1:16" x14ac:dyDescent="0.25">
      <c r="A515" s="91">
        <v>747</v>
      </c>
      <c r="B515" s="15">
        <v>2007</v>
      </c>
      <c r="C515" s="1" t="s">
        <v>44</v>
      </c>
      <c r="D515" s="1" t="s">
        <v>216</v>
      </c>
      <c r="E515" s="15" t="s">
        <v>217</v>
      </c>
      <c r="F515" s="1" t="s">
        <v>153</v>
      </c>
      <c r="G515" s="16">
        <v>13880</v>
      </c>
      <c r="H515" s="93">
        <f>'Emission Rates Net-by-Count'!$D$5</f>
        <v>1201.8007841674578</v>
      </c>
      <c r="I515" s="16">
        <f t="shared" si="17"/>
        <v>8340.4974421221559</v>
      </c>
      <c r="M515" s="19"/>
      <c r="N515" s="19"/>
      <c r="O515" s="19"/>
      <c r="P515" s="19"/>
    </row>
    <row r="516" spans="1:16" x14ac:dyDescent="0.25">
      <c r="A516" s="91">
        <v>748</v>
      </c>
      <c r="B516" s="15">
        <v>2007</v>
      </c>
      <c r="C516" s="1" t="s">
        <v>44</v>
      </c>
      <c r="D516" s="1" t="s">
        <v>216</v>
      </c>
      <c r="E516" s="15" t="s">
        <v>217</v>
      </c>
      <c r="F516" s="1" t="s">
        <v>104</v>
      </c>
      <c r="G516" s="16">
        <v>1681755</v>
      </c>
      <c r="H516" s="93">
        <f>'Emission Rates Net-by-Count'!$D$5</f>
        <v>1201.8007841674578</v>
      </c>
      <c r="I516" s="16">
        <f t="shared" si="17"/>
        <v>1010567.2388887715</v>
      </c>
      <c r="M516" s="19"/>
      <c r="N516" s="19"/>
      <c r="O516" s="19"/>
      <c r="P516" s="19"/>
    </row>
    <row r="517" spans="1:16" x14ac:dyDescent="0.25">
      <c r="A517" s="91">
        <v>749</v>
      </c>
      <c r="B517" s="15">
        <v>2007</v>
      </c>
      <c r="C517" s="1" t="s">
        <v>44</v>
      </c>
      <c r="D517" s="1" t="s">
        <v>216</v>
      </c>
      <c r="E517" s="15" t="s">
        <v>217</v>
      </c>
      <c r="F517" s="1" t="s">
        <v>154</v>
      </c>
      <c r="G517" s="16">
        <v>9169</v>
      </c>
      <c r="H517" s="93">
        <f>'Emission Rates Net-by-Count'!$D$5</f>
        <v>1201.8007841674578</v>
      </c>
      <c r="I517" s="16">
        <f t="shared" si="17"/>
        <v>5509.6556950157101</v>
      </c>
      <c r="M517" s="19"/>
      <c r="N517" s="19"/>
      <c r="O517" s="19"/>
      <c r="P517" s="19"/>
    </row>
    <row r="518" spans="1:16" x14ac:dyDescent="0.25">
      <c r="A518" s="91">
        <v>750</v>
      </c>
      <c r="B518" s="15">
        <v>2007</v>
      </c>
      <c r="C518" s="1" t="s">
        <v>44</v>
      </c>
      <c r="D518" s="1" t="s">
        <v>216</v>
      </c>
      <c r="E518" s="15" t="s">
        <v>217</v>
      </c>
      <c r="F518" s="1" t="s">
        <v>105</v>
      </c>
      <c r="G518" s="16">
        <v>5615</v>
      </c>
      <c r="H518" s="93">
        <f>'Emission Rates Net-by-Count'!$D$5</f>
        <v>1201.8007841674578</v>
      </c>
      <c r="I518" s="16">
        <f t="shared" si="17"/>
        <v>3374.0557015501377</v>
      </c>
      <c r="M518" s="19"/>
      <c r="N518" s="19"/>
      <c r="O518" s="19"/>
      <c r="P518" s="19"/>
    </row>
    <row r="519" spans="1:16" x14ac:dyDescent="0.25">
      <c r="A519" s="91">
        <v>751</v>
      </c>
      <c r="B519" s="15">
        <v>2007</v>
      </c>
      <c r="C519" s="1" t="s">
        <v>44</v>
      </c>
      <c r="D519" s="1" t="s">
        <v>216</v>
      </c>
      <c r="E519" s="15" t="s">
        <v>217</v>
      </c>
      <c r="F519" s="1" t="s">
        <v>106</v>
      </c>
      <c r="G519" s="16">
        <v>8922</v>
      </c>
      <c r="H519" s="93">
        <f>'Emission Rates Net-by-Count'!$D$5</f>
        <v>1201.8007841674578</v>
      </c>
      <c r="I519" s="16">
        <f t="shared" si="17"/>
        <v>5361.2332981710297</v>
      </c>
      <c r="M519" s="19"/>
      <c r="N519" s="19"/>
      <c r="O519" s="19"/>
      <c r="P519" s="19"/>
    </row>
    <row r="520" spans="1:16" x14ac:dyDescent="0.25">
      <c r="A520" s="91">
        <v>752</v>
      </c>
      <c r="B520" s="15">
        <v>2007</v>
      </c>
      <c r="C520" s="1" t="s">
        <v>44</v>
      </c>
      <c r="D520" s="1" t="s">
        <v>216</v>
      </c>
      <c r="E520" s="15" t="s">
        <v>217</v>
      </c>
      <c r="F520" s="1" t="s">
        <v>107</v>
      </c>
      <c r="G520" s="16">
        <v>20016</v>
      </c>
      <c r="H520" s="93">
        <f>'Emission Rates Net-by-Count'!$D$5</f>
        <v>1201.8007841674578</v>
      </c>
      <c r="I520" s="16">
        <f t="shared" si="17"/>
        <v>12027.622247947918</v>
      </c>
      <c r="M520" s="19"/>
      <c r="N520" s="19"/>
      <c r="O520" s="19"/>
      <c r="P520" s="19"/>
    </row>
    <row r="521" spans="1:16" x14ac:dyDescent="0.25">
      <c r="A521" s="91">
        <v>753</v>
      </c>
      <c r="B521" s="15">
        <v>2007</v>
      </c>
      <c r="C521" s="1" t="s">
        <v>44</v>
      </c>
      <c r="D521" s="1" t="s">
        <v>216</v>
      </c>
      <c r="E521" s="15" t="s">
        <v>217</v>
      </c>
      <c r="F521" s="1" t="s">
        <v>108</v>
      </c>
      <c r="G521" s="16">
        <v>171</v>
      </c>
      <c r="H521" s="93">
        <f>'Emission Rates Net-by-Count'!$D$5</f>
        <v>1201.8007841674578</v>
      </c>
      <c r="I521" s="16">
        <f t="shared" si="17"/>
        <v>102.75396704631764</v>
      </c>
      <c r="M521" s="19"/>
      <c r="N521" s="19"/>
      <c r="O521" s="19"/>
      <c r="P521" s="19"/>
    </row>
    <row r="522" spans="1:16" x14ac:dyDescent="0.25">
      <c r="A522" s="91">
        <v>754</v>
      </c>
      <c r="B522" s="15">
        <v>2007</v>
      </c>
      <c r="C522" s="1" t="s">
        <v>44</v>
      </c>
      <c r="D522" s="1" t="s">
        <v>216</v>
      </c>
      <c r="E522" s="15" t="s">
        <v>217</v>
      </c>
      <c r="F522" s="1" t="s">
        <v>140</v>
      </c>
      <c r="G522" s="16">
        <v>90</v>
      </c>
      <c r="H522" s="93">
        <f>'Emission Rates Net-by-Count'!$D$5</f>
        <v>1201.8007841674578</v>
      </c>
      <c r="I522" s="16">
        <f t="shared" si="17"/>
        <v>54.081035287535599</v>
      </c>
      <c r="M522" s="19"/>
      <c r="N522" s="19"/>
      <c r="O522" s="19"/>
      <c r="P522" s="19"/>
    </row>
    <row r="523" spans="1:16" x14ac:dyDescent="0.25">
      <c r="A523" s="91">
        <v>756</v>
      </c>
      <c r="B523" s="15">
        <v>2007</v>
      </c>
      <c r="C523" s="1" t="s">
        <v>109</v>
      </c>
      <c r="D523" s="1" t="s">
        <v>216</v>
      </c>
      <c r="E523" s="15" t="s">
        <v>217</v>
      </c>
      <c r="F523" s="1" t="s">
        <v>48</v>
      </c>
      <c r="G523" s="16">
        <v>31945</v>
      </c>
      <c r="H523" s="93">
        <f>'Emission Rates Net-by-Count'!$D$5</f>
        <v>1201.8007841674578</v>
      </c>
      <c r="I523" s="16">
        <f t="shared" si="17"/>
        <v>19195.76302511472</v>
      </c>
      <c r="M523" s="19"/>
      <c r="N523" s="19"/>
      <c r="O523" s="19"/>
      <c r="P523" s="19"/>
    </row>
    <row r="524" spans="1:16" x14ac:dyDescent="0.25">
      <c r="A524" s="91">
        <v>757</v>
      </c>
      <c r="B524" s="15">
        <v>2007</v>
      </c>
      <c r="C524" s="1" t="s">
        <v>109</v>
      </c>
      <c r="D524" s="1" t="s">
        <v>216</v>
      </c>
      <c r="E524" s="15" t="s">
        <v>217</v>
      </c>
      <c r="F524" s="1" t="s">
        <v>110</v>
      </c>
      <c r="G524" s="16">
        <v>2245</v>
      </c>
      <c r="H524" s="93">
        <f>'Emission Rates Net-by-Count'!$D$5</f>
        <v>1201.8007841674578</v>
      </c>
      <c r="I524" s="16">
        <f t="shared" si="17"/>
        <v>1349.0213802279713</v>
      </c>
      <c r="M524" s="19"/>
      <c r="N524" s="19"/>
      <c r="O524" s="19"/>
      <c r="P524" s="19"/>
    </row>
    <row r="525" spans="1:16" x14ac:dyDescent="0.25">
      <c r="A525" s="91">
        <v>758</v>
      </c>
      <c r="B525" s="15">
        <v>2007</v>
      </c>
      <c r="C525" s="1" t="s">
        <v>109</v>
      </c>
      <c r="D525" s="1" t="s">
        <v>216</v>
      </c>
      <c r="E525" s="15" t="s">
        <v>217</v>
      </c>
      <c r="F525" s="1" t="s">
        <v>21</v>
      </c>
      <c r="G525" s="16">
        <v>82864</v>
      </c>
      <c r="H525" s="93">
        <f>'Emission Rates Net-by-Count'!$D$5</f>
        <v>1201.8007841674578</v>
      </c>
      <c r="I525" s="16">
        <f t="shared" si="17"/>
        <v>49793.010089626114</v>
      </c>
      <c r="M525" s="19"/>
      <c r="N525" s="19"/>
      <c r="O525" s="19"/>
      <c r="P525" s="19"/>
    </row>
    <row r="526" spans="1:16" x14ac:dyDescent="0.25">
      <c r="A526" s="91">
        <v>759</v>
      </c>
      <c r="B526" s="15">
        <v>2007</v>
      </c>
      <c r="C526" s="1" t="s">
        <v>109</v>
      </c>
      <c r="D526" s="1" t="s">
        <v>216</v>
      </c>
      <c r="E526" s="15" t="s">
        <v>217</v>
      </c>
      <c r="F526" s="1" t="s">
        <v>56</v>
      </c>
      <c r="G526" s="16">
        <v>28800</v>
      </c>
      <c r="H526" s="93">
        <f>'Emission Rates Net-by-Count'!$D$5</f>
        <v>1201.8007841674578</v>
      </c>
      <c r="I526" s="16">
        <f t="shared" si="17"/>
        <v>17305.931292011392</v>
      </c>
      <c r="M526" s="19"/>
      <c r="N526" s="19"/>
      <c r="O526" s="19"/>
      <c r="P526" s="19"/>
    </row>
    <row r="527" spans="1:16" x14ac:dyDescent="0.25">
      <c r="A527" s="91">
        <v>760</v>
      </c>
      <c r="B527" s="15">
        <v>2007</v>
      </c>
      <c r="C527" s="1" t="s">
        <v>109</v>
      </c>
      <c r="D527" s="1" t="s">
        <v>216</v>
      </c>
      <c r="E527" s="15" t="s">
        <v>217</v>
      </c>
      <c r="F527" s="1" t="s">
        <v>114</v>
      </c>
      <c r="G527" s="16">
        <v>24866</v>
      </c>
      <c r="H527" s="93">
        <f>'Emission Rates Net-by-Count'!$D$5</f>
        <v>1201.8007841674578</v>
      </c>
      <c r="I527" s="16">
        <f t="shared" si="17"/>
        <v>14941.989149554003</v>
      </c>
      <c r="M527" s="19"/>
      <c r="N527" s="19"/>
      <c r="O527" s="19"/>
      <c r="P527" s="19"/>
    </row>
    <row r="528" spans="1:16" x14ac:dyDescent="0.25">
      <c r="A528" s="91">
        <v>761</v>
      </c>
      <c r="B528" s="15">
        <v>2007</v>
      </c>
      <c r="C528" s="1" t="s">
        <v>109</v>
      </c>
      <c r="D528" s="1" t="s">
        <v>216</v>
      </c>
      <c r="E528" s="15" t="s">
        <v>217</v>
      </c>
      <c r="F528" s="1" t="s">
        <v>62</v>
      </c>
      <c r="G528" s="16">
        <v>122</v>
      </c>
      <c r="H528" s="93">
        <f>'Emission Rates Net-by-Count'!$D$5</f>
        <v>1201.8007841674578</v>
      </c>
      <c r="I528" s="16">
        <f t="shared" si="17"/>
        <v>73.309847834214921</v>
      </c>
      <c r="M528" s="19"/>
      <c r="N528" s="19"/>
      <c r="O528" s="19"/>
      <c r="P528" s="19"/>
    </row>
    <row r="529" spans="1:16" x14ac:dyDescent="0.25">
      <c r="A529" s="91">
        <v>762</v>
      </c>
      <c r="B529" s="15">
        <v>2007</v>
      </c>
      <c r="C529" s="1" t="s">
        <v>109</v>
      </c>
      <c r="D529" s="1" t="s">
        <v>216</v>
      </c>
      <c r="E529" s="15" t="s">
        <v>217</v>
      </c>
      <c r="F529" s="1" t="s">
        <v>111</v>
      </c>
      <c r="G529" s="16">
        <v>412900</v>
      </c>
      <c r="H529" s="93">
        <f>'Emission Rates Net-by-Count'!$D$5</f>
        <v>1201.8007841674578</v>
      </c>
      <c r="I529" s="16">
        <f t="shared" si="17"/>
        <v>248111.77189137167</v>
      </c>
      <c r="M529" s="19"/>
      <c r="N529" s="19"/>
      <c r="O529" s="19"/>
      <c r="P529" s="19"/>
    </row>
    <row r="530" spans="1:16" x14ac:dyDescent="0.25">
      <c r="A530" s="91">
        <v>763</v>
      </c>
      <c r="B530" s="15">
        <v>2007</v>
      </c>
      <c r="C530" s="1" t="s">
        <v>109</v>
      </c>
      <c r="D530" s="1" t="s">
        <v>216</v>
      </c>
      <c r="E530" s="15" t="s">
        <v>217</v>
      </c>
      <c r="F530" s="1" t="s">
        <v>112</v>
      </c>
      <c r="G530" s="16">
        <v>483866</v>
      </c>
      <c r="H530" s="93">
        <f>'Emission Rates Net-by-Count'!$D$5</f>
        <v>1201.8007841674578</v>
      </c>
      <c r="I530" s="16">
        <f t="shared" si="17"/>
        <v>290755.26911598555</v>
      </c>
      <c r="M530" s="19"/>
      <c r="N530" s="19"/>
      <c r="O530" s="19"/>
      <c r="P530" s="19"/>
    </row>
    <row r="531" spans="1:16" x14ac:dyDescent="0.25">
      <c r="A531" s="91">
        <v>764</v>
      </c>
      <c r="B531" s="15">
        <v>2007</v>
      </c>
      <c r="C531" s="1" t="s">
        <v>109</v>
      </c>
      <c r="D531" s="1" t="s">
        <v>216</v>
      </c>
      <c r="E531" s="15" t="s">
        <v>217</v>
      </c>
      <c r="F531" s="1" t="s">
        <v>97</v>
      </c>
      <c r="G531" s="16">
        <v>28832</v>
      </c>
      <c r="H531" s="93">
        <f>'Emission Rates Net-by-Count'!$D$5</f>
        <v>1201.8007841674578</v>
      </c>
      <c r="I531" s="16">
        <f t="shared" si="17"/>
        <v>17325.160104558072</v>
      </c>
      <c r="M531" s="19"/>
      <c r="N531" s="19"/>
      <c r="O531" s="19"/>
      <c r="P531" s="19"/>
    </row>
    <row r="532" spans="1:16" x14ac:dyDescent="0.25">
      <c r="A532" s="91">
        <v>765</v>
      </c>
      <c r="B532" s="15">
        <v>2007</v>
      </c>
      <c r="C532" s="1" t="s">
        <v>109</v>
      </c>
      <c r="D532" s="1" t="s">
        <v>216</v>
      </c>
      <c r="E532" s="15" t="s">
        <v>217</v>
      </c>
      <c r="F532" s="1" t="s">
        <v>103</v>
      </c>
      <c r="G532" s="16">
        <v>30800</v>
      </c>
      <c r="H532" s="93">
        <f>'Emission Rates Net-by-Count'!$D$5</f>
        <v>1201.8007841674578</v>
      </c>
      <c r="I532" s="16">
        <f t="shared" si="17"/>
        <v>18507.732076178851</v>
      </c>
      <c r="M532" s="19"/>
      <c r="N532" s="19"/>
      <c r="O532" s="19"/>
      <c r="P532" s="19"/>
    </row>
    <row r="533" spans="1:16" x14ac:dyDescent="0.25">
      <c r="A533" s="91">
        <v>766</v>
      </c>
      <c r="B533" s="15">
        <v>2007</v>
      </c>
      <c r="C533" s="1" t="s">
        <v>109</v>
      </c>
      <c r="D533" s="1" t="s">
        <v>216</v>
      </c>
      <c r="E533" s="15" t="s">
        <v>217</v>
      </c>
      <c r="F533" s="1" t="s">
        <v>104</v>
      </c>
      <c r="G533" s="16">
        <v>602125</v>
      </c>
      <c r="H533" s="93">
        <f>'Emission Rates Net-by-Count'!$D$5</f>
        <v>1201.8007841674578</v>
      </c>
      <c r="I533" s="16">
        <f t="shared" si="17"/>
        <v>361817.14858341526</v>
      </c>
      <c r="M533" s="19"/>
      <c r="N533" s="19"/>
      <c r="O533" s="19"/>
      <c r="P533" s="19"/>
    </row>
    <row r="534" spans="1:16" x14ac:dyDescent="0.25">
      <c r="A534" s="91">
        <v>768</v>
      </c>
      <c r="B534" s="15">
        <v>2007</v>
      </c>
      <c r="C534" s="1" t="s">
        <v>113</v>
      </c>
      <c r="D534" s="1" t="s">
        <v>216</v>
      </c>
      <c r="E534" s="15" t="s">
        <v>217</v>
      </c>
      <c r="F534" s="1" t="s">
        <v>48</v>
      </c>
      <c r="G534" s="16">
        <v>-32120</v>
      </c>
      <c r="H534" s="93">
        <f>'Emission Rates Net-by-Count'!$D$5</f>
        <v>1201.8007841674578</v>
      </c>
      <c r="I534" s="16">
        <f t="shared" si="17"/>
        <v>-19300.920593729374</v>
      </c>
      <c r="M534" s="19"/>
      <c r="N534" s="19"/>
      <c r="O534" s="19"/>
      <c r="P534" s="19"/>
    </row>
    <row r="535" spans="1:16" x14ac:dyDescent="0.25">
      <c r="A535" s="91">
        <v>769</v>
      </c>
      <c r="B535" s="15">
        <v>2007</v>
      </c>
      <c r="C535" s="1" t="s">
        <v>113</v>
      </c>
      <c r="D535" s="1" t="s">
        <v>216</v>
      </c>
      <c r="E535" s="15" t="s">
        <v>217</v>
      </c>
      <c r="F535" s="1" t="s">
        <v>110</v>
      </c>
      <c r="G535" s="16">
        <v>-2959</v>
      </c>
      <c r="H535" s="93">
        <f>'Emission Rates Net-by-Count'!$D$5</f>
        <v>1201.8007841674578</v>
      </c>
      <c r="I535" s="16">
        <f t="shared" si="17"/>
        <v>-1778.0642601757538</v>
      </c>
      <c r="M535" s="19"/>
      <c r="N535" s="19"/>
      <c r="O535" s="19"/>
      <c r="P535" s="19"/>
    </row>
    <row r="536" spans="1:16" x14ac:dyDescent="0.25">
      <c r="A536" s="91">
        <v>770</v>
      </c>
      <c r="B536" s="15">
        <v>2007</v>
      </c>
      <c r="C536" s="1" t="s">
        <v>113</v>
      </c>
      <c r="D536" s="1" t="s">
        <v>216</v>
      </c>
      <c r="E536" s="15" t="s">
        <v>217</v>
      </c>
      <c r="F536" s="1" t="s">
        <v>21</v>
      </c>
      <c r="G536" s="16">
        <v>-83521</v>
      </c>
      <c r="H536" s="93">
        <f>'Emission Rates Net-by-Count'!$D$5</f>
        <v>1201.8007841674578</v>
      </c>
      <c r="I536" s="16">
        <f t="shared" si="17"/>
        <v>-50187.801647225118</v>
      </c>
      <c r="M536" s="19"/>
      <c r="N536" s="19"/>
      <c r="O536" s="19"/>
      <c r="P536" s="19"/>
    </row>
    <row r="537" spans="1:16" x14ac:dyDescent="0.25">
      <c r="A537" s="91">
        <v>771</v>
      </c>
      <c r="B537" s="15">
        <v>2007</v>
      </c>
      <c r="C537" s="1" t="s">
        <v>113</v>
      </c>
      <c r="D537" s="1" t="s">
        <v>216</v>
      </c>
      <c r="E537" s="15" t="s">
        <v>217</v>
      </c>
      <c r="F537" s="1" t="s">
        <v>56</v>
      </c>
      <c r="G537" s="16">
        <v>-28800</v>
      </c>
      <c r="H537" s="93">
        <f>'Emission Rates Net-by-Count'!$D$5</f>
        <v>1201.8007841674578</v>
      </c>
      <c r="I537" s="16">
        <f t="shared" si="17"/>
        <v>-17305.931292011392</v>
      </c>
      <c r="M537" s="19"/>
      <c r="N537" s="19"/>
      <c r="O537" s="19"/>
      <c r="P537" s="19"/>
    </row>
    <row r="538" spans="1:16" x14ac:dyDescent="0.25">
      <c r="A538" s="91">
        <v>772</v>
      </c>
      <c r="B538" s="15">
        <v>2007</v>
      </c>
      <c r="C538" s="1" t="s">
        <v>113</v>
      </c>
      <c r="D538" s="1" t="s">
        <v>216</v>
      </c>
      <c r="E538" s="15" t="s">
        <v>217</v>
      </c>
      <c r="F538" s="1" t="s">
        <v>58</v>
      </c>
      <c r="G538" s="16">
        <v>-50000</v>
      </c>
      <c r="H538" s="93">
        <f>'Emission Rates Net-by-Count'!$D$5</f>
        <v>1201.8007841674578</v>
      </c>
      <c r="I538" s="16">
        <f t="shared" si="17"/>
        <v>-30045.019604186444</v>
      </c>
      <c r="M538" s="19"/>
      <c r="N538" s="19"/>
      <c r="O538" s="19"/>
      <c r="P538" s="19"/>
    </row>
    <row r="539" spans="1:16" x14ac:dyDescent="0.25">
      <c r="A539" s="91">
        <v>773</v>
      </c>
      <c r="B539" s="15">
        <v>2007</v>
      </c>
      <c r="C539" s="1" t="s">
        <v>113</v>
      </c>
      <c r="D539" s="1" t="s">
        <v>216</v>
      </c>
      <c r="E539" s="15" t="s">
        <v>217</v>
      </c>
      <c r="F539" s="1" t="s">
        <v>62</v>
      </c>
      <c r="G539" s="16">
        <v>-122</v>
      </c>
      <c r="H539" s="93">
        <f>'Emission Rates Net-by-Count'!$D$5</f>
        <v>1201.8007841674578</v>
      </c>
      <c r="I539" s="16">
        <f t="shared" ref="I539:I570" si="18">(G539*H539)/2000</f>
        <v>-73.309847834214921</v>
      </c>
      <c r="M539" s="19"/>
      <c r="N539" s="19"/>
      <c r="O539" s="19"/>
      <c r="P539" s="19"/>
    </row>
    <row r="540" spans="1:16" x14ac:dyDescent="0.25">
      <c r="A540" s="91">
        <v>774</v>
      </c>
      <c r="B540" s="15">
        <v>2007</v>
      </c>
      <c r="C540" s="1" t="s">
        <v>113</v>
      </c>
      <c r="D540" s="1" t="s">
        <v>216</v>
      </c>
      <c r="E540" s="15" t="s">
        <v>217</v>
      </c>
      <c r="F540" s="1" t="s">
        <v>111</v>
      </c>
      <c r="G540" s="16">
        <v>-413001</v>
      </c>
      <c r="H540" s="93">
        <f>'Emission Rates Net-by-Count'!$D$5</f>
        <v>1201.8007841674578</v>
      </c>
      <c r="I540" s="16">
        <f t="shared" si="18"/>
        <v>-248172.4628309721</v>
      </c>
      <c r="M540" s="19"/>
      <c r="N540" s="19"/>
      <c r="O540" s="19"/>
      <c r="P540" s="19"/>
    </row>
    <row r="541" spans="1:16" x14ac:dyDescent="0.25">
      <c r="A541" s="91">
        <v>775</v>
      </c>
      <c r="B541" s="15">
        <v>2007</v>
      </c>
      <c r="C541" s="1" t="s">
        <v>113</v>
      </c>
      <c r="D541" s="1" t="s">
        <v>216</v>
      </c>
      <c r="E541" s="15" t="s">
        <v>217</v>
      </c>
      <c r="F541" s="1" t="s">
        <v>112</v>
      </c>
      <c r="G541" s="16">
        <v>-483866</v>
      </c>
      <c r="H541" s="93">
        <f>'Emission Rates Net-by-Count'!$D$5</f>
        <v>1201.8007841674578</v>
      </c>
      <c r="I541" s="16">
        <f t="shared" si="18"/>
        <v>-290755.26911598555</v>
      </c>
      <c r="M541" s="19"/>
      <c r="N541" s="19"/>
      <c r="O541" s="19"/>
      <c r="P541" s="19"/>
    </row>
    <row r="542" spans="1:16" x14ac:dyDescent="0.25">
      <c r="A542" s="91">
        <v>776</v>
      </c>
      <c r="B542" s="15">
        <v>2007</v>
      </c>
      <c r="C542" s="1" t="s">
        <v>113</v>
      </c>
      <c r="D542" s="1" t="s">
        <v>216</v>
      </c>
      <c r="E542" s="15" t="s">
        <v>217</v>
      </c>
      <c r="F542" s="1" t="s">
        <v>97</v>
      </c>
      <c r="G542" s="16">
        <v>-28832</v>
      </c>
      <c r="H542" s="93">
        <f>'Emission Rates Net-by-Count'!$D$5</f>
        <v>1201.8007841674578</v>
      </c>
      <c r="I542" s="16">
        <f t="shared" si="18"/>
        <v>-17325.160104558072</v>
      </c>
      <c r="M542" s="19"/>
      <c r="N542" s="19"/>
      <c r="O542" s="19"/>
      <c r="P542" s="19"/>
    </row>
    <row r="543" spans="1:16" x14ac:dyDescent="0.25">
      <c r="A543" s="91">
        <v>777</v>
      </c>
      <c r="B543" s="15">
        <v>2007</v>
      </c>
      <c r="C543" s="1" t="s">
        <v>113</v>
      </c>
      <c r="D543" s="1" t="s">
        <v>216</v>
      </c>
      <c r="E543" s="15" t="s">
        <v>217</v>
      </c>
      <c r="F543" s="1" t="s">
        <v>103</v>
      </c>
      <c r="G543" s="16">
        <v>-30800</v>
      </c>
      <c r="H543" s="93">
        <f>'Emission Rates Net-by-Count'!$D$5</f>
        <v>1201.8007841674578</v>
      </c>
      <c r="I543" s="16">
        <f t="shared" si="18"/>
        <v>-18507.732076178851</v>
      </c>
      <c r="M543" s="19"/>
      <c r="N543" s="19"/>
      <c r="O543" s="19"/>
      <c r="P543" s="19"/>
    </row>
    <row r="544" spans="1:16" x14ac:dyDescent="0.25">
      <c r="A544" s="91">
        <v>778</v>
      </c>
      <c r="B544" s="15">
        <v>2007</v>
      </c>
      <c r="C544" s="1" t="s">
        <v>113</v>
      </c>
      <c r="D544" s="1" t="s">
        <v>216</v>
      </c>
      <c r="E544" s="15" t="s">
        <v>217</v>
      </c>
      <c r="F544" s="1" t="s">
        <v>104</v>
      </c>
      <c r="G544" s="16">
        <v>-552125</v>
      </c>
      <c r="H544" s="93">
        <f>'Emission Rates Net-by-Count'!$D$5</f>
        <v>1201.8007841674578</v>
      </c>
      <c r="I544" s="16">
        <f t="shared" si="18"/>
        <v>-331772.12897922879</v>
      </c>
      <c r="M544" s="19"/>
      <c r="N544" s="19"/>
      <c r="O544" s="19"/>
      <c r="P544" s="19"/>
    </row>
    <row r="545" spans="1:16" x14ac:dyDescent="0.25">
      <c r="A545" s="91">
        <v>834</v>
      </c>
      <c r="B545" s="15">
        <v>2007</v>
      </c>
      <c r="C545" s="1" t="s">
        <v>120</v>
      </c>
      <c r="D545" s="1" t="s">
        <v>216</v>
      </c>
      <c r="E545" s="15" t="s">
        <v>217</v>
      </c>
      <c r="F545" s="1" t="s">
        <v>47</v>
      </c>
      <c r="G545" s="16">
        <v>-24864</v>
      </c>
      <c r="H545" s="93">
        <f>'Emission Rates Net-by-Count'!$D$5</f>
        <v>1201.8007841674578</v>
      </c>
      <c r="I545" s="16">
        <f t="shared" si="18"/>
        <v>-14940.787348769834</v>
      </c>
      <c r="M545" s="19"/>
      <c r="N545" s="19"/>
      <c r="O545" s="19"/>
      <c r="P545" s="19"/>
    </row>
    <row r="546" spans="1:16" x14ac:dyDescent="0.25">
      <c r="A546" s="91">
        <v>835</v>
      </c>
      <c r="B546" s="15">
        <v>2007</v>
      </c>
      <c r="C546" s="1" t="s">
        <v>120</v>
      </c>
      <c r="D546" s="1" t="s">
        <v>216</v>
      </c>
      <c r="E546" s="15" t="s">
        <v>217</v>
      </c>
      <c r="F546" s="1" t="s">
        <v>48</v>
      </c>
      <c r="G546" s="16">
        <v>-123747</v>
      </c>
      <c r="H546" s="93">
        <f>'Emission Rates Net-by-Count'!$D$5</f>
        <v>1201.8007841674578</v>
      </c>
      <c r="I546" s="16">
        <f t="shared" si="18"/>
        <v>-74359.620819185191</v>
      </c>
      <c r="M546" s="19"/>
      <c r="N546" s="19"/>
      <c r="O546" s="19"/>
      <c r="P546" s="19"/>
    </row>
    <row r="547" spans="1:16" x14ac:dyDescent="0.25">
      <c r="A547" s="91">
        <v>836</v>
      </c>
      <c r="B547" s="15">
        <v>2007</v>
      </c>
      <c r="C547" s="1" t="s">
        <v>120</v>
      </c>
      <c r="D547" s="1" t="s">
        <v>216</v>
      </c>
      <c r="E547" s="15" t="s">
        <v>217</v>
      </c>
      <c r="F547" s="1" t="s">
        <v>127</v>
      </c>
      <c r="G547" s="16">
        <v>-78600</v>
      </c>
      <c r="H547" s="93">
        <f>'Emission Rates Net-by-Count'!$D$5</f>
        <v>1201.8007841674578</v>
      </c>
      <c r="I547" s="16">
        <f t="shared" si="18"/>
        <v>-47230.770817781093</v>
      </c>
      <c r="M547" s="19"/>
      <c r="N547" s="19"/>
      <c r="O547" s="19"/>
      <c r="P547" s="19"/>
    </row>
    <row r="548" spans="1:16" x14ac:dyDescent="0.25">
      <c r="A548" s="91">
        <v>837</v>
      </c>
      <c r="B548" s="15">
        <v>2007</v>
      </c>
      <c r="C548" s="1" t="s">
        <v>120</v>
      </c>
      <c r="D548" s="1" t="s">
        <v>216</v>
      </c>
      <c r="E548" s="15" t="s">
        <v>217</v>
      </c>
      <c r="F548" s="1" t="s">
        <v>128</v>
      </c>
      <c r="G548" s="16">
        <v>-63113</v>
      </c>
      <c r="H548" s="93">
        <f>'Emission Rates Net-by-Count'!$D$5</f>
        <v>1201.8007841674578</v>
      </c>
      <c r="I548" s="16">
        <f t="shared" si="18"/>
        <v>-37924.626445580376</v>
      </c>
      <c r="M548" s="19"/>
      <c r="N548" s="19"/>
      <c r="O548" s="19"/>
      <c r="P548" s="19"/>
    </row>
    <row r="549" spans="1:16" x14ac:dyDescent="0.25">
      <c r="A549" s="91">
        <v>838</v>
      </c>
      <c r="B549" s="15">
        <v>2007</v>
      </c>
      <c r="C549" s="1" t="s">
        <v>120</v>
      </c>
      <c r="D549" s="1" t="s">
        <v>216</v>
      </c>
      <c r="E549" s="15" t="s">
        <v>217</v>
      </c>
      <c r="F549" s="1" t="s">
        <v>49</v>
      </c>
      <c r="G549" s="16">
        <v>-5756</v>
      </c>
      <c r="H549" s="93">
        <f>'Emission Rates Net-by-Count'!$D$5</f>
        <v>1201.8007841674578</v>
      </c>
      <c r="I549" s="16">
        <f t="shared" si="18"/>
        <v>-3458.7826568339433</v>
      </c>
      <c r="M549" s="19"/>
      <c r="N549" s="19"/>
      <c r="O549" s="19"/>
      <c r="P549" s="19"/>
    </row>
    <row r="550" spans="1:16" x14ac:dyDescent="0.25">
      <c r="A550" s="91">
        <v>839</v>
      </c>
      <c r="B550" s="15">
        <v>2007</v>
      </c>
      <c r="C550" s="1" t="s">
        <v>120</v>
      </c>
      <c r="D550" s="1" t="s">
        <v>216</v>
      </c>
      <c r="E550" s="15" t="s">
        <v>217</v>
      </c>
      <c r="F550" s="1" t="s">
        <v>50</v>
      </c>
      <c r="G550" s="16">
        <v>-4759</v>
      </c>
      <c r="H550" s="93">
        <f>'Emission Rates Net-by-Count'!$D$5</f>
        <v>1201.8007841674578</v>
      </c>
      <c r="I550" s="16">
        <f t="shared" si="18"/>
        <v>-2859.6849659264658</v>
      </c>
      <c r="M550" s="19"/>
      <c r="N550" s="19"/>
      <c r="O550" s="19"/>
      <c r="P550" s="19"/>
    </row>
    <row r="551" spans="1:16" x14ac:dyDescent="0.25">
      <c r="A551" s="91">
        <v>840</v>
      </c>
      <c r="B551" s="15">
        <v>2007</v>
      </c>
      <c r="C551" s="1" t="s">
        <v>120</v>
      </c>
      <c r="D551" s="1" t="s">
        <v>216</v>
      </c>
      <c r="E551" s="15" t="s">
        <v>217</v>
      </c>
      <c r="F551" s="1" t="s">
        <v>51</v>
      </c>
      <c r="G551" s="16">
        <v>2169507</v>
      </c>
      <c r="H551" s="93">
        <f>'Emission Rates Net-by-Count'!$D$5</f>
        <v>1201.8007841674578</v>
      </c>
      <c r="I551" s="16">
        <f t="shared" si="18"/>
        <v>1303657.6069283944</v>
      </c>
      <c r="M551" s="19"/>
      <c r="N551" s="19"/>
      <c r="O551" s="19"/>
      <c r="P551" s="19"/>
    </row>
    <row r="552" spans="1:16" x14ac:dyDescent="0.25">
      <c r="A552" s="91">
        <v>841</v>
      </c>
      <c r="B552" s="15">
        <v>2007</v>
      </c>
      <c r="C552" s="1" t="s">
        <v>120</v>
      </c>
      <c r="D552" s="1" t="s">
        <v>216</v>
      </c>
      <c r="E552" s="15" t="s">
        <v>217</v>
      </c>
      <c r="F552" s="1" t="s">
        <v>52</v>
      </c>
      <c r="G552" s="16">
        <v>-29896</v>
      </c>
      <c r="H552" s="93">
        <f>'Emission Rates Net-by-Count'!$D$5</f>
        <v>1201.8007841674578</v>
      </c>
      <c r="I552" s="16">
        <f t="shared" si="18"/>
        <v>-17964.51812173516</v>
      </c>
      <c r="M552" s="19"/>
      <c r="N552" s="19"/>
      <c r="O552" s="19"/>
      <c r="P552" s="19"/>
    </row>
    <row r="553" spans="1:16" x14ac:dyDescent="0.25">
      <c r="A553" s="91">
        <v>842</v>
      </c>
      <c r="B553" s="15">
        <v>2007</v>
      </c>
      <c r="C553" s="1" t="s">
        <v>120</v>
      </c>
      <c r="D553" s="1" t="s">
        <v>216</v>
      </c>
      <c r="E553" s="15" t="s">
        <v>217</v>
      </c>
      <c r="F553" s="1" t="s">
        <v>21</v>
      </c>
      <c r="G553" s="16">
        <v>-166938</v>
      </c>
      <c r="H553" s="93">
        <f>'Emission Rates Net-by-Count'!$D$5</f>
        <v>1201.8007841674578</v>
      </c>
      <c r="I553" s="16">
        <f t="shared" si="18"/>
        <v>-100313.10965367353</v>
      </c>
      <c r="M553" s="19"/>
      <c r="N553" s="19"/>
      <c r="O553" s="19"/>
      <c r="P553" s="19"/>
    </row>
    <row r="554" spans="1:16" x14ac:dyDescent="0.25">
      <c r="A554" s="91">
        <v>843</v>
      </c>
      <c r="B554" s="15">
        <v>2007</v>
      </c>
      <c r="C554" s="1" t="s">
        <v>120</v>
      </c>
      <c r="D554" s="1" t="s">
        <v>216</v>
      </c>
      <c r="E554" s="15" t="s">
        <v>217</v>
      </c>
      <c r="F554" s="1" t="s">
        <v>143</v>
      </c>
      <c r="G554" s="16">
        <v>-144</v>
      </c>
      <c r="H554" s="93">
        <f>'Emission Rates Net-by-Count'!$D$5</f>
        <v>1201.8007841674578</v>
      </c>
      <c r="I554" s="16">
        <f t="shared" si="18"/>
        <v>-86.529656460056955</v>
      </c>
      <c r="M554" s="19"/>
      <c r="N554" s="19"/>
      <c r="O554" s="19"/>
      <c r="P554" s="19"/>
    </row>
    <row r="555" spans="1:16" x14ac:dyDescent="0.25">
      <c r="A555" s="91">
        <v>844</v>
      </c>
      <c r="B555" s="15">
        <v>2007</v>
      </c>
      <c r="C555" s="1" t="s">
        <v>120</v>
      </c>
      <c r="D555" s="1" t="s">
        <v>216</v>
      </c>
      <c r="E555" s="15" t="s">
        <v>217</v>
      </c>
      <c r="F555" s="1" t="s">
        <v>53</v>
      </c>
      <c r="G555" s="16">
        <v>-990</v>
      </c>
      <c r="H555" s="93">
        <f>'Emission Rates Net-by-Count'!$D$5</f>
        <v>1201.8007841674578</v>
      </c>
      <c r="I555" s="16">
        <f t="shared" si="18"/>
        <v>-594.89138816289164</v>
      </c>
      <c r="M555" s="19"/>
      <c r="N555" s="19"/>
      <c r="O555" s="19"/>
      <c r="P555" s="19"/>
    </row>
    <row r="556" spans="1:16" x14ac:dyDescent="0.25">
      <c r="A556" s="91">
        <v>845</v>
      </c>
      <c r="B556" s="15">
        <v>2007</v>
      </c>
      <c r="C556" s="1" t="s">
        <v>120</v>
      </c>
      <c r="D556" s="1" t="s">
        <v>216</v>
      </c>
      <c r="E556" s="15" t="s">
        <v>217</v>
      </c>
      <c r="F556" s="1" t="s">
        <v>56</v>
      </c>
      <c r="G556" s="16">
        <v>-103403</v>
      </c>
      <c r="H556" s="93">
        <f>'Emission Rates Net-by-Count'!$D$5</f>
        <v>1201.8007841674578</v>
      </c>
      <c r="I556" s="16">
        <f t="shared" si="18"/>
        <v>-62134.903242633816</v>
      </c>
      <c r="M556" s="19"/>
      <c r="N556" s="19"/>
      <c r="O556" s="19"/>
      <c r="P556" s="19"/>
    </row>
    <row r="557" spans="1:16" x14ac:dyDescent="0.25">
      <c r="A557" s="91">
        <v>846</v>
      </c>
      <c r="B557" s="15">
        <v>2007</v>
      </c>
      <c r="C557" s="1" t="s">
        <v>120</v>
      </c>
      <c r="D557" s="1" t="s">
        <v>216</v>
      </c>
      <c r="E557" s="15" t="s">
        <v>217</v>
      </c>
      <c r="F557" s="1" t="s">
        <v>57</v>
      </c>
      <c r="G557" s="16">
        <v>-1500</v>
      </c>
      <c r="H557" s="93">
        <f>'Emission Rates Net-by-Count'!$D$5</f>
        <v>1201.8007841674578</v>
      </c>
      <c r="I557" s="16">
        <f t="shared" si="18"/>
        <v>-901.35058812559339</v>
      </c>
      <c r="M557" s="19"/>
      <c r="N557" s="19"/>
      <c r="O557" s="19"/>
      <c r="P557" s="19"/>
    </row>
    <row r="558" spans="1:16" x14ac:dyDescent="0.25">
      <c r="A558" s="91">
        <v>847</v>
      </c>
      <c r="B558" s="15">
        <v>2007</v>
      </c>
      <c r="C558" s="1" t="s">
        <v>120</v>
      </c>
      <c r="D558" s="1" t="s">
        <v>216</v>
      </c>
      <c r="E558" s="15" t="s">
        <v>217</v>
      </c>
      <c r="F558" s="1" t="s">
        <v>58</v>
      </c>
      <c r="G558" s="16">
        <v>-177691</v>
      </c>
      <c r="H558" s="93">
        <f>'Emission Rates Net-by-Count'!$D$5</f>
        <v>1201.8007841674578</v>
      </c>
      <c r="I558" s="16">
        <f t="shared" si="18"/>
        <v>-106774.59156974987</v>
      </c>
      <c r="M558" s="19"/>
      <c r="N558" s="19"/>
      <c r="O558" s="19"/>
      <c r="P558" s="19"/>
    </row>
    <row r="559" spans="1:16" x14ac:dyDescent="0.25">
      <c r="A559" s="91">
        <v>848</v>
      </c>
      <c r="B559" s="15">
        <v>2007</v>
      </c>
      <c r="C559" s="1" t="s">
        <v>120</v>
      </c>
      <c r="D559" s="1" t="s">
        <v>216</v>
      </c>
      <c r="E559" s="15" t="s">
        <v>217</v>
      </c>
      <c r="F559" s="1" t="s">
        <v>59</v>
      </c>
      <c r="G559" s="16">
        <v>-8512</v>
      </c>
      <c r="H559" s="93">
        <f>'Emission Rates Net-by-Count'!$D$5</f>
        <v>1201.8007841674578</v>
      </c>
      <c r="I559" s="16">
        <f t="shared" si="18"/>
        <v>-5114.8641374167</v>
      </c>
      <c r="M559" s="19"/>
      <c r="N559" s="19"/>
      <c r="O559" s="19"/>
      <c r="P559" s="19"/>
    </row>
    <row r="560" spans="1:16" x14ac:dyDescent="0.25">
      <c r="A560" s="91">
        <v>849</v>
      </c>
      <c r="B560" s="15">
        <v>2007</v>
      </c>
      <c r="C560" s="1" t="s">
        <v>120</v>
      </c>
      <c r="D560" s="1" t="s">
        <v>216</v>
      </c>
      <c r="E560" s="15" t="s">
        <v>217</v>
      </c>
      <c r="F560" s="1" t="s">
        <v>60</v>
      </c>
      <c r="G560" s="16">
        <v>-27645</v>
      </c>
      <c r="H560" s="93">
        <f>'Emission Rates Net-by-Count'!$D$5</f>
        <v>1201.8007841674578</v>
      </c>
      <c r="I560" s="16">
        <f t="shared" si="18"/>
        <v>-16611.891339154685</v>
      </c>
      <c r="M560" s="19"/>
      <c r="N560" s="19"/>
      <c r="O560" s="19"/>
      <c r="P560" s="19"/>
    </row>
    <row r="561" spans="1:16" x14ac:dyDescent="0.25">
      <c r="A561" s="91">
        <v>850</v>
      </c>
      <c r="B561" s="15">
        <v>2007</v>
      </c>
      <c r="C561" s="1" t="s">
        <v>120</v>
      </c>
      <c r="D561" s="1" t="s">
        <v>216</v>
      </c>
      <c r="E561" s="15" t="s">
        <v>217</v>
      </c>
      <c r="F561" s="1" t="s">
        <v>61</v>
      </c>
      <c r="G561" s="16">
        <v>-35515</v>
      </c>
      <c r="H561" s="93">
        <f>'Emission Rates Net-by-Count'!$D$5</f>
        <v>1201.8007841674578</v>
      </c>
      <c r="I561" s="16">
        <f t="shared" si="18"/>
        <v>-21340.977424853631</v>
      </c>
      <c r="M561" s="19"/>
      <c r="N561" s="19"/>
      <c r="O561" s="19"/>
      <c r="P561" s="19"/>
    </row>
    <row r="562" spans="1:16" x14ac:dyDescent="0.25">
      <c r="A562" s="91">
        <v>851</v>
      </c>
      <c r="B562" s="15">
        <v>2007</v>
      </c>
      <c r="C562" s="1" t="s">
        <v>120</v>
      </c>
      <c r="D562" s="1" t="s">
        <v>216</v>
      </c>
      <c r="E562" s="15" t="s">
        <v>217</v>
      </c>
      <c r="F562" s="1" t="s">
        <v>146</v>
      </c>
      <c r="G562" s="16">
        <v>-46075</v>
      </c>
      <c r="H562" s="93">
        <f>'Emission Rates Net-by-Count'!$D$5</f>
        <v>1201.8007841674578</v>
      </c>
      <c r="I562" s="16">
        <f t="shared" si="18"/>
        <v>-27686.485565257812</v>
      </c>
      <c r="M562" s="19"/>
      <c r="N562" s="19"/>
      <c r="O562" s="19"/>
      <c r="P562" s="19"/>
    </row>
    <row r="563" spans="1:16" x14ac:dyDescent="0.25">
      <c r="A563" s="91">
        <v>852</v>
      </c>
      <c r="B563" s="15">
        <v>2007</v>
      </c>
      <c r="C563" s="1" t="s">
        <v>120</v>
      </c>
      <c r="D563" s="1" t="s">
        <v>216</v>
      </c>
      <c r="E563" s="15" t="s">
        <v>217</v>
      </c>
      <c r="F563" s="1" t="s">
        <v>147</v>
      </c>
      <c r="G563" s="16">
        <v>-32236</v>
      </c>
      <c r="H563" s="93">
        <f>'Emission Rates Net-by-Count'!$D$5</f>
        <v>1201.8007841674578</v>
      </c>
      <c r="I563" s="16">
        <f t="shared" si="18"/>
        <v>-19370.625039211081</v>
      </c>
      <c r="M563" s="19"/>
      <c r="N563" s="19"/>
      <c r="O563" s="19"/>
      <c r="P563" s="19"/>
    </row>
    <row r="564" spans="1:16" x14ac:dyDescent="0.25">
      <c r="A564" s="91">
        <v>853</v>
      </c>
      <c r="B564" s="15">
        <v>2007</v>
      </c>
      <c r="C564" s="1" t="s">
        <v>120</v>
      </c>
      <c r="D564" s="1" t="s">
        <v>216</v>
      </c>
      <c r="E564" s="15" t="s">
        <v>217</v>
      </c>
      <c r="F564" s="1" t="s">
        <v>131</v>
      </c>
      <c r="G564" s="16">
        <v>-5600</v>
      </c>
      <c r="H564" s="93">
        <f>'Emission Rates Net-by-Count'!$D$5</f>
        <v>1201.8007841674578</v>
      </c>
      <c r="I564" s="16">
        <f t="shared" si="18"/>
        <v>-3365.042195668882</v>
      </c>
      <c r="M564" s="19"/>
      <c r="N564" s="19"/>
      <c r="O564" s="19"/>
      <c r="P564" s="19"/>
    </row>
    <row r="565" spans="1:16" x14ac:dyDescent="0.25">
      <c r="A565" s="91">
        <v>854</v>
      </c>
      <c r="B565" s="15">
        <v>2007</v>
      </c>
      <c r="C565" s="1" t="s">
        <v>120</v>
      </c>
      <c r="D565" s="1" t="s">
        <v>216</v>
      </c>
      <c r="E565" s="15" t="s">
        <v>217</v>
      </c>
      <c r="F565" s="1" t="s">
        <v>62</v>
      </c>
      <c r="G565" s="16">
        <v>-220</v>
      </c>
      <c r="H565" s="93">
        <f>'Emission Rates Net-by-Count'!$D$5</f>
        <v>1201.8007841674578</v>
      </c>
      <c r="I565" s="16">
        <f t="shared" si="18"/>
        <v>-132.19808625842035</v>
      </c>
      <c r="M565" s="19"/>
      <c r="N565" s="19"/>
      <c r="O565" s="19"/>
      <c r="P565" s="19"/>
    </row>
    <row r="566" spans="1:16" x14ac:dyDescent="0.25">
      <c r="A566" s="91">
        <v>855</v>
      </c>
      <c r="B566" s="15">
        <v>2007</v>
      </c>
      <c r="C566" s="1" t="s">
        <v>120</v>
      </c>
      <c r="D566" s="1" t="s">
        <v>216</v>
      </c>
      <c r="E566" s="15" t="s">
        <v>217</v>
      </c>
      <c r="F566" s="1" t="s">
        <v>63</v>
      </c>
      <c r="G566" s="16">
        <v>-4053</v>
      </c>
      <c r="H566" s="93">
        <f>'Emission Rates Net-by-Count'!$D$5</f>
        <v>1201.8007841674578</v>
      </c>
      <c r="I566" s="16">
        <f t="shared" si="18"/>
        <v>-2435.4492891153532</v>
      </c>
      <c r="M566" s="19"/>
      <c r="N566" s="19"/>
      <c r="O566" s="19"/>
      <c r="P566" s="19"/>
    </row>
    <row r="567" spans="1:16" x14ac:dyDescent="0.25">
      <c r="A567" s="91">
        <v>857</v>
      </c>
      <c r="B567" s="15">
        <v>2007</v>
      </c>
      <c r="C567" s="1" t="s">
        <v>120</v>
      </c>
      <c r="D567" s="1" t="s">
        <v>216</v>
      </c>
      <c r="E567" s="15" t="s">
        <v>217</v>
      </c>
      <c r="F567" s="1" t="s">
        <v>65</v>
      </c>
      <c r="G567" s="16">
        <v>-20381</v>
      </c>
      <c r="H567" s="93">
        <f>'Emission Rates Net-by-Count'!$D$5</f>
        <v>1201.8007841674578</v>
      </c>
      <c r="I567" s="16">
        <f t="shared" si="18"/>
        <v>-12246.950891058479</v>
      </c>
      <c r="M567" s="19"/>
      <c r="N567" s="19"/>
      <c r="O567" s="19"/>
      <c r="P567" s="19"/>
    </row>
    <row r="568" spans="1:16" x14ac:dyDescent="0.25">
      <c r="A568" s="91">
        <v>858</v>
      </c>
      <c r="B568" s="15">
        <v>2007</v>
      </c>
      <c r="C568" s="1" t="s">
        <v>120</v>
      </c>
      <c r="D568" s="1" t="s">
        <v>216</v>
      </c>
      <c r="E568" s="15" t="s">
        <v>217</v>
      </c>
      <c r="F568" s="1" t="s">
        <v>132</v>
      </c>
      <c r="G568" s="16">
        <v>-82563</v>
      </c>
      <c r="H568" s="93">
        <f>'Emission Rates Net-by-Count'!$D$5</f>
        <v>1201.8007841674578</v>
      </c>
      <c r="I568" s="16">
        <f t="shared" si="18"/>
        <v>-49612.139071608908</v>
      </c>
      <c r="M568" s="19"/>
      <c r="N568" s="19"/>
      <c r="O568" s="19"/>
      <c r="P568" s="19"/>
    </row>
    <row r="569" spans="1:16" x14ac:dyDescent="0.25">
      <c r="A569" s="91">
        <v>859</v>
      </c>
      <c r="B569" s="15">
        <v>2007</v>
      </c>
      <c r="C569" s="1" t="s">
        <v>120</v>
      </c>
      <c r="D569" s="1" t="s">
        <v>216</v>
      </c>
      <c r="E569" s="15" t="s">
        <v>217</v>
      </c>
      <c r="F569" s="1" t="s">
        <v>66</v>
      </c>
      <c r="G569" s="16">
        <v>-1984</v>
      </c>
      <c r="H569" s="93">
        <f>'Emission Rates Net-by-Count'!$D$5</f>
        <v>1201.8007841674578</v>
      </c>
      <c r="I569" s="16">
        <f t="shared" si="18"/>
        <v>-1192.1863778941181</v>
      </c>
      <c r="M569" s="19"/>
      <c r="N569" s="19"/>
      <c r="O569" s="19"/>
      <c r="P569" s="19"/>
    </row>
    <row r="570" spans="1:16" x14ac:dyDescent="0.25">
      <c r="A570" s="91">
        <v>860</v>
      </c>
      <c r="B570" s="15">
        <v>2007</v>
      </c>
      <c r="C570" s="1" t="s">
        <v>120</v>
      </c>
      <c r="D570" s="1" t="s">
        <v>216</v>
      </c>
      <c r="E570" s="15" t="s">
        <v>217</v>
      </c>
      <c r="F570" s="1" t="s">
        <v>67</v>
      </c>
      <c r="G570" s="16">
        <v>-10136</v>
      </c>
      <c r="H570" s="93">
        <f>'Emission Rates Net-by-Count'!$D$5</f>
        <v>1201.8007841674578</v>
      </c>
      <c r="I570" s="16">
        <f t="shared" si="18"/>
        <v>-6090.7263741606766</v>
      </c>
      <c r="M570" s="19"/>
      <c r="N570" s="19"/>
      <c r="O570" s="19"/>
      <c r="P570" s="19"/>
    </row>
    <row r="571" spans="1:16" x14ac:dyDescent="0.25">
      <c r="A571" s="91">
        <v>861</v>
      </c>
      <c r="B571" s="15">
        <v>2007</v>
      </c>
      <c r="C571" s="1" t="s">
        <v>120</v>
      </c>
      <c r="D571" s="1" t="s">
        <v>216</v>
      </c>
      <c r="E571" s="15" t="s">
        <v>217</v>
      </c>
      <c r="F571" s="1" t="s">
        <v>68</v>
      </c>
      <c r="G571" s="16">
        <v>-4011</v>
      </c>
      <c r="H571" s="93">
        <f>'Emission Rates Net-by-Count'!$D$5</f>
        <v>1201.8007841674578</v>
      </c>
      <c r="I571" s="16">
        <f t="shared" ref="I571:I602" si="19">(G571*H571)/2000</f>
        <v>-2410.2114726478362</v>
      </c>
      <c r="M571" s="19"/>
      <c r="N571" s="19"/>
      <c r="O571" s="19"/>
      <c r="P571" s="19"/>
    </row>
    <row r="572" spans="1:16" x14ac:dyDescent="0.25">
      <c r="A572" s="91">
        <v>862</v>
      </c>
      <c r="B572" s="15">
        <v>2007</v>
      </c>
      <c r="C572" s="1" t="s">
        <v>120</v>
      </c>
      <c r="D572" s="1" t="s">
        <v>216</v>
      </c>
      <c r="E572" s="15" t="s">
        <v>217</v>
      </c>
      <c r="F572" s="1" t="s">
        <v>148</v>
      </c>
      <c r="G572" s="16">
        <v>-50</v>
      </c>
      <c r="H572" s="93">
        <f>'Emission Rates Net-by-Count'!$D$5</f>
        <v>1201.8007841674578</v>
      </c>
      <c r="I572" s="16">
        <f t="shared" si="19"/>
        <v>-30.045019604186443</v>
      </c>
      <c r="M572" s="19"/>
      <c r="N572" s="19"/>
      <c r="O572" s="19"/>
      <c r="P572" s="19"/>
    </row>
    <row r="573" spans="1:16" x14ac:dyDescent="0.25">
      <c r="A573" s="91">
        <v>863</v>
      </c>
      <c r="B573" s="15">
        <v>2007</v>
      </c>
      <c r="C573" s="1" t="s">
        <v>120</v>
      </c>
      <c r="D573" s="1" t="s">
        <v>216</v>
      </c>
      <c r="E573" s="15" t="s">
        <v>217</v>
      </c>
      <c r="F573" s="1" t="s">
        <v>121</v>
      </c>
      <c r="G573" s="16">
        <v>-4843</v>
      </c>
      <c r="H573" s="93">
        <f>'Emission Rates Net-by-Count'!$D$5</f>
        <v>1201.8007841674578</v>
      </c>
      <c r="I573" s="16">
        <f t="shared" si="19"/>
        <v>-2910.1605988614992</v>
      </c>
      <c r="M573" s="19"/>
      <c r="N573" s="19"/>
      <c r="O573" s="19"/>
      <c r="P573" s="19"/>
    </row>
    <row r="574" spans="1:16" x14ac:dyDescent="0.25">
      <c r="A574" s="91">
        <v>864</v>
      </c>
      <c r="B574" s="15">
        <v>2007</v>
      </c>
      <c r="C574" s="1" t="s">
        <v>120</v>
      </c>
      <c r="D574" s="1" t="s">
        <v>216</v>
      </c>
      <c r="E574" s="15" t="s">
        <v>217</v>
      </c>
      <c r="F574" s="1" t="s">
        <v>69</v>
      </c>
      <c r="G574" s="16">
        <v>-168650</v>
      </c>
      <c r="H574" s="93">
        <f>'Emission Rates Net-by-Count'!$D$5</f>
        <v>1201.8007841674578</v>
      </c>
      <c r="I574" s="16">
        <f t="shared" si="19"/>
        <v>-101341.85112492087</v>
      </c>
      <c r="M574" s="19"/>
      <c r="N574" s="19"/>
      <c r="O574" s="19"/>
      <c r="P574" s="19"/>
    </row>
    <row r="575" spans="1:16" x14ac:dyDescent="0.25">
      <c r="A575" s="91">
        <v>866</v>
      </c>
      <c r="B575" s="15">
        <v>2007</v>
      </c>
      <c r="C575" s="1" t="s">
        <v>120</v>
      </c>
      <c r="D575" s="1" t="s">
        <v>216</v>
      </c>
      <c r="E575" s="15" t="s">
        <v>217</v>
      </c>
      <c r="F575" s="1" t="s">
        <v>71</v>
      </c>
      <c r="G575" s="16">
        <v>-47675</v>
      </c>
      <c r="H575" s="93">
        <f>'Emission Rates Net-by-Count'!$D$5</f>
        <v>1201.8007841674578</v>
      </c>
      <c r="I575" s="16">
        <f t="shared" si="19"/>
        <v>-28647.926192591774</v>
      </c>
      <c r="M575" s="19"/>
      <c r="N575" s="19"/>
      <c r="O575" s="19"/>
      <c r="P575" s="19"/>
    </row>
    <row r="576" spans="1:16" x14ac:dyDescent="0.25">
      <c r="A576" s="91">
        <v>867</v>
      </c>
      <c r="B576" s="15">
        <v>2007</v>
      </c>
      <c r="C576" s="1" t="s">
        <v>120</v>
      </c>
      <c r="D576" s="1" t="s">
        <v>216</v>
      </c>
      <c r="E576" s="15" t="s">
        <v>217</v>
      </c>
      <c r="F576" s="1" t="s">
        <v>72</v>
      </c>
      <c r="G576" s="16">
        <v>-35775</v>
      </c>
      <c r="H576" s="93">
        <f>'Emission Rates Net-by-Count'!$D$5</f>
        <v>1201.8007841674578</v>
      </c>
      <c r="I576" s="16">
        <f t="shared" si="19"/>
        <v>-21497.211526795403</v>
      </c>
      <c r="M576" s="19"/>
      <c r="N576" s="19"/>
      <c r="O576" s="19"/>
      <c r="P576" s="19"/>
    </row>
    <row r="577" spans="1:16" x14ac:dyDescent="0.25">
      <c r="A577" s="91">
        <v>868</v>
      </c>
      <c r="B577" s="15">
        <v>2007</v>
      </c>
      <c r="C577" s="1" t="s">
        <v>120</v>
      </c>
      <c r="D577" s="1" t="s">
        <v>216</v>
      </c>
      <c r="E577" s="15" t="s">
        <v>217</v>
      </c>
      <c r="F577" s="1" t="s">
        <v>133</v>
      </c>
      <c r="G577" s="16">
        <v>-30400</v>
      </c>
      <c r="H577" s="93">
        <f>'Emission Rates Net-by-Count'!$D$5</f>
        <v>1201.8007841674578</v>
      </c>
      <c r="I577" s="16">
        <f t="shared" si="19"/>
        <v>-18267.371919345358</v>
      </c>
      <c r="M577" s="19"/>
      <c r="N577" s="19"/>
      <c r="O577" s="19"/>
      <c r="P577" s="19"/>
    </row>
    <row r="578" spans="1:16" x14ac:dyDescent="0.25">
      <c r="A578" s="91">
        <v>869</v>
      </c>
      <c r="B578" s="15">
        <v>2007</v>
      </c>
      <c r="C578" s="1" t="s">
        <v>120</v>
      </c>
      <c r="D578" s="1" t="s">
        <v>216</v>
      </c>
      <c r="E578" s="15" t="s">
        <v>217</v>
      </c>
      <c r="F578" s="1" t="s">
        <v>73</v>
      </c>
      <c r="G578" s="16">
        <v>-1172</v>
      </c>
      <c r="H578" s="93">
        <f>'Emission Rates Net-by-Count'!$D$5</f>
        <v>1201.8007841674578</v>
      </c>
      <c r="I578" s="16">
        <f t="shared" si="19"/>
        <v>-704.25525952213025</v>
      </c>
      <c r="M578" s="19"/>
      <c r="N578" s="19"/>
      <c r="O578" s="19"/>
      <c r="P578" s="19"/>
    </row>
    <row r="579" spans="1:16" x14ac:dyDescent="0.25">
      <c r="A579" s="91">
        <v>870</v>
      </c>
      <c r="B579" s="15">
        <v>2007</v>
      </c>
      <c r="C579" s="1" t="s">
        <v>120</v>
      </c>
      <c r="D579" s="1" t="s">
        <v>216</v>
      </c>
      <c r="E579" s="15" t="s">
        <v>217</v>
      </c>
      <c r="F579" s="1" t="s">
        <v>135</v>
      </c>
      <c r="G579" s="16">
        <v>-42162</v>
      </c>
      <c r="H579" s="93">
        <f>'Emission Rates Net-by-Count'!$D$5</f>
        <v>1201.8007841674578</v>
      </c>
      <c r="I579" s="16">
        <f t="shared" si="19"/>
        <v>-25335.162331034175</v>
      </c>
      <c r="M579" s="19"/>
      <c r="N579" s="19"/>
      <c r="O579" s="19"/>
      <c r="P579" s="19"/>
    </row>
    <row r="580" spans="1:16" x14ac:dyDescent="0.25">
      <c r="A580" s="91">
        <v>871</v>
      </c>
      <c r="B580" s="15">
        <v>2007</v>
      </c>
      <c r="C580" s="1" t="s">
        <v>120</v>
      </c>
      <c r="D580" s="1" t="s">
        <v>216</v>
      </c>
      <c r="E580" s="15" t="s">
        <v>217</v>
      </c>
      <c r="F580" s="1" t="s">
        <v>74</v>
      </c>
      <c r="G580" s="16">
        <v>-4310</v>
      </c>
      <c r="H580" s="93">
        <f>'Emission Rates Net-by-Count'!$D$5</f>
        <v>1201.8007841674578</v>
      </c>
      <c r="I580" s="16">
        <f t="shared" si="19"/>
        <v>-2589.8806898808716</v>
      </c>
      <c r="M580" s="19"/>
      <c r="N580" s="19"/>
      <c r="O580" s="19"/>
      <c r="P580" s="19"/>
    </row>
    <row r="581" spans="1:16" x14ac:dyDescent="0.25">
      <c r="A581" s="91">
        <v>872</v>
      </c>
      <c r="B581" s="15">
        <v>2007</v>
      </c>
      <c r="C581" s="1" t="s">
        <v>120</v>
      </c>
      <c r="D581" s="1" t="s">
        <v>216</v>
      </c>
      <c r="E581" s="15" t="s">
        <v>217</v>
      </c>
      <c r="F581" s="1" t="s">
        <v>76</v>
      </c>
      <c r="G581" s="16">
        <v>-20775</v>
      </c>
      <c r="H581" s="93">
        <f>'Emission Rates Net-by-Count'!$D$5</f>
        <v>1201.8007841674578</v>
      </c>
      <c r="I581" s="16">
        <f t="shared" si="19"/>
        <v>-12483.705645539469</v>
      </c>
      <c r="M581" s="19"/>
      <c r="N581" s="19"/>
      <c r="O581" s="19"/>
      <c r="P581" s="19"/>
    </row>
    <row r="582" spans="1:16" x14ac:dyDescent="0.25">
      <c r="A582" s="91">
        <v>873</v>
      </c>
      <c r="B582" s="15">
        <v>2007</v>
      </c>
      <c r="C582" s="1" t="s">
        <v>120</v>
      </c>
      <c r="D582" s="1" t="s">
        <v>216</v>
      </c>
      <c r="E582" s="15" t="s">
        <v>217</v>
      </c>
      <c r="F582" s="1" t="s">
        <v>77</v>
      </c>
      <c r="G582" s="16">
        <v>-5467</v>
      </c>
      <c r="H582" s="93">
        <f>'Emission Rates Net-by-Count'!$D$5</f>
        <v>1201.8007841674578</v>
      </c>
      <c r="I582" s="16">
        <f t="shared" si="19"/>
        <v>-3285.1224435217459</v>
      </c>
      <c r="M582" s="19"/>
      <c r="N582" s="19"/>
      <c r="O582" s="19"/>
      <c r="P582" s="19"/>
    </row>
    <row r="583" spans="1:16" x14ac:dyDescent="0.25">
      <c r="A583" s="91">
        <v>874</v>
      </c>
      <c r="B583" s="15">
        <v>2007</v>
      </c>
      <c r="C583" s="1" t="s">
        <v>120</v>
      </c>
      <c r="D583" s="1" t="s">
        <v>216</v>
      </c>
      <c r="E583" s="15" t="s">
        <v>217</v>
      </c>
      <c r="F583" s="1" t="s">
        <v>78</v>
      </c>
      <c r="G583" s="16">
        <v>-308680</v>
      </c>
      <c r="H583" s="93">
        <f>'Emission Rates Net-by-Count'!$D$5</f>
        <v>1201.8007841674578</v>
      </c>
      <c r="I583" s="16">
        <f t="shared" si="19"/>
        <v>-185485.93302840542</v>
      </c>
      <c r="M583" s="19"/>
      <c r="N583" s="19"/>
      <c r="O583" s="19"/>
      <c r="P583" s="19"/>
    </row>
    <row r="584" spans="1:16" x14ac:dyDescent="0.25">
      <c r="A584" s="91">
        <v>875</v>
      </c>
      <c r="B584" s="15">
        <v>2007</v>
      </c>
      <c r="C584" s="1" t="s">
        <v>120</v>
      </c>
      <c r="D584" s="1" t="s">
        <v>216</v>
      </c>
      <c r="E584" s="15" t="s">
        <v>217</v>
      </c>
      <c r="F584" s="1" t="s">
        <v>79</v>
      </c>
      <c r="G584" s="16">
        <v>-789</v>
      </c>
      <c r="H584" s="93">
        <f>'Emission Rates Net-by-Count'!$D$5</f>
        <v>1201.8007841674578</v>
      </c>
      <c r="I584" s="16">
        <f t="shared" si="19"/>
        <v>-474.11040935406209</v>
      </c>
      <c r="M584" s="19"/>
      <c r="N584" s="19"/>
      <c r="O584" s="19"/>
      <c r="P584" s="19"/>
    </row>
    <row r="585" spans="1:16" x14ac:dyDescent="0.25">
      <c r="A585" s="91">
        <v>876</v>
      </c>
      <c r="B585" s="15">
        <v>2007</v>
      </c>
      <c r="C585" s="1" t="s">
        <v>120</v>
      </c>
      <c r="D585" s="1" t="s">
        <v>216</v>
      </c>
      <c r="E585" s="15" t="s">
        <v>217</v>
      </c>
      <c r="F585" s="1" t="s">
        <v>80</v>
      </c>
      <c r="G585" s="16">
        <v>-5000</v>
      </c>
      <c r="H585" s="93">
        <f>'Emission Rates Net-by-Count'!$D$5</f>
        <v>1201.8007841674578</v>
      </c>
      <c r="I585" s="16">
        <f t="shared" si="19"/>
        <v>-3004.5019604186446</v>
      </c>
      <c r="M585" s="19"/>
      <c r="N585" s="19"/>
      <c r="O585" s="19"/>
      <c r="P585" s="19"/>
    </row>
    <row r="586" spans="1:16" x14ac:dyDescent="0.25">
      <c r="A586" s="91">
        <v>877</v>
      </c>
      <c r="B586" s="15">
        <v>2007</v>
      </c>
      <c r="C586" s="1" t="s">
        <v>120</v>
      </c>
      <c r="D586" s="1" t="s">
        <v>216</v>
      </c>
      <c r="E586" s="15" t="s">
        <v>217</v>
      </c>
      <c r="F586" s="1" t="s">
        <v>81</v>
      </c>
      <c r="G586" s="16">
        <v>-12286</v>
      </c>
      <c r="H586" s="93">
        <f>'Emission Rates Net-by-Count'!$D$5</f>
        <v>1201.8007841674578</v>
      </c>
      <c r="I586" s="16">
        <f t="shared" si="19"/>
        <v>-7382.6622171406934</v>
      </c>
      <c r="M586" s="19"/>
      <c r="N586" s="19"/>
      <c r="O586" s="19"/>
      <c r="P586" s="19"/>
    </row>
    <row r="587" spans="1:16" x14ac:dyDescent="0.25">
      <c r="A587" s="91">
        <v>878</v>
      </c>
      <c r="B587" s="15">
        <v>2007</v>
      </c>
      <c r="C587" s="1" t="s">
        <v>120</v>
      </c>
      <c r="D587" s="1" t="s">
        <v>216</v>
      </c>
      <c r="E587" s="15" t="s">
        <v>217</v>
      </c>
      <c r="F587" s="1" t="s">
        <v>82</v>
      </c>
      <c r="G587" s="16">
        <v>-19257</v>
      </c>
      <c r="H587" s="93">
        <f>'Emission Rates Net-by-Count'!$D$5</f>
        <v>1201.8007841674578</v>
      </c>
      <c r="I587" s="16">
        <f t="shared" si="19"/>
        <v>-11571.538850356366</v>
      </c>
      <c r="M587" s="19"/>
      <c r="N587" s="19"/>
      <c r="O587" s="19"/>
      <c r="P587" s="19"/>
    </row>
    <row r="588" spans="1:16" x14ac:dyDescent="0.25">
      <c r="A588" s="91">
        <v>879</v>
      </c>
      <c r="B588" s="15">
        <v>2007</v>
      </c>
      <c r="C588" s="1" t="s">
        <v>120</v>
      </c>
      <c r="D588" s="1" t="s">
        <v>216</v>
      </c>
      <c r="E588" s="15" t="s">
        <v>217</v>
      </c>
      <c r="F588" s="1" t="s">
        <v>137</v>
      </c>
      <c r="G588" s="16">
        <v>-1275</v>
      </c>
      <c r="H588" s="93">
        <f>'Emission Rates Net-by-Count'!$D$5</f>
        <v>1201.8007841674578</v>
      </c>
      <c r="I588" s="16">
        <f t="shared" si="19"/>
        <v>-766.14799990675431</v>
      </c>
      <c r="M588" s="19"/>
      <c r="N588" s="19"/>
      <c r="O588" s="19"/>
      <c r="P588" s="19"/>
    </row>
    <row r="589" spans="1:16" x14ac:dyDescent="0.25">
      <c r="A589" s="91">
        <v>880</v>
      </c>
      <c r="B589" s="15">
        <v>2007</v>
      </c>
      <c r="C589" s="1" t="s">
        <v>120</v>
      </c>
      <c r="D589" s="1" t="s">
        <v>216</v>
      </c>
      <c r="E589" s="15" t="s">
        <v>217</v>
      </c>
      <c r="F589" s="1" t="s">
        <v>84</v>
      </c>
      <c r="G589" s="16">
        <v>-15299</v>
      </c>
      <c r="H589" s="93">
        <f>'Emission Rates Net-by-Count'!$D$5</f>
        <v>1201.8007841674578</v>
      </c>
      <c r="I589" s="16">
        <f t="shared" si="19"/>
        <v>-9193.1750984889677</v>
      </c>
      <c r="M589" s="19"/>
      <c r="N589" s="19"/>
      <c r="O589" s="19"/>
      <c r="P589" s="19"/>
    </row>
    <row r="590" spans="1:16" x14ac:dyDescent="0.25">
      <c r="A590" s="91">
        <v>881</v>
      </c>
      <c r="B590" s="15">
        <v>2007</v>
      </c>
      <c r="C590" s="1" t="s">
        <v>120</v>
      </c>
      <c r="D590" s="1" t="s">
        <v>216</v>
      </c>
      <c r="E590" s="15" t="s">
        <v>217</v>
      </c>
      <c r="F590" s="1" t="s">
        <v>149</v>
      </c>
      <c r="G590" s="16">
        <v>-5250</v>
      </c>
      <c r="H590" s="93">
        <f>'Emission Rates Net-by-Count'!$D$5</f>
        <v>1201.8007841674578</v>
      </c>
      <c r="I590" s="16">
        <f t="shared" si="19"/>
        <v>-3154.7270584395765</v>
      </c>
      <c r="M590" s="19"/>
      <c r="N590" s="19"/>
      <c r="O590" s="19"/>
      <c r="P590" s="19"/>
    </row>
    <row r="591" spans="1:16" x14ac:dyDescent="0.25">
      <c r="A591" s="91">
        <v>882</v>
      </c>
      <c r="B591" s="15">
        <v>2007</v>
      </c>
      <c r="C591" s="1" t="s">
        <v>120</v>
      </c>
      <c r="D591" s="1" t="s">
        <v>216</v>
      </c>
      <c r="E591" s="15" t="s">
        <v>217</v>
      </c>
      <c r="F591" s="1" t="s">
        <v>85</v>
      </c>
      <c r="G591" s="16">
        <v>-137660</v>
      </c>
      <c r="H591" s="93">
        <f>'Emission Rates Net-by-Count'!$D$5</f>
        <v>1201.8007841674578</v>
      </c>
      <c r="I591" s="16">
        <f t="shared" si="19"/>
        <v>-82719.947974246112</v>
      </c>
      <c r="M591" s="19"/>
      <c r="N591" s="19"/>
      <c r="O591" s="19"/>
      <c r="P591" s="19"/>
    </row>
    <row r="592" spans="1:16" x14ac:dyDescent="0.25">
      <c r="A592" s="91">
        <v>883</v>
      </c>
      <c r="B592" s="15">
        <v>2007</v>
      </c>
      <c r="C592" s="1" t="s">
        <v>120</v>
      </c>
      <c r="D592" s="1" t="s">
        <v>216</v>
      </c>
      <c r="E592" s="15" t="s">
        <v>217</v>
      </c>
      <c r="F592" s="1" t="s">
        <v>138</v>
      </c>
      <c r="G592" s="16">
        <v>-2250</v>
      </c>
      <c r="H592" s="93">
        <f>'Emission Rates Net-by-Count'!$D$5</f>
        <v>1201.8007841674578</v>
      </c>
      <c r="I592" s="16">
        <f t="shared" si="19"/>
        <v>-1352.0258821883899</v>
      </c>
      <c r="M592" s="19"/>
      <c r="N592" s="19"/>
      <c r="O592" s="19"/>
      <c r="P592" s="19"/>
    </row>
    <row r="593" spans="1:16" x14ac:dyDescent="0.25">
      <c r="A593" s="91">
        <v>885</v>
      </c>
      <c r="B593" s="15">
        <v>2007</v>
      </c>
      <c r="C593" s="1" t="s">
        <v>120</v>
      </c>
      <c r="D593" s="1" t="s">
        <v>216</v>
      </c>
      <c r="E593" s="15" t="s">
        <v>217</v>
      </c>
      <c r="F593" s="1" t="s">
        <v>150</v>
      </c>
      <c r="G593" s="16">
        <v>-1034</v>
      </c>
      <c r="H593" s="93">
        <f>'Emission Rates Net-by-Count'!$D$5</f>
        <v>1201.8007841674578</v>
      </c>
      <c r="I593" s="16">
        <f t="shared" si="19"/>
        <v>-621.33100541457566</v>
      </c>
      <c r="M593" s="19"/>
      <c r="N593" s="19"/>
      <c r="O593" s="19"/>
      <c r="P593" s="19"/>
    </row>
    <row r="594" spans="1:16" x14ac:dyDescent="0.25">
      <c r="A594" s="91">
        <v>886</v>
      </c>
      <c r="B594" s="15">
        <v>2007</v>
      </c>
      <c r="C594" s="1" t="s">
        <v>120</v>
      </c>
      <c r="D594" s="1" t="s">
        <v>216</v>
      </c>
      <c r="E594" s="15" t="s">
        <v>217</v>
      </c>
      <c r="F594" s="1" t="s">
        <v>87</v>
      </c>
      <c r="G594" s="16">
        <v>-98543</v>
      </c>
      <c r="H594" s="93">
        <f>'Emission Rates Net-by-Count'!$D$5</f>
        <v>1201.8007841674578</v>
      </c>
      <c r="I594" s="16">
        <f t="shared" si="19"/>
        <v>-59214.527337106898</v>
      </c>
      <c r="M594" s="19"/>
      <c r="N594" s="19"/>
      <c r="O594" s="19"/>
      <c r="P594" s="19"/>
    </row>
    <row r="595" spans="1:16" x14ac:dyDescent="0.25">
      <c r="A595" s="91">
        <v>887</v>
      </c>
      <c r="B595" s="15">
        <v>2007</v>
      </c>
      <c r="C595" s="1" t="s">
        <v>120</v>
      </c>
      <c r="D595" s="1" t="s">
        <v>216</v>
      </c>
      <c r="E595" s="15" t="s">
        <v>217</v>
      </c>
      <c r="F595" s="1" t="s">
        <v>88</v>
      </c>
      <c r="G595" s="16">
        <v>-337035</v>
      </c>
      <c r="H595" s="93">
        <f>'Emission Rates Net-by-Count'!$D$5</f>
        <v>1201.8007841674578</v>
      </c>
      <c r="I595" s="16">
        <f t="shared" si="19"/>
        <v>-202524.46364593957</v>
      </c>
      <c r="M595" s="19"/>
      <c r="N595" s="19"/>
      <c r="O595" s="19"/>
      <c r="P595" s="19"/>
    </row>
    <row r="596" spans="1:16" x14ac:dyDescent="0.25">
      <c r="A596" s="91">
        <v>888</v>
      </c>
      <c r="B596" s="15">
        <v>2007</v>
      </c>
      <c r="C596" s="1" t="s">
        <v>120</v>
      </c>
      <c r="D596" s="1" t="s">
        <v>216</v>
      </c>
      <c r="E596" s="15" t="s">
        <v>217</v>
      </c>
      <c r="F596" s="1" t="s">
        <v>89</v>
      </c>
      <c r="G596" s="16">
        <v>-29839</v>
      </c>
      <c r="H596" s="93">
        <f>'Emission Rates Net-by-Count'!$D$5</f>
        <v>1201.8007841674578</v>
      </c>
      <c r="I596" s="16">
        <f t="shared" si="19"/>
        <v>-17930.266799386387</v>
      </c>
      <c r="M596" s="19"/>
      <c r="N596" s="19"/>
      <c r="O596" s="19"/>
      <c r="P596" s="19"/>
    </row>
    <row r="597" spans="1:16" x14ac:dyDescent="0.25">
      <c r="A597" s="91">
        <v>889</v>
      </c>
      <c r="B597" s="15">
        <v>2007</v>
      </c>
      <c r="C597" s="1" t="s">
        <v>120</v>
      </c>
      <c r="D597" s="1" t="s">
        <v>216</v>
      </c>
      <c r="E597" s="15" t="s">
        <v>217</v>
      </c>
      <c r="F597" s="1" t="s">
        <v>90</v>
      </c>
      <c r="G597" s="16">
        <v>-1668</v>
      </c>
      <c r="H597" s="93">
        <f>'Emission Rates Net-by-Count'!$D$5</f>
        <v>1201.8007841674578</v>
      </c>
      <c r="I597" s="16">
        <f t="shared" si="19"/>
        <v>-1002.3018539956597</v>
      </c>
      <c r="M597" s="19"/>
      <c r="N597" s="19"/>
      <c r="O597" s="19"/>
      <c r="P597" s="19"/>
    </row>
    <row r="598" spans="1:16" x14ac:dyDescent="0.25">
      <c r="A598" s="91">
        <v>890</v>
      </c>
      <c r="B598" s="15">
        <v>2007</v>
      </c>
      <c r="C598" s="1" t="s">
        <v>120</v>
      </c>
      <c r="D598" s="1" t="s">
        <v>216</v>
      </c>
      <c r="E598" s="15" t="s">
        <v>217</v>
      </c>
      <c r="F598" s="1" t="s">
        <v>91</v>
      </c>
      <c r="G598" s="16">
        <v>-174730</v>
      </c>
      <c r="H598" s="93">
        <f>'Emission Rates Net-by-Count'!$D$5</f>
        <v>1201.8007841674578</v>
      </c>
      <c r="I598" s="16">
        <f t="shared" si="19"/>
        <v>-104995.32550878995</v>
      </c>
      <c r="M598" s="19"/>
      <c r="N598" s="19"/>
      <c r="O598" s="19"/>
      <c r="P598" s="19"/>
    </row>
    <row r="599" spans="1:16" x14ac:dyDescent="0.25">
      <c r="A599" s="91">
        <v>891</v>
      </c>
      <c r="B599" s="15">
        <v>2007</v>
      </c>
      <c r="C599" s="1" t="s">
        <v>120</v>
      </c>
      <c r="D599" s="1" t="s">
        <v>216</v>
      </c>
      <c r="E599" s="15" t="s">
        <v>217</v>
      </c>
      <c r="F599" s="1" t="s">
        <v>92</v>
      </c>
      <c r="G599" s="16">
        <v>-702</v>
      </c>
      <c r="H599" s="93">
        <f>'Emission Rates Net-by-Count'!$D$5</f>
        <v>1201.8007841674578</v>
      </c>
      <c r="I599" s="16">
        <f t="shared" si="19"/>
        <v>-421.83207524277771</v>
      </c>
      <c r="M599" s="19"/>
      <c r="N599" s="19"/>
      <c r="O599" s="19"/>
      <c r="P599" s="19"/>
    </row>
    <row r="600" spans="1:16" x14ac:dyDescent="0.25">
      <c r="A600" s="91">
        <v>892</v>
      </c>
      <c r="B600" s="15">
        <v>2007</v>
      </c>
      <c r="C600" s="1" t="s">
        <v>120</v>
      </c>
      <c r="D600" s="1" t="s">
        <v>216</v>
      </c>
      <c r="E600" s="15" t="s">
        <v>217</v>
      </c>
      <c r="F600" s="1" t="s">
        <v>93</v>
      </c>
      <c r="G600" s="16">
        <v>-2980</v>
      </c>
      <c r="H600" s="93">
        <f>'Emission Rates Net-by-Count'!$D$5</f>
        <v>1201.8007841674578</v>
      </c>
      <c r="I600" s="16">
        <f t="shared" si="19"/>
        <v>-1790.6831684095121</v>
      </c>
      <c r="M600" s="19"/>
      <c r="N600" s="19"/>
      <c r="O600" s="19"/>
      <c r="P600" s="19"/>
    </row>
    <row r="601" spans="1:16" x14ac:dyDescent="0.25">
      <c r="A601" s="91">
        <v>893</v>
      </c>
      <c r="B601" s="15">
        <v>2007</v>
      </c>
      <c r="C601" s="1" t="s">
        <v>120</v>
      </c>
      <c r="D601" s="1" t="s">
        <v>216</v>
      </c>
      <c r="E601" s="15" t="s">
        <v>217</v>
      </c>
      <c r="F601" s="1" t="s">
        <v>94</v>
      </c>
      <c r="G601" s="16">
        <v>-1200</v>
      </c>
      <c r="H601" s="93">
        <f>'Emission Rates Net-by-Count'!$D$5</f>
        <v>1201.8007841674578</v>
      </c>
      <c r="I601" s="16">
        <f t="shared" si="19"/>
        <v>-721.08047050047469</v>
      </c>
      <c r="M601" s="19"/>
      <c r="N601" s="19"/>
      <c r="O601" s="19"/>
      <c r="P601" s="19"/>
    </row>
    <row r="602" spans="1:16" x14ac:dyDescent="0.25">
      <c r="A602" s="91">
        <v>894</v>
      </c>
      <c r="B602" s="15">
        <v>2007</v>
      </c>
      <c r="C602" s="1" t="s">
        <v>120</v>
      </c>
      <c r="D602" s="1" t="s">
        <v>216</v>
      </c>
      <c r="E602" s="15" t="s">
        <v>217</v>
      </c>
      <c r="F602" s="1" t="s">
        <v>95</v>
      </c>
      <c r="G602" s="16">
        <v>-45037</v>
      </c>
      <c r="H602" s="93">
        <f>'Emission Rates Net-by-Count'!$D$5</f>
        <v>1201.8007841674578</v>
      </c>
      <c r="I602" s="16">
        <f t="shared" si="19"/>
        <v>-27062.750958274897</v>
      </c>
      <c r="M602" s="19"/>
      <c r="N602" s="19"/>
      <c r="O602" s="19"/>
      <c r="P602" s="19"/>
    </row>
    <row r="603" spans="1:16" x14ac:dyDescent="0.25">
      <c r="A603" s="91">
        <v>895</v>
      </c>
      <c r="B603" s="15">
        <v>2007</v>
      </c>
      <c r="C603" s="1" t="s">
        <v>120</v>
      </c>
      <c r="D603" s="1" t="s">
        <v>216</v>
      </c>
      <c r="E603" s="15" t="s">
        <v>217</v>
      </c>
      <c r="F603" s="1" t="s">
        <v>96</v>
      </c>
      <c r="G603" s="16">
        <v>-137302</v>
      </c>
      <c r="H603" s="93">
        <f>'Emission Rates Net-by-Count'!$D$5</f>
        <v>1201.8007841674578</v>
      </c>
      <c r="I603" s="16">
        <f t="shared" ref="I603:I619" si="20">(G603*H603)/2000</f>
        <v>-82504.825633880144</v>
      </c>
      <c r="M603" s="19"/>
      <c r="N603" s="19"/>
      <c r="O603" s="19"/>
      <c r="P603" s="19"/>
    </row>
    <row r="604" spans="1:16" x14ac:dyDescent="0.25">
      <c r="A604" s="91">
        <v>896</v>
      </c>
      <c r="B604" s="15">
        <v>2007</v>
      </c>
      <c r="C604" s="1" t="s">
        <v>120</v>
      </c>
      <c r="D604" s="1" t="s">
        <v>216</v>
      </c>
      <c r="E604" s="15" t="s">
        <v>217</v>
      </c>
      <c r="F604" s="1" t="s">
        <v>97</v>
      </c>
      <c r="G604" s="16">
        <v>-155921</v>
      </c>
      <c r="H604" s="93">
        <f>'Emission Rates Net-by-Count'!$D$5</f>
        <v>1201.8007841674578</v>
      </c>
      <c r="I604" s="16">
        <f t="shared" si="20"/>
        <v>-93692.990034087095</v>
      </c>
      <c r="M604" s="19"/>
      <c r="N604" s="19"/>
      <c r="O604" s="19"/>
      <c r="P604" s="19"/>
    </row>
    <row r="605" spans="1:16" x14ac:dyDescent="0.25">
      <c r="A605" s="91">
        <v>897</v>
      </c>
      <c r="B605" s="15">
        <v>2007</v>
      </c>
      <c r="C605" s="1" t="s">
        <v>120</v>
      </c>
      <c r="D605" s="1" t="s">
        <v>216</v>
      </c>
      <c r="E605" s="15" t="s">
        <v>217</v>
      </c>
      <c r="F605" s="1" t="s">
        <v>98</v>
      </c>
      <c r="G605" s="16">
        <v>-15870</v>
      </c>
      <c r="H605" s="93">
        <f>'Emission Rates Net-by-Count'!$D$5</f>
        <v>1201.8007841674578</v>
      </c>
      <c r="I605" s="16">
        <f t="shared" si="20"/>
        <v>-9536.2892223687777</v>
      </c>
      <c r="M605" s="19"/>
      <c r="N605" s="19"/>
      <c r="O605" s="19"/>
      <c r="P605" s="19"/>
    </row>
    <row r="606" spans="1:16" x14ac:dyDescent="0.25">
      <c r="A606" s="91">
        <v>898</v>
      </c>
      <c r="B606" s="15">
        <v>2007</v>
      </c>
      <c r="C606" s="1" t="s">
        <v>120</v>
      </c>
      <c r="D606" s="1" t="s">
        <v>216</v>
      </c>
      <c r="E606" s="15" t="s">
        <v>217</v>
      </c>
      <c r="F606" s="1" t="s">
        <v>99</v>
      </c>
      <c r="G606" s="16">
        <v>-1548</v>
      </c>
      <c r="H606" s="93">
        <f>'Emission Rates Net-by-Count'!$D$5</f>
        <v>1201.8007841674578</v>
      </c>
      <c r="I606" s="16">
        <f t="shared" si="20"/>
        <v>-930.19380694561232</v>
      </c>
      <c r="M606" s="19"/>
      <c r="N606" s="19"/>
      <c r="O606" s="19"/>
      <c r="P606" s="19"/>
    </row>
    <row r="607" spans="1:16" x14ac:dyDescent="0.25">
      <c r="A607" s="91">
        <v>899</v>
      </c>
      <c r="B607" s="15">
        <v>2007</v>
      </c>
      <c r="C607" s="1" t="s">
        <v>120</v>
      </c>
      <c r="D607" s="1" t="s">
        <v>216</v>
      </c>
      <c r="E607" s="15" t="s">
        <v>217</v>
      </c>
      <c r="F607" s="1" t="s">
        <v>100</v>
      </c>
      <c r="G607" s="16">
        <v>-25283</v>
      </c>
      <c r="H607" s="93">
        <f>'Emission Rates Net-by-Count'!$D$5</f>
        <v>1201.8007841674578</v>
      </c>
      <c r="I607" s="16">
        <f t="shared" si="20"/>
        <v>-15192.564613052919</v>
      </c>
      <c r="M607" s="19"/>
      <c r="N607" s="19"/>
      <c r="O607" s="19"/>
      <c r="P607" s="19"/>
    </row>
    <row r="608" spans="1:16" x14ac:dyDescent="0.25">
      <c r="A608" s="91">
        <v>900</v>
      </c>
      <c r="B608" s="15">
        <v>2007</v>
      </c>
      <c r="C608" s="1" t="s">
        <v>120</v>
      </c>
      <c r="D608" s="1" t="s">
        <v>216</v>
      </c>
      <c r="E608" s="15" t="s">
        <v>217</v>
      </c>
      <c r="F608" s="1" t="s">
        <v>101</v>
      </c>
      <c r="G608" s="16">
        <v>-5734</v>
      </c>
      <c r="H608" s="93">
        <f>'Emission Rates Net-by-Count'!$D$5</f>
        <v>1201.8007841674578</v>
      </c>
      <c r="I608" s="16">
        <f t="shared" si="20"/>
        <v>-3445.5628482081015</v>
      </c>
      <c r="M608" s="19"/>
      <c r="N608" s="19"/>
      <c r="O608" s="19"/>
      <c r="P608" s="19"/>
    </row>
    <row r="609" spans="1:17" x14ac:dyDescent="0.25">
      <c r="A609" s="91">
        <v>901</v>
      </c>
      <c r="B609" s="15">
        <v>2007</v>
      </c>
      <c r="C609" s="1" t="s">
        <v>120</v>
      </c>
      <c r="D609" s="1" t="s">
        <v>216</v>
      </c>
      <c r="E609" s="15" t="s">
        <v>217</v>
      </c>
      <c r="F609" s="1" t="s">
        <v>102</v>
      </c>
      <c r="G609" s="16">
        <v>-83511</v>
      </c>
      <c r="H609" s="93">
        <f>'Emission Rates Net-by-Count'!$D$5</f>
        <v>1201.8007841674578</v>
      </c>
      <c r="I609" s="16">
        <f t="shared" si="20"/>
        <v>-50181.792643304281</v>
      </c>
      <c r="M609" s="19"/>
      <c r="N609" s="19"/>
      <c r="O609" s="19"/>
      <c r="P609" s="19"/>
    </row>
    <row r="610" spans="1:17" x14ac:dyDescent="0.25">
      <c r="A610" s="91">
        <v>902</v>
      </c>
      <c r="B610" s="15">
        <v>2007</v>
      </c>
      <c r="C610" s="1" t="s">
        <v>120</v>
      </c>
      <c r="D610" s="1" t="s">
        <v>216</v>
      </c>
      <c r="E610" s="15" t="s">
        <v>217</v>
      </c>
      <c r="F610" s="1" t="s">
        <v>103</v>
      </c>
      <c r="G610" s="16">
        <v>-6646</v>
      </c>
      <c r="H610" s="93">
        <f>'Emission Rates Net-by-Count'!$D$5</f>
        <v>1201.8007841674578</v>
      </c>
      <c r="I610" s="16">
        <f t="shared" si="20"/>
        <v>-3993.584005788462</v>
      </c>
      <c r="M610" s="19"/>
      <c r="N610" s="19"/>
      <c r="O610" s="19"/>
      <c r="P610" s="19"/>
    </row>
    <row r="611" spans="1:17" x14ac:dyDescent="0.25">
      <c r="A611" s="91">
        <v>903</v>
      </c>
      <c r="B611" s="15">
        <v>2007</v>
      </c>
      <c r="C611" s="1" t="s">
        <v>120</v>
      </c>
      <c r="D611" s="1" t="s">
        <v>216</v>
      </c>
      <c r="E611" s="15" t="s">
        <v>217</v>
      </c>
      <c r="F611" s="1" t="s">
        <v>152</v>
      </c>
      <c r="G611" s="16">
        <v>-1217</v>
      </c>
      <c r="H611" s="93">
        <f>'Emission Rates Net-by-Count'!$D$5</f>
        <v>1201.8007841674578</v>
      </c>
      <c r="I611" s="16">
        <f t="shared" si="20"/>
        <v>-731.29577716589802</v>
      </c>
      <c r="M611" s="19"/>
      <c r="N611" s="19"/>
      <c r="O611" s="19"/>
      <c r="P611" s="19"/>
    </row>
    <row r="612" spans="1:17" x14ac:dyDescent="0.25">
      <c r="A612" s="91">
        <v>904</v>
      </c>
      <c r="B612" s="15">
        <v>2007</v>
      </c>
      <c r="C612" s="1" t="s">
        <v>120</v>
      </c>
      <c r="D612" s="1" t="s">
        <v>216</v>
      </c>
      <c r="E612" s="15" t="s">
        <v>217</v>
      </c>
      <c r="F612" s="1" t="s">
        <v>153</v>
      </c>
      <c r="G612" s="16">
        <v>-511</v>
      </c>
      <c r="H612" s="93">
        <f>'Emission Rates Net-by-Count'!$D$5</f>
        <v>1201.8007841674578</v>
      </c>
      <c r="I612" s="16">
        <f t="shared" si="20"/>
        <v>-307.06010035478545</v>
      </c>
      <c r="M612" s="19"/>
      <c r="N612" s="19"/>
      <c r="O612" s="19"/>
      <c r="P612" s="19"/>
    </row>
    <row r="613" spans="1:17" x14ac:dyDescent="0.25">
      <c r="A613" s="91">
        <v>905</v>
      </c>
      <c r="B613" s="15">
        <v>2007</v>
      </c>
      <c r="C613" s="1" t="s">
        <v>120</v>
      </c>
      <c r="D613" s="1" t="s">
        <v>216</v>
      </c>
      <c r="E613" s="15" t="s">
        <v>217</v>
      </c>
      <c r="F613" s="1" t="s">
        <v>104</v>
      </c>
      <c r="G613" s="16">
        <v>-1339719</v>
      </c>
      <c r="H613" s="93">
        <f>'Emission Rates Net-by-Count'!$D$5</f>
        <v>1201.8007841674578</v>
      </c>
      <c r="I613" s="16">
        <f t="shared" si="20"/>
        <v>-805037.67238202121</v>
      </c>
      <c r="M613" s="19"/>
      <c r="N613" s="19"/>
      <c r="O613" s="19"/>
      <c r="P613" s="19"/>
    </row>
    <row r="614" spans="1:17" x14ac:dyDescent="0.25">
      <c r="A614" s="91">
        <v>906</v>
      </c>
      <c r="B614" s="15">
        <v>2007</v>
      </c>
      <c r="C614" s="1" t="s">
        <v>120</v>
      </c>
      <c r="D614" s="1" t="s">
        <v>216</v>
      </c>
      <c r="E614" s="15" t="s">
        <v>217</v>
      </c>
      <c r="F614" s="1" t="s">
        <v>154</v>
      </c>
      <c r="G614" s="16">
        <v>-3855</v>
      </c>
      <c r="H614" s="93">
        <f>'Emission Rates Net-by-Count'!$D$5</f>
        <v>1201.8007841674578</v>
      </c>
      <c r="I614" s="16">
        <f t="shared" si="20"/>
        <v>-2316.4710114827749</v>
      </c>
      <c r="M614" s="19"/>
      <c r="N614" s="19"/>
      <c r="O614" s="19"/>
      <c r="P614" s="19"/>
    </row>
    <row r="615" spans="1:17" x14ac:dyDescent="0.25">
      <c r="A615" s="91">
        <v>907</v>
      </c>
      <c r="B615" s="15">
        <v>2007</v>
      </c>
      <c r="C615" s="1" t="s">
        <v>120</v>
      </c>
      <c r="D615" s="1" t="s">
        <v>216</v>
      </c>
      <c r="E615" s="15" t="s">
        <v>217</v>
      </c>
      <c r="F615" s="1" t="s">
        <v>105</v>
      </c>
      <c r="G615" s="16">
        <v>-2083</v>
      </c>
      <c r="H615" s="93">
        <f>'Emission Rates Net-by-Count'!$D$5</f>
        <v>1201.8007841674578</v>
      </c>
      <c r="I615" s="16">
        <f t="shared" si="20"/>
        <v>-1251.6755167104072</v>
      </c>
      <c r="M615" s="19"/>
      <c r="N615" s="19"/>
      <c r="O615" s="19"/>
      <c r="P615" s="19"/>
    </row>
    <row r="616" spans="1:17" x14ac:dyDescent="0.25">
      <c r="A616" s="91">
        <v>908</v>
      </c>
      <c r="B616" s="15">
        <v>2007</v>
      </c>
      <c r="C616" s="1" t="s">
        <v>120</v>
      </c>
      <c r="D616" s="1" t="s">
        <v>216</v>
      </c>
      <c r="E616" s="15" t="s">
        <v>217</v>
      </c>
      <c r="F616" s="1" t="s">
        <v>106</v>
      </c>
      <c r="G616" s="16">
        <v>-1311</v>
      </c>
      <c r="H616" s="93">
        <f>'Emission Rates Net-by-Count'!$D$5</f>
        <v>1201.8007841674578</v>
      </c>
      <c r="I616" s="16">
        <f t="shared" si="20"/>
        <v>-787.78041402176859</v>
      </c>
      <c r="M616" s="19"/>
      <c r="N616" s="19"/>
      <c r="O616" s="19"/>
      <c r="P616" s="19"/>
    </row>
    <row r="617" spans="1:17" x14ac:dyDescent="0.25">
      <c r="A617" s="91">
        <v>909</v>
      </c>
      <c r="B617" s="15">
        <v>2007</v>
      </c>
      <c r="C617" s="1" t="s">
        <v>120</v>
      </c>
      <c r="D617" s="1" t="s">
        <v>216</v>
      </c>
      <c r="E617" s="15" t="s">
        <v>217</v>
      </c>
      <c r="F617" s="1" t="s">
        <v>107</v>
      </c>
      <c r="G617" s="16">
        <v>-18330</v>
      </c>
      <c r="H617" s="93">
        <f>'Emission Rates Net-by-Count'!$D$5</f>
        <v>1201.8007841674578</v>
      </c>
      <c r="I617" s="16">
        <f t="shared" si="20"/>
        <v>-11014.50418689475</v>
      </c>
      <c r="M617" s="19"/>
      <c r="N617" s="19"/>
      <c r="O617" s="19"/>
      <c r="P617" s="19"/>
    </row>
    <row r="618" spans="1:17" x14ac:dyDescent="0.25">
      <c r="A618" s="91">
        <v>910</v>
      </c>
      <c r="B618" s="15">
        <v>2007</v>
      </c>
      <c r="C618" s="1" t="s">
        <v>120</v>
      </c>
      <c r="D618" s="1" t="s">
        <v>216</v>
      </c>
      <c r="E618" s="15" t="s">
        <v>217</v>
      </c>
      <c r="F618" s="1" t="s">
        <v>108</v>
      </c>
      <c r="G618" s="16">
        <v>-410</v>
      </c>
      <c r="H618" s="93">
        <f>'Emission Rates Net-by-Count'!$D$5</f>
        <v>1201.8007841674578</v>
      </c>
      <c r="I618" s="16">
        <f t="shared" si="20"/>
        <v>-246.36916075432885</v>
      </c>
      <c r="M618" s="19"/>
      <c r="N618" s="19"/>
      <c r="O618" s="19"/>
      <c r="P618" s="19"/>
    </row>
    <row r="619" spans="1:17" x14ac:dyDescent="0.25">
      <c r="A619" s="95">
        <v>911</v>
      </c>
      <c r="B619" s="17">
        <v>2007</v>
      </c>
      <c r="C619" s="82" t="s">
        <v>120</v>
      </c>
      <c r="D619" s="82" t="s">
        <v>216</v>
      </c>
      <c r="E619" s="17" t="s">
        <v>217</v>
      </c>
      <c r="F619" s="82" t="s">
        <v>140</v>
      </c>
      <c r="G619" s="16">
        <v>-1186</v>
      </c>
      <c r="H619" s="93">
        <f>'Emission Rates Net-by-Count'!$D$5</f>
        <v>1201.8007841674578</v>
      </c>
      <c r="I619" s="16">
        <f t="shared" si="20"/>
        <v>-712.66786501130241</v>
      </c>
      <c r="L619" s="96"/>
      <c r="M619" s="97"/>
      <c r="N619" s="97"/>
      <c r="O619" s="97"/>
      <c r="P619" s="97"/>
      <c r="Q619" s="17"/>
    </row>
    <row r="620" spans="1:17" x14ac:dyDescent="0.25">
      <c r="A620" s="91">
        <v>954</v>
      </c>
      <c r="B620" s="15">
        <v>2008</v>
      </c>
      <c r="C620" s="1" t="s">
        <v>0</v>
      </c>
      <c r="D620" s="1" t="s">
        <v>215</v>
      </c>
      <c r="E620" s="15" t="s">
        <v>125</v>
      </c>
      <c r="F620" s="1" t="s">
        <v>1</v>
      </c>
      <c r="G620" s="16">
        <v>96154.205000000002</v>
      </c>
      <c r="H620" s="92">
        <v>0</v>
      </c>
      <c r="I620" s="92">
        <f>(H620*G620)/2000</f>
        <v>0</v>
      </c>
      <c r="J620" s="92"/>
      <c r="K620" s="17" t="s">
        <v>223</v>
      </c>
      <c r="M620" s="19"/>
      <c r="N620" s="19"/>
      <c r="O620" s="19"/>
      <c r="P620" s="19"/>
    </row>
    <row r="621" spans="1:17" x14ac:dyDescent="0.25">
      <c r="A621" s="91">
        <v>955</v>
      </c>
      <c r="B621" s="15">
        <v>2008</v>
      </c>
      <c r="C621" s="1" t="s">
        <v>0</v>
      </c>
      <c r="D621" s="1" t="s">
        <v>215</v>
      </c>
      <c r="E621" s="15" t="s">
        <v>125</v>
      </c>
      <c r="F621" s="1" t="s">
        <v>2</v>
      </c>
      <c r="G621" s="16">
        <v>321027.40000000002</v>
      </c>
      <c r="H621" s="92">
        <v>0</v>
      </c>
      <c r="I621" s="92">
        <f>(H621*G621)/2000</f>
        <v>0</v>
      </c>
      <c r="J621" s="92"/>
      <c r="K621" s="17" t="s">
        <v>223</v>
      </c>
      <c r="M621" s="19"/>
      <c r="N621" s="19"/>
      <c r="O621" s="19"/>
      <c r="P621" s="19"/>
    </row>
    <row r="622" spans="1:17" x14ac:dyDescent="0.25">
      <c r="A622" s="91">
        <v>956</v>
      </c>
      <c r="B622" s="15">
        <v>2008</v>
      </c>
      <c r="C622" s="1" t="s">
        <v>0</v>
      </c>
      <c r="D622" s="1" t="s">
        <v>215</v>
      </c>
      <c r="E622" s="15" t="s">
        <v>125</v>
      </c>
      <c r="F622" s="1" t="s">
        <v>4</v>
      </c>
      <c r="G622" s="16">
        <v>59492</v>
      </c>
      <c r="H622" s="92">
        <v>0</v>
      </c>
      <c r="I622" s="92">
        <f>(H622*G622)/2000</f>
        <v>0</v>
      </c>
      <c r="J622" s="92"/>
      <c r="K622" s="17" t="s">
        <v>223</v>
      </c>
      <c r="M622" s="19"/>
      <c r="N622" s="19"/>
      <c r="O622" s="19"/>
      <c r="P622" s="19"/>
    </row>
    <row r="623" spans="1:17" x14ac:dyDescent="0.25">
      <c r="A623" s="91">
        <v>957</v>
      </c>
      <c r="B623" s="15">
        <v>2008</v>
      </c>
      <c r="C623" s="1" t="s">
        <v>0</v>
      </c>
      <c r="D623" s="1" t="s">
        <v>215</v>
      </c>
      <c r="E623" s="15" t="s">
        <v>125</v>
      </c>
      <c r="F623" s="1" t="s">
        <v>5</v>
      </c>
      <c r="G623" s="16">
        <v>181143.4</v>
      </c>
      <c r="H623" s="92">
        <v>0</v>
      </c>
      <c r="I623" s="92">
        <f>(H623*G623)/2000</f>
        <v>0</v>
      </c>
      <c r="J623" s="92"/>
      <c r="K623" s="17" t="s">
        <v>223</v>
      </c>
      <c r="M623" s="19"/>
      <c r="N623" s="19"/>
      <c r="O623" s="19"/>
      <c r="P623" s="19"/>
    </row>
    <row r="624" spans="1:17" x14ac:dyDescent="0.25">
      <c r="A624" s="91">
        <v>959</v>
      </c>
      <c r="B624" s="15">
        <v>2008</v>
      </c>
      <c r="C624" s="1" t="s">
        <v>0</v>
      </c>
      <c r="D624" s="1" t="s">
        <v>215</v>
      </c>
      <c r="E624" s="15" t="s">
        <v>125</v>
      </c>
      <c r="F624" s="1" t="s">
        <v>6</v>
      </c>
      <c r="G624" s="16">
        <v>317108.09000000003</v>
      </c>
      <c r="H624" s="92">
        <v>0</v>
      </c>
      <c r="I624" s="92">
        <f>(H624*G624)/2000</f>
        <v>0</v>
      </c>
      <c r="J624" s="92"/>
      <c r="K624" s="17" t="s">
        <v>223</v>
      </c>
      <c r="M624" s="19"/>
      <c r="N624" s="19"/>
      <c r="O624" s="19"/>
      <c r="P624" s="19"/>
    </row>
    <row r="625" spans="1:17" x14ac:dyDescent="0.25">
      <c r="A625" s="91">
        <v>963</v>
      </c>
      <c r="B625" s="15">
        <v>2008</v>
      </c>
      <c r="C625" s="1" t="s">
        <v>7</v>
      </c>
      <c r="D625" s="1" t="s">
        <v>215</v>
      </c>
      <c r="E625" s="15" t="s">
        <v>122</v>
      </c>
      <c r="F625" s="1" t="s">
        <v>8</v>
      </c>
      <c r="G625" s="16">
        <v>2124142</v>
      </c>
      <c r="H625" s="16">
        <f t="shared" ref="H625:H634" si="21">(I625*2000)/G625</f>
        <v>2499.4590757115106</v>
      </c>
      <c r="I625" s="16">
        <v>2654603</v>
      </c>
      <c r="M625" s="19"/>
      <c r="N625" s="19"/>
      <c r="O625" s="19"/>
      <c r="P625" s="19"/>
      <c r="Q625" s="15" t="s">
        <v>266</v>
      </c>
    </row>
    <row r="626" spans="1:17" x14ac:dyDescent="0.25">
      <c r="A626" s="91">
        <v>964</v>
      </c>
      <c r="B626" s="15">
        <v>2008</v>
      </c>
      <c r="C626" s="1" t="s">
        <v>7</v>
      </c>
      <c r="D626" s="1" t="s">
        <v>215</v>
      </c>
      <c r="E626" s="15" t="s">
        <v>122</v>
      </c>
      <c r="F626" s="1" t="s">
        <v>9</v>
      </c>
      <c r="G626" s="16">
        <v>2943303</v>
      </c>
      <c r="H626" s="16">
        <f>(I626*2000)/G626</f>
        <v>2362.1027124968105</v>
      </c>
      <c r="I626" s="16">
        <v>3476192</v>
      </c>
      <c r="M626" s="19"/>
      <c r="N626" s="19"/>
      <c r="O626" s="19"/>
      <c r="P626" s="19"/>
      <c r="Q626" s="15" t="s">
        <v>266</v>
      </c>
    </row>
    <row r="627" spans="1:17" x14ac:dyDescent="0.25">
      <c r="A627" s="91">
        <v>965</v>
      </c>
      <c r="B627" s="15">
        <v>2008</v>
      </c>
      <c r="C627" s="1" t="s">
        <v>7</v>
      </c>
      <c r="D627" s="1" t="s">
        <v>215</v>
      </c>
      <c r="E627" s="15" t="s">
        <v>123</v>
      </c>
      <c r="F627" s="1" t="s">
        <v>10</v>
      </c>
      <c r="G627" s="16">
        <v>98884</v>
      </c>
      <c r="H627" s="16">
        <f t="shared" si="21"/>
        <v>906.74784925910285</v>
      </c>
      <c r="I627" s="16">
        <v>44831.427163068562</v>
      </c>
      <c r="M627" s="19"/>
      <c r="N627" s="19"/>
      <c r="O627" s="19"/>
      <c r="P627" s="19"/>
      <c r="Q627" s="15" t="s">
        <v>267</v>
      </c>
    </row>
    <row r="628" spans="1:17" x14ac:dyDescent="0.25">
      <c r="A628" s="91">
        <v>966</v>
      </c>
      <c r="B628" s="15">
        <v>2008</v>
      </c>
      <c r="C628" s="1" t="s">
        <v>7</v>
      </c>
      <c r="D628" s="1" t="s">
        <v>215</v>
      </c>
      <c r="E628" s="15" t="s">
        <v>123</v>
      </c>
      <c r="F628" s="1" t="s">
        <v>144</v>
      </c>
      <c r="G628" s="16">
        <v>1368284</v>
      </c>
      <c r="H628" s="16">
        <f t="shared" si="21"/>
        <v>686.37780729974656</v>
      </c>
      <c r="I628" s="16">
        <v>469579.88584166323</v>
      </c>
      <c r="M628" s="19"/>
      <c r="N628" s="19"/>
      <c r="O628" s="19"/>
      <c r="P628" s="19"/>
      <c r="Q628" s="15" t="s">
        <v>267</v>
      </c>
    </row>
    <row r="629" spans="1:17" x14ac:dyDescent="0.25">
      <c r="A629" s="91">
        <v>967</v>
      </c>
      <c r="B629" s="15">
        <v>2008</v>
      </c>
      <c r="C629" s="1" t="s">
        <v>7</v>
      </c>
      <c r="D629" s="1" t="s">
        <v>215</v>
      </c>
      <c r="E629" s="15" t="s">
        <v>123</v>
      </c>
      <c r="F629" s="1" t="s">
        <v>155</v>
      </c>
      <c r="G629" s="16">
        <v>218930.30000000002</v>
      </c>
      <c r="H629" s="16">
        <f t="shared" si="21"/>
        <v>797.76810168096608</v>
      </c>
      <c r="I629" s="94">
        <v>87327.804915722212</v>
      </c>
      <c r="M629" s="19"/>
      <c r="N629" s="19"/>
      <c r="O629" s="19"/>
      <c r="P629" s="19"/>
      <c r="Q629" s="15" t="s">
        <v>267</v>
      </c>
    </row>
    <row r="630" spans="1:17" x14ac:dyDescent="0.25">
      <c r="A630" s="91">
        <v>970</v>
      </c>
      <c r="B630" s="15">
        <v>2008</v>
      </c>
      <c r="C630" s="1" t="s">
        <v>11</v>
      </c>
      <c r="D630" s="1" t="s">
        <v>215</v>
      </c>
      <c r="E630" s="15" t="s">
        <v>124</v>
      </c>
      <c r="F630" s="1" t="s">
        <v>12</v>
      </c>
      <c r="G630" s="16">
        <v>360.91</v>
      </c>
      <c r="H630" s="16">
        <f t="shared" si="21"/>
        <v>1689.2057570020049</v>
      </c>
      <c r="I630" s="16">
        <v>304.82562487979681</v>
      </c>
      <c r="M630" s="19"/>
      <c r="N630" s="19"/>
      <c r="O630" s="19"/>
      <c r="P630" s="19"/>
      <c r="Q630" s="15" t="s">
        <v>267</v>
      </c>
    </row>
    <row r="631" spans="1:17" x14ac:dyDescent="0.25">
      <c r="A631" s="91">
        <v>972</v>
      </c>
      <c r="B631" s="15">
        <v>2008</v>
      </c>
      <c r="C631" s="1" t="s">
        <v>11</v>
      </c>
      <c r="D631" s="1" t="s">
        <v>215</v>
      </c>
      <c r="E631" s="15" t="s">
        <v>123</v>
      </c>
      <c r="F631" s="1" t="s">
        <v>13</v>
      </c>
      <c r="G631" s="16">
        <v>545866.18700000003</v>
      </c>
      <c r="H631" s="16">
        <f t="shared" si="21"/>
        <v>350.34815600198544</v>
      </c>
      <c r="I631" s="16">
        <v>95621.606019642481</v>
      </c>
      <c r="M631" s="19"/>
      <c r="N631" s="19"/>
      <c r="O631" s="19"/>
      <c r="P631" s="19"/>
      <c r="Q631" s="15" t="s">
        <v>267</v>
      </c>
    </row>
    <row r="632" spans="1:17" x14ac:dyDescent="0.25">
      <c r="A632" s="91">
        <v>973</v>
      </c>
      <c r="B632" s="15">
        <v>2008</v>
      </c>
      <c r="C632" s="1" t="s">
        <v>11</v>
      </c>
      <c r="D632" s="1" t="s">
        <v>215</v>
      </c>
      <c r="E632" s="15" t="s">
        <v>123</v>
      </c>
      <c r="F632" s="1" t="s">
        <v>14</v>
      </c>
      <c r="G632" s="16">
        <v>7453.4</v>
      </c>
      <c r="H632" s="16">
        <f t="shared" si="21"/>
        <v>1941.0520125311277</v>
      </c>
      <c r="I632" s="16">
        <v>7233.7185350997534</v>
      </c>
      <c r="M632" s="19"/>
      <c r="N632" s="19"/>
      <c r="O632" s="19"/>
      <c r="P632" s="19"/>
      <c r="Q632" s="15" t="s">
        <v>267</v>
      </c>
    </row>
    <row r="633" spans="1:17" x14ac:dyDescent="0.25">
      <c r="A633" s="91">
        <v>974</v>
      </c>
      <c r="B633" s="15">
        <v>2008</v>
      </c>
      <c r="C633" s="1" t="s">
        <v>11</v>
      </c>
      <c r="D633" s="1" t="s">
        <v>215</v>
      </c>
      <c r="E633" s="15" t="s">
        <v>123</v>
      </c>
      <c r="F633" s="1" t="s">
        <v>15</v>
      </c>
      <c r="G633" s="16">
        <v>9931.2999999999993</v>
      </c>
      <c r="H633" s="16">
        <f t="shared" si="21"/>
        <v>1159.0524695461825</v>
      </c>
      <c r="I633" s="16">
        <v>5755.4488954019998</v>
      </c>
      <c r="M633" s="19"/>
      <c r="N633" s="19"/>
      <c r="O633" s="19"/>
      <c r="P633" s="19"/>
      <c r="Q633" s="15" t="s">
        <v>267</v>
      </c>
    </row>
    <row r="634" spans="1:17" x14ac:dyDescent="0.25">
      <c r="A634" s="91">
        <v>975</v>
      </c>
      <c r="B634" s="15">
        <v>2008</v>
      </c>
      <c r="C634" s="1" t="s">
        <v>11</v>
      </c>
      <c r="D634" s="1" t="s">
        <v>215</v>
      </c>
      <c r="E634" s="15" t="s">
        <v>123</v>
      </c>
      <c r="F634" s="1" t="s">
        <v>16</v>
      </c>
      <c r="G634" s="16">
        <v>15741.2</v>
      </c>
      <c r="H634" s="16">
        <f t="shared" si="21"/>
        <v>2256.0428671996333</v>
      </c>
      <c r="I634" s="94">
        <v>17756.410990581433</v>
      </c>
      <c r="M634" s="19"/>
      <c r="N634" s="19"/>
      <c r="O634" s="19"/>
      <c r="P634" s="19"/>
      <c r="Q634" s="15" t="s">
        <v>267</v>
      </c>
    </row>
    <row r="635" spans="1:17" x14ac:dyDescent="0.25">
      <c r="A635" s="91">
        <v>977</v>
      </c>
      <c r="B635" s="15">
        <v>2008</v>
      </c>
      <c r="C635" s="1" t="s">
        <v>11</v>
      </c>
      <c r="D635" s="1" t="s">
        <v>215</v>
      </c>
      <c r="E635" s="15" t="s">
        <v>125</v>
      </c>
      <c r="F635" s="1" t="s">
        <v>17</v>
      </c>
      <c r="G635" s="16">
        <v>425322.08</v>
      </c>
      <c r="H635" s="92">
        <v>0</v>
      </c>
      <c r="I635" s="92">
        <f>(H635*G635)/2000</f>
        <v>0</v>
      </c>
      <c r="J635" s="92"/>
      <c r="K635" s="17" t="s">
        <v>229</v>
      </c>
      <c r="M635" s="19"/>
      <c r="N635" s="19"/>
      <c r="O635" s="19"/>
      <c r="P635" s="19"/>
    </row>
    <row r="636" spans="1:17" x14ac:dyDescent="0.25">
      <c r="A636" s="91">
        <v>981</v>
      </c>
      <c r="B636" s="15">
        <v>2008</v>
      </c>
      <c r="C636" s="1" t="s">
        <v>11</v>
      </c>
      <c r="D636" s="1" t="s">
        <v>215</v>
      </c>
      <c r="E636" s="15" t="s">
        <v>123</v>
      </c>
      <c r="F636" s="1" t="s">
        <v>18</v>
      </c>
      <c r="G636" s="16">
        <v>4135</v>
      </c>
      <c r="H636" s="16">
        <f>(I636*2000)/G636</f>
        <v>1771.6363840734703</v>
      </c>
      <c r="I636" s="16">
        <v>3662.8582240718997</v>
      </c>
      <c r="M636" s="19"/>
      <c r="N636" s="19"/>
      <c r="O636" s="19"/>
      <c r="P636" s="19"/>
      <c r="Q636" s="15" t="s">
        <v>267</v>
      </c>
    </row>
    <row r="637" spans="1:17" x14ac:dyDescent="0.25">
      <c r="A637" s="91">
        <v>982</v>
      </c>
      <c r="B637" s="15">
        <v>2008</v>
      </c>
      <c r="C637" s="1" t="s">
        <v>11</v>
      </c>
      <c r="D637" s="1" t="s">
        <v>215</v>
      </c>
      <c r="E637" s="15" t="s">
        <v>125</v>
      </c>
      <c r="F637" s="1" t="s">
        <v>126</v>
      </c>
      <c r="G637" s="16">
        <v>682096.78399999999</v>
      </c>
      <c r="H637" s="92">
        <v>0</v>
      </c>
      <c r="I637" s="92">
        <f>(H637*G637)/2000</f>
        <v>0</v>
      </c>
      <c r="J637" s="92"/>
      <c r="K637" s="17" t="s">
        <v>229</v>
      </c>
      <c r="M637" s="19"/>
      <c r="N637" s="19"/>
      <c r="O637" s="19"/>
      <c r="P637" s="19"/>
    </row>
    <row r="638" spans="1:17" x14ac:dyDescent="0.25">
      <c r="A638" s="91">
        <v>984</v>
      </c>
      <c r="B638" s="15">
        <v>2008</v>
      </c>
      <c r="C638" s="1" t="s">
        <v>19</v>
      </c>
      <c r="D638" s="1" t="s">
        <v>219</v>
      </c>
      <c r="E638" s="15" t="s">
        <v>217</v>
      </c>
      <c r="F638" s="1" t="s">
        <v>20</v>
      </c>
      <c r="G638" s="16">
        <v>22695.39</v>
      </c>
      <c r="H638" s="93">
        <f>'Emission Rates Net-by-Count'!$D$6</f>
        <v>1024.4699545804308</v>
      </c>
      <c r="I638" s="16">
        <f>(G638*H638)/2000</f>
        <v>11625.372581242582</v>
      </c>
      <c r="M638" s="19"/>
      <c r="N638" s="19"/>
      <c r="O638" s="19"/>
      <c r="P638" s="19"/>
    </row>
    <row r="639" spans="1:17" x14ac:dyDescent="0.25">
      <c r="A639" s="91">
        <v>985</v>
      </c>
      <c r="B639" s="15">
        <v>2008</v>
      </c>
      <c r="C639" s="1" t="s">
        <v>19</v>
      </c>
      <c r="D639" s="1" t="s">
        <v>219</v>
      </c>
      <c r="E639" s="15" t="s">
        <v>125</v>
      </c>
      <c r="F639" s="1" t="s">
        <v>21</v>
      </c>
      <c r="G639" s="16">
        <v>7063</v>
      </c>
      <c r="H639" s="92">
        <v>0</v>
      </c>
      <c r="I639" s="92">
        <f>(H639*G639)/2000</f>
        <v>0</v>
      </c>
      <c r="J639" s="92"/>
      <c r="K639" s="17" t="s">
        <v>235</v>
      </c>
      <c r="M639" s="19"/>
      <c r="N639" s="19"/>
      <c r="O639" s="19"/>
      <c r="P639" s="19"/>
    </row>
    <row r="640" spans="1:17" x14ac:dyDescent="0.25">
      <c r="A640" s="91">
        <v>986</v>
      </c>
      <c r="B640" s="15">
        <v>2008</v>
      </c>
      <c r="C640" s="1" t="s">
        <v>19</v>
      </c>
      <c r="D640" s="1" t="s">
        <v>219</v>
      </c>
      <c r="E640" s="15" t="s">
        <v>217</v>
      </c>
      <c r="F640" s="1" t="s">
        <v>22</v>
      </c>
      <c r="G640" s="16">
        <v>374999</v>
      </c>
      <c r="H640" s="93">
        <f>'Emission Rates Net-by-Count'!$D$6</f>
        <v>1024.4699545804308</v>
      </c>
      <c r="I640" s="16">
        <f>(G640*H640)/2000</f>
        <v>192087.60424885349</v>
      </c>
      <c r="J640" s="92"/>
      <c r="K640" s="17" t="s">
        <v>236</v>
      </c>
      <c r="M640" s="19"/>
      <c r="N640" s="19"/>
      <c r="O640" s="19"/>
      <c r="P640" s="19"/>
    </row>
    <row r="641" spans="1:17" x14ac:dyDescent="0.25">
      <c r="A641" s="91">
        <v>988</v>
      </c>
      <c r="B641" s="15">
        <v>2008</v>
      </c>
      <c r="C641" s="1" t="s">
        <v>19</v>
      </c>
      <c r="D641" s="1" t="s">
        <v>219</v>
      </c>
      <c r="E641" s="15" t="s">
        <v>125</v>
      </c>
      <c r="F641" s="1" t="s">
        <v>23</v>
      </c>
      <c r="G641" s="16">
        <v>1327464</v>
      </c>
      <c r="H641" s="92">
        <v>0</v>
      </c>
      <c r="I641" s="92">
        <f t="shared" ref="I641:I646" si="22">(H641*G641)/2000</f>
        <v>0</v>
      </c>
      <c r="J641" s="92"/>
      <c r="K641" s="17" t="s">
        <v>223</v>
      </c>
      <c r="M641" s="19"/>
      <c r="N641" s="19"/>
      <c r="O641" s="19"/>
      <c r="P641" s="19"/>
    </row>
    <row r="642" spans="1:17" x14ac:dyDescent="0.25">
      <c r="A642" s="91">
        <v>989</v>
      </c>
      <c r="B642" s="15">
        <v>2008</v>
      </c>
      <c r="C642" s="1" t="s">
        <v>19</v>
      </c>
      <c r="D642" s="1" t="s">
        <v>219</v>
      </c>
      <c r="E642" s="15" t="s">
        <v>125</v>
      </c>
      <c r="F642" s="1" t="s">
        <v>24</v>
      </c>
      <c r="G642" s="16">
        <v>2144307</v>
      </c>
      <c r="H642" s="92">
        <v>0</v>
      </c>
      <c r="I642" s="92">
        <f t="shared" si="22"/>
        <v>0</v>
      </c>
      <c r="J642" s="92"/>
      <c r="K642" s="17" t="s">
        <v>223</v>
      </c>
      <c r="M642" s="19"/>
      <c r="N642" s="19"/>
      <c r="O642" s="19"/>
      <c r="P642" s="19"/>
    </row>
    <row r="643" spans="1:17" x14ac:dyDescent="0.25">
      <c r="A643" s="91">
        <v>990</v>
      </c>
      <c r="B643" s="15">
        <v>2008</v>
      </c>
      <c r="C643" s="1" t="s">
        <v>19</v>
      </c>
      <c r="D643" s="1" t="s">
        <v>219</v>
      </c>
      <c r="E643" s="15" t="s">
        <v>125</v>
      </c>
      <c r="F643" s="1" t="s">
        <v>25</v>
      </c>
      <c r="G643" s="16">
        <v>1045492</v>
      </c>
      <c r="H643" s="92">
        <v>0</v>
      </c>
      <c r="I643" s="92">
        <f t="shared" si="22"/>
        <v>0</v>
      </c>
      <c r="J643" s="92"/>
      <c r="K643" s="17" t="s">
        <v>223</v>
      </c>
      <c r="M643" s="19"/>
      <c r="N643" s="19"/>
      <c r="O643" s="19"/>
      <c r="P643" s="19"/>
    </row>
    <row r="644" spans="1:17" x14ac:dyDescent="0.25">
      <c r="A644" s="91">
        <v>991</v>
      </c>
      <c r="B644" s="15">
        <v>2008</v>
      </c>
      <c r="C644" s="1" t="s">
        <v>19</v>
      </c>
      <c r="D644" s="1" t="s">
        <v>219</v>
      </c>
      <c r="E644" s="15" t="s">
        <v>125</v>
      </c>
      <c r="F644" s="1" t="s">
        <v>26</v>
      </c>
      <c r="G644" s="16">
        <v>464474</v>
      </c>
      <c r="H644" s="92">
        <v>0</v>
      </c>
      <c r="I644" s="92">
        <f t="shared" si="22"/>
        <v>0</v>
      </c>
      <c r="J644" s="92"/>
      <c r="K644" s="17" t="s">
        <v>223</v>
      </c>
      <c r="M644" s="19"/>
      <c r="N644" s="19"/>
      <c r="O644" s="19"/>
      <c r="P644" s="19"/>
    </row>
    <row r="645" spans="1:17" x14ac:dyDescent="0.25">
      <c r="A645" s="91">
        <v>992</v>
      </c>
      <c r="B645" s="15">
        <v>2008</v>
      </c>
      <c r="C645" s="1" t="s">
        <v>19</v>
      </c>
      <c r="D645" s="1" t="s">
        <v>219</v>
      </c>
      <c r="E645" s="15" t="s">
        <v>125</v>
      </c>
      <c r="F645" s="1" t="s">
        <v>27</v>
      </c>
      <c r="G645" s="16">
        <v>456458</v>
      </c>
      <c r="H645" s="92">
        <v>0</v>
      </c>
      <c r="I645" s="92">
        <f t="shared" si="22"/>
        <v>0</v>
      </c>
      <c r="J645" s="92"/>
      <c r="K645" s="17" t="s">
        <v>223</v>
      </c>
      <c r="M645" s="19"/>
      <c r="N645" s="19"/>
      <c r="O645" s="19"/>
      <c r="P645" s="19"/>
    </row>
    <row r="646" spans="1:17" x14ac:dyDescent="0.25">
      <c r="A646" s="91">
        <v>993</v>
      </c>
      <c r="B646" s="15">
        <v>2008</v>
      </c>
      <c r="C646" s="1" t="s">
        <v>19</v>
      </c>
      <c r="D646" s="1" t="s">
        <v>219</v>
      </c>
      <c r="E646" s="15" t="s">
        <v>125</v>
      </c>
      <c r="F646" s="1" t="s">
        <v>145</v>
      </c>
      <c r="G646" s="16">
        <v>148311</v>
      </c>
      <c r="H646" s="92">
        <v>0</v>
      </c>
      <c r="I646" s="92">
        <f t="shared" si="22"/>
        <v>0</v>
      </c>
      <c r="J646" s="92"/>
      <c r="K646" s="17" t="s">
        <v>229</v>
      </c>
      <c r="M646" s="19"/>
      <c r="N646" s="19"/>
      <c r="O646" s="19"/>
      <c r="P646" s="19"/>
    </row>
    <row r="647" spans="1:17" x14ac:dyDescent="0.25">
      <c r="A647" s="91">
        <v>994</v>
      </c>
      <c r="B647" s="15">
        <v>2008</v>
      </c>
      <c r="C647" s="1" t="s">
        <v>19</v>
      </c>
      <c r="D647" s="1" t="s">
        <v>219</v>
      </c>
      <c r="E647" s="15" t="s">
        <v>122</v>
      </c>
      <c r="F647" s="1" t="s">
        <v>28</v>
      </c>
      <c r="G647" s="16">
        <v>795395</v>
      </c>
      <c r="H647" s="92">
        <v>2016.3308936624701</v>
      </c>
      <c r="I647" s="92">
        <f>(G647*H647)/2000</f>
        <v>801889.75558233028</v>
      </c>
      <c r="J647" s="92"/>
      <c r="K647" s="17" t="s">
        <v>233</v>
      </c>
      <c r="M647" s="19"/>
      <c r="N647" s="19"/>
      <c r="O647" s="19"/>
      <c r="P647" s="19"/>
      <c r="Q647" s="15" t="s">
        <v>265</v>
      </c>
    </row>
    <row r="648" spans="1:17" x14ac:dyDescent="0.25">
      <c r="A648" s="91">
        <v>995</v>
      </c>
      <c r="B648" s="15">
        <v>2008</v>
      </c>
      <c r="C648" s="1" t="s">
        <v>19</v>
      </c>
      <c r="D648" s="1" t="s">
        <v>219</v>
      </c>
      <c r="E648" s="15" t="s">
        <v>217</v>
      </c>
      <c r="F648" s="1" t="s">
        <v>29</v>
      </c>
      <c r="G648" s="16">
        <v>89984</v>
      </c>
      <c r="H648" s="93">
        <f>'Emission Rates Net-by-Count'!$D$6</f>
        <v>1024.4699545804308</v>
      </c>
      <c r="I648" s="16">
        <f>(G648*H648)/2000</f>
        <v>46092.952196482744</v>
      </c>
      <c r="M648" s="19"/>
      <c r="N648" s="19"/>
      <c r="O648" s="19"/>
      <c r="P648" s="19"/>
    </row>
    <row r="649" spans="1:17" x14ac:dyDescent="0.25">
      <c r="A649" s="91">
        <v>996</v>
      </c>
      <c r="B649" s="15">
        <v>2008</v>
      </c>
      <c r="C649" s="1" t="s">
        <v>19</v>
      </c>
      <c r="D649" s="1" t="s">
        <v>219</v>
      </c>
      <c r="E649" s="15" t="s">
        <v>125</v>
      </c>
      <c r="F649" s="1" t="s">
        <v>30</v>
      </c>
      <c r="G649" s="16">
        <v>2232</v>
      </c>
      <c r="H649" s="92">
        <v>0</v>
      </c>
      <c r="I649" s="92">
        <f>(H649*G649)/2000</f>
        <v>0</v>
      </c>
      <c r="J649" s="92"/>
      <c r="K649" s="17" t="s">
        <v>232</v>
      </c>
      <c r="M649" s="19"/>
      <c r="N649" s="19"/>
      <c r="O649" s="19"/>
      <c r="P649" s="19"/>
    </row>
    <row r="650" spans="1:17" x14ac:dyDescent="0.25">
      <c r="A650" s="91">
        <v>997</v>
      </c>
      <c r="B650" s="15">
        <v>2008</v>
      </c>
      <c r="C650" s="1" t="s">
        <v>19</v>
      </c>
      <c r="D650" s="1" t="s">
        <v>219</v>
      </c>
      <c r="E650" s="15" t="s">
        <v>125</v>
      </c>
      <c r="F650" s="1" t="s">
        <v>31</v>
      </c>
      <c r="G650" s="16">
        <v>41552</v>
      </c>
      <c r="H650" s="92">
        <v>0</v>
      </c>
      <c r="I650" s="92">
        <f>(H650*G650)/2000</f>
        <v>0</v>
      </c>
      <c r="J650" s="92"/>
      <c r="K650" s="17" t="s">
        <v>223</v>
      </c>
      <c r="M650" s="19"/>
      <c r="N650" s="19"/>
      <c r="O650" s="19"/>
      <c r="P650" s="19"/>
    </row>
    <row r="651" spans="1:17" x14ac:dyDescent="0.25">
      <c r="A651" s="91">
        <v>999</v>
      </c>
      <c r="B651" s="15">
        <v>2008</v>
      </c>
      <c r="C651" s="1" t="s">
        <v>32</v>
      </c>
      <c r="D651" s="1" t="s">
        <v>219</v>
      </c>
      <c r="E651" s="15" t="s">
        <v>125</v>
      </c>
      <c r="F651" s="1" t="s">
        <v>33</v>
      </c>
      <c r="G651" s="16">
        <v>2058.2399999999998</v>
      </c>
      <c r="H651" s="92">
        <v>0</v>
      </c>
      <c r="I651" s="92">
        <f>(H651*G651)/2000</f>
        <v>0</v>
      </c>
      <c r="J651" s="92"/>
      <c r="K651" s="17" t="s">
        <v>223</v>
      </c>
      <c r="M651" s="19"/>
      <c r="N651" s="19"/>
      <c r="O651" s="19"/>
      <c r="P651" s="19"/>
    </row>
    <row r="652" spans="1:17" x14ac:dyDescent="0.25">
      <c r="A652" s="91">
        <v>1000</v>
      </c>
      <c r="B652" s="15">
        <v>2008</v>
      </c>
      <c r="C652" s="1" t="s">
        <v>32</v>
      </c>
      <c r="D652" s="1" t="s">
        <v>219</v>
      </c>
      <c r="E652" s="15" t="s">
        <v>125</v>
      </c>
      <c r="F652" s="1" t="s">
        <v>34</v>
      </c>
      <c r="G652" s="16">
        <v>36091.56</v>
      </c>
      <c r="H652" s="92">
        <v>0</v>
      </c>
      <c r="I652" s="92">
        <f>(H652*G652)/2000</f>
        <v>0</v>
      </c>
      <c r="J652" s="92"/>
      <c r="K652" s="17" t="s">
        <v>223</v>
      </c>
      <c r="M652" s="19"/>
      <c r="N652" s="19"/>
      <c r="O652" s="19"/>
      <c r="P652" s="19"/>
    </row>
    <row r="653" spans="1:17" x14ac:dyDescent="0.25">
      <c r="A653" s="91">
        <v>1002</v>
      </c>
      <c r="B653" s="15">
        <v>2008</v>
      </c>
      <c r="C653" s="1" t="s">
        <v>32</v>
      </c>
      <c r="D653" s="1" t="s">
        <v>219</v>
      </c>
      <c r="E653" s="15" t="s">
        <v>123</v>
      </c>
      <c r="F653" s="1" t="s">
        <v>254</v>
      </c>
      <c r="G653" s="16">
        <v>1022961.27</v>
      </c>
      <c r="H653" s="92">
        <f>P653</f>
        <v>712.18637801833165</v>
      </c>
      <c r="I653" s="92">
        <f>(+G653*H653)/2000</f>
        <v>364269.54086716636</v>
      </c>
      <c r="J653" s="92"/>
      <c r="K653" s="17" t="s">
        <v>224</v>
      </c>
      <c r="L653" s="18">
        <v>5.8439999999999999E-2</v>
      </c>
      <c r="M653" s="19">
        <v>6233209</v>
      </c>
      <c r="N653" s="19">
        <f>(M653*L653)</f>
        <v>364268.73395999998</v>
      </c>
      <c r="O653" s="19">
        <v>1022959.004</v>
      </c>
      <c r="P653" s="19">
        <f>(N653*2000)/O653</f>
        <v>712.18637801833165</v>
      </c>
      <c r="Q653" s="15" t="s">
        <v>255</v>
      </c>
    </row>
    <row r="654" spans="1:17" x14ac:dyDescent="0.25">
      <c r="A654" s="91">
        <v>1003</v>
      </c>
      <c r="B654" s="15">
        <v>2008</v>
      </c>
      <c r="C654" s="1" t="s">
        <v>32</v>
      </c>
      <c r="D654" s="1" t="s">
        <v>219</v>
      </c>
      <c r="E654" s="15" t="s">
        <v>125</v>
      </c>
      <c r="F654" s="1" t="s">
        <v>35</v>
      </c>
      <c r="G654" s="16">
        <v>19741.439999999999</v>
      </c>
      <c r="H654" s="92">
        <v>0</v>
      </c>
      <c r="I654" s="92">
        <f>(H654*G654)/2000</f>
        <v>0</v>
      </c>
      <c r="J654" s="92"/>
      <c r="K654" s="17" t="s">
        <v>223</v>
      </c>
      <c r="M654" s="19"/>
      <c r="N654" s="19"/>
      <c r="O654" s="19"/>
      <c r="P654" s="19"/>
    </row>
    <row r="655" spans="1:17" x14ac:dyDescent="0.25">
      <c r="A655" s="91">
        <v>1004</v>
      </c>
      <c r="B655" s="15">
        <v>2008</v>
      </c>
      <c r="C655" s="1" t="s">
        <v>32</v>
      </c>
      <c r="D655" s="1" t="s">
        <v>219</v>
      </c>
      <c r="E655" s="15" t="s">
        <v>225</v>
      </c>
      <c r="F655" s="1" t="s">
        <v>36</v>
      </c>
      <c r="G655" s="16">
        <v>2366.1799999999998</v>
      </c>
      <c r="H655" s="92">
        <f>P655</f>
        <v>2523.9512462867506</v>
      </c>
      <c r="I655" s="92">
        <f>(+G655*H655)/2000</f>
        <v>2986.0614799693917</v>
      </c>
      <c r="J655" s="92"/>
      <c r="K655" s="17" t="s">
        <v>225</v>
      </c>
      <c r="L655" s="18">
        <v>0.10448</v>
      </c>
      <c r="M655" s="19">
        <v>503740</v>
      </c>
      <c r="N655" s="19">
        <f>(M655*L655)</f>
        <v>52630.7552</v>
      </c>
      <c r="O655" s="19">
        <v>41705.048999999999</v>
      </c>
      <c r="P655" s="19">
        <f>(N655*2000)/O655</f>
        <v>2523.9512462867506</v>
      </c>
      <c r="Q655" s="15" t="s">
        <v>255</v>
      </c>
    </row>
    <row r="656" spans="1:17" x14ac:dyDescent="0.25">
      <c r="A656" s="91">
        <v>1005</v>
      </c>
      <c r="B656" s="15">
        <v>2008</v>
      </c>
      <c r="C656" s="1" t="s">
        <v>32</v>
      </c>
      <c r="D656" s="1" t="s">
        <v>219</v>
      </c>
      <c r="E656" s="15" t="s">
        <v>125</v>
      </c>
      <c r="F656" s="1" t="s">
        <v>37</v>
      </c>
      <c r="G656" s="16">
        <v>1746.732</v>
      </c>
      <c r="H656" s="92">
        <v>0</v>
      </c>
      <c r="I656" s="92">
        <f>(H656*G656)/2000</f>
        <v>0</v>
      </c>
      <c r="J656" s="92"/>
      <c r="K656" s="17" t="s">
        <v>226</v>
      </c>
      <c r="M656" s="19"/>
      <c r="N656" s="19"/>
      <c r="O656" s="19"/>
      <c r="P656" s="19"/>
    </row>
    <row r="657" spans="1:17" x14ac:dyDescent="0.25">
      <c r="A657" s="91">
        <v>1006</v>
      </c>
      <c r="B657" s="15">
        <v>2008</v>
      </c>
      <c r="C657" s="1" t="s">
        <v>32</v>
      </c>
      <c r="D657" s="1" t="s">
        <v>219</v>
      </c>
      <c r="E657" s="15" t="s">
        <v>227</v>
      </c>
      <c r="F657" s="1" t="s">
        <v>38</v>
      </c>
      <c r="G657" s="16">
        <v>128135</v>
      </c>
      <c r="H657" s="92">
        <f>P657</f>
        <v>4609.4725050143998</v>
      </c>
      <c r="I657" s="92">
        <f>(+G657*H657)/2000</f>
        <v>295317.37971501006</v>
      </c>
      <c r="J657" s="92"/>
      <c r="K657" s="17" t="s">
        <v>228</v>
      </c>
      <c r="L657" s="18">
        <v>0.11289</v>
      </c>
      <c r="M657" s="19">
        <v>2615893</v>
      </c>
      <c r="N657" s="19">
        <f>(M657*L657)</f>
        <v>295308.16077000002</v>
      </c>
      <c r="O657" s="19">
        <v>128131</v>
      </c>
      <c r="P657" s="19">
        <f>(N657*2000)/O657</f>
        <v>4609.4725050143998</v>
      </c>
      <c r="Q657" s="15" t="s">
        <v>255</v>
      </c>
    </row>
    <row r="658" spans="1:17" x14ac:dyDescent="0.25">
      <c r="A658" s="91">
        <v>1008</v>
      </c>
      <c r="B658" s="15">
        <v>2008</v>
      </c>
      <c r="C658" s="1" t="s">
        <v>32</v>
      </c>
      <c r="D658" s="1" t="s">
        <v>219</v>
      </c>
      <c r="E658" s="15" t="s">
        <v>125</v>
      </c>
      <c r="F658" s="1" t="s">
        <v>40</v>
      </c>
      <c r="G658" s="16">
        <v>651.84</v>
      </c>
      <c r="H658" s="92">
        <v>0</v>
      </c>
      <c r="I658" s="92">
        <f>(H658*G658)/2000</f>
        <v>0</v>
      </c>
      <c r="J658" s="92"/>
      <c r="K658" s="17" t="s">
        <v>223</v>
      </c>
      <c r="M658" s="19"/>
      <c r="N658" s="19"/>
      <c r="O658" s="19"/>
      <c r="P658" s="19"/>
    </row>
    <row r="659" spans="1:17" x14ac:dyDescent="0.25">
      <c r="A659" s="91">
        <v>1009</v>
      </c>
      <c r="B659" s="15">
        <v>2008</v>
      </c>
      <c r="C659" s="1" t="s">
        <v>32</v>
      </c>
      <c r="D659" s="1" t="s">
        <v>219</v>
      </c>
      <c r="E659" s="15" t="s">
        <v>123</v>
      </c>
      <c r="F659" s="1" t="s">
        <v>41</v>
      </c>
      <c r="G659" s="16">
        <v>491579.42</v>
      </c>
      <c r="H659" s="92">
        <f>P659</f>
        <v>873.94129317441275</v>
      </c>
      <c r="I659" s="92">
        <f>(+G659*H659)/2000</f>
        <v>214805.77700636387</v>
      </c>
      <c r="J659" s="92"/>
      <c r="K659" s="17" t="s">
        <v>224</v>
      </c>
      <c r="L659" s="18">
        <v>5.8439999999999999E-2</v>
      </c>
      <c r="M659" s="19">
        <v>4568893</v>
      </c>
      <c r="N659" s="19">
        <f>(M659*L659)</f>
        <v>267006.10691999999</v>
      </c>
      <c r="O659" s="19">
        <v>611039</v>
      </c>
      <c r="P659" s="19">
        <f>(N659*2000)/O659</f>
        <v>873.94129317441275</v>
      </c>
      <c r="Q659" s="15" t="s">
        <v>255</v>
      </c>
    </row>
    <row r="660" spans="1:17" x14ac:dyDescent="0.25">
      <c r="A660" s="91">
        <v>1010</v>
      </c>
      <c r="B660" s="15">
        <v>2008</v>
      </c>
      <c r="C660" s="1" t="s">
        <v>32</v>
      </c>
      <c r="D660" s="1" t="s">
        <v>219</v>
      </c>
      <c r="E660" s="15" t="s">
        <v>125</v>
      </c>
      <c r="F660" s="1" t="s">
        <v>42</v>
      </c>
      <c r="G660" s="16">
        <v>73323</v>
      </c>
      <c r="H660" s="92">
        <v>0</v>
      </c>
      <c r="I660" s="92">
        <f>(H660*G660)/2000</f>
        <v>0</v>
      </c>
      <c r="J660" s="92"/>
      <c r="K660" s="17" t="s">
        <v>223</v>
      </c>
      <c r="M660" s="19"/>
      <c r="N660" s="19"/>
      <c r="O660" s="19"/>
      <c r="P660" s="19"/>
    </row>
    <row r="661" spans="1:17" x14ac:dyDescent="0.25">
      <c r="A661" s="91">
        <v>1011</v>
      </c>
      <c r="B661" s="15">
        <v>2008</v>
      </c>
      <c r="C661" s="1" t="s">
        <v>32</v>
      </c>
      <c r="D661" s="1" t="s">
        <v>219</v>
      </c>
      <c r="E661" s="15" t="s">
        <v>125</v>
      </c>
      <c r="F661" s="1" t="s">
        <v>43</v>
      </c>
      <c r="G661" s="16">
        <v>11993.8</v>
      </c>
      <c r="H661" s="92">
        <v>0</v>
      </c>
      <c r="I661" s="92">
        <f>(H661*G661)/2000</f>
        <v>0</v>
      </c>
      <c r="J661" s="92"/>
      <c r="K661" s="17" t="s">
        <v>223</v>
      </c>
      <c r="M661" s="19"/>
      <c r="N661" s="19"/>
      <c r="O661" s="19"/>
      <c r="P661" s="19"/>
    </row>
    <row r="662" spans="1:17" x14ac:dyDescent="0.25">
      <c r="A662" s="91">
        <v>1013</v>
      </c>
      <c r="B662" s="15">
        <v>2008</v>
      </c>
      <c r="C662" s="1" t="s">
        <v>44</v>
      </c>
      <c r="D662" s="1" t="s">
        <v>216</v>
      </c>
      <c r="E662" s="15" t="s">
        <v>217</v>
      </c>
      <c r="F662" s="1" t="s">
        <v>47</v>
      </c>
      <c r="G662" s="16">
        <v>228885.04</v>
      </c>
      <c r="H662" s="93">
        <f>'Emission Rates Net-by-Count'!$D$6</f>
        <v>1024.4699545804308</v>
      </c>
      <c r="I662" s="16">
        <f t="shared" ref="I662:I693" si="23">(G662*H662)/2000</f>
        <v>117242.92326647004</v>
      </c>
      <c r="M662" s="19"/>
      <c r="N662" s="19"/>
      <c r="O662" s="19"/>
      <c r="P662" s="19"/>
    </row>
    <row r="663" spans="1:17" x14ac:dyDescent="0.25">
      <c r="A663" s="91">
        <v>1014</v>
      </c>
      <c r="B663" s="15">
        <v>2008</v>
      </c>
      <c r="C663" s="1" t="s">
        <v>44</v>
      </c>
      <c r="D663" s="1" t="s">
        <v>216</v>
      </c>
      <c r="E663" s="15" t="s">
        <v>217</v>
      </c>
      <c r="F663" s="1" t="s">
        <v>127</v>
      </c>
      <c r="G663" s="16">
        <v>54188</v>
      </c>
      <c r="H663" s="93">
        <f>'Emission Rates Net-by-Count'!$D$6</f>
        <v>1024.4699545804308</v>
      </c>
      <c r="I663" s="16">
        <f t="shared" si="23"/>
        <v>27756.988949402192</v>
      </c>
      <c r="M663" s="19"/>
      <c r="N663" s="19"/>
      <c r="O663" s="19"/>
      <c r="P663" s="19"/>
    </row>
    <row r="664" spans="1:17" x14ac:dyDescent="0.25">
      <c r="A664" s="91">
        <v>1015</v>
      </c>
      <c r="B664" s="15">
        <v>2008</v>
      </c>
      <c r="C664" s="1" t="s">
        <v>44</v>
      </c>
      <c r="D664" s="1" t="s">
        <v>216</v>
      </c>
      <c r="E664" s="15" t="s">
        <v>217</v>
      </c>
      <c r="F664" s="1" t="s">
        <v>128</v>
      </c>
      <c r="G664" s="16">
        <v>82433</v>
      </c>
      <c r="H664" s="93">
        <f>'Emission Rates Net-by-Count'!$D$6</f>
        <v>1024.4699545804308</v>
      </c>
      <c r="I664" s="16">
        <f t="shared" si="23"/>
        <v>42225.065882964329</v>
      </c>
      <c r="M664" s="19"/>
      <c r="N664" s="19"/>
      <c r="O664" s="19"/>
      <c r="P664" s="19"/>
    </row>
    <row r="665" spans="1:17" x14ac:dyDescent="0.25">
      <c r="A665" s="91">
        <v>1016</v>
      </c>
      <c r="B665" s="15">
        <v>2008</v>
      </c>
      <c r="C665" s="1" t="s">
        <v>44</v>
      </c>
      <c r="D665" s="1" t="s">
        <v>216</v>
      </c>
      <c r="E665" s="15" t="s">
        <v>217</v>
      </c>
      <c r="F665" s="1" t="s">
        <v>49</v>
      </c>
      <c r="G665" s="16">
        <v>5473</v>
      </c>
      <c r="H665" s="93">
        <f>'Emission Rates Net-by-Count'!$D$6</f>
        <v>1024.4699545804308</v>
      </c>
      <c r="I665" s="16">
        <f t="shared" si="23"/>
        <v>2803.4620307093492</v>
      </c>
      <c r="M665" s="19"/>
      <c r="N665" s="19"/>
      <c r="O665" s="19"/>
      <c r="P665" s="19"/>
    </row>
    <row r="666" spans="1:17" x14ac:dyDescent="0.25">
      <c r="A666" s="91">
        <v>1017</v>
      </c>
      <c r="B666" s="15">
        <v>2008</v>
      </c>
      <c r="C666" s="1" t="s">
        <v>44</v>
      </c>
      <c r="D666" s="1" t="s">
        <v>216</v>
      </c>
      <c r="E666" s="15" t="s">
        <v>217</v>
      </c>
      <c r="F666" s="1" t="s">
        <v>50</v>
      </c>
      <c r="G666" s="16">
        <v>4193</v>
      </c>
      <c r="H666" s="93">
        <f>'Emission Rates Net-by-Count'!$D$6</f>
        <v>1024.4699545804308</v>
      </c>
      <c r="I666" s="16">
        <f t="shared" si="23"/>
        <v>2147.8012597778734</v>
      </c>
      <c r="M666" s="19"/>
      <c r="N666" s="19"/>
      <c r="O666" s="19"/>
      <c r="P666" s="19"/>
    </row>
    <row r="667" spans="1:17" x14ac:dyDescent="0.25">
      <c r="A667" s="91">
        <v>1018</v>
      </c>
      <c r="B667" s="15">
        <v>2008</v>
      </c>
      <c r="C667" s="1" t="s">
        <v>44</v>
      </c>
      <c r="D667" s="1" t="s">
        <v>216</v>
      </c>
      <c r="E667" s="15" t="s">
        <v>217</v>
      </c>
      <c r="F667" s="1" t="s">
        <v>51</v>
      </c>
      <c r="G667" s="16">
        <v>-1458513</v>
      </c>
      <c r="H667" s="93">
        <f>'Emission Rates Net-by-Count'!$D$6</f>
        <v>1024.4699545804308</v>
      </c>
      <c r="I667" s="16">
        <f t="shared" si="23"/>
        <v>-747101.37343248387</v>
      </c>
      <c r="M667" s="19"/>
      <c r="N667" s="19"/>
      <c r="O667" s="19"/>
      <c r="P667" s="19"/>
    </row>
    <row r="668" spans="1:17" x14ac:dyDescent="0.25">
      <c r="A668" s="91">
        <v>1019</v>
      </c>
      <c r="B668" s="15">
        <v>2008</v>
      </c>
      <c r="C668" s="1" t="s">
        <v>44</v>
      </c>
      <c r="D668" s="1" t="s">
        <v>216</v>
      </c>
      <c r="E668" s="15" t="s">
        <v>217</v>
      </c>
      <c r="F668" s="1" t="s">
        <v>52</v>
      </c>
      <c r="G668" s="16">
        <v>8471</v>
      </c>
      <c r="H668" s="93">
        <f>'Emission Rates Net-by-Count'!$D$6</f>
        <v>1024.4699545804308</v>
      </c>
      <c r="I668" s="16">
        <f t="shared" si="23"/>
        <v>4339.142492625414</v>
      </c>
      <c r="M668" s="19"/>
      <c r="N668" s="19"/>
      <c r="O668" s="19"/>
      <c r="P668" s="19"/>
    </row>
    <row r="669" spans="1:17" x14ac:dyDescent="0.25">
      <c r="A669" s="91">
        <v>1020</v>
      </c>
      <c r="B669" s="15">
        <v>2008</v>
      </c>
      <c r="C669" s="1" t="s">
        <v>44</v>
      </c>
      <c r="D669" s="1" t="s">
        <v>216</v>
      </c>
      <c r="E669" s="15" t="s">
        <v>217</v>
      </c>
      <c r="F669" s="1" t="s">
        <v>21</v>
      </c>
      <c r="G669" s="16">
        <v>287771</v>
      </c>
      <c r="H669" s="93">
        <f>'Emission Rates Net-by-Count'!$D$6</f>
        <v>1024.4699545804308</v>
      </c>
      <c r="I669" s="16">
        <f t="shared" si="23"/>
        <v>147406.37164978258</v>
      </c>
      <c r="M669" s="19"/>
      <c r="N669" s="19"/>
      <c r="O669" s="19"/>
      <c r="P669" s="19"/>
    </row>
    <row r="670" spans="1:17" x14ac:dyDescent="0.25">
      <c r="A670" s="91">
        <v>1021</v>
      </c>
      <c r="B670" s="15">
        <v>2008</v>
      </c>
      <c r="C670" s="1" t="s">
        <v>44</v>
      </c>
      <c r="D670" s="1" t="s">
        <v>216</v>
      </c>
      <c r="E670" s="15" t="s">
        <v>217</v>
      </c>
      <c r="F670" s="1" t="s">
        <v>53</v>
      </c>
      <c r="G670" s="16">
        <v>1205</v>
      </c>
      <c r="H670" s="93">
        <f>'Emission Rates Net-by-Count'!$D$6</f>
        <v>1024.4699545804308</v>
      </c>
      <c r="I670" s="16">
        <f t="shared" si="23"/>
        <v>617.24314763470966</v>
      </c>
      <c r="M670" s="19"/>
      <c r="N670" s="19"/>
      <c r="O670" s="19"/>
      <c r="P670" s="19"/>
    </row>
    <row r="671" spans="1:17" x14ac:dyDescent="0.25">
      <c r="A671" s="91">
        <v>1022</v>
      </c>
      <c r="B671" s="15">
        <v>2008</v>
      </c>
      <c r="C671" s="1" t="s">
        <v>44</v>
      </c>
      <c r="D671" s="1" t="s">
        <v>216</v>
      </c>
      <c r="E671" s="15" t="s">
        <v>217</v>
      </c>
      <c r="F671" s="1" t="s">
        <v>56</v>
      </c>
      <c r="G671" s="16">
        <v>156466</v>
      </c>
      <c r="H671" s="93">
        <f>'Emission Rates Net-by-Count'!$D$6</f>
        <v>1024.4699545804308</v>
      </c>
      <c r="I671" s="16">
        <f t="shared" si="23"/>
        <v>80147.357956690845</v>
      </c>
      <c r="M671" s="19"/>
      <c r="N671" s="19"/>
      <c r="O671" s="19"/>
      <c r="P671" s="19"/>
    </row>
    <row r="672" spans="1:17" x14ac:dyDescent="0.25">
      <c r="A672" s="91">
        <v>1023</v>
      </c>
      <c r="B672" s="15">
        <v>2008</v>
      </c>
      <c r="C672" s="1" t="s">
        <v>44</v>
      </c>
      <c r="D672" s="1" t="s">
        <v>216</v>
      </c>
      <c r="E672" s="15" t="s">
        <v>217</v>
      </c>
      <c r="F672" s="1" t="s">
        <v>57</v>
      </c>
      <c r="G672" s="16">
        <v>60076</v>
      </c>
      <c r="H672" s="93">
        <f>'Emission Rates Net-by-Count'!$D$6</f>
        <v>1024.4699545804308</v>
      </c>
      <c r="I672" s="16">
        <f t="shared" si="23"/>
        <v>30773.02849568698</v>
      </c>
      <c r="M672" s="19"/>
      <c r="N672" s="19"/>
      <c r="O672" s="19"/>
      <c r="P672" s="19"/>
    </row>
    <row r="673" spans="1:16" x14ac:dyDescent="0.25">
      <c r="A673" s="91">
        <v>1024</v>
      </c>
      <c r="B673" s="15">
        <v>2008</v>
      </c>
      <c r="C673" s="1" t="s">
        <v>44</v>
      </c>
      <c r="D673" s="1" t="s">
        <v>216</v>
      </c>
      <c r="E673" s="15" t="s">
        <v>217</v>
      </c>
      <c r="F673" s="1" t="s">
        <v>58</v>
      </c>
      <c r="G673" s="16">
        <v>176981</v>
      </c>
      <c r="H673" s="93">
        <f>'Emission Rates Net-by-Count'!$D$6</f>
        <v>1024.4699545804308</v>
      </c>
      <c r="I673" s="16">
        <f t="shared" si="23"/>
        <v>90655.858515799613</v>
      </c>
      <c r="M673" s="19"/>
      <c r="N673" s="19"/>
      <c r="O673" s="19"/>
      <c r="P673" s="19"/>
    </row>
    <row r="674" spans="1:16" x14ac:dyDescent="0.25">
      <c r="A674" s="91">
        <v>1025</v>
      </c>
      <c r="B674" s="15">
        <v>2008</v>
      </c>
      <c r="C674" s="1" t="s">
        <v>44</v>
      </c>
      <c r="D674" s="1" t="s">
        <v>216</v>
      </c>
      <c r="E674" s="15" t="s">
        <v>217</v>
      </c>
      <c r="F674" s="1" t="s">
        <v>59</v>
      </c>
      <c r="G674" s="16">
        <v>29829</v>
      </c>
      <c r="H674" s="93">
        <f>'Emission Rates Net-by-Count'!$D$6</f>
        <v>1024.4699545804308</v>
      </c>
      <c r="I674" s="16">
        <f t="shared" si="23"/>
        <v>15279.457137589834</v>
      </c>
      <c r="M674" s="19"/>
      <c r="N674" s="19"/>
      <c r="O674" s="19"/>
      <c r="P674" s="19"/>
    </row>
    <row r="675" spans="1:16" x14ac:dyDescent="0.25">
      <c r="A675" s="91">
        <v>1026</v>
      </c>
      <c r="B675" s="15">
        <v>2008</v>
      </c>
      <c r="C675" s="1" t="s">
        <v>44</v>
      </c>
      <c r="D675" s="1" t="s">
        <v>216</v>
      </c>
      <c r="E675" s="15" t="s">
        <v>217</v>
      </c>
      <c r="F675" s="1" t="s">
        <v>60</v>
      </c>
      <c r="G675" s="16">
        <v>260284</v>
      </c>
      <c r="H675" s="93">
        <f>'Emission Rates Net-by-Count'!$D$6</f>
        <v>1024.4699545804308</v>
      </c>
      <c r="I675" s="16">
        <f t="shared" si="23"/>
        <v>133326.56882900643</v>
      </c>
      <c r="M675" s="19"/>
      <c r="N675" s="19"/>
      <c r="O675" s="19"/>
      <c r="P675" s="19"/>
    </row>
    <row r="676" spans="1:16" x14ac:dyDescent="0.25">
      <c r="A676" s="91">
        <v>1027</v>
      </c>
      <c r="B676" s="15">
        <v>2008</v>
      </c>
      <c r="C676" s="1" t="s">
        <v>44</v>
      </c>
      <c r="D676" s="1" t="s">
        <v>216</v>
      </c>
      <c r="E676" s="15" t="s">
        <v>217</v>
      </c>
      <c r="F676" s="1" t="s">
        <v>61</v>
      </c>
      <c r="G676" s="16">
        <v>447128</v>
      </c>
      <c r="H676" s="93">
        <f>'Emission Rates Net-by-Count'!$D$6</f>
        <v>1024.4699545804308</v>
      </c>
      <c r="I676" s="16">
        <f t="shared" si="23"/>
        <v>229034.60092581942</v>
      </c>
      <c r="M676" s="19"/>
      <c r="N676" s="19"/>
      <c r="O676" s="19"/>
      <c r="P676" s="19"/>
    </row>
    <row r="677" spans="1:16" x14ac:dyDescent="0.25">
      <c r="A677" s="91">
        <v>1028</v>
      </c>
      <c r="B677" s="15">
        <v>2008</v>
      </c>
      <c r="C677" s="1" t="s">
        <v>44</v>
      </c>
      <c r="D677" s="1" t="s">
        <v>216</v>
      </c>
      <c r="E677" s="15" t="s">
        <v>217</v>
      </c>
      <c r="F677" s="1" t="s">
        <v>146</v>
      </c>
      <c r="G677" s="16">
        <v>30330</v>
      </c>
      <c r="H677" s="93">
        <f>'Emission Rates Net-by-Count'!$D$6</f>
        <v>1024.4699545804308</v>
      </c>
      <c r="I677" s="16">
        <f t="shared" si="23"/>
        <v>15536.086861212232</v>
      </c>
      <c r="M677" s="19"/>
      <c r="N677" s="19"/>
      <c r="O677" s="19"/>
      <c r="P677" s="19"/>
    </row>
    <row r="678" spans="1:16" x14ac:dyDescent="0.25">
      <c r="A678" s="91">
        <v>1029</v>
      </c>
      <c r="B678" s="15">
        <v>2008</v>
      </c>
      <c r="C678" s="1" t="s">
        <v>44</v>
      </c>
      <c r="D678" s="1" t="s">
        <v>216</v>
      </c>
      <c r="E678" s="15" t="s">
        <v>217</v>
      </c>
      <c r="F678" s="1" t="s">
        <v>147</v>
      </c>
      <c r="G678" s="16">
        <v>28450</v>
      </c>
      <c r="H678" s="93">
        <f>'Emission Rates Net-by-Count'!$D$6</f>
        <v>1024.4699545804308</v>
      </c>
      <c r="I678" s="16">
        <f t="shared" si="23"/>
        <v>14573.085103906627</v>
      </c>
      <c r="M678" s="19"/>
      <c r="N678" s="19"/>
      <c r="O678" s="19"/>
      <c r="P678" s="19"/>
    </row>
    <row r="679" spans="1:16" x14ac:dyDescent="0.25">
      <c r="A679" s="91">
        <v>1030</v>
      </c>
      <c r="B679" s="15">
        <v>2008</v>
      </c>
      <c r="C679" s="1" t="s">
        <v>44</v>
      </c>
      <c r="D679" s="1" t="s">
        <v>216</v>
      </c>
      <c r="E679" s="15" t="s">
        <v>217</v>
      </c>
      <c r="F679" s="1" t="s">
        <v>131</v>
      </c>
      <c r="G679" s="16">
        <v>43073</v>
      </c>
      <c r="H679" s="93">
        <f>'Emission Rates Net-by-Count'!$D$6</f>
        <v>1024.4699545804308</v>
      </c>
      <c r="I679" s="16">
        <f t="shared" si="23"/>
        <v>22063.497176821449</v>
      </c>
      <c r="M679" s="19"/>
      <c r="N679" s="19"/>
      <c r="O679" s="19"/>
      <c r="P679" s="19"/>
    </row>
    <row r="680" spans="1:16" x14ac:dyDescent="0.25">
      <c r="A680" s="91">
        <v>1031</v>
      </c>
      <c r="B680" s="15">
        <v>2008</v>
      </c>
      <c r="C680" s="1" t="s">
        <v>44</v>
      </c>
      <c r="D680" s="1" t="s">
        <v>216</v>
      </c>
      <c r="E680" s="15" t="s">
        <v>217</v>
      </c>
      <c r="F680" s="1" t="s">
        <v>62</v>
      </c>
      <c r="G680" s="16">
        <v>239272</v>
      </c>
      <c r="H680" s="93">
        <f>'Emission Rates Net-by-Count'!$D$6</f>
        <v>1024.4699545804308</v>
      </c>
      <c r="I680" s="16">
        <f t="shared" si="23"/>
        <v>122563.48748618441</v>
      </c>
      <c r="M680" s="19"/>
      <c r="N680" s="19"/>
      <c r="O680" s="19"/>
      <c r="P680" s="19"/>
    </row>
    <row r="681" spans="1:16" x14ac:dyDescent="0.25">
      <c r="A681" s="91">
        <v>1032</v>
      </c>
      <c r="B681" s="15">
        <v>2008</v>
      </c>
      <c r="C681" s="1" t="s">
        <v>44</v>
      </c>
      <c r="D681" s="1" t="s">
        <v>216</v>
      </c>
      <c r="E681" s="15" t="s">
        <v>217</v>
      </c>
      <c r="F681" s="1" t="s">
        <v>63</v>
      </c>
      <c r="G681" s="16">
        <v>868</v>
      </c>
      <c r="H681" s="93">
        <f>'Emission Rates Net-by-Count'!$D$6</f>
        <v>1024.4699545804308</v>
      </c>
      <c r="I681" s="16">
        <f t="shared" si="23"/>
        <v>444.61996028790696</v>
      </c>
      <c r="M681" s="19"/>
      <c r="N681" s="19"/>
      <c r="O681" s="19"/>
      <c r="P681" s="19"/>
    </row>
    <row r="682" spans="1:16" x14ac:dyDescent="0.25">
      <c r="A682" s="91">
        <v>1033</v>
      </c>
      <c r="B682" s="15">
        <v>2008</v>
      </c>
      <c r="C682" s="1" t="s">
        <v>44</v>
      </c>
      <c r="D682" s="1" t="s">
        <v>216</v>
      </c>
      <c r="E682" s="15" t="s">
        <v>217</v>
      </c>
      <c r="F682" s="1" t="s">
        <v>65</v>
      </c>
      <c r="G682" s="16">
        <v>123300</v>
      </c>
      <c r="H682" s="93">
        <f>'Emission Rates Net-by-Count'!$D$6</f>
        <v>1024.4699545804308</v>
      </c>
      <c r="I682" s="16">
        <f t="shared" si="23"/>
        <v>63158.57269988356</v>
      </c>
      <c r="M682" s="19"/>
      <c r="N682" s="19"/>
      <c r="O682" s="19"/>
      <c r="P682" s="19"/>
    </row>
    <row r="683" spans="1:16" x14ac:dyDescent="0.25">
      <c r="A683" s="91">
        <v>1034</v>
      </c>
      <c r="B683" s="15">
        <v>2008</v>
      </c>
      <c r="C683" s="1" t="s">
        <v>44</v>
      </c>
      <c r="D683" s="1" t="s">
        <v>216</v>
      </c>
      <c r="E683" s="15" t="s">
        <v>217</v>
      </c>
      <c r="F683" s="1" t="s">
        <v>132</v>
      </c>
      <c r="G683" s="16">
        <v>145965</v>
      </c>
      <c r="H683" s="93">
        <f>'Emission Rates Net-by-Count'!$D$6</f>
        <v>1024.4699545804308</v>
      </c>
      <c r="I683" s="16">
        <f t="shared" si="23"/>
        <v>74768.378460166292</v>
      </c>
      <c r="M683" s="19"/>
      <c r="N683" s="19"/>
      <c r="O683" s="19"/>
      <c r="P683" s="19"/>
    </row>
    <row r="684" spans="1:16" x14ac:dyDescent="0.25">
      <c r="A684" s="91">
        <v>1035</v>
      </c>
      <c r="B684" s="15">
        <v>2008</v>
      </c>
      <c r="C684" s="1" t="s">
        <v>44</v>
      </c>
      <c r="D684" s="1" t="s">
        <v>216</v>
      </c>
      <c r="E684" s="15" t="s">
        <v>217</v>
      </c>
      <c r="F684" s="1" t="s">
        <v>66</v>
      </c>
      <c r="G684" s="16">
        <v>4960</v>
      </c>
      <c r="H684" s="93">
        <f>'Emission Rates Net-by-Count'!$D$6</f>
        <v>1024.4699545804308</v>
      </c>
      <c r="I684" s="16">
        <f t="shared" si="23"/>
        <v>2540.6854873594684</v>
      </c>
      <c r="M684" s="19"/>
      <c r="N684" s="19"/>
      <c r="O684" s="19"/>
      <c r="P684" s="19"/>
    </row>
    <row r="685" spans="1:16" x14ac:dyDescent="0.25">
      <c r="A685" s="91">
        <v>1036</v>
      </c>
      <c r="B685" s="15">
        <v>2008</v>
      </c>
      <c r="C685" s="1" t="s">
        <v>44</v>
      </c>
      <c r="D685" s="1" t="s">
        <v>216</v>
      </c>
      <c r="E685" s="15" t="s">
        <v>217</v>
      </c>
      <c r="F685" s="1" t="s">
        <v>67</v>
      </c>
      <c r="G685" s="16">
        <v>40063</v>
      </c>
      <c r="H685" s="93">
        <f>'Emission Rates Net-by-Count'!$D$6</f>
        <v>1024.4699545804308</v>
      </c>
      <c r="I685" s="16">
        <f t="shared" si="23"/>
        <v>20521.6698951779</v>
      </c>
      <c r="M685" s="19"/>
      <c r="N685" s="19"/>
      <c r="O685" s="19"/>
      <c r="P685" s="19"/>
    </row>
    <row r="686" spans="1:16" x14ac:dyDescent="0.25">
      <c r="A686" s="91">
        <v>1037</v>
      </c>
      <c r="B686" s="15">
        <v>2008</v>
      </c>
      <c r="C686" s="1" t="s">
        <v>44</v>
      </c>
      <c r="D686" s="1" t="s">
        <v>216</v>
      </c>
      <c r="E686" s="15" t="s">
        <v>217</v>
      </c>
      <c r="F686" s="1" t="s">
        <v>68</v>
      </c>
      <c r="G686" s="16">
        <v>10385</v>
      </c>
      <c r="H686" s="93">
        <f>'Emission Rates Net-by-Count'!$D$6</f>
        <v>1024.4699545804308</v>
      </c>
      <c r="I686" s="16">
        <f t="shared" si="23"/>
        <v>5319.5602391588864</v>
      </c>
      <c r="M686" s="19"/>
      <c r="N686" s="19"/>
      <c r="O686" s="19"/>
      <c r="P686" s="19"/>
    </row>
    <row r="687" spans="1:16" x14ac:dyDescent="0.25">
      <c r="A687" s="91">
        <v>1038</v>
      </c>
      <c r="B687" s="15">
        <v>2008</v>
      </c>
      <c r="C687" s="1" t="s">
        <v>44</v>
      </c>
      <c r="D687" s="1" t="s">
        <v>216</v>
      </c>
      <c r="E687" s="15" t="s">
        <v>217</v>
      </c>
      <c r="F687" s="1" t="s">
        <v>148</v>
      </c>
      <c r="G687" s="16">
        <v>14297</v>
      </c>
      <c r="H687" s="93">
        <f>'Emission Rates Net-by-Count'!$D$6</f>
        <v>1024.4699545804308</v>
      </c>
      <c r="I687" s="16">
        <f t="shared" si="23"/>
        <v>7323.4234703182092</v>
      </c>
      <c r="M687" s="19"/>
      <c r="N687" s="19"/>
      <c r="O687" s="19"/>
      <c r="P687" s="19"/>
    </row>
    <row r="688" spans="1:16" x14ac:dyDescent="0.25">
      <c r="A688" s="91">
        <v>1039</v>
      </c>
      <c r="B688" s="15">
        <v>2008</v>
      </c>
      <c r="C688" s="1" t="s">
        <v>44</v>
      </c>
      <c r="D688" s="1" t="s">
        <v>216</v>
      </c>
      <c r="E688" s="15" t="s">
        <v>217</v>
      </c>
      <c r="F688" s="1" t="s">
        <v>121</v>
      </c>
      <c r="G688" s="16">
        <v>2000</v>
      </c>
      <c r="H688" s="93">
        <f>'Emission Rates Net-by-Count'!$D$6</f>
        <v>1024.4699545804308</v>
      </c>
      <c r="I688" s="16">
        <f t="shared" si="23"/>
        <v>1024.4699545804308</v>
      </c>
      <c r="M688" s="19"/>
      <c r="N688" s="19"/>
      <c r="O688" s="19"/>
      <c r="P688" s="19"/>
    </row>
    <row r="689" spans="1:16" x14ac:dyDescent="0.25">
      <c r="A689" s="91">
        <v>1040</v>
      </c>
      <c r="B689" s="15">
        <v>2008</v>
      </c>
      <c r="C689" s="1" t="s">
        <v>44</v>
      </c>
      <c r="D689" s="1" t="s">
        <v>216</v>
      </c>
      <c r="E689" s="15" t="s">
        <v>217</v>
      </c>
      <c r="F689" s="1" t="s">
        <v>69</v>
      </c>
      <c r="G689" s="16">
        <v>448401</v>
      </c>
      <c r="H689" s="93">
        <f>'Emission Rates Net-by-Count'!$D$6</f>
        <v>1024.4699545804308</v>
      </c>
      <c r="I689" s="16">
        <f t="shared" si="23"/>
        <v>229686.67605190986</v>
      </c>
      <c r="M689" s="19"/>
      <c r="N689" s="19"/>
      <c r="O689" s="19"/>
      <c r="P689" s="19"/>
    </row>
    <row r="690" spans="1:16" x14ac:dyDescent="0.25">
      <c r="A690" s="91">
        <v>1041</v>
      </c>
      <c r="B690" s="15">
        <v>2008</v>
      </c>
      <c r="C690" s="1" t="s">
        <v>44</v>
      </c>
      <c r="D690" s="1" t="s">
        <v>216</v>
      </c>
      <c r="E690" s="15" t="s">
        <v>217</v>
      </c>
      <c r="F690" s="1" t="s">
        <v>71</v>
      </c>
      <c r="G690" s="16">
        <v>55219</v>
      </c>
      <c r="H690" s="93">
        <f>'Emission Rates Net-by-Count'!$D$6</f>
        <v>1024.4699545804308</v>
      </c>
      <c r="I690" s="16">
        <f t="shared" si="23"/>
        <v>28285.103210988404</v>
      </c>
      <c r="M690" s="19"/>
      <c r="N690" s="19"/>
      <c r="O690" s="19"/>
      <c r="P690" s="19"/>
    </row>
    <row r="691" spans="1:16" x14ac:dyDescent="0.25">
      <c r="A691" s="91">
        <v>1042</v>
      </c>
      <c r="B691" s="15">
        <v>2008</v>
      </c>
      <c r="C691" s="1" t="s">
        <v>44</v>
      </c>
      <c r="D691" s="1" t="s">
        <v>216</v>
      </c>
      <c r="E691" s="15" t="s">
        <v>217</v>
      </c>
      <c r="F691" s="1" t="s">
        <v>157</v>
      </c>
      <c r="G691" s="16">
        <v>2400</v>
      </c>
      <c r="H691" s="93">
        <f>'Emission Rates Net-by-Count'!$D$6</f>
        <v>1024.4699545804308</v>
      </c>
      <c r="I691" s="16">
        <f t="shared" si="23"/>
        <v>1229.3639454965171</v>
      </c>
      <c r="M691" s="19"/>
      <c r="N691" s="19"/>
      <c r="O691" s="19"/>
      <c r="P691" s="19"/>
    </row>
    <row r="692" spans="1:16" x14ac:dyDescent="0.25">
      <c r="A692" s="91">
        <v>1043</v>
      </c>
      <c r="B692" s="15">
        <v>2008</v>
      </c>
      <c r="C692" s="1" t="s">
        <v>44</v>
      </c>
      <c r="D692" s="1" t="s">
        <v>216</v>
      </c>
      <c r="E692" s="15" t="s">
        <v>217</v>
      </c>
      <c r="F692" s="1" t="s">
        <v>72</v>
      </c>
      <c r="G692" s="16">
        <v>36400</v>
      </c>
      <c r="H692" s="93">
        <f>'Emission Rates Net-by-Count'!$D$6</f>
        <v>1024.4699545804308</v>
      </c>
      <c r="I692" s="16">
        <f t="shared" si="23"/>
        <v>18645.353173363841</v>
      </c>
      <c r="M692" s="19"/>
      <c r="N692" s="19"/>
      <c r="O692" s="19"/>
      <c r="P692" s="19"/>
    </row>
    <row r="693" spans="1:16" x14ac:dyDescent="0.25">
      <c r="A693" s="91">
        <v>1044</v>
      </c>
      <c r="B693" s="15">
        <v>2008</v>
      </c>
      <c r="C693" s="1" t="s">
        <v>44</v>
      </c>
      <c r="D693" s="1" t="s">
        <v>216</v>
      </c>
      <c r="E693" s="15" t="s">
        <v>217</v>
      </c>
      <c r="F693" s="1" t="s">
        <v>133</v>
      </c>
      <c r="G693" s="16">
        <v>96579</v>
      </c>
      <c r="H693" s="93">
        <f>'Emission Rates Net-by-Count'!$D$6</f>
        <v>1024.4699545804308</v>
      </c>
      <c r="I693" s="16">
        <f t="shared" si="23"/>
        <v>49471.141871711719</v>
      </c>
      <c r="M693" s="19"/>
      <c r="N693" s="19"/>
      <c r="O693" s="19"/>
      <c r="P693" s="19"/>
    </row>
    <row r="694" spans="1:16" x14ac:dyDescent="0.25">
      <c r="A694" s="91">
        <v>1045</v>
      </c>
      <c r="B694" s="15">
        <v>2008</v>
      </c>
      <c r="C694" s="1" t="s">
        <v>44</v>
      </c>
      <c r="D694" s="1" t="s">
        <v>216</v>
      </c>
      <c r="E694" s="15" t="s">
        <v>217</v>
      </c>
      <c r="F694" s="1" t="s">
        <v>135</v>
      </c>
      <c r="G694" s="16">
        <v>14444</v>
      </c>
      <c r="H694" s="93">
        <f>'Emission Rates Net-by-Count'!$D$6</f>
        <v>1024.4699545804308</v>
      </c>
      <c r="I694" s="16">
        <f t="shared" ref="I694:I725" si="24">(G694*H694)/2000</f>
        <v>7398.7220119798712</v>
      </c>
      <c r="M694" s="19"/>
      <c r="N694" s="19"/>
      <c r="O694" s="19"/>
      <c r="P694" s="19"/>
    </row>
    <row r="695" spans="1:16" x14ac:dyDescent="0.25">
      <c r="A695" s="91">
        <v>1046</v>
      </c>
      <c r="B695" s="15">
        <v>2008</v>
      </c>
      <c r="C695" s="1" t="s">
        <v>44</v>
      </c>
      <c r="D695" s="1" t="s">
        <v>216</v>
      </c>
      <c r="E695" s="15" t="s">
        <v>217</v>
      </c>
      <c r="F695" s="1" t="s">
        <v>74</v>
      </c>
      <c r="G695" s="16">
        <v>480</v>
      </c>
      <c r="H695" s="93">
        <f>'Emission Rates Net-by-Count'!$D$6</f>
        <v>1024.4699545804308</v>
      </c>
      <c r="I695" s="16">
        <f t="shared" si="24"/>
        <v>245.87278909930339</v>
      </c>
      <c r="M695" s="19"/>
      <c r="N695" s="19"/>
      <c r="O695" s="19"/>
      <c r="P695" s="19"/>
    </row>
    <row r="696" spans="1:16" x14ac:dyDescent="0.25">
      <c r="A696" s="91">
        <v>1047</v>
      </c>
      <c r="B696" s="15">
        <v>2008</v>
      </c>
      <c r="C696" s="1" t="s">
        <v>44</v>
      </c>
      <c r="D696" s="1" t="s">
        <v>216</v>
      </c>
      <c r="E696" s="15" t="s">
        <v>217</v>
      </c>
      <c r="F696" s="1" t="s">
        <v>158</v>
      </c>
      <c r="G696" s="16">
        <v>285</v>
      </c>
      <c r="H696" s="93">
        <f>'Emission Rates Net-by-Count'!$D$6</f>
        <v>1024.4699545804308</v>
      </c>
      <c r="I696" s="16">
        <f t="shared" si="24"/>
        <v>145.98696852771138</v>
      </c>
      <c r="M696" s="19"/>
      <c r="N696" s="19"/>
      <c r="O696" s="19"/>
      <c r="P696" s="19"/>
    </row>
    <row r="697" spans="1:16" x14ac:dyDescent="0.25">
      <c r="A697" s="91">
        <v>1048</v>
      </c>
      <c r="B697" s="15">
        <v>2008</v>
      </c>
      <c r="C697" s="1" t="s">
        <v>44</v>
      </c>
      <c r="D697" s="1" t="s">
        <v>216</v>
      </c>
      <c r="E697" s="15" t="s">
        <v>217</v>
      </c>
      <c r="F697" s="1" t="s">
        <v>77</v>
      </c>
      <c r="G697" s="16">
        <v>430</v>
      </c>
      <c r="H697" s="93">
        <f>'Emission Rates Net-by-Count'!$D$6</f>
        <v>1024.4699545804308</v>
      </c>
      <c r="I697" s="16">
        <f t="shared" si="24"/>
        <v>220.26104023479263</v>
      </c>
      <c r="M697" s="19"/>
      <c r="N697" s="19"/>
      <c r="O697" s="19"/>
      <c r="P697" s="19"/>
    </row>
    <row r="698" spans="1:16" x14ac:dyDescent="0.25">
      <c r="A698" s="91">
        <v>1049</v>
      </c>
      <c r="B698" s="15">
        <v>2008</v>
      </c>
      <c r="C698" s="1" t="s">
        <v>44</v>
      </c>
      <c r="D698" s="1" t="s">
        <v>216</v>
      </c>
      <c r="E698" s="15" t="s">
        <v>217</v>
      </c>
      <c r="F698" s="1" t="s">
        <v>78</v>
      </c>
      <c r="G698" s="16">
        <v>1248783</v>
      </c>
      <c r="H698" s="93">
        <f>'Emission Rates Net-by-Count'!$D$6</f>
        <v>1024.4699545804308</v>
      </c>
      <c r="I698" s="16">
        <f t="shared" si="24"/>
        <v>639670.33164540713</v>
      </c>
      <c r="M698" s="19"/>
      <c r="N698" s="19"/>
      <c r="O698" s="19"/>
      <c r="P698" s="19"/>
    </row>
    <row r="699" spans="1:16" x14ac:dyDescent="0.25">
      <c r="A699" s="91">
        <v>1050</v>
      </c>
      <c r="B699" s="15">
        <v>2008</v>
      </c>
      <c r="C699" s="1" t="s">
        <v>44</v>
      </c>
      <c r="D699" s="1" t="s">
        <v>216</v>
      </c>
      <c r="E699" s="15" t="s">
        <v>217</v>
      </c>
      <c r="F699" s="1" t="s">
        <v>79</v>
      </c>
      <c r="G699" s="16">
        <v>439</v>
      </c>
      <c r="H699" s="93">
        <f>'Emission Rates Net-by-Count'!$D$6</f>
        <v>1024.4699545804308</v>
      </c>
      <c r="I699" s="16">
        <f t="shared" si="24"/>
        <v>224.87115503040457</v>
      </c>
      <c r="M699" s="19"/>
      <c r="N699" s="19"/>
      <c r="O699" s="19"/>
      <c r="P699" s="19"/>
    </row>
    <row r="700" spans="1:16" x14ac:dyDescent="0.25">
      <c r="A700" s="91">
        <v>1051</v>
      </c>
      <c r="B700" s="15">
        <v>2008</v>
      </c>
      <c r="C700" s="1" t="s">
        <v>44</v>
      </c>
      <c r="D700" s="1" t="s">
        <v>216</v>
      </c>
      <c r="E700" s="15" t="s">
        <v>217</v>
      </c>
      <c r="F700" s="1" t="s">
        <v>81</v>
      </c>
      <c r="G700" s="16">
        <v>8475</v>
      </c>
      <c r="H700" s="93">
        <f>'Emission Rates Net-by-Count'!$D$6</f>
        <v>1024.4699545804308</v>
      </c>
      <c r="I700" s="16">
        <f t="shared" si="24"/>
        <v>4341.1914325345751</v>
      </c>
      <c r="M700" s="19"/>
      <c r="N700" s="19"/>
      <c r="O700" s="19"/>
      <c r="P700" s="19"/>
    </row>
    <row r="701" spans="1:16" x14ac:dyDescent="0.25">
      <c r="A701" s="91">
        <v>1052</v>
      </c>
      <c r="B701" s="15">
        <v>2008</v>
      </c>
      <c r="C701" s="1" t="s">
        <v>44</v>
      </c>
      <c r="D701" s="1" t="s">
        <v>216</v>
      </c>
      <c r="E701" s="15" t="s">
        <v>217</v>
      </c>
      <c r="F701" s="1" t="s">
        <v>82</v>
      </c>
      <c r="G701" s="16">
        <v>27923</v>
      </c>
      <c r="H701" s="93">
        <f>'Emission Rates Net-by-Count'!$D$6</f>
        <v>1024.4699545804308</v>
      </c>
      <c r="I701" s="16">
        <f t="shared" si="24"/>
        <v>14303.137270874684</v>
      </c>
      <c r="M701" s="19"/>
      <c r="N701" s="19"/>
      <c r="O701" s="19"/>
      <c r="P701" s="19"/>
    </row>
    <row r="702" spans="1:16" x14ac:dyDescent="0.25">
      <c r="A702" s="91">
        <v>1053</v>
      </c>
      <c r="B702" s="15">
        <v>2008</v>
      </c>
      <c r="C702" s="1" t="s">
        <v>44</v>
      </c>
      <c r="D702" s="1" t="s">
        <v>216</v>
      </c>
      <c r="E702" s="15" t="s">
        <v>217</v>
      </c>
      <c r="F702" s="1" t="s">
        <v>137</v>
      </c>
      <c r="G702" s="16">
        <v>200</v>
      </c>
      <c r="H702" s="93">
        <f>'Emission Rates Net-by-Count'!$D$6</f>
        <v>1024.4699545804308</v>
      </c>
      <c r="I702" s="16">
        <f t="shared" si="24"/>
        <v>102.44699545804308</v>
      </c>
      <c r="M702" s="19"/>
      <c r="N702" s="19"/>
      <c r="O702" s="19"/>
      <c r="P702" s="19"/>
    </row>
    <row r="703" spans="1:16" x14ac:dyDescent="0.25">
      <c r="A703" s="91">
        <v>1054</v>
      </c>
      <c r="B703" s="15">
        <v>2008</v>
      </c>
      <c r="C703" s="1" t="s">
        <v>44</v>
      </c>
      <c r="D703" s="1" t="s">
        <v>216</v>
      </c>
      <c r="E703" s="15" t="s">
        <v>217</v>
      </c>
      <c r="F703" s="1" t="s">
        <v>83</v>
      </c>
      <c r="G703" s="16">
        <v>3660</v>
      </c>
      <c r="H703" s="93">
        <f>'Emission Rates Net-by-Count'!$D$6</f>
        <v>1024.4699545804308</v>
      </c>
      <c r="I703" s="16">
        <f t="shared" si="24"/>
        <v>1874.7800168821884</v>
      </c>
      <c r="M703" s="19"/>
      <c r="N703" s="19"/>
      <c r="O703" s="19"/>
      <c r="P703" s="19"/>
    </row>
    <row r="704" spans="1:16" x14ac:dyDescent="0.25">
      <c r="A704" s="91">
        <v>1055</v>
      </c>
      <c r="B704" s="15">
        <v>2008</v>
      </c>
      <c r="C704" s="1" t="s">
        <v>44</v>
      </c>
      <c r="D704" s="1" t="s">
        <v>216</v>
      </c>
      <c r="E704" s="15" t="s">
        <v>217</v>
      </c>
      <c r="F704" s="1" t="s">
        <v>84</v>
      </c>
      <c r="G704" s="16">
        <v>156918</v>
      </c>
      <c r="H704" s="93">
        <f>'Emission Rates Net-by-Count'!$D$6</f>
        <v>1024.4699545804308</v>
      </c>
      <c r="I704" s="16">
        <f t="shared" si="24"/>
        <v>80378.888166426012</v>
      </c>
      <c r="M704" s="19"/>
      <c r="N704" s="19"/>
      <c r="O704" s="19"/>
      <c r="P704" s="19"/>
    </row>
    <row r="705" spans="1:16" x14ac:dyDescent="0.25">
      <c r="A705" s="91">
        <v>1056</v>
      </c>
      <c r="B705" s="15">
        <v>2008</v>
      </c>
      <c r="C705" s="1" t="s">
        <v>44</v>
      </c>
      <c r="D705" s="1" t="s">
        <v>216</v>
      </c>
      <c r="E705" s="15" t="s">
        <v>217</v>
      </c>
      <c r="F705" s="1" t="s">
        <v>149</v>
      </c>
      <c r="G705" s="16">
        <v>82391</v>
      </c>
      <c r="H705" s="93">
        <f>'Emission Rates Net-by-Count'!$D$6</f>
        <v>1024.4699545804308</v>
      </c>
      <c r="I705" s="16">
        <f t="shared" si="24"/>
        <v>42203.552013918139</v>
      </c>
      <c r="M705" s="19"/>
      <c r="N705" s="19"/>
      <c r="O705" s="19"/>
      <c r="P705" s="19"/>
    </row>
    <row r="706" spans="1:16" x14ac:dyDescent="0.25">
      <c r="A706" s="91">
        <v>1057</v>
      </c>
      <c r="B706" s="15">
        <v>2008</v>
      </c>
      <c r="C706" s="1" t="s">
        <v>44</v>
      </c>
      <c r="D706" s="1" t="s">
        <v>216</v>
      </c>
      <c r="E706" s="15" t="s">
        <v>217</v>
      </c>
      <c r="F706" s="1" t="s">
        <v>85</v>
      </c>
      <c r="G706" s="16">
        <v>290962</v>
      </c>
      <c r="H706" s="93">
        <f>'Emission Rates Net-by-Count'!$D$6</f>
        <v>1024.4699545804308</v>
      </c>
      <c r="I706" s="16">
        <f t="shared" si="24"/>
        <v>149040.91346231566</v>
      </c>
      <c r="M706" s="19"/>
      <c r="N706" s="19"/>
      <c r="O706" s="19"/>
      <c r="P706" s="19"/>
    </row>
    <row r="707" spans="1:16" x14ac:dyDescent="0.25">
      <c r="A707" s="91">
        <v>1058</v>
      </c>
      <c r="B707" s="15">
        <v>2008</v>
      </c>
      <c r="C707" s="1" t="s">
        <v>44</v>
      </c>
      <c r="D707" s="1" t="s">
        <v>216</v>
      </c>
      <c r="E707" s="15" t="s">
        <v>217</v>
      </c>
      <c r="F707" s="1" t="s">
        <v>138</v>
      </c>
      <c r="G707" s="16">
        <v>506</v>
      </c>
      <c r="H707" s="93">
        <f>'Emission Rates Net-by-Count'!$D$6</f>
        <v>1024.4699545804308</v>
      </c>
      <c r="I707" s="16">
        <f t="shared" si="24"/>
        <v>259.19089850884899</v>
      </c>
      <c r="M707" s="19"/>
      <c r="N707" s="19"/>
      <c r="O707" s="19"/>
      <c r="P707" s="19"/>
    </row>
    <row r="708" spans="1:16" x14ac:dyDescent="0.25">
      <c r="A708" s="91">
        <v>1059</v>
      </c>
      <c r="B708" s="15">
        <v>2008</v>
      </c>
      <c r="C708" s="1" t="s">
        <v>44</v>
      </c>
      <c r="D708" s="1" t="s">
        <v>216</v>
      </c>
      <c r="E708" s="15" t="s">
        <v>217</v>
      </c>
      <c r="F708" s="1" t="s">
        <v>87</v>
      </c>
      <c r="G708" s="16">
        <v>106316</v>
      </c>
      <c r="H708" s="93">
        <f>'Emission Rates Net-by-Count'!$D$6</f>
        <v>1024.4699545804308</v>
      </c>
      <c r="I708" s="16">
        <f t="shared" si="24"/>
        <v>54458.77384558654</v>
      </c>
      <c r="M708" s="19"/>
      <c r="N708" s="19"/>
      <c r="O708" s="19"/>
      <c r="P708" s="19"/>
    </row>
    <row r="709" spans="1:16" x14ac:dyDescent="0.25">
      <c r="A709" s="91">
        <v>1060</v>
      </c>
      <c r="B709" s="15">
        <v>2008</v>
      </c>
      <c r="C709" s="1" t="s">
        <v>44</v>
      </c>
      <c r="D709" s="1" t="s">
        <v>216</v>
      </c>
      <c r="E709" s="15" t="s">
        <v>217</v>
      </c>
      <c r="F709" s="1" t="s">
        <v>88</v>
      </c>
      <c r="G709" s="16">
        <v>352187</v>
      </c>
      <c r="H709" s="93">
        <f>'Emission Rates Net-by-Count'!$D$6</f>
        <v>1024.4699545804308</v>
      </c>
      <c r="I709" s="16">
        <f t="shared" si="24"/>
        <v>180402.49994690911</v>
      </c>
      <c r="M709" s="19"/>
      <c r="N709" s="19"/>
      <c r="O709" s="19"/>
      <c r="P709" s="19"/>
    </row>
    <row r="710" spans="1:16" x14ac:dyDescent="0.25">
      <c r="A710" s="91">
        <v>1061</v>
      </c>
      <c r="B710" s="15">
        <v>2008</v>
      </c>
      <c r="C710" s="1" t="s">
        <v>44</v>
      </c>
      <c r="D710" s="1" t="s">
        <v>216</v>
      </c>
      <c r="E710" s="15" t="s">
        <v>217</v>
      </c>
      <c r="F710" s="1" t="s">
        <v>90</v>
      </c>
      <c r="G710" s="16">
        <v>9806</v>
      </c>
      <c r="H710" s="93">
        <f>'Emission Rates Net-by-Count'!$D$6</f>
        <v>1024.4699545804308</v>
      </c>
      <c r="I710" s="16">
        <f t="shared" si="24"/>
        <v>5022.9761873078523</v>
      </c>
      <c r="M710" s="19"/>
      <c r="N710" s="19"/>
      <c r="O710" s="19"/>
      <c r="P710" s="19"/>
    </row>
    <row r="711" spans="1:16" x14ac:dyDescent="0.25">
      <c r="A711" s="91">
        <v>1062</v>
      </c>
      <c r="B711" s="15">
        <v>2008</v>
      </c>
      <c r="C711" s="1" t="s">
        <v>44</v>
      </c>
      <c r="D711" s="1" t="s">
        <v>216</v>
      </c>
      <c r="E711" s="15" t="s">
        <v>217</v>
      </c>
      <c r="F711" s="1" t="s">
        <v>91</v>
      </c>
      <c r="G711" s="16">
        <v>82452</v>
      </c>
      <c r="H711" s="93">
        <f>'Emission Rates Net-by-Count'!$D$6</f>
        <v>1024.4699545804308</v>
      </c>
      <c r="I711" s="16">
        <f t="shared" si="24"/>
        <v>42234.798347532836</v>
      </c>
      <c r="M711" s="19"/>
      <c r="N711" s="19"/>
      <c r="O711" s="19"/>
      <c r="P711" s="19"/>
    </row>
    <row r="712" spans="1:16" x14ac:dyDescent="0.25">
      <c r="A712" s="91">
        <v>1063</v>
      </c>
      <c r="B712" s="15">
        <v>2008</v>
      </c>
      <c r="C712" s="1" t="s">
        <v>44</v>
      </c>
      <c r="D712" s="1" t="s">
        <v>216</v>
      </c>
      <c r="E712" s="15" t="s">
        <v>217</v>
      </c>
      <c r="F712" s="1" t="s">
        <v>92</v>
      </c>
      <c r="G712" s="16">
        <v>1284</v>
      </c>
      <c r="H712" s="93">
        <f>'Emission Rates Net-by-Count'!$D$6</f>
        <v>1024.4699545804308</v>
      </c>
      <c r="I712" s="16">
        <f t="shared" si="24"/>
        <v>657.70971084063649</v>
      </c>
      <c r="M712" s="19"/>
      <c r="N712" s="19"/>
      <c r="O712" s="19"/>
      <c r="P712" s="19"/>
    </row>
    <row r="713" spans="1:16" x14ac:dyDescent="0.25">
      <c r="A713" s="91">
        <v>1064</v>
      </c>
      <c r="B713" s="15">
        <v>2008</v>
      </c>
      <c r="C713" s="1" t="s">
        <v>44</v>
      </c>
      <c r="D713" s="1" t="s">
        <v>216</v>
      </c>
      <c r="E713" s="15" t="s">
        <v>217</v>
      </c>
      <c r="F713" s="1" t="s">
        <v>93</v>
      </c>
      <c r="G713" s="16">
        <v>2095</v>
      </c>
      <c r="H713" s="93">
        <f>'Emission Rates Net-by-Count'!$D$6</f>
        <v>1024.4699545804308</v>
      </c>
      <c r="I713" s="16">
        <f t="shared" si="24"/>
        <v>1073.1322774230014</v>
      </c>
      <c r="M713" s="19"/>
      <c r="N713" s="19"/>
      <c r="O713" s="19"/>
      <c r="P713" s="19"/>
    </row>
    <row r="714" spans="1:16" x14ac:dyDescent="0.25">
      <c r="A714" s="91">
        <v>1065</v>
      </c>
      <c r="B714" s="15">
        <v>2008</v>
      </c>
      <c r="C714" s="1" t="s">
        <v>44</v>
      </c>
      <c r="D714" s="1" t="s">
        <v>216</v>
      </c>
      <c r="E714" s="15" t="s">
        <v>217</v>
      </c>
      <c r="F714" s="1" t="s">
        <v>94</v>
      </c>
      <c r="G714" s="16">
        <v>1032</v>
      </c>
      <c r="H714" s="93">
        <f>'Emission Rates Net-by-Count'!$D$6</f>
        <v>1024.4699545804308</v>
      </c>
      <c r="I714" s="16">
        <f t="shared" si="24"/>
        <v>528.6264965635022</v>
      </c>
      <c r="M714" s="19"/>
      <c r="N714" s="19"/>
      <c r="O714" s="19"/>
      <c r="P714" s="19"/>
    </row>
    <row r="715" spans="1:16" x14ac:dyDescent="0.25">
      <c r="A715" s="91">
        <v>1066</v>
      </c>
      <c r="B715" s="15">
        <v>2008</v>
      </c>
      <c r="C715" s="1" t="s">
        <v>44</v>
      </c>
      <c r="D715" s="1" t="s">
        <v>216</v>
      </c>
      <c r="E715" s="15" t="s">
        <v>217</v>
      </c>
      <c r="F715" s="1" t="s">
        <v>95</v>
      </c>
      <c r="G715" s="16">
        <v>113723</v>
      </c>
      <c r="H715" s="93">
        <f>'Emission Rates Net-by-Count'!$D$6</f>
        <v>1024.4699545804308</v>
      </c>
      <c r="I715" s="16">
        <f t="shared" si="24"/>
        <v>58252.898322375164</v>
      </c>
      <c r="M715" s="19"/>
      <c r="N715" s="19"/>
      <c r="O715" s="19"/>
      <c r="P715" s="19"/>
    </row>
    <row r="716" spans="1:16" x14ac:dyDescent="0.25">
      <c r="A716" s="91">
        <v>1067</v>
      </c>
      <c r="B716" s="15">
        <v>2008</v>
      </c>
      <c r="C716" s="1" t="s">
        <v>44</v>
      </c>
      <c r="D716" s="1" t="s">
        <v>216</v>
      </c>
      <c r="E716" s="15" t="s">
        <v>217</v>
      </c>
      <c r="F716" s="1" t="s">
        <v>96</v>
      </c>
      <c r="G716" s="16">
        <v>894356</v>
      </c>
      <c r="H716" s="93">
        <f>'Emission Rates Net-by-Count'!$D$6</f>
        <v>1024.4699545804308</v>
      </c>
      <c r="I716" s="16">
        <f t="shared" si="24"/>
        <v>458120.42534936784</v>
      </c>
      <c r="M716" s="19"/>
      <c r="N716" s="19"/>
      <c r="O716" s="19"/>
      <c r="P716" s="19"/>
    </row>
    <row r="717" spans="1:16" x14ac:dyDescent="0.25">
      <c r="A717" s="91">
        <v>1068</v>
      </c>
      <c r="B717" s="15">
        <v>2008</v>
      </c>
      <c r="C717" s="1" t="s">
        <v>44</v>
      </c>
      <c r="D717" s="1" t="s">
        <v>216</v>
      </c>
      <c r="E717" s="15" t="s">
        <v>217</v>
      </c>
      <c r="F717" s="1" t="s">
        <v>97</v>
      </c>
      <c r="G717" s="16">
        <v>940286</v>
      </c>
      <c r="H717" s="93">
        <f>'Emission Rates Net-by-Count'!$D$6</f>
        <v>1024.4699545804308</v>
      </c>
      <c r="I717" s="16">
        <f t="shared" si="24"/>
        <v>481647.37785630743</v>
      </c>
      <c r="M717" s="19"/>
      <c r="N717" s="19"/>
      <c r="O717" s="19"/>
      <c r="P717" s="19"/>
    </row>
    <row r="718" spans="1:16" x14ac:dyDescent="0.25">
      <c r="A718" s="91">
        <v>1069</v>
      </c>
      <c r="B718" s="15">
        <v>2008</v>
      </c>
      <c r="C718" s="1" t="s">
        <v>44</v>
      </c>
      <c r="D718" s="1" t="s">
        <v>216</v>
      </c>
      <c r="E718" s="15" t="s">
        <v>217</v>
      </c>
      <c r="F718" s="1" t="s">
        <v>98</v>
      </c>
      <c r="G718" s="16">
        <v>7828</v>
      </c>
      <c r="H718" s="93">
        <f>'Emission Rates Net-by-Count'!$D$6</f>
        <v>1024.4699545804308</v>
      </c>
      <c r="I718" s="16">
        <f t="shared" si="24"/>
        <v>4009.7754022278059</v>
      </c>
      <c r="M718" s="19"/>
      <c r="N718" s="19"/>
      <c r="O718" s="19"/>
      <c r="P718" s="19"/>
    </row>
    <row r="719" spans="1:16" x14ac:dyDescent="0.25">
      <c r="A719" s="91">
        <v>1070</v>
      </c>
      <c r="B719" s="15">
        <v>2008</v>
      </c>
      <c r="C719" s="1" t="s">
        <v>44</v>
      </c>
      <c r="D719" s="1" t="s">
        <v>216</v>
      </c>
      <c r="E719" s="15" t="s">
        <v>217</v>
      </c>
      <c r="F719" s="1" t="s">
        <v>99</v>
      </c>
      <c r="G719" s="16">
        <v>1820</v>
      </c>
      <c r="H719" s="93">
        <f>'Emission Rates Net-by-Count'!$D$6</f>
        <v>1024.4699545804308</v>
      </c>
      <c r="I719" s="16">
        <f t="shared" si="24"/>
        <v>932.26765866819198</v>
      </c>
      <c r="M719" s="19"/>
      <c r="N719" s="19"/>
      <c r="O719" s="19"/>
      <c r="P719" s="19"/>
    </row>
    <row r="720" spans="1:16" x14ac:dyDescent="0.25">
      <c r="A720" s="91">
        <v>1071</v>
      </c>
      <c r="B720" s="15">
        <v>2008</v>
      </c>
      <c r="C720" s="1" t="s">
        <v>44</v>
      </c>
      <c r="D720" s="1" t="s">
        <v>216</v>
      </c>
      <c r="E720" s="15" t="s">
        <v>217</v>
      </c>
      <c r="F720" s="1" t="s">
        <v>100</v>
      </c>
      <c r="G720" s="16">
        <v>76572</v>
      </c>
      <c r="H720" s="93">
        <f>'Emission Rates Net-by-Count'!$D$6</f>
        <v>1024.4699545804308</v>
      </c>
      <c r="I720" s="16">
        <f t="shared" si="24"/>
        <v>39222.856681066369</v>
      </c>
      <c r="M720" s="19"/>
      <c r="N720" s="19"/>
      <c r="O720" s="19"/>
      <c r="P720" s="19"/>
    </row>
    <row r="721" spans="1:16" x14ac:dyDescent="0.25">
      <c r="A721" s="91">
        <v>1072</v>
      </c>
      <c r="B721" s="15">
        <v>2008</v>
      </c>
      <c r="C721" s="1" t="s">
        <v>44</v>
      </c>
      <c r="D721" s="1" t="s">
        <v>216</v>
      </c>
      <c r="E721" s="15" t="s">
        <v>217</v>
      </c>
      <c r="F721" s="1" t="s">
        <v>101</v>
      </c>
      <c r="G721" s="16">
        <v>6100</v>
      </c>
      <c r="H721" s="93">
        <f>'Emission Rates Net-by-Count'!$D$6</f>
        <v>1024.4699545804308</v>
      </c>
      <c r="I721" s="16">
        <f t="shared" si="24"/>
        <v>3124.633361470314</v>
      </c>
      <c r="M721" s="19"/>
      <c r="N721" s="19"/>
      <c r="O721" s="19"/>
      <c r="P721" s="19"/>
    </row>
    <row r="722" spans="1:16" x14ac:dyDescent="0.25">
      <c r="A722" s="91">
        <v>1073</v>
      </c>
      <c r="B722" s="15">
        <v>2008</v>
      </c>
      <c r="C722" s="1" t="s">
        <v>44</v>
      </c>
      <c r="D722" s="1" t="s">
        <v>216</v>
      </c>
      <c r="E722" s="15" t="s">
        <v>217</v>
      </c>
      <c r="F722" s="1" t="s">
        <v>102</v>
      </c>
      <c r="G722" s="16">
        <v>24295</v>
      </c>
      <c r="H722" s="93">
        <f>'Emission Rates Net-by-Count'!$D$6</f>
        <v>1024.4699545804308</v>
      </c>
      <c r="I722" s="16">
        <f t="shared" si="24"/>
        <v>12444.748773265783</v>
      </c>
      <c r="M722" s="19"/>
      <c r="N722" s="19"/>
      <c r="O722" s="19"/>
      <c r="P722" s="19"/>
    </row>
    <row r="723" spans="1:16" x14ac:dyDescent="0.25">
      <c r="A723" s="91">
        <v>1074</v>
      </c>
      <c r="B723" s="15">
        <v>2008</v>
      </c>
      <c r="C723" s="1" t="s">
        <v>44</v>
      </c>
      <c r="D723" s="1" t="s">
        <v>216</v>
      </c>
      <c r="E723" s="15" t="s">
        <v>217</v>
      </c>
      <c r="F723" s="1" t="s">
        <v>103</v>
      </c>
      <c r="G723" s="16">
        <v>100697</v>
      </c>
      <c r="H723" s="93">
        <f>'Emission Rates Net-by-Count'!$D$6</f>
        <v>1024.4699545804308</v>
      </c>
      <c r="I723" s="16">
        <f t="shared" si="24"/>
        <v>51580.525508192819</v>
      </c>
      <c r="M723" s="19"/>
      <c r="N723" s="19"/>
      <c r="O723" s="19"/>
      <c r="P723" s="19"/>
    </row>
    <row r="724" spans="1:16" x14ac:dyDescent="0.25">
      <c r="A724" s="91">
        <v>1075</v>
      </c>
      <c r="B724" s="15">
        <v>2008</v>
      </c>
      <c r="C724" s="1" t="s">
        <v>44</v>
      </c>
      <c r="D724" s="1" t="s">
        <v>216</v>
      </c>
      <c r="E724" s="15" t="s">
        <v>217</v>
      </c>
      <c r="F724" s="1" t="s">
        <v>152</v>
      </c>
      <c r="G724" s="16">
        <v>103775</v>
      </c>
      <c r="H724" s="93">
        <f>'Emission Rates Net-by-Count'!$D$6</f>
        <v>1024.4699545804308</v>
      </c>
      <c r="I724" s="16">
        <f t="shared" si="24"/>
        <v>53157.1847682921</v>
      </c>
      <c r="M724" s="19"/>
      <c r="N724" s="19"/>
      <c r="O724" s="19"/>
      <c r="P724" s="19"/>
    </row>
    <row r="725" spans="1:16" x14ac:dyDescent="0.25">
      <c r="A725" s="91">
        <v>1076</v>
      </c>
      <c r="B725" s="15">
        <v>2008</v>
      </c>
      <c r="C725" s="1" t="s">
        <v>44</v>
      </c>
      <c r="D725" s="1" t="s">
        <v>216</v>
      </c>
      <c r="E725" s="15" t="s">
        <v>217</v>
      </c>
      <c r="F725" s="1" t="s">
        <v>41</v>
      </c>
      <c r="G725" s="16">
        <v>114114</v>
      </c>
      <c r="H725" s="93">
        <f>'Emission Rates Net-by-Count'!$D$6</f>
        <v>1024.4699545804308</v>
      </c>
      <c r="I725" s="16">
        <f t="shared" si="24"/>
        <v>58453.18219849564</v>
      </c>
      <c r="M725" s="19"/>
      <c r="N725" s="19"/>
      <c r="O725" s="19"/>
      <c r="P725" s="19"/>
    </row>
    <row r="726" spans="1:16" x14ac:dyDescent="0.25">
      <c r="A726" s="91">
        <v>1077</v>
      </c>
      <c r="B726" s="15">
        <v>2008</v>
      </c>
      <c r="C726" s="1" t="s">
        <v>44</v>
      </c>
      <c r="D726" s="1" t="s">
        <v>216</v>
      </c>
      <c r="E726" s="15" t="s">
        <v>217</v>
      </c>
      <c r="F726" s="1" t="s">
        <v>153</v>
      </c>
      <c r="G726" s="16">
        <v>54630</v>
      </c>
      <c r="H726" s="93">
        <f>'Emission Rates Net-by-Count'!$D$6</f>
        <v>1024.4699545804308</v>
      </c>
      <c r="I726" s="16">
        <f t="shared" ref="I726:I757" si="25">(G726*H726)/2000</f>
        <v>27983.396809364469</v>
      </c>
      <c r="M726" s="19"/>
      <c r="N726" s="19"/>
      <c r="O726" s="19"/>
      <c r="P726" s="19"/>
    </row>
    <row r="727" spans="1:16" x14ac:dyDescent="0.25">
      <c r="A727" s="91">
        <v>1078</v>
      </c>
      <c r="B727" s="15">
        <v>2008</v>
      </c>
      <c r="C727" s="1" t="s">
        <v>44</v>
      </c>
      <c r="D727" s="1" t="s">
        <v>216</v>
      </c>
      <c r="E727" s="15" t="s">
        <v>217</v>
      </c>
      <c r="F727" s="1" t="s">
        <v>104</v>
      </c>
      <c r="G727" s="16">
        <v>583432</v>
      </c>
      <c r="H727" s="93">
        <f>'Emission Rates Net-by-Count'!$D$6</f>
        <v>1024.4699545804308</v>
      </c>
      <c r="I727" s="16">
        <f t="shared" si="25"/>
        <v>298854.27727038495</v>
      </c>
      <c r="M727" s="19"/>
      <c r="N727" s="19"/>
      <c r="O727" s="19"/>
      <c r="P727" s="19"/>
    </row>
    <row r="728" spans="1:16" x14ac:dyDescent="0.25">
      <c r="A728" s="91">
        <v>1079</v>
      </c>
      <c r="B728" s="15">
        <v>2008</v>
      </c>
      <c r="C728" s="1" t="s">
        <v>44</v>
      </c>
      <c r="D728" s="1" t="s">
        <v>216</v>
      </c>
      <c r="E728" s="15" t="s">
        <v>217</v>
      </c>
      <c r="F728" s="1" t="s">
        <v>154</v>
      </c>
      <c r="G728" s="16">
        <v>11288</v>
      </c>
      <c r="H728" s="93">
        <f>'Emission Rates Net-by-Count'!$D$6</f>
        <v>1024.4699545804308</v>
      </c>
      <c r="I728" s="16">
        <f t="shared" si="25"/>
        <v>5782.1084236519509</v>
      </c>
      <c r="M728" s="19"/>
      <c r="N728" s="19"/>
      <c r="O728" s="19"/>
      <c r="P728" s="19"/>
    </row>
    <row r="729" spans="1:16" x14ac:dyDescent="0.25">
      <c r="A729" s="91">
        <v>1080</v>
      </c>
      <c r="B729" s="15">
        <v>2008</v>
      </c>
      <c r="C729" s="1" t="s">
        <v>44</v>
      </c>
      <c r="D729" s="1" t="s">
        <v>216</v>
      </c>
      <c r="E729" s="15" t="s">
        <v>217</v>
      </c>
      <c r="F729" s="1" t="s">
        <v>105</v>
      </c>
      <c r="G729" s="16">
        <v>5120</v>
      </c>
      <c r="H729" s="93">
        <f>'Emission Rates Net-by-Count'!$D$6</f>
        <v>1024.4699545804308</v>
      </c>
      <c r="I729" s="16">
        <f t="shared" si="25"/>
        <v>2622.6430837259027</v>
      </c>
      <c r="M729" s="19"/>
      <c r="N729" s="19"/>
      <c r="O729" s="19"/>
      <c r="P729" s="19"/>
    </row>
    <row r="730" spans="1:16" x14ac:dyDescent="0.25">
      <c r="A730" s="91">
        <v>1081</v>
      </c>
      <c r="B730" s="15">
        <v>2008</v>
      </c>
      <c r="C730" s="1" t="s">
        <v>44</v>
      </c>
      <c r="D730" s="1" t="s">
        <v>216</v>
      </c>
      <c r="E730" s="15" t="s">
        <v>217</v>
      </c>
      <c r="F730" s="1" t="s">
        <v>106</v>
      </c>
      <c r="G730" s="16">
        <v>6176</v>
      </c>
      <c r="H730" s="93">
        <f>'Emission Rates Net-by-Count'!$D$6</f>
        <v>1024.4699545804308</v>
      </c>
      <c r="I730" s="16">
        <f t="shared" si="25"/>
        <v>3163.5632197443701</v>
      </c>
      <c r="M730" s="19"/>
      <c r="N730" s="19"/>
      <c r="O730" s="19"/>
      <c r="P730" s="19"/>
    </row>
    <row r="731" spans="1:16" x14ac:dyDescent="0.25">
      <c r="A731" s="91">
        <v>1082</v>
      </c>
      <c r="B731" s="15">
        <v>2008</v>
      </c>
      <c r="C731" s="1" t="s">
        <v>44</v>
      </c>
      <c r="D731" s="1" t="s">
        <v>216</v>
      </c>
      <c r="E731" s="15" t="s">
        <v>217</v>
      </c>
      <c r="F731" s="1" t="s">
        <v>107</v>
      </c>
      <c r="G731" s="16">
        <v>32800</v>
      </c>
      <c r="H731" s="93">
        <f>'Emission Rates Net-by-Count'!$D$6</f>
        <v>1024.4699545804308</v>
      </c>
      <c r="I731" s="16">
        <f t="shared" si="25"/>
        <v>16801.307255119067</v>
      </c>
      <c r="M731" s="19"/>
      <c r="N731" s="19"/>
      <c r="O731" s="19"/>
      <c r="P731" s="19"/>
    </row>
    <row r="732" spans="1:16" x14ac:dyDescent="0.25">
      <c r="A732" s="91">
        <v>1083</v>
      </c>
      <c r="B732" s="15">
        <v>2008</v>
      </c>
      <c r="C732" s="1" t="s">
        <v>44</v>
      </c>
      <c r="D732" s="1" t="s">
        <v>216</v>
      </c>
      <c r="E732" s="15" t="s">
        <v>217</v>
      </c>
      <c r="F732" s="1" t="s">
        <v>108</v>
      </c>
      <c r="G732" s="16">
        <v>796</v>
      </c>
      <c r="H732" s="93">
        <f>'Emission Rates Net-by-Count'!$D$6</f>
        <v>1024.4699545804308</v>
      </c>
      <c r="I732" s="16">
        <f t="shared" si="25"/>
        <v>407.73904192301148</v>
      </c>
      <c r="M732" s="19"/>
      <c r="N732" s="19"/>
      <c r="O732" s="19"/>
      <c r="P732" s="19"/>
    </row>
    <row r="733" spans="1:16" x14ac:dyDescent="0.25">
      <c r="A733" s="91">
        <v>1085</v>
      </c>
      <c r="B733" s="15">
        <v>2008</v>
      </c>
      <c r="C733" s="1" t="s">
        <v>109</v>
      </c>
      <c r="D733" s="1" t="s">
        <v>216</v>
      </c>
      <c r="E733" s="15" t="s">
        <v>217</v>
      </c>
      <c r="F733" s="1" t="s">
        <v>110</v>
      </c>
      <c r="G733" s="16">
        <v>4649</v>
      </c>
      <c r="H733" s="93">
        <f>'Emission Rates Net-by-Count'!$D$6</f>
        <v>1024.4699545804308</v>
      </c>
      <c r="I733" s="16">
        <f t="shared" si="25"/>
        <v>2381.3804094222114</v>
      </c>
      <c r="M733" s="19"/>
      <c r="N733" s="19"/>
      <c r="O733" s="19"/>
      <c r="P733" s="19"/>
    </row>
    <row r="734" spans="1:16" x14ac:dyDescent="0.25">
      <c r="A734" s="91">
        <v>1086</v>
      </c>
      <c r="B734" s="15">
        <v>2008</v>
      </c>
      <c r="C734" s="1" t="s">
        <v>109</v>
      </c>
      <c r="D734" s="1" t="s">
        <v>216</v>
      </c>
      <c r="E734" s="15" t="s">
        <v>217</v>
      </c>
      <c r="F734" s="1" t="s">
        <v>21</v>
      </c>
      <c r="G734" s="16">
        <v>97704</v>
      </c>
      <c r="H734" s="93">
        <f>'Emission Rates Net-by-Count'!$D$6</f>
        <v>1024.4699545804308</v>
      </c>
      <c r="I734" s="16">
        <f t="shared" si="25"/>
        <v>50047.406221163204</v>
      </c>
      <c r="M734" s="19"/>
      <c r="N734" s="19"/>
      <c r="O734" s="19"/>
      <c r="P734" s="19"/>
    </row>
    <row r="735" spans="1:16" x14ac:dyDescent="0.25">
      <c r="A735" s="91">
        <v>1087</v>
      </c>
      <c r="B735" s="15">
        <v>2008</v>
      </c>
      <c r="C735" s="1" t="s">
        <v>109</v>
      </c>
      <c r="D735" s="1" t="s">
        <v>216</v>
      </c>
      <c r="E735" s="15" t="s">
        <v>217</v>
      </c>
      <c r="F735" s="1" t="s">
        <v>61</v>
      </c>
      <c r="G735" s="16">
        <v>70000</v>
      </c>
      <c r="H735" s="93">
        <f>'Emission Rates Net-by-Count'!$D$6</f>
        <v>1024.4699545804308</v>
      </c>
      <c r="I735" s="16">
        <f t="shared" si="25"/>
        <v>35856.448410315083</v>
      </c>
      <c r="M735" s="19"/>
      <c r="N735" s="19"/>
      <c r="O735" s="19"/>
      <c r="P735" s="19"/>
    </row>
    <row r="736" spans="1:16" x14ac:dyDescent="0.25">
      <c r="A736" s="91">
        <v>1088</v>
      </c>
      <c r="B736" s="15">
        <v>2008</v>
      </c>
      <c r="C736" s="1" t="s">
        <v>109</v>
      </c>
      <c r="D736" s="1" t="s">
        <v>216</v>
      </c>
      <c r="E736" s="15" t="s">
        <v>217</v>
      </c>
      <c r="F736" s="1" t="s">
        <v>114</v>
      </c>
      <c r="G736" s="16">
        <v>-28008</v>
      </c>
      <c r="H736" s="93">
        <f>'Emission Rates Net-by-Count'!$D$6</f>
        <v>1024.4699545804308</v>
      </c>
      <c r="I736" s="16">
        <f t="shared" si="25"/>
        <v>-14346.677243944352</v>
      </c>
      <c r="M736" s="19"/>
      <c r="N736" s="19"/>
      <c r="O736" s="19"/>
      <c r="P736" s="19"/>
    </row>
    <row r="737" spans="1:16" x14ac:dyDescent="0.25">
      <c r="A737" s="91">
        <v>1089</v>
      </c>
      <c r="B737" s="15">
        <v>2008</v>
      </c>
      <c r="C737" s="1" t="s">
        <v>109</v>
      </c>
      <c r="D737" s="1" t="s">
        <v>216</v>
      </c>
      <c r="E737" s="15" t="s">
        <v>217</v>
      </c>
      <c r="F737" s="1" t="s">
        <v>111</v>
      </c>
      <c r="G737" s="16">
        <v>413116</v>
      </c>
      <c r="H737" s="93">
        <f>'Emission Rates Net-by-Count'!$D$6</f>
        <v>1024.4699545804308</v>
      </c>
      <c r="I737" s="16">
        <f t="shared" si="25"/>
        <v>211612.46487822462</v>
      </c>
      <c r="M737" s="19"/>
      <c r="N737" s="19"/>
      <c r="O737" s="19"/>
      <c r="P737" s="19"/>
    </row>
    <row r="738" spans="1:16" x14ac:dyDescent="0.25">
      <c r="A738" s="91">
        <v>1090</v>
      </c>
      <c r="B738" s="15">
        <v>2008</v>
      </c>
      <c r="C738" s="1" t="s">
        <v>109</v>
      </c>
      <c r="D738" s="1" t="s">
        <v>216</v>
      </c>
      <c r="E738" s="15" t="s">
        <v>217</v>
      </c>
      <c r="F738" s="1" t="s">
        <v>112</v>
      </c>
      <c r="G738" s="16">
        <v>25607</v>
      </c>
      <c r="H738" s="93">
        <f>'Emission Rates Net-by-Count'!$D$6</f>
        <v>1024.4699545804308</v>
      </c>
      <c r="I738" s="16">
        <f t="shared" si="25"/>
        <v>13116.801063470546</v>
      </c>
      <c r="M738" s="19"/>
      <c r="N738" s="19"/>
      <c r="O738" s="19"/>
      <c r="P738" s="19"/>
    </row>
    <row r="739" spans="1:16" x14ac:dyDescent="0.25">
      <c r="A739" s="91">
        <v>1091</v>
      </c>
      <c r="B739" s="15">
        <v>2008</v>
      </c>
      <c r="C739" s="1" t="s">
        <v>109</v>
      </c>
      <c r="D739" s="1" t="s">
        <v>216</v>
      </c>
      <c r="E739" s="15" t="s">
        <v>217</v>
      </c>
      <c r="F739" s="1" t="s">
        <v>95</v>
      </c>
      <c r="G739" s="16">
        <v>18800</v>
      </c>
      <c r="H739" s="93">
        <f>'Emission Rates Net-by-Count'!$D$6</f>
        <v>1024.4699545804308</v>
      </c>
      <c r="I739" s="16">
        <f t="shared" si="25"/>
        <v>9630.0175730560495</v>
      </c>
      <c r="M739" s="19"/>
      <c r="N739" s="19"/>
      <c r="O739" s="19"/>
      <c r="P739" s="19"/>
    </row>
    <row r="740" spans="1:16" x14ac:dyDescent="0.25">
      <c r="A740" s="91">
        <v>1092</v>
      </c>
      <c r="B740" s="15">
        <v>2008</v>
      </c>
      <c r="C740" s="1" t="s">
        <v>109</v>
      </c>
      <c r="D740" s="1" t="s">
        <v>216</v>
      </c>
      <c r="E740" s="15" t="s">
        <v>217</v>
      </c>
      <c r="F740" s="1" t="s">
        <v>104</v>
      </c>
      <c r="G740" s="16">
        <v>1099250</v>
      </c>
      <c r="H740" s="93">
        <f>'Emission Rates Net-by-Count'!$D$6</f>
        <v>1024.4699545804308</v>
      </c>
      <c r="I740" s="16">
        <f t="shared" si="25"/>
        <v>563074.29878626927</v>
      </c>
      <c r="M740" s="19"/>
      <c r="N740" s="19"/>
      <c r="O740" s="19"/>
      <c r="P740" s="19"/>
    </row>
    <row r="741" spans="1:16" x14ac:dyDescent="0.25">
      <c r="A741" s="91">
        <v>1094</v>
      </c>
      <c r="B741" s="15">
        <v>2008</v>
      </c>
      <c r="C741" s="1" t="s">
        <v>113</v>
      </c>
      <c r="D741" s="1" t="s">
        <v>216</v>
      </c>
      <c r="E741" s="15" t="s">
        <v>217</v>
      </c>
      <c r="F741" s="1" t="s">
        <v>110</v>
      </c>
      <c r="G741" s="16">
        <v>-4708</v>
      </c>
      <c r="H741" s="93">
        <f>'Emission Rates Net-by-Count'!$D$6</f>
        <v>1024.4699545804308</v>
      </c>
      <c r="I741" s="16">
        <f t="shared" si="25"/>
        <v>-2411.6022730823342</v>
      </c>
      <c r="M741" s="19"/>
      <c r="N741" s="19"/>
      <c r="O741" s="19"/>
      <c r="P741" s="19"/>
    </row>
    <row r="742" spans="1:16" x14ac:dyDescent="0.25">
      <c r="A742" s="91">
        <v>1095</v>
      </c>
      <c r="B742" s="15">
        <v>2008</v>
      </c>
      <c r="C742" s="1" t="s">
        <v>113</v>
      </c>
      <c r="D742" s="1" t="s">
        <v>216</v>
      </c>
      <c r="E742" s="15" t="s">
        <v>217</v>
      </c>
      <c r="F742" s="1" t="s">
        <v>21</v>
      </c>
      <c r="G742" s="16">
        <v>-99125</v>
      </c>
      <c r="H742" s="93">
        <f>'Emission Rates Net-by-Count'!$D$6</f>
        <v>1024.4699545804308</v>
      </c>
      <c r="I742" s="16">
        <f t="shared" si="25"/>
        <v>-50775.292123892599</v>
      </c>
      <c r="M742" s="19"/>
      <c r="N742" s="19"/>
      <c r="O742" s="19"/>
      <c r="P742" s="19"/>
    </row>
    <row r="743" spans="1:16" x14ac:dyDescent="0.25">
      <c r="A743" s="91">
        <v>1096</v>
      </c>
      <c r="B743" s="15">
        <v>2008</v>
      </c>
      <c r="C743" s="1" t="s">
        <v>113</v>
      </c>
      <c r="D743" s="1" t="s">
        <v>216</v>
      </c>
      <c r="E743" s="15" t="s">
        <v>217</v>
      </c>
      <c r="F743" s="1" t="s">
        <v>61</v>
      </c>
      <c r="G743" s="16">
        <v>-70000</v>
      </c>
      <c r="H743" s="93">
        <f>'Emission Rates Net-by-Count'!$D$6</f>
        <v>1024.4699545804308</v>
      </c>
      <c r="I743" s="16">
        <f t="shared" si="25"/>
        <v>-35856.448410315083</v>
      </c>
      <c r="M743" s="19"/>
      <c r="N743" s="19"/>
      <c r="O743" s="19"/>
      <c r="P743" s="19"/>
    </row>
    <row r="744" spans="1:16" x14ac:dyDescent="0.25">
      <c r="A744" s="91">
        <v>1097</v>
      </c>
      <c r="B744" s="15">
        <v>2008</v>
      </c>
      <c r="C744" s="1" t="s">
        <v>113</v>
      </c>
      <c r="D744" s="1" t="s">
        <v>216</v>
      </c>
      <c r="E744" s="15" t="s">
        <v>217</v>
      </c>
      <c r="F744" s="1" t="s">
        <v>111</v>
      </c>
      <c r="G744" s="16">
        <v>-413016</v>
      </c>
      <c r="H744" s="93">
        <f>'Emission Rates Net-by-Count'!$D$6</f>
        <v>1024.4699545804308</v>
      </c>
      <c r="I744" s="16">
        <f t="shared" si="25"/>
        <v>-211561.2413804956</v>
      </c>
      <c r="M744" s="19"/>
      <c r="N744" s="19"/>
      <c r="O744" s="19"/>
      <c r="P744" s="19"/>
    </row>
    <row r="745" spans="1:16" x14ac:dyDescent="0.25">
      <c r="A745" s="91">
        <v>1098</v>
      </c>
      <c r="B745" s="15">
        <v>2008</v>
      </c>
      <c r="C745" s="1" t="s">
        <v>113</v>
      </c>
      <c r="D745" s="1" t="s">
        <v>216</v>
      </c>
      <c r="E745" s="15" t="s">
        <v>217</v>
      </c>
      <c r="F745" s="1" t="s">
        <v>112</v>
      </c>
      <c r="G745" s="16">
        <v>-25607</v>
      </c>
      <c r="H745" s="93">
        <f>'Emission Rates Net-by-Count'!$D$6</f>
        <v>1024.4699545804308</v>
      </c>
      <c r="I745" s="16">
        <f t="shared" si="25"/>
        <v>-13116.801063470546</v>
      </c>
      <c r="M745" s="19"/>
      <c r="N745" s="19"/>
      <c r="O745" s="19"/>
      <c r="P745" s="19"/>
    </row>
    <row r="746" spans="1:16" x14ac:dyDescent="0.25">
      <c r="A746" s="91">
        <v>1099</v>
      </c>
      <c r="B746" s="15">
        <v>2008</v>
      </c>
      <c r="C746" s="1" t="s">
        <v>113</v>
      </c>
      <c r="D746" s="1" t="s">
        <v>216</v>
      </c>
      <c r="E746" s="15" t="s">
        <v>217</v>
      </c>
      <c r="F746" s="1" t="s">
        <v>95</v>
      </c>
      <c r="G746" s="16">
        <v>-18800</v>
      </c>
      <c r="H746" s="93">
        <f>'Emission Rates Net-by-Count'!$D$6</f>
        <v>1024.4699545804308</v>
      </c>
      <c r="I746" s="16">
        <f t="shared" si="25"/>
        <v>-9630.0175730560495</v>
      </c>
      <c r="M746" s="19"/>
      <c r="N746" s="19"/>
      <c r="O746" s="19"/>
      <c r="P746" s="19"/>
    </row>
    <row r="747" spans="1:16" x14ac:dyDescent="0.25">
      <c r="A747" s="91">
        <v>1100</v>
      </c>
      <c r="B747" s="15">
        <v>2008</v>
      </c>
      <c r="C747" s="1" t="s">
        <v>113</v>
      </c>
      <c r="D747" s="1" t="s">
        <v>216</v>
      </c>
      <c r="E747" s="15" t="s">
        <v>217</v>
      </c>
      <c r="F747" s="1" t="s">
        <v>104</v>
      </c>
      <c r="G747" s="16">
        <v>-1099250</v>
      </c>
      <c r="H747" s="93">
        <f>'Emission Rates Net-by-Count'!$D$6</f>
        <v>1024.4699545804308</v>
      </c>
      <c r="I747" s="16">
        <f t="shared" si="25"/>
        <v>-563074.29878626927</v>
      </c>
      <c r="M747" s="19"/>
      <c r="N747" s="19"/>
      <c r="O747" s="19"/>
      <c r="P747" s="19"/>
    </row>
    <row r="748" spans="1:16" x14ac:dyDescent="0.25">
      <c r="A748" s="91">
        <v>1154</v>
      </c>
      <c r="B748" s="15">
        <v>2008</v>
      </c>
      <c r="C748" s="1" t="s">
        <v>120</v>
      </c>
      <c r="D748" s="1" t="s">
        <v>216</v>
      </c>
      <c r="E748" s="15" t="s">
        <v>217</v>
      </c>
      <c r="F748" s="1" t="s">
        <v>45</v>
      </c>
      <c r="G748" s="16">
        <v>-15</v>
      </c>
      <c r="H748" s="93">
        <f>'Emission Rates Net-by-Count'!$D$6</f>
        <v>1024.4699545804308</v>
      </c>
      <c r="I748" s="16">
        <f t="shared" si="25"/>
        <v>-7.6835246593532309</v>
      </c>
      <c r="M748" s="19"/>
      <c r="N748" s="19"/>
      <c r="O748" s="19"/>
      <c r="P748" s="19"/>
    </row>
    <row r="749" spans="1:16" x14ac:dyDescent="0.25">
      <c r="A749" s="91">
        <v>1155</v>
      </c>
      <c r="B749" s="15">
        <v>2008</v>
      </c>
      <c r="C749" s="1" t="s">
        <v>120</v>
      </c>
      <c r="D749" s="1" t="s">
        <v>216</v>
      </c>
      <c r="E749" s="15" t="s">
        <v>217</v>
      </c>
      <c r="F749" s="1" t="s">
        <v>47</v>
      </c>
      <c r="G749" s="16">
        <v>-41915</v>
      </c>
      <c r="H749" s="93">
        <f>'Emission Rates Net-by-Count'!$D$6</f>
        <v>1024.4699545804308</v>
      </c>
      <c r="I749" s="16">
        <f t="shared" si="25"/>
        <v>-21470.329073119381</v>
      </c>
      <c r="M749" s="19"/>
      <c r="N749" s="19"/>
      <c r="O749" s="19"/>
      <c r="P749" s="19"/>
    </row>
    <row r="750" spans="1:16" x14ac:dyDescent="0.25">
      <c r="A750" s="91">
        <v>1156</v>
      </c>
      <c r="B750" s="15">
        <v>2008</v>
      </c>
      <c r="C750" s="1" t="s">
        <v>120</v>
      </c>
      <c r="D750" s="1" t="s">
        <v>216</v>
      </c>
      <c r="E750" s="15" t="s">
        <v>217</v>
      </c>
      <c r="F750" s="1" t="s">
        <v>127</v>
      </c>
      <c r="G750" s="16">
        <v>-32027</v>
      </c>
      <c r="H750" s="93">
        <f>'Emission Rates Net-by-Count'!$D$6</f>
        <v>1024.4699545804308</v>
      </c>
      <c r="I750" s="16">
        <f t="shared" si="25"/>
        <v>-16405.349617673728</v>
      </c>
      <c r="M750" s="19"/>
      <c r="N750" s="19"/>
      <c r="O750" s="19"/>
      <c r="P750" s="19"/>
    </row>
    <row r="751" spans="1:16" x14ac:dyDescent="0.25">
      <c r="A751" s="91">
        <v>1157</v>
      </c>
      <c r="B751" s="15">
        <v>2008</v>
      </c>
      <c r="C751" s="1" t="s">
        <v>120</v>
      </c>
      <c r="D751" s="1" t="s">
        <v>216</v>
      </c>
      <c r="E751" s="15" t="s">
        <v>217</v>
      </c>
      <c r="F751" s="1" t="s">
        <v>128</v>
      </c>
      <c r="G751" s="16">
        <v>-43931</v>
      </c>
      <c r="H751" s="93">
        <f>'Emission Rates Net-by-Count'!$D$6</f>
        <v>1024.4699545804308</v>
      </c>
      <c r="I751" s="16">
        <f t="shared" si="25"/>
        <v>-22502.994787336454</v>
      </c>
      <c r="M751" s="19"/>
      <c r="N751" s="19"/>
      <c r="O751" s="19"/>
      <c r="P751" s="19"/>
    </row>
    <row r="752" spans="1:16" x14ac:dyDescent="0.25">
      <c r="A752" s="91">
        <v>1158</v>
      </c>
      <c r="B752" s="15">
        <v>2008</v>
      </c>
      <c r="C752" s="1" t="s">
        <v>120</v>
      </c>
      <c r="D752" s="1" t="s">
        <v>216</v>
      </c>
      <c r="E752" s="15" t="s">
        <v>217</v>
      </c>
      <c r="F752" s="1" t="s">
        <v>49</v>
      </c>
      <c r="G752" s="16">
        <v>-1335</v>
      </c>
      <c r="H752" s="93">
        <f>'Emission Rates Net-by-Count'!$D$6</f>
        <v>1024.4699545804308</v>
      </c>
      <c r="I752" s="16">
        <f t="shared" si="25"/>
        <v>-683.83369468243757</v>
      </c>
      <c r="M752" s="19"/>
      <c r="N752" s="19"/>
      <c r="O752" s="19"/>
      <c r="P752" s="19"/>
    </row>
    <row r="753" spans="1:16" x14ac:dyDescent="0.25">
      <c r="A753" s="91">
        <v>1159</v>
      </c>
      <c r="B753" s="15">
        <v>2008</v>
      </c>
      <c r="C753" s="1" t="s">
        <v>120</v>
      </c>
      <c r="D753" s="1" t="s">
        <v>216</v>
      </c>
      <c r="E753" s="15" t="s">
        <v>217</v>
      </c>
      <c r="F753" s="1" t="s">
        <v>50</v>
      </c>
      <c r="G753" s="16">
        <v>-2123</v>
      </c>
      <c r="H753" s="93">
        <f>'Emission Rates Net-by-Count'!$D$6</f>
        <v>1024.4699545804308</v>
      </c>
      <c r="I753" s="16">
        <f t="shared" si="25"/>
        <v>-1087.4748567871272</v>
      </c>
      <c r="M753" s="19"/>
      <c r="N753" s="19"/>
      <c r="O753" s="19"/>
      <c r="P753" s="19"/>
    </row>
    <row r="754" spans="1:16" x14ac:dyDescent="0.25">
      <c r="A754" s="91">
        <v>1160</v>
      </c>
      <c r="B754" s="15">
        <v>2008</v>
      </c>
      <c r="C754" s="1" t="s">
        <v>120</v>
      </c>
      <c r="D754" s="1" t="s">
        <v>216</v>
      </c>
      <c r="E754" s="15" t="s">
        <v>217</v>
      </c>
      <c r="F754" s="1" t="s">
        <v>51</v>
      </c>
      <c r="G754" s="16">
        <v>1458513</v>
      </c>
      <c r="H754" s="93">
        <f>'Emission Rates Net-by-Count'!$D$6</f>
        <v>1024.4699545804308</v>
      </c>
      <c r="I754" s="16">
        <f t="shared" si="25"/>
        <v>747101.37343248387</v>
      </c>
      <c r="M754" s="19"/>
      <c r="N754" s="19"/>
      <c r="O754" s="19"/>
      <c r="P754" s="19"/>
    </row>
    <row r="755" spans="1:16" x14ac:dyDescent="0.25">
      <c r="A755" s="91">
        <v>1161</v>
      </c>
      <c r="B755" s="15">
        <v>2008</v>
      </c>
      <c r="C755" s="1" t="s">
        <v>120</v>
      </c>
      <c r="D755" s="1" t="s">
        <v>216</v>
      </c>
      <c r="E755" s="15" t="s">
        <v>217</v>
      </c>
      <c r="F755" s="1" t="s">
        <v>52</v>
      </c>
      <c r="G755" s="16">
        <v>-28512</v>
      </c>
      <c r="H755" s="93">
        <f>'Emission Rates Net-by-Count'!$D$6</f>
        <v>1024.4699545804308</v>
      </c>
      <c r="I755" s="16">
        <f t="shared" si="25"/>
        <v>-14604.84367249862</v>
      </c>
      <c r="M755" s="19"/>
      <c r="N755" s="19"/>
      <c r="O755" s="19"/>
      <c r="P755" s="19"/>
    </row>
    <row r="756" spans="1:16" x14ac:dyDescent="0.25">
      <c r="A756" s="91">
        <v>1162</v>
      </c>
      <c r="B756" s="15">
        <v>2008</v>
      </c>
      <c r="C756" s="1" t="s">
        <v>120</v>
      </c>
      <c r="D756" s="1" t="s">
        <v>216</v>
      </c>
      <c r="E756" s="15" t="s">
        <v>217</v>
      </c>
      <c r="F756" s="1" t="s">
        <v>21</v>
      </c>
      <c r="G756" s="16">
        <v>-138425</v>
      </c>
      <c r="H756" s="93">
        <f>'Emission Rates Net-by-Count'!$D$6</f>
        <v>1024.4699545804308</v>
      </c>
      <c r="I756" s="16">
        <f t="shared" si="25"/>
        <v>-70906.126731398064</v>
      </c>
      <c r="M756" s="19"/>
      <c r="N756" s="19"/>
      <c r="O756" s="19"/>
      <c r="P756" s="19"/>
    </row>
    <row r="757" spans="1:16" x14ac:dyDescent="0.25">
      <c r="A757" s="91">
        <v>1163</v>
      </c>
      <c r="B757" s="15">
        <v>2008</v>
      </c>
      <c r="C757" s="1" t="s">
        <v>120</v>
      </c>
      <c r="D757" s="1" t="s">
        <v>216</v>
      </c>
      <c r="E757" s="15" t="s">
        <v>217</v>
      </c>
      <c r="F757" s="1" t="s">
        <v>143</v>
      </c>
      <c r="G757" s="16">
        <v>-23</v>
      </c>
      <c r="H757" s="93">
        <f>'Emission Rates Net-by-Count'!$D$6</f>
        <v>1024.4699545804308</v>
      </c>
      <c r="I757" s="16">
        <f t="shared" si="25"/>
        <v>-11.781404477674954</v>
      </c>
      <c r="M757" s="19"/>
      <c r="N757" s="19"/>
      <c r="O757" s="19"/>
      <c r="P757" s="19"/>
    </row>
    <row r="758" spans="1:16" x14ac:dyDescent="0.25">
      <c r="A758" s="91">
        <v>1164</v>
      </c>
      <c r="B758" s="15">
        <v>2008</v>
      </c>
      <c r="C758" s="1" t="s">
        <v>120</v>
      </c>
      <c r="D758" s="1" t="s">
        <v>216</v>
      </c>
      <c r="E758" s="15" t="s">
        <v>217</v>
      </c>
      <c r="F758" s="1" t="s">
        <v>53</v>
      </c>
      <c r="G758" s="16">
        <v>-1085</v>
      </c>
      <c r="H758" s="93">
        <f>'Emission Rates Net-by-Count'!$D$6</f>
        <v>1024.4699545804308</v>
      </c>
      <c r="I758" s="16">
        <f t="shared" ref="I758:I789" si="26">(G758*H758)/2000</f>
        <v>-555.77495035988375</v>
      </c>
      <c r="M758" s="19"/>
      <c r="N758" s="19"/>
      <c r="O758" s="19"/>
      <c r="P758" s="19"/>
    </row>
    <row r="759" spans="1:16" x14ac:dyDescent="0.25">
      <c r="A759" s="91">
        <v>1165</v>
      </c>
      <c r="B759" s="15">
        <v>2008</v>
      </c>
      <c r="C759" s="1" t="s">
        <v>120</v>
      </c>
      <c r="D759" s="1" t="s">
        <v>216</v>
      </c>
      <c r="E759" s="15" t="s">
        <v>217</v>
      </c>
      <c r="F759" s="1" t="s">
        <v>56</v>
      </c>
      <c r="G759" s="16">
        <v>-177806</v>
      </c>
      <c r="H759" s="93">
        <f>'Emission Rates Net-by-Count'!$D$6</f>
        <v>1024.4699545804308</v>
      </c>
      <c r="I759" s="16">
        <f t="shared" si="26"/>
        <v>-91078.452372064043</v>
      </c>
      <c r="M759" s="19"/>
      <c r="N759" s="19"/>
      <c r="O759" s="19"/>
      <c r="P759" s="19"/>
    </row>
    <row r="760" spans="1:16" x14ac:dyDescent="0.25">
      <c r="A760" s="91">
        <v>1166</v>
      </c>
      <c r="B760" s="15">
        <v>2008</v>
      </c>
      <c r="C760" s="1" t="s">
        <v>120</v>
      </c>
      <c r="D760" s="1" t="s">
        <v>216</v>
      </c>
      <c r="E760" s="15" t="s">
        <v>217</v>
      </c>
      <c r="F760" s="1" t="s">
        <v>57</v>
      </c>
      <c r="G760" s="16">
        <v>-7327</v>
      </c>
      <c r="H760" s="93">
        <f>'Emission Rates Net-by-Count'!$D$6</f>
        <v>1024.4699545804308</v>
      </c>
      <c r="I760" s="16">
        <f t="shared" si="26"/>
        <v>-3753.1456786054082</v>
      </c>
      <c r="M760" s="19"/>
      <c r="N760" s="19"/>
      <c r="O760" s="19"/>
      <c r="P760" s="19"/>
    </row>
    <row r="761" spans="1:16" x14ac:dyDescent="0.25">
      <c r="A761" s="91">
        <v>1167</v>
      </c>
      <c r="B761" s="15">
        <v>2008</v>
      </c>
      <c r="C761" s="1" t="s">
        <v>120</v>
      </c>
      <c r="D761" s="1" t="s">
        <v>216</v>
      </c>
      <c r="E761" s="15" t="s">
        <v>217</v>
      </c>
      <c r="F761" s="1" t="s">
        <v>58</v>
      </c>
      <c r="G761" s="16">
        <v>-232727</v>
      </c>
      <c r="H761" s="93">
        <f>'Emission Rates Net-by-Count'!$D$6</f>
        <v>1024.4699545804308</v>
      </c>
      <c r="I761" s="16">
        <f t="shared" si="26"/>
        <v>-119210.90955981995</v>
      </c>
      <c r="M761" s="19"/>
      <c r="N761" s="19"/>
      <c r="O761" s="19"/>
      <c r="P761" s="19"/>
    </row>
    <row r="762" spans="1:16" x14ac:dyDescent="0.25">
      <c r="A762" s="91">
        <v>1168</v>
      </c>
      <c r="B762" s="15">
        <v>2008</v>
      </c>
      <c r="C762" s="1" t="s">
        <v>120</v>
      </c>
      <c r="D762" s="1" t="s">
        <v>216</v>
      </c>
      <c r="E762" s="15" t="s">
        <v>217</v>
      </c>
      <c r="F762" s="1" t="s">
        <v>59</v>
      </c>
      <c r="G762" s="16">
        <v>-17042</v>
      </c>
      <c r="H762" s="93">
        <f>'Emission Rates Net-by-Count'!$D$6</f>
        <v>1024.4699545804308</v>
      </c>
      <c r="I762" s="16">
        <f t="shared" si="26"/>
        <v>-8729.5084829798507</v>
      </c>
      <c r="M762" s="19"/>
      <c r="N762" s="19"/>
      <c r="O762" s="19"/>
      <c r="P762" s="19"/>
    </row>
    <row r="763" spans="1:16" x14ac:dyDescent="0.25">
      <c r="A763" s="91">
        <v>1169</v>
      </c>
      <c r="B763" s="15">
        <v>2008</v>
      </c>
      <c r="C763" s="1" t="s">
        <v>120</v>
      </c>
      <c r="D763" s="1" t="s">
        <v>216</v>
      </c>
      <c r="E763" s="15" t="s">
        <v>217</v>
      </c>
      <c r="F763" s="1" t="s">
        <v>60</v>
      </c>
      <c r="G763" s="16">
        <v>-8142</v>
      </c>
      <c r="H763" s="93">
        <f>'Emission Rates Net-by-Count'!$D$6</f>
        <v>1024.4699545804308</v>
      </c>
      <c r="I763" s="16">
        <f t="shared" si="26"/>
        <v>-4170.617185096934</v>
      </c>
      <c r="M763" s="19"/>
      <c r="N763" s="19"/>
      <c r="O763" s="19"/>
      <c r="P763" s="19"/>
    </row>
    <row r="764" spans="1:16" x14ac:dyDescent="0.25">
      <c r="A764" s="91">
        <v>1170</v>
      </c>
      <c r="B764" s="15">
        <v>2008</v>
      </c>
      <c r="C764" s="1" t="s">
        <v>120</v>
      </c>
      <c r="D764" s="1" t="s">
        <v>216</v>
      </c>
      <c r="E764" s="15" t="s">
        <v>217</v>
      </c>
      <c r="F764" s="1" t="s">
        <v>61</v>
      </c>
      <c r="G764" s="16">
        <v>-86673</v>
      </c>
      <c r="H764" s="93">
        <f>'Emission Rates Net-by-Count'!$D$6</f>
        <v>1024.4699545804308</v>
      </c>
      <c r="I764" s="16">
        <f t="shared" si="26"/>
        <v>-44396.942186674838</v>
      </c>
      <c r="M764" s="19"/>
      <c r="N764" s="19"/>
      <c r="O764" s="19"/>
      <c r="P764" s="19"/>
    </row>
    <row r="765" spans="1:16" x14ac:dyDescent="0.25">
      <c r="A765" s="91">
        <v>1171</v>
      </c>
      <c r="B765" s="15">
        <v>2008</v>
      </c>
      <c r="C765" s="1" t="s">
        <v>120</v>
      </c>
      <c r="D765" s="1" t="s">
        <v>216</v>
      </c>
      <c r="E765" s="15" t="s">
        <v>217</v>
      </c>
      <c r="F765" s="1" t="s">
        <v>146</v>
      </c>
      <c r="G765" s="16">
        <v>-7691</v>
      </c>
      <c r="H765" s="93">
        <f>'Emission Rates Net-by-Count'!$D$6</f>
        <v>1024.4699545804308</v>
      </c>
      <c r="I765" s="16">
        <f t="shared" si="26"/>
        <v>-3939.5992103390467</v>
      </c>
      <c r="M765" s="19"/>
      <c r="N765" s="19"/>
      <c r="O765" s="19"/>
      <c r="P765" s="19"/>
    </row>
    <row r="766" spans="1:16" x14ac:dyDescent="0.25">
      <c r="A766" s="91">
        <v>1172</v>
      </c>
      <c r="B766" s="15">
        <v>2008</v>
      </c>
      <c r="C766" s="1" t="s">
        <v>120</v>
      </c>
      <c r="D766" s="1" t="s">
        <v>216</v>
      </c>
      <c r="E766" s="15" t="s">
        <v>217</v>
      </c>
      <c r="F766" s="1" t="s">
        <v>147</v>
      </c>
      <c r="G766" s="16">
        <v>-1600</v>
      </c>
      <c r="H766" s="93">
        <f>'Emission Rates Net-by-Count'!$D$6</f>
        <v>1024.4699545804308</v>
      </c>
      <c r="I766" s="16">
        <f t="shared" si="26"/>
        <v>-819.57596366434461</v>
      </c>
      <c r="M766" s="19"/>
      <c r="N766" s="19"/>
      <c r="O766" s="19"/>
      <c r="P766" s="19"/>
    </row>
    <row r="767" spans="1:16" x14ac:dyDescent="0.25">
      <c r="A767" s="91">
        <v>1173</v>
      </c>
      <c r="B767" s="15">
        <v>2008</v>
      </c>
      <c r="C767" s="1" t="s">
        <v>120</v>
      </c>
      <c r="D767" s="1" t="s">
        <v>216</v>
      </c>
      <c r="E767" s="15" t="s">
        <v>217</v>
      </c>
      <c r="F767" s="1" t="s">
        <v>131</v>
      </c>
      <c r="G767" s="16">
        <v>-53578</v>
      </c>
      <c r="H767" s="93">
        <f>'Emission Rates Net-by-Count'!$D$6</f>
        <v>1024.4699545804308</v>
      </c>
      <c r="I767" s="16">
        <f t="shared" si="26"/>
        <v>-27444.525613255162</v>
      </c>
      <c r="M767" s="19"/>
      <c r="N767" s="19"/>
      <c r="O767" s="19"/>
      <c r="P767" s="19"/>
    </row>
    <row r="768" spans="1:16" x14ac:dyDescent="0.25">
      <c r="A768" s="91">
        <v>1174</v>
      </c>
      <c r="B768" s="15">
        <v>2008</v>
      </c>
      <c r="C768" s="1" t="s">
        <v>120</v>
      </c>
      <c r="D768" s="1" t="s">
        <v>216</v>
      </c>
      <c r="E768" s="15" t="s">
        <v>217</v>
      </c>
      <c r="F768" s="1" t="s">
        <v>62</v>
      </c>
      <c r="G768" s="16">
        <v>-461</v>
      </c>
      <c r="H768" s="93">
        <f>'Emission Rates Net-by-Count'!$D$6</f>
        <v>1024.4699545804308</v>
      </c>
      <c r="I768" s="16">
        <f t="shared" si="26"/>
        <v>-236.14032453078931</v>
      </c>
      <c r="M768" s="19"/>
      <c r="N768" s="19"/>
      <c r="O768" s="19"/>
      <c r="P768" s="19"/>
    </row>
    <row r="769" spans="1:16" x14ac:dyDescent="0.25">
      <c r="A769" s="91">
        <v>1175</v>
      </c>
      <c r="B769" s="15">
        <v>2008</v>
      </c>
      <c r="C769" s="1" t="s">
        <v>120</v>
      </c>
      <c r="D769" s="1" t="s">
        <v>216</v>
      </c>
      <c r="E769" s="15" t="s">
        <v>217</v>
      </c>
      <c r="F769" s="1" t="s">
        <v>63</v>
      </c>
      <c r="G769" s="16">
        <v>-2690</v>
      </c>
      <c r="H769" s="93">
        <f>'Emission Rates Net-by-Count'!$D$6</f>
        <v>1024.4699545804308</v>
      </c>
      <c r="I769" s="16">
        <f t="shared" si="26"/>
        <v>-1377.9120889106794</v>
      </c>
      <c r="M769" s="19"/>
      <c r="N769" s="19"/>
      <c r="O769" s="19"/>
      <c r="P769" s="19"/>
    </row>
    <row r="770" spans="1:16" x14ac:dyDescent="0.25">
      <c r="A770" s="91">
        <v>1176</v>
      </c>
      <c r="B770" s="15">
        <v>2008</v>
      </c>
      <c r="C770" s="1" t="s">
        <v>120</v>
      </c>
      <c r="D770" s="1" t="s">
        <v>216</v>
      </c>
      <c r="E770" s="15" t="s">
        <v>217</v>
      </c>
      <c r="F770" s="1" t="s">
        <v>65</v>
      </c>
      <c r="G770" s="16">
        <v>-38663</v>
      </c>
      <c r="H770" s="93">
        <f>'Emission Rates Net-by-Count'!$D$6</f>
        <v>1024.4699545804308</v>
      </c>
      <c r="I770" s="16">
        <f t="shared" si="26"/>
        <v>-19804.5409269716</v>
      </c>
      <c r="M770" s="19"/>
      <c r="N770" s="19"/>
      <c r="O770" s="19"/>
      <c r="P770" s="19"/>
    </row>
    <row r="771" spans="1:16" x14ac:dyDescent="0.25">
      <c r="A771" s="91">
        <v>1177</v>
      </c>
      <c r="B771" s="15">
        <v>2008</v>
      </c>
      <c r="C771" s="1" t="s">
        <v>120</v>
      </c>
      <c r="D771" s="1" t="s">
        <v>216</v>
      </c>
      <c r="E771" s="15" t="s">
        <v>217</v>
      </c>
      <c r="F771" s="1" t="s">
        <v>132</v>
      </c>
      <c r="G771" s="16">
        <v>-131275</v>
      </c>
      <c r="H771" s="93">
        <f>'Emission Rates Net-by-Count'!$D$6</f>
        <v>1024.4699545804308</v>
      </c>
      <c r="I771" s="16">
        <f t="shared" si="26"/>
        <v>-67243.646643773012</v>
      </c>
      <c r="M771" s="19"/>
      <c r="N771" s="19"/>
      <c r="O771" s="19"/>
      <c r="P771" s="19"/>
    </row>
    <row r="772" spans="1:16" x14ac:dyDescent="0.25">
      <c r="A772" s="91">
        <v>1178</v>
      </c>
      <c r="B772" s="15">
        <v>2008</v>
      </c>
      <c r="C772" s="1" t="s">
        <v>120</v>
      </c>
      <c r="D772" s="1" t="s">
        <v>216</v>
      </c>
      <c r="E772" s="15" t="s">
        <v>217</v>
      </c>
      <c r="F772" s="1" t="s">
        <v>66</v>
      </c>
      <c r="G772" s="16">
        <v>-690</v>
      </c>
      <c r="H772" s="93">
        <f>'Emission Rates Net-by-Count'!$D$6</f>
        <v>1024.4699545804308</v>
      </c>
      <c r="I772" s="16">
        <f t="shared" si="26"/>
        <v>-353.44213433024862</v>
      </c>
      <c r="M772" s="19"/>
      <c r="N772" s="19"/>
      <c r="O772" s="19"/>
      <c r="P772" s="19"/>
    </row>
    <row r="773" spans="1:16" x14ac:dyDescent="0.25">
      <c r="A773" s="91">
        <v>1179</v>
      </c>
      <c r="B773" s="15">
        <v>2008</v>
      </c>
      <c r="C773" s="1" t="s">
        <v>120</v>
      </c>
      <c r="D773" s="1" t="s">
        <v>216</v>
      </c>
      <c r="E773" s="15" t="s">
        <v>217</v>
      </c>
      <c r="F773" s="1" t="s">
        <v>67</v>
      </c>
      <c r="G773" s="16">
        <v>-13801</v>
      </c>
      <c r="H773" s="93">
        <f>'Emission Rates Net-by-Count'!$D$6</f>
        <v>1024.4699545804308</v>
      </c>
      <c r="I773" s="16">
        <f t="shared" si="26"/>
        <v>-7069.3549215822632</v>
      </c>
      <c r="M773" s="19"/>
      <c r="N773" s="19"/>
      <c r="O773" s="19"/>
      <c r="P773" s="19"/>
    </row>
    <row r="774" spans="1:16" x14ac:dyDescent="0.25">
      <c r="A774" s="91">
        <v>1180</v>
      </c>
      <c r="B774" s="15">
        <v>2008</v>
      </c>
      <c r="C774" s="1" t="s">
        <v>120</v>
      </c>
      <c r="D774" s="1" t="s">
        <v>216</v>
      </c>
      <c r="E774" s="15" t="s">
        <v>217</v>
      </c>
      <c r="F774" s="1" t="s">
        <v>68</v>
      </c>
      <c r="G774" s="16">
        <v>-937</v>
      </c>
      <c r="H774" s="93">
        <f>'Emission Rates Net-by-Count'!$D$6</f>
        <v>1024.4699545804308</v>
      </c>
      <c r="I774" s="16">
        <f t="shared" si="26"/>
        <v>-479.9641737209318</v>
      </c>
      <c r="M774" s="19"/>
      <c r="N774" s="19"/>
      <c r="O774" s="19"/>
      <c r="P774" s="19"/>
    </row>
    <row r="775" spans="1:16" x14ac:dyDescent="0.25">
      <c r="A775" s="91">
        <v>1181</v>
      </c>
      <c r="B775" s="15">
        <v>2008</v>
      </c>
      <c r="C775" s="1" t="s">
        <v>120</v>
      </c>
      <c r="D775" s="1" t="s">
        <v>216</v>
      </c>
      <c r="E775" s="15" t="s">
        <v>217</v>
      </c>
      <c r="F775" s="1" t="s">
        <v>148</v>
      </c>
      <c r="G775" s="16">
        <v>-14406</v>
      </c>
      <c r="H775" s="93">
        <f>'Emission Rates Net-by-Count'!$D$6</f>
        <v>1024.4699545804308</v>
      </c>
      <c r="I775" s="16">
        <f t="shared" si="26"/>
        <v>-7379.2570828428425</v>
      </c>
      <c r="M775" s="19"/>
      <c r="N775" s="19"/>
      <c r="O775" s="19"/>
      <c r="P775" s="19"/>
    </row>
    <row r="776" spans="1:16" x14ac:dyDescent="0.25">
      <c r="A776" s="91">
        <v>1182</v>
      </c>
      <c r="B776" s="15">
        <v>2008</v>
      </c>
      <c r="C776" s="1" t="s">
        <v>120</v>
      </c>
      <c r="D776" s="1" t="s">
        <v>216</v>
      </c>
      <c r="E776" s="15" t="s">
        <v>217</v>
      </c>
      <c r="F776" s="1" t="s">
        <v>121</v>
      </c>
      <c r="G776" s="16">
        <v>-10318</v>
      </c>
      <c r="H776" s="93">
        <f>'Emission Rates Net-by-Count'!$D$6</f>
        <v>1024.4699545804308</v>
      </c>
      <c r="I776" s="16">
        <f t="shared" si="26"/>
        <v>-5285.2404956804421</v>
      </c>
      <c r="M776" s="19"/>
      <c r="N776" s="19"/>
      <c r="O776" s="19"/>
      <c r="P776" s="19"/>
    </row>
    <row r="777" spans="1:16" x14ac:dyDescent="0.25">
      <c r="A777" s="91">
        <v>1183</v>
      </c>
      <c r="B777" s="15">
        <v>2008</v>
      </c>
      <c r="C777" s="1" t="s">
        <v>120</v>
      </c>
      <c r="D777" s="1" t="s">
        <v>216</v>
      </c>
      <c r="E777" s="15" t="s">
        <v>217</v>
      </c>
      <c r="F777" s="1" t="s">
        <v>69</v>
      </c>
      <c r="G777" s="16">
        <v>-97329</v>
      </c>
      <c r="H777" s="93">
        <f>'Emission Rates Net-by-Count'!$D$6</f>
        <v>1024.4699545804308</v>
      </c>
      <c r="I777" s="16">
        <f t="shared" si="26"/>
        <v>-49855.318104679376</v>
      </c>
      <c r="M777" s="19"/>
      <c r="N777" s="19"/>
      <c r="O777" s="19"/>
      <c r="P777" s="19"/>
    </row>
    <row r="778" spans="1:16" x14ac:dyDescent="0.25">
      <c r="A778" s="91">
        <v>1184</v>
      </c>
      <c r="B778" s="15">
        <v>2008</v>
      </c>
      <c r="C778" s="1" t="s">
        <v>120</v>
      </c>
      <c r="D778" s="1" t="s">
        <v>216</v>
      </c>
      <c r="E778" s="15" t="s">
        <v>217</v>
      </c>
      <c r="F778" s="1" t="s">
        <v>71</v>
      </c>
      <c r="G778" s="16">
        <v>-22104</v>
      </c>
      <c r="H778" s="93">
        <f>'Emission Rates Net-by-Count'!$D$6</f>
        <v>1024.4699545804308</v>
      </c>
      <c r="I778" s="16">
        <f t="shared" si="26"/>
        <v>-11322.441938022921</v>
      </c>
      <c r="M778" s="19"/>
      <c r="N778" s="19"/>
      <c r="O778" s="19"/>
      <c r="P778" s="19"/>
    </row>
    <row r="779" spans="1:16" x14ac:dyDescent="0.25">
      <c r="A779" s="91">
        <v>1185</v>
      </c>
      <c r="B779" s="15">
        <v>2008</v>
      </c>
      <c r="C779" s="1" t="s">
        <v>120</v>
      </c>
      <c r="D779" s="1" t="s">
        <v>216</v>
      </c>
      <c r="E779" s="15" t="s">
        <v>217</v>
      </c>
      <c r="F779" s="1" t="s">
        <v>157</v>
      </c>
      <c r="G779" s="16">
        <v>-3600</v>
      </c>
      <c r="H779" s="93">
        <f>'Emission Rates Net-by-Count'!$D$6</f>
        <v>1024.4699545804308</v>
      </c>
      <c r="I779" s="16">
        <f t="shared" si="26"/>
        <v>-1844.0459182447753</v>
      </c>
      <c r="M779" s="19"/>
      <c r="N779" s="19"/>
      <c r="O779" s="19"/>
      <c r="P779" s="19"/>
    </row>
    <row r="780" spans="1:16" x14ac:dyDescent="0.25">
      <c r="A780" s="91">
        <v>1186</v>
      </c>
      <c r="B780" s="15">
        <v>2008</v>
      </c>
      <c r="C780" s="1" t="s">
        <v>120</v>
      </c>
      <c r="D780" s="1" t="s">
        <v>216</v>
      </c>
      <c r="E780" s="15" t="s">
        <v>217</v>
      </c>
      <c r="F780" s="1" t="s">
        <v>72</v>
      </c>
      <c r="G780" s="16">
        <v>-20700</v>
      </c>
      <c r="H780" s="93">
        <f>'Emission Rates Net-by-Count'!$D$6</f>
        <v>1024.4699545804308</v>
      </c>
      <c r="I780" s="16">
        <f t="shared" si="26"/>
        <v>-10603.264029907459</v>
      </c>
      <c r="M780" s="19"/>
      <c r="N780" s="19"/>
      <c r="O780" s="19"/>
      <c r="P780" s="19"/>
    </row>
    <row r="781" spans="1:16" x14ac:dyDescent="0.25">
      <c r="A781" s="91">
        <v>1187</v>
      </c>
      <c r="B781" s="15">
        <v>2008</v>
      </c>
      <c r="C781" s="1" t="s">
        <v>120</v>
      </c>
      <c r="D781" s="1" t="s">
        <v>216</v>
      </c>
      <c r="E781" s="15" t="s">
        <v>217</v>
      </c>
      <c r="F781" s="1" t="s">
        <v>133</v>
      </c>
      <c r="G781" s="16">
        <v>-98388</v>
      </c>
      <c r="H781" s="93">
        <f>'Emission Rates Net-by-Count'!$D$6</f>
        <v>1024.4699545804308</v>
      </c>
      <c r="I781" s="16">
        <f t="shared" si="26"/>
        <v>-50397.774945629717</v>
      </c>
      <c r="M781" s="19"/>
      <c r="N781" s="19"/>
      <c r="O781" s="19"/>
      <c r="P781" s="19"/>
    </row>
    <row r="782" spans="1:16" x14ac:dyDescent="0.25">
      <c r="A782" s="91">
        <v>1188</v>
      </c>
      <c r="B782" s="15">
        <v>2008</v>
      </c>
      <c r="C782" s="1" t="s">
        <v>120</v>
      </c>
      <c r="D782" s="1" t="s">
        <v>216</v>
      </c>
      <c r="E782" s="15" t="s">
        <v>217</v>
      </c>
      <c r="F782" s="1" t="s">
        <v>135</v>
      </c>
      <c r="G782" s="16">
        <v>-5520</v>
      </c>
      <c r="H782" s="93">
        <f>'Emission Rates Net-by-Count'!$D$6</f>
        <v>1024.4699545804308</v>
      </c>
      <c r="I782" s="16">
        <f t="shared" si="26"/>
        <v>-2827.537074641989</v>
      </c>
      <c r="M782" s="19"/>
      <c r="N782" s="19"/>
      <c r="O782" s="19"/>
      <c r="P782" s="19"/>
    </row>
    <row r="783" spans="1:16" x14ac:dyDescent="0.25">
      <c r="A783" s="91">
        <v>1189</v>
      </c>
      <c r="B783" s="15">
        <v>2008</v>
      </c>
      <c r="C783" s="1" t="s">
        <v>120</v>
      </c>
      <c r="D783" s="1" t="s">
        <v>216</v>
      </c>
      <c r="E783" s="15" t="s">
        <v>217</v>
      </c>
      <c r="F783" s="1" t="s">
        <v>158</v>
      </c>
      <c r="G783" s="16">
        <v>-1113</v>
      </c>
      <c r="H783" s="93">
        <f>'Emission Rates Net-by-Count'!$D$6</f>
        <v>1024.4699545804308</v>
      </c>
      <c r="I783" s="16">
        <f t="shared" si="26"/>
        <v>-570.11752972400973</v>
      </c>
      <c r="M783" s="19"/>
      <c r="N783" s="19"/>
      <c r="O783" s="19"/>
      <c r="P783" s="19"/>
    </row>
    <row r="784" spans="1:16" x14ac:dyDescent="0.25">
      <c r="A784" s="91">
        <v>1190</v>
      </c>
      <c r="B784" s="15">
        <v>2008</v>
      </c>
      <c r="C784" s="1" t="s">
        <v>120</v>
      </c>
      <c r="D784" s="1" t="s">
        <v>216</v>
      </c>
      <c r="E784" s="15" t="s">
        <v>217</v>
      </c>
      <c r="F784" s="1" t="s">
        <v>76</v>
      </c>
      <c r="G784" s="16">
        <v>-5200</v>
      </c>
      <c r="H784" s="93">
        <f>'Emission Rates Net-by-Count'!$D$6</f>
        <v>1024.4699545804308</v>
      </c>
      <c r="I784" s="16">
        <f t="shared" si="26"/>
        <v>-2663.62188190912</v>
      </c>
      <c r="M784" s="19"/>
      <c r="N784" s="19"/>
      <c r="O784" s="19"/>
      <c r="P784" s="19"/>
    </row>
    <row r="785" spans="1:16" x14ac:dyDescent="0.25">
      <c r="A785" s="91">
        <v>1191</v>
      </c>
      <c r="B785" s="15">
        <v>2008</v>
      </c>
      <c r="C785" s="1" t="s">
        <v>120</v>
      </c>
      <c r="D785" s="1" t="s">
        <v>216</v>
      </c>
      <c r="E785" s="15" t="s">
        <v>217</v>
      </c>
      <c r="F785" s="1" t="s">
        <v>77</v>
      </c>
      <c r="G785" s="16">
        <v>-180</v>
      </c>
      <c r="H785" s="93">
        <f>'Emission Rates Net-by-Count'!$D$6</f>
        <v>1024.4699545804308</v>
      </c>
      <c r="I785" s="16">
        <f t="shared" si="26"/>
        <v>-92.202295912238768</v>
      </c>
      <c r="M785" s="19"/>
      <c r="N785" s="19"/>
      <c r="O785" s="19"/>
      <c r="P785" s="19"/>
    </row>
    <row r="786" spans="1:16" x14ac:dyDescent="0.25">
      <c r="A786" s="91">
        <v>1192</v>
      </c>
      <c r="B786" s="15">
        <v>2008</v>
      </c>
      <c r="C786" s="1" t="s">
        <v>120</v>
      </c>
      <c r="D786" s="1" t="s">
        <v>216</v>
      </c>
      <c r="E786" s="15" t="s">
        <v>217</v>
      </c>
      <c r="F786" s="1" t="s">
        <v>78</v>
      </c>
      <c r="G786" s="16">
        <v>-491984</v>
      </c>
      <c r="H786" s="93">
        <f>'Emission Rates Net-by-Count'!$D$6</f>
        <v>1024.4699545804308</v>
      </c>
      <c r="I786" s="16">
        <f t="shared" si="26"/>
        <v>-252011.41306714935</v>
      </c>
      <c r="M786" s="19"/>
      <c r="N786" s="19"/>
      <c r="O786" s="19"/>
      <c r="P786" s="19"/>
    </row>
    <row r="787" spans="1:16" x14ac:dyDescent="0.25">
      <c r="A787" s="91">
        <v>1193</v>
      </c>
      <c r="B787" s="15">
        <v>2008</v>
      </c>
      <c r="C787" s="1" t="s">
        <v>120</v>
      </c>
      <c r="D787" s="1" t="s">
        <v>216</v>
      </c>
      <c r="E787" s="15" t="s">
        <v>217</v>
      </c>
      <c r="F787" s="1" t="s">
        <v>79</v>
      </c>
      <c r="G787" s="16">
        <v>-260</v>
      </c>
      <c r="H787" s="93">
        <f>'Emission Rates Net-by-Count'!$D$6</f>
        <v>1024.4699545804308</v>
      </c>
      <c r="I787" s="16">
        <f t="shared" si="26"/>
        <v>-133.18109409545602</v>
      </c>
      <c r="M787" s="19"/>
      <c r="N787" s="19"/>
      <c r="O787" s="19"/>
      <c r="P787" s="19"/>
    </row>
    <row r="788" spans="1:16" x14ac:dyDescent="0.25">
      <c r="A788" s="91">
        <v>1194</v>
      </c>
      <c r="B788" s="15">
        <v>2008</v>
      </c>
      <c r="C788" s="1" t="s">
        <v>120</v>
      </c>
      <c r="D788" s="1" t="s">
        <v>216</v>
      </c>
      <c r="E788" s="15" t="s">
        <v>217</v>
      </c>
      <c r="F788" s="1" t="s">
        <v>81</v>
      </c>
      <c r="G788" s="16">
        <v>-5792</v>
      </c>
      <c r="H788" s="93">
        <f>'Emission Rates Net-by-Count'!$D$6</f>
        <v>1024.4699545804308</v>
      </c>
      <c r="I788" s="16">
        <f t="shared" si="26"/>
        <v>-2966.8649884649276</v>
      </c>
      <c r="M788" s="19"/>
      <c r="N788" s="19"/>
      <c r="O788" s="19"/>
      <c r="P788" s="19"/>
    </row>
    <row r="789" spans="1:16" x14ac:dyDescent="0.25">
      <c r="A789" s="91">
        <v>1195</v>
      </c>
      <c r="B789" s="15">
        <v>2008</v>
      </c>
      <c r="C789" s="1" t="s">
        <v>120</v>
      </c>
      <c r="D789" s="1" t="s">
        <v>216</v>
      </c>
      <c r="E789" s="15" t="s">
        <v>217</v>
      </c>
      <c r="F789" s="1" t="s">
        <v>82</v>
      </c>
      <c r="G789" s="16">
        <v>-13384</v>
      </c>
      <c r="H789" s="93">
        <f>'Emission Rates Net-by-Count'!$D$6</f>
        <v>1024.4699545804308</v>
      </c>
      <c r="I789" s="16">
        <f t="shared" si="26"/>
        <v>-6855.7529360522431</v>
      </c>
      <c r="M789" s="19"/>
      <c r="N789" s="19"/>
      <c r="O789" s="19"/>
      <c r="P789" s="19"/>
    </row>
    <row r="790" spans="1:16" x14ac:dyDescent="0.25">
      <c r="A790" s="91">
        <v>1196</v>
      </c>
      <c r="B790" s="15">
        <v>2008</v>
      </c>
      <c r="C790" s="1" t="s">
        <v>120</v>
      </c>
      <c r="D790" s="1" t="s">
        <v>216</v>
      </c>
      <c r="E790" s="15" t="s">
        <v>217</v>
      </c>
      <c r="F790" s="1" t="s">
        <v>83</v>
      </c>
      <c r="G790" s="16">
        <v>-455</v>
      </c>
      <c r="H790" s="93">
        <f>'Emission Rates Net-by-Count'!$D$6</f>
        <v>1024.4699545804308</v>
      </c>
      <c r="I790" s="16">
        <f t="shared" ref="I790:I818" si="27">(G790*H790)/2000</f>
        <v>-233.066914667048</v>
      </c>
      <c r="M790" s="19"/>
      <c r="N790" s="19"/>
      <c r="O790" s="19"/>
      <c r="P790" s="19"/>
    </row>
    <row r="791" spans="1:16" x14ac:dyDescent="0.25">
      <c r="A791" s="91">
        <v>1197</v>
      </c>
      <c r="B791" s="15">
        <v>2008</v>
      </c>
      <c r="C791" s="1" t="s">
        <v>120</v>
      </c>
      <c r="D791" s="1" t="s">
        <v>216</v>
      </c>
      <c r="E791" s="15" t="s">
        <v>217</v>
      </c>
      <c r="F791" s="1" t="s">
        <v>84</v>
      </c>
      <c r="G791" s="16">
        <v>-11857</v>
      </c>
      <c r="H791" s="93">
        <f>'Emission Rates Net-by-Count'!$D$6</f>
        <v>1024.4699545804308</v>
      </c>
      <c r="I791" s="16">
        <f t="shared" si="27"/>
        <v>-6073.5701257300843</v>
      </c>
      <c r="M791" s="19"/>
      <c r="N791" s="19"/>
      <c r="O791" s="19"/>
      <c r="P791" s="19"/>
    </row>
    <row r="792" spans="1:16" x14ac:dyDescent="0.25">
      <c r="A792" s="91">
        <v>1198</v>
      </c>
      <c r="B792" s="15">
        <v>2008</v>
      </c>
      <c r="C792" s="1" t="s">
        <v>120</v>
      </c>
      <c r="D792" s="1" t="s">
        <v>216</v>
      </c>
      <c r="E792" s="15" t="s">
        <v>217</v>
      </c>
      <c r="F792" s="1" t="s">
        <v>149</v>
      </c>
      <c r="G792" s="16">
        <v>-80207</v>
      </c>
      <c r="H792" s="93">
        <f>'Emission Rates Net-by-Count'!$D$6</f>
        <v>1024.4699545804308</v>
      </c>
      <c r="I792" s="16">
        <f t="shared" si="27"/>
        <v>-41084.830823516306</v>
      </c>
      <c r="M792" s="19"/>
      <c r="N792" s="19"/>
      <c r="O792" s="19"/>
      <c r="P792" s="19"/>
    </row>
    <row r="793" spans="1:16" x14ac:dyDescent="0.25">
      <c r="A793" s="91">
        <v>1199</v>
      </c>
      <c r="B793" s="15">
        <v>2008</v>
      </c>
      <c r="C793" s="1" t="s">
        <v>120</v>
      </c>
      <c r="D793" s="1" t="s">
        <v>216</v>
      </c>
      <c r="E793" s="15" t="s">
        <v>217</v>
      </c>
      <c r="F793" s="1" t="s">
        <v>85</v>
      </c>
      <c r="G793" s="16">
        <v>-122205</v>
      </c>
      <c r="H793" s="93">
        <f>'Emission Rates Net-by-Count'!$D$6</f>
        <v>1024.4699545804308</v>
      </c>
      <c r="I793" s="16">
        <f t="shared" si="27"/>
        <v>-62597.675399750769</v>
      </c>
      <c r="M793" s="19"/>
      <c r="N793" s="19"/>
      <c r="O793" s="19"/>
      <c r="P793" s="19"/>
    </row>
    <row r="794" spans="1:16" x14ac:dyDescent="0.25">
      <c r="A794" s="91">
        <v>1200</v>
      </c>
      <c r="B794" s="15">
        <v>2008</v>
      </c>
      <c r="C794" s="1" t="s">
        <v>120</v>
      </c>
      <c r="D794" s="1" t="s">
        <v>216</v>
      </c>
      <c r="E794" s="15" t="s">
        <v>217</v>
      </c>
      <c r="F794" s="1" t="s">
        <v>138</v>
      </c>
      <c r="G794" s="16">
        <v>-800</v>
      </c>
      <c r="H794" s="93">
        <f>'Emission Rates Net-by-Count'!$D$6</f>
        <v>1024.4699545804308</v>
      </c>
      <c r="I794" s="16">
        <f t="shared" si="27"/>
        <v>-409.78798183217231</v>
      </c>
      <c r="M794" s="19"/>
      <c r="N794" s="19"/>
      <c r="O794" s="19"/>
      <c r="P794" s="19"/>
    </row>
    <row r="795" spans="1:16" x14ac:dyDescent="0.25">
      <c r="A795" s="91">
        <v>1201</v>
      </c>
      <c r="B795" s="15">
        <v>2008</v>
      </c>
      <c r="C795" s="1" t="s">
        <v>120</v>
      </c>
      <c r="D795" s="1" t="s">
        <v>216</v>
      </c>
      <c r="E795" s="15" t="s">
        <v>217</v>
      </c>
      <c r="F795" s="1" t="s">
        <v>87</v>
      </c>
      <c r="G795" s="16">
        <v>-37229</v>
      </c>
      <c r="H795" s="93">
        <f>'Emission Rates Net-by-Count'!$D$6</f>
        <v>1024.4699545804308</v>
      </c>
      <c r="I795" s="16">
        <f t="shared" si="27"/>
        <v>-19069.995969537431</v>
      </c>
      <c r="M795" s="19"/>
      <c r="N795" s="19"/>
      <c r="O795" s="19"/>
      <c r="P795" s="19"/>
    </row>
    <row r="796" spans="1:16" x14ac:dyDescent="0.25">
      <c r="A796" s="91">
        <v>1202</v>
      </c>
      <c r="B796" s="15">
        <v>2008</v>
      </c>
      <c r="C796" s="1" t="s">
        <v>120</v>
      </c>
      <c r="D796" s="1" t="s">
        <v>216</v>
      </c>
      <c r="E796" s="15" t="s">
        <v>217</v>
      </c>
      <c r="F796" s="1" t="s">
        <v>88</v>
      </c>
      <c r="G796" s="16">
        <v>-317422</v>
      </c>
      <c r="H796" s="93">
        <f>'Emission Rates Net-by-Count'!$D$6</f>
        <v>1024.4699545804308</v>
      </c>
      <c r="I796" s="16">
        <f t="shared" si="27"/>
        <v>-162594.65096141477</v>
      </c>
      <c r="M796" s="19"/>
      <c r="N796" s="19"/>
      <c r="O796" s="19"/>
      <c r="P796" s="19"/>
    </row>
    <row r="797" spans="1:16" x14ac:dyDescent="0.25">
      <c r="A797" s="91">
        <v>1203</v>
      </c>
      <c r="B797" s="15">
        <v>2008</v>
      </c>
      <c r="C797" s="1" t="s">
        <v>120</v>
      </c>
      <c r="D797" s="1" t="s">
        <v>216</v>
      </c>
      <c r="E797" s="15" t="s">
        <v>217</v>
      </c>
      <c r="F797" s="1" t="s">
        <v>90</v>
      </c>
      <c r="G797" s="16">
        <v>-15435</v>
      </c>
      <c r="H797" s="93">
        <f>'Emission Rates Net-by-Count'!$D$6</f>
        <v>1024.4699545804308</v>
      </c>
      <c r="I797" s="16">
        <f t="shared" si="27"/>
        <v>-7906.3468744744741</v>
      </c>
      <c r="M797" s="19"/>
      <c r="N797" s="19"/>
      <c r="O797" s="19"/>
      <c r="P797" s="19"/>
    </row>
    <row r="798" spans="1:16" x14ac:dyDescent="0.25">
      <c r="A798" s="91">
        <v>1204</v>
      </c>
      <c r="B798" s="15">
        <v>2008</v>
      </c>
      <c r="C798" s="1" t="s">
        <v>120</v>
      </c>
      <c r="D798" s="1" t="s">
        <v>216</v>
      </c>
      <c r="E798" s="15" t="s">
        <v>217</v>
      </c>
      <c r="F798" s="1" t="s">
        <v>91</v>
      </c>
      <c r="G798" s="16">
        <v>-74196</v>
      </c>
      <c r="H798" s="93">
        <f>'Emission Rates Net-by-Count'!$D$6</f>
        <v>1024.4699545804308</v>
      </c>
      <c r="I798" s="16">
        <f t="shared" si="27"/>
        <v>-38005.786375024829</v>
      </c>
      <c r="M798" s="19"/>
      <c r="N798" s="19"/>
      <c r="O798" s="19"/>
      <c r="P798" s="19"/>
    </row>
    <row r="799" spans="1:16" x14ac:dyDescent="0.25">
      <c r="A799" s="91">
        <v>1205</v>
      </c>
      <c r="B799" s="15">
        <v>2008</v>
      </c>
      <c r="C799" s="1" t="s">
        <v>120</v>
      </c>
      <c r="D799" s="1" t="s">
        <v>216</v>
      </c>
      <c r="E799" s="15" t="s">
        <v>217</v>
      </c>
      <c r="F799" s="1" t="s">
        <v>92</v>
      </c>
      <c r="G799" s="16">
        <v>-1257</v>
      </c>
      <c r="H799" s="93">
        <f>'Emission Rates Net-by-Count'!$D$6</f>
        <v>1024.4699545804308</v>
      </c>
      <c r="I799" s="16">
        <f t="shared" si="27"/>
        <v>-643.87936645380069</v>
      </c>
      <c r="M799" s="19"/>
      <c r="N799" s="19"/>
      <c r="O799" s="19"/>
      <c r="P799" s="19"/>
    </row>
    <row r="800" spans="1:16" x14ac:dyDescent="0.25">
      <c r="A800" s="91">
        <v>1206</v>
      </c>
      <c r="B800" s="15">
        <v>2008</v>
      </c>
      <c r="C800" s="1" t="s">
        <v>120</v>
      </c>
      <c r="D800" s="1" t="s">
        <v>216</v>
      </c>
      <c r="E800" s="15" t="s">
        <v>217</v>
      </c>
      <c r="F800" s="1" t="s">
        <v>93</v>
      </c>
      <c r="G800" s="16">
        <v>-2305</v>
      </c>
      <c r="H800" s="93">
        <f>'Emission Rates Net-by-Count'!$D$6</f>
        <v>1024.4699545804308</v>
      </c>
      <c r="I800" s="16">
        <f t="shared" si="27"/>
        <v>-1180.7016226539465</v>
      </c>
      <c r="M800" s="19"/>
      <c r="N800" s="19"/>
      <c r="O800" s="19"/>
      <c r="P800" s="19"/>
    </row>
    <row r="801" spans="1:16" x14ac:dyDescent="0.25">
      <c r="A801" s="91">
        <v>1207</v>
      </c>
      <c r="B801" s="15">
        <v>2008</v>
      </c>
      <c r="C801" s="1" t="s">
        <v>120</v>
      </c>
      <c r="D801" s="1" t="s">
        <v>216</v>
      </c>
      <c r="E801" s="15" t="s">
        <v>217</v>
      </c>
      <c r="F801" s="1" t="s">
        <v>94</v>
      </c>
      <c r="G801" s="16">
        <v>-30998</v>
      </c>
      <c r="H801" s="93">
        <f>'Emission Rates Net-by-Count'!$D$6</f>
        <v>1024.4699545804308</v>
      </c>
      <c r="I801" s="16">
        <f t="shared" si="27"/>
        <v>-15878.259826042096</v>
      </c>
      <c r="M801" s="19"/>
      <c r="N801" s="19"/>
      <c r="O801" s="19"/>
      <c r="P801" s="19"/>
    </row>
    <row r="802" spans="1:16" x14ac:dyDescent="0.25">
      <c r="A802" s="91">
        <v>1208</v>
      </c>
      <c r="B802" s="15">
        <v>2008</v>
      </c>
      <c r="C802" s="1" t="s">
        <v>120</v>
      </c>
      <c r="D802" s="1" t="s">
        <v>216</v>
      </c>
      <c r="E802" s="15" t="s">
        <v>217</v>
      </c>
      <c r="F802" s="1" t="s">
        <v>95</v>
      </c>
      <c r="G802" s="16">
        <v>-51896</v>
      </c>
      <c r="H802" s="93">
        <f>'Emission Rates Net-by-Count'!$D$6</f>
        <v>1024.4699545804308</v>
      </c>
      <c r="I802" s="16">
        <f t="shared" si="27"/>
        <v>-26582.946381453017</v>
      </c>
      <c r="M802" s="19"/>
      <c r="N802" s="19"/>
      <c r="O802" s="19"/>
      <c r="P802" s="19"/>
    </row>
    <row r="803" spans="1:16" x14ac:dyDescent="0.25">
      <c r="A803" s="91">
        <v>1209</v>
      </c>
      <c r="B803" s="15">
        <v>2008</v>
      </c>
      <c r="C803" s="1" t="s">
        <v>120</v>
      </c>
      <c r="D803" s="1" t="s">
        <v>216</v>
      </c>
      <c r="E803" s="15" t="s">
        <v>217</v>
      </c>
      <c r="F803" s="1" t="s">
        <v>96</v>
      </c>
      <c r="G803" s="16">
        <v>-38348</v>
      </c>
      <c r="H803" s="93">
        <f>'Emission Rates Net-by-Count'!$D$6</f>
        <v>1024.4699545804308</v>
      </c>
      <c r="I803" s="16">
        <f t="shared" si="27"/>
        <v>-19643.186909125179</v>
      </c>
      <c r="M803" s="19"/>
      <c r="N803" s="19"/>
      <c r="O803" s="19"/>
      <c r="P803" s="19"/>
    </row>
    <row r="804" spans="1:16" x14ac:dyDescent="0.25">
      <c r="A804" s="91">
        <v>1210</v>
      </c>
      <c r="B804" s="15">
        <v>2008</v>
      </c>
      <c r="C804" s="1" t="s">
        <v>120</v>
      </c>
      <c r="D804" s="1" t="s">
        <v>216</v>
      </c>
      <c r="E804" s="15" t="s">
        <v>217</v>
      </c>
      <c r="F804" s="1" t="s">
        <v>97</v>
      </c>
      <c r="G804" s="16">
        <v>-158471</v>
      </c>
      <c r="H804" s="93">
        <f>'Emission Rates Net-by-Count'!$D$6</f>
        <v>1024.4699545804308</v>
      </c>
      <c r="I804" s="16">
        <f t="shared" si="27"/>
        <v>-81174.389086157724</v>
      </c>
      <c r="M804" s="19"/>
      <c r="N804" s="19"/>
      <c r="O804" s="19"/>
      <c r="P804" s="19"/>
    </row>
    <row r="805" spans="1:16" x14ac:dyDescent="0.25">
      <c r="A805" s="91">
        <v>1211</v>
      </c>
      <c r="B805" s="15">
        <v>2008</v>
      </c>
      <c r="C805" s="1" t="s">
        <v>120</v>
      </c>
      <c r="D805" s="1" t="s">
        <v>216</v>
      </c>
      <c r="E805" s="15" t="s">
        <v>217</v>
      </c>
      <c r="F805" s="1" t="s">
        <v>98</v>
      </c>
      <c r="G805" s="16">
        <v>-17217</v>
      </c>
      <c r="H805" s="93">
        <f>'Emission Rates Net-by-Count'!$D$6</f>
        <v>1024.4699545804308</v>
      </c>
      <c r="I805" s="16">
        <f t="shared" si="27"/>
        <v>-8819.149604005639</v>
      </c>
      <c r="M805" s="19"/>
      <c r="N805" s="19"/>
      <c r="O805" s="19"/>
      <c r="P805" s="19"/>
    </row>
    <row r="806" spans="1:16" x14ac:dyDescent="0.25">
      <c r="A806" s="91">
        <v>1212</v>
      </c>
      <c r="B806" s="15">
        <v>2008</v>
      </c>
      <c r="C806" s="1" t="s">
        <v>120</v>
      </c>
      <c r="D806" s="1" t="s">
        <v>216</v>
      </c>
      <c r="E806" s="15" t="s">
        <v>217</v>
      </c>
      <c r="F806" s="1" t="s">
        <v>99</v>
      </c>
      <c r="G806" s="16">
        <v>-166</v>
      </c>
      <c r="H806" s="93">
        <f>'Emission Rates Net-by-Count'!$D$6</f>
        <v>1024.4699545804308</v>
      </c>
      <c r="I806" s="16">
        <f t="shared" si="27"/>
        <v>-85.031006230175763</v>
      </c>
      <c r="M806" s="19"/>
      <c r="N806" s="19"/>
      <c r="O806" s="19"/>
      <c r="P806" s="19"/>
    </row>
    <row r="807" spans="1:16" x14ac:dyDescent="0.25">
      <c r="A807" s="91">
        <v>1213</v>
      </c>
      <c r="B807" s="15">
        <v>2008</v>
      </c>
      <c r="C807" s="1" t="s">
        <v>120</v>
      </c>
      <c r="D807" s="1" t="s">
        <v>216</v>
      </c>
      <c r="E807" s="15" t="s">
        <v>217</v>
      </c>
      <c r="F807" s="1" t="s">
        <v>100</v>
      </c>
      <c r="G807" s="16">
        <v>-22679</v>
      </c>
      <c r="H807" s="93">
        <f>'Emission Rates Net-by-Count'!$D$6</f>
        <v>1024.4699545804308</v>
      </c>
      <c r="I807" s="16">
        <f t="shared" si="27"/>
        <v>-11616.977049964795</v>
      </c>
      <c r="M807" s="19"/>
      <c r="N807" s="19"/>
      <c r="O807" s="19"/>
      <c r="P807" s="19"/>
    </row>
    <row r="808" spans="1:16" x14ac:dyDescent="0.25">
      <c r="A808" s="91">
        <v>1214</v>
      </c>
      <c r="B808" s="15">
        <v>2008</v>
      </c>
      <c r="C808" s="1" t="s">
        <v>120</v>
      </c>
      <c r="D808" s="1" t="s">
        <v>216</v>
      </c>
      <c r="E808" s="15" t="s">
        <v>217</v>
      </c>
      <c r="F808" s="1" t="s">
        <v>101</v>
      </c>
      <c r="G808" s="16">
        <v>-4250</v>
      </c>
      <c r="H808" s="93">
        <f>'Emission Rates Net-by-Count'!$D$6</f>
        <v>1024.4699545804308</v>
      </c>
      <c r="I808" s="16">
        <f t="shared" si="27"/>
        <v>-2176.9986534834156</v>
      </c>
      <c r="M808" s="19"/>
      <c r="N808" s="19"/>
      <c r="O808" s="19"/>
      <c r="P808" s="19"/>
    </row>
    <row r="809" spans="1:16" x14ac:dyDescent="0.25">
      <c r="A809" s="91">
        <v>1215</v>
      </c>
      <c r="B809" s="15">
        <v>2008</v>
      </c>
      <c r="C809" s="1" t="s">
        <v>120</v>
      </c>
      <c r="D809" s="1" t="s">
        <v>216</v>
      </c>
      <c r="E809" s="15" t="s">
        <v>217</v>
      </c>
      <c r="F809" s="1" t="s">
        <v>102</v>
      </c>
      <c r="G809" s="16">
        <v>-15700</v>
      </c>
      <c r="H809" s="93">
        <f>'Emission Rates Net-by-Count'!$D$6</f>
        <v>1024.4699545804308</v>
      </c>
      <c r="I809" s="16">
        <f t="shared" si="27"/>
        <v>-8042.0891434563819</v>
      </c>
      <c r="M809" s="19"/>
      <c r="N809" s="19"/>
      <c r="O809" s="19"/>
      <c r="P809" s="19"/>
    </row>
    <row r="810" spans="1:16" x14ac:dyDescent="0.25">
      <c r="A810" s="91">
        <v>1216</v>
      </c>
      <c r="B810" s="15">
        <v>2008</v>
      </c>
      <c r="C810" s="1" t="s">
        <v>120</v>
      </c>
      <c r="D810" s="1" t="s">
        <v>216</v>
      </c>
      <c r="E810" s="15" t="s">
        <v>217</v>
      </c>
      <c r="F810" s="1" t="s">
        <v>160</v>
      </c>
      <c r="G810" s="16">
        <v>-2578</v>
      </c>
      <c r="H810" s="93">
        <f>'Emission Rates Net-by-Count'!$D$6</f>
        <v>1024.4699545804308</v>
      </c>
      <c r="I810" s="16">
        <f t="shared" si="27"/>
        <v>-1320.5417714541752</v>
      </c>
      <c r="M810" s="19"/>
      <c r="N810" s="19"/>
      <c r="O810" s="19"/>
      <c r="P810" s="19"/>
    </row>
    <row r="811" spans="1:16" x14ac:dyDescent="0.25">
      <c r="A811" s="91">
        <v>1217</v>
      </c>
      <c r="B811" s="15">
        <v>2008</v>
      </c>
      <c r="C811" s="1" t="s">
        <v>120</v>
      </c>
      <c r="D811" s="1" t="s">
        <v>216</v>
      </c>
      <c r="E811" s="15" t="s">
        <v>217</v>
      </c>
      <c r="F811" s="1" t="s">
        <v>103</v>
      </c>
      <c r="G811" s="16">
        <v>-3208</v>
      </c>
      <c r="H811" s="93">
        <f>'Emission Rates Net-by-Count'!$D$6</f>
        <v>1024.4699545804308</v>
      </c>
      <c r="I811" s="16">
        <f t="shared" si="27"/>
        <v>-1643.2498071470109</v>
      </c>
      <c r="M811" s="19"/>
      <c r="N811" s="19"/>
      <c r="O811" s="19"/>
      <c r="P811" s="19"/>
    </row>
    <row r="812" spans="1:16" x14ac:dyDescent="0.25">
      <c r="A812" s="91">
        <v>1218</v>
      </c>
      <c r="B812" s="15">
        <v>2008</v>
      </c>
      <c r="C812" s="1" t="s">
        <v>120</v>
      </c>
      <c r="D812" s="1" t="s">
        <v>216</v>
      </c>
      <c r="E812" s="15" t="s">
        <v>217</v>
      </c>
      <c r="F812" s="1" t="s">
        <v>152</v>
      </c>
      <c r="G812" s="16">
        <v>-22392</v>
      </c>
      <c r="H812" s="93">
        <f>'Emission Rates Net-by-Count'!$D$6</f>
        <v>1024.4699545804308</v>
      </c>
      <c r="I812" s="16">
        <f t="shared" si="27"/>
        <v>-11469.965611482503</v>
      </c>
      <c r="M812" s="19"/>
      <c r="N812" s="19"/>
      <c r="O812" s="19"/>
      <c r="P812" s="19"/>
    </row>
    <row r="813" spans="1:16" x14ac:dyDescent="0.25">
      <c r="A813" s="91">
        <v>1219</v>
      </c>
      <c r="B813" s="15">
        <v>2008</v>
      </c>
      <c r="C813" s="1" t="s">
        <v>120</v>
      </c>
      <c r="D813" s="1" t="s">
        <v>216</v>
      </c>
      <c r="E813" s="15" t="s">
        <v>217</v>
      </c>
      <c r="F813" s="1" t="s">
        <v>153</v>
      </c>
      <c r="G813" s="16">
        <v>-11297</v>
      </c>
      <c r="H813" s="93">
        <f>'Emission Rates Net-by-Count'!$D$6</f>
        <v>1024.4699545804308</v>
      </c>
      <c r="I813" s="16">
        <f t="shared" si="27"/>
        <v>-5786.7185384475633</v>
      </c>
      <c r="M813" s="19"/>
      <c r="N813" s="19"/>
      <c r="O813" s="19"/>
      <c r="P813" s="19"/>
    </row>
    <row r="814" spans="1:16" x14ac:dyDescent="0.25">
      <c r="A814" s="91">
        <v>1220</v>
      </c>
      <c r="B814" s="15">
        <v>2008</v>
      </c>
      <c r="C814" s="1" t="s">
        <v>120</v>
      </c>
      <c r="D814" s="1" t="s">
        <v>216</v>
      </c>
      <c r="E814" s="15" t="s">
        <v>217</v>
      </c>
      <c r="F814" s="1" t="s">
        <v>104</v>
      </c>
      <c r="G814" s="16">
        <v>-200683</v>
      </c>
      <c r="H814" s="93">
        <f>'Emission Rates Net-by-Count'!$D$6</f>
        <v>1024.4699545804308</v>
      </c>
      <c r="I814" s="16">
        <f t="shared" si="27"/>
        <v>-102796.8519475323</v>
      </c>
      <c r="M814" s="19"/>
      <c r="N814" s="19"/>
      <c r="O814" s="19"/>
      <c r="P814" s="19"/>
    </row>
    <row r="815" spans="1:16" x14ac:dyDescent="0.25">
      <c r="A815" s="91">
        <v>1221</v>
      </c>
      <c r="B815" s="15">
        <v>2008</v>
      </c>
      <c r="C815" s="1" t="s">
        <v>120</v>
      </c>
      <c r="D815" s="1" t="s">
        <v>216</v>
      </c>
      <c r="E815" s="15" t="s">
        <v>217</v>
      </c>
      <c r="F815" s="1" t="s">
        <v>154</v>
      </c>
      <c r="G815" s="16">
        <v>-14678</v>
      </c>
      <c r="H815" s="93">
        <f>'Emission Rates Net-by-Count'!$D$6</f>
        <v>1024.4699545804308</v>
      </c>
      <c r="I815" s="16">
        <f t="shared" si="27"/>
        <v>-7518.5849966657815</v>
      </c>
      <c r="M815" s="19"/>
      <c r="N815" s="19"/>
      <c r="O815" s="19"/>
      <c r="P815" s="19"/>
    </row>
    <row r="816" spans="1:16" x14ac:dyDescent="0.25">
      <c r="A816" s="91">
        <v>1222</v>
      </c>
      <c r="B816" s="15">
        <v>2008</v>
      </c>
      <c r="C816" s="1" t="s">
        <v>120</v>
      </c>
      <c r="D816" s="1" t="s">
        <v>216</v>
      </c>
      <c r="E816" s="15" t="s">
        <v>217</v>
      </c>
      <c r="F816" s="1" t="s">
        <v>106</v>
      </c>
      <c r="G816" s="16">
        <v>-2835</v>
      </c>
      <c r="H816" s="93">
        <f>'Emission Rates Net-by-Count'!$D$6</f>
        <v>1024.4699545804308</v>
      </c>
      <c r="I816" s="16">
        <f t="shared" si="27"/>
        <v>-1452.1861606177606</v>
      </c>
      <c r="M816" s="19"/>
      <c r="N816" s="19"/>
      <c r="O816" s="19"/>
      <c r="P816" s="19"/>
    </row>
    <row r="817" spans="1:17" x14ac:dyDescent="0.25">
      <c r="A817" s="91">
        <v>1223</v>
      </c>
      <c r="B817" s="15">
        <v>2008</v>
      </c>
      <c r="C817" s="1" t="s">
        <v>120</v>
      </c>
      <c r="D817" s="1" t="s">
        <v>216</v>
      </c>
      <c r="E817" s="15" t="s">
        <v>217</v>
      </c>
      <c r="F817" s="1" t="s">
        <v>107</v>
      </c>
      <c r="G817" s="16">
        <v>-1600</v>
      </c>
      <c r="H817" s="93">
        <f>'Emission Rates Net-by-Count'!$D$6</f>
        <v>1024.4699545804308</v>
      </c>
      <c r="I817" s="16">
        <f t="shared" si="27"/>
        <v>-819.57596366434461</v>
      </c>
      <c r="M817" s="19"/>
      <c r="N817" s="19"/>
      <c r="O817" s="19"/>
      <c r="P817" s="19"/>
    </row>
    <row r="818" spans="1:17" x14ac:dyDescent="0.25">
      <c r="A818" s="91">
        <v>1224</v>
      </c>
      <c r="B818" s="15">
        <v>2008</v>
      </c>
      <c r="C818" s="1" t="s">
        <v>120</v>
      </c>
      <c r="D818" s="1" t="s">
        <v>216</v>
      </c>
      <c r="E818" s="15" t="s">
        <v>217</v>
      </c>
      <c r="F818" s="1" t="s">
        <v>108</v>
      </c>
      <c r="G818" s="16">
        <v>-275</v>
      </c>
      <c r="H818" s="93">
        <f>'Emission Rates Net-by-Count'!$D$6</f>
        <v>1024.4699545804308</v>
      </c>
      <c r="I818" s="16">
        <f t="shared" si="27"/>
        <v>-140.86461875480921</v>
      </c>
      <c r="M818" s="19"/>
      <c r="N818" s="19"/>
      <c r="O818" s="19"/>
      <c r="P818" s="19"/>
    </row>
    <row r="819" spans="1:17" x14ac:dyDescent="0.25">
      <c r="A819" s="91">
        <v>1267</v>
      </c>
      <c r="B819" s="15">
        <v>2009</v>
      </c>
      <c r="C819" s="1" t="s">
        <v>0</v>
      </c>
      <c r="D819" s="1" t="s">
        <v>215</v>
      </c>
      <c r="E819" s="15" t="s">
        <v>125</v>
      </c>
      <c r="F819" s="1" t="s">
        <v>1</v>
      </c>
      <c r="G819" s="16">
        <v>90893.71</v>
      </c>
      <c r="H819" s="92">
        <v>0</v>
      </c>
      <c r="I819" s="92">
        <f>(H819*G819)/2000</f>
        <v>0</v>
      </c>
      <c r="J819" s="92"/>
      <c r="K819" s="17" t="s">
        <v>223</v>
      </c>
      <c r="M819" s="19"/>
      <c r="N819" s="19"/>
      <c r="O819" s="19"/>
      <c r="P819" s="19"/>
    </row>
    <row r="820" spans="1:17" x14ac:dyDescent="0.25">
      <c r="A820" s="91">
        <v>1268</v>
      </c>
      <c r="B820" s="15">
        <v>2009</v>
      </c>
      <c r="C820" s="1" t="s">
        <v>0</v>
      </c>
      <c r="D820" s="1" t="s">
        <v>215</v>
      </c>
      <c r="E820" s="15" t="s">
        <v>125</v>
      </c>
      <c r="F820" s="1" t="s">
        <v>2</v>
      </c>
      <c r="G820" s="16">
        <v>344847.47200000001</v>
      </c>
      <c r="H820" s="92">
        <v>0</v>
      </c>
      <c r="I820" s="92">
        <f>(H820*G820)/2000</f>
        <v>0</v>
      </c>
      <c r="J820" s="92"/>
      <c r="K820" s="17" t="s">
        <v>223</v>
      </c>
      <c r="M820" s="19"/>
      <c r="N820" s="19"/>
      <c r="O820" s="19"/>
      <c r="P820" s="19"/>
    </row>
    <row r="821" spans="1:17" x14ac:dyDescent="0.25">
      <c r="A821" s="91">
        <v>1269</v>
      </c>
      <c r="B821" s="15">
        <v>2009</v>
      </c>
      <c r="C821" s="1" t="s">
        <v>0</v>
      </c>
      <c r="D821" s="1" t="s">
        <v>215</v>
      </c>
      <c r="E821" s="15" t="s">
        <v>125</v>
      </c>
      <c r="F821" s="1" t="s">
        <v>4</v>
      </c>
      <c r="G821" s="16">
        <v>62769</v>
      </c>
      <c r="H821" s="92">
        <v>0</v>
      </c>
      <c r="I821" s="92">
        <f>(H821*G821)/2000</f>
        <v>0</v>
      </c>
      <c r="J821" s="92"/>
      <c r="K821" s="17" t="s">
        <v>223</v>
      </c>
      <c r="M821" s="19"/>
      <c r="N821" s="19"/>
      <c r="O821" s="19"/>
      <c r="P821" s="19"/>
    </row>
    <row r="822" spans="1:17" x14ac:dyDescent="0.25">
      <c r="A822" s="91">
        <v>1270</v>
      </c>
      <c r="B822" s="15">
        <v>2009</v>
      </c>
      <c r="C822" s="1" t="s">
        <v>0</v>
      </c>
      <c r="D822" s="1" t="s">
        <v>215</v>
      </c>
      <c r="E822" s="15" t="s">
        <v>125</v>
      </c>
      <c r="F822" s="1" t="s">
        <v>5</v>
      </c>
      <c r="G822" s="16">
        <v>151915.20000000001</v>
      </c>
      <c r="H822" s="92">
        <v>0</v>
      </c>
      <c r="I822" s="92">
        <f>(H822*G822)/2000</f>
        <v>0</v>
      </c>
      <c r="J822" s="92"/>
      <c r="K822" s="17" t="s">
        <v>223</v>
      </c>
      <c r="M822" s="19"/>
      <c r="N822" s="19"/>
      <c r="O822" s="19"/>
      <c r="P822" s="19"/>
    </row>
    <row r="823" spans="1:17" x14ac:dyDescent="0.25">
      <c r="A823" s="91">
        <v>1272</v>
      </c>
      <c r="B823" s="15">
        <v>2009</v>
      </c>
      <c r="C823" s="1" t="s">
        <v>0</v>
      </c>
      <c r="D823" s="1" t="s">
        <v>215</v>
      </c>
      <c r="E823" s="15" t="s">
        <v>125</v>
      </c>
      <c r="F823" s="1" t="s">
        <v>6</v>
      </c>
      <c r="G823" s="16">
        <v>337353.652</v>
      </c>
      <c r="H823" s="92">
        <v>0</v>
      </c>
      <c r="I823" s="92">
        <f>(H823*G823)/2000</f>
        <v>0</v>
      </c>
      <c r="J823" s="92"/>
      <c r="K823" s="17" t="s">
        <v>223</v>
      </c>
      <c r="M823" s="19"/>
      <c r="N823" s="19"/>
      <c r="O823" s="19"/>
      <c r="P823" s="19"/>
    </row>
    <row r="824" spans="1:17" x14ac:dyDescent="0.25">
      <c r="A824" s="91">
        <v>1274</v>
      </c>
      <c r="B824" s="15">
        <v>2009</v>
      </c>
      <c r="C824" s="1" t="s">
        <v>7</v>
      </c>
      <c r="D824" s="1" t="s">
        <v>215</v>
      </c>
      <c r="E824" s="15" t="s">
        <v>122</v>
      </c>
      <c r="F824" s="1" t="s">
        <v>8</v>
      </c>
      <c r="G824" s="16">
        <v>2310597</v>
      </c>
      <c r="H824" s="16">
        <f t="shared" ref="H824:H834" si="28">(I824*2000)/G824</f>
        <v>2407.7777301710339</v>
      </c>
      <c r="I824" s="16">
        <v>2781702</v>
      </c>
      <c r="M824" s="19"/>
      <c r="N824" s="19"/>
      <c r="O824" s="19"/>
      <c r="P824" s="19"/>
      <c r="Q824" s="15" t="s">
        <v>269</v>
      </c>
    </row>
    <row r="825" spans="1:17" x14ac:dyDescent="0.25">
      <c r="A825" s="91">
        <v>1275</v>
      </c>
      <c r="B825" s="15">
        <v>2009</v>
      </c>
      <c r="C825" s="1" t="s">
        <v>7</v>
      </c>
      <c r="D825" s="1" t="s">
        <v>215</v>
      </c>
      <c r="E825" s="15" t="s">
        <v>122</v>
      </c>
      <c r="F825" s="1" t="s">
        <v>9</v>
      </c>
      <c r="G825" s="16">
        <v>2140507</v>
      </c>
      <c r="H825" s="16">
        <f t="shared" si="28"/>
        <v>2314.4853065185025</v>
      </c>
      <c r="I825" s="16">
        <v>2477086</v>
      </c>
      <c r="M825" s="19"/>
      <c r="N825" s="19"/>
      <c r="O825" s="19"/>
      <c r="P825" s="19"/>
      <c r="Q825" s="15" t="s">
        <v>269</v>
      </c>
    </row>
    <row r="826" spans="1:17" x14ac:dyDescent="0.25">
      <c r="A826" s="91">
        <v>1276</v>
      </c>
      <c r="B826" s="15">
        <v>2009</v>
      </c>
      <c r="C826" s="1" t="s">
        <v>7</v>
      </c>
      <c r="D826" s="1" t="s">
        <v>215</v>
      </c>
      <c r="E826" s="15" t="s">
        <v>123</v>
      </c>
      <c r="F826" s="1" t="s">
        <v>10</v>
      </c>
      <c r="G826" s="16">
        <v>384510</v>
      </c>
      <c r="H826" s="16">
        <f t="shared" si="28"/>
        <v>1108.3238139486621</v>
      </c>
      <c r="I826" s="16">
        <f t="shared" ref="I826:I834" si="29">J826*1.102311</f>
        <v>213080.79485070001</v>
      </c>
      <c r="J826" s="16">
        <v>193303.7</v>
      </c>
      <c r="M826" s="19"/>
      <c r="N826" s="19"/>
      <c r="O826" s="19"/>
      <c r="P826" s="19"/>
      <c r="Q826" s="15" t="s">
        <v>270</v>
      </c>
    </row>
    <row r="827" spans="1:17" x14ac:dyDescent="0.25">
      <c r="A827" s="91">
        <v>1278</v>
      </c>
      <c r="B827" s="15">
        <v>2009</v>
      </c>
      <c r="C827" s="1" t="s">
        <v>7</v>
      </c>
      <c r="D827" s="1" t="s">
        <v>215</v>
      </c>
      <c r="E827" s="15" t="s">
        <v>123</v>
      </c>
      <c r="F827" s="1" t="s">
        <v>144</v>
      </c>
      <c r="G827" s="16">
        <v>1368799</v>
      </c>
      <c r="H827" s="16">
        <f t="shared" si="28"/>
        <v>888.23154613277768</v>
      </c>
      <c r="I827" s="16">
        <f t="shared" si="29"/>
        <v>607905.2260575</v>
      </c>
      <c r="J827" s="94">
        <v>551482.5</v>
      </c>
      <c r="M827" s="19"/>
      <c r="N827" s="19"/>
      <c r="O827" s="19"/>
      <c r="P827" s="19"/>
      <c r="Q827" s="15" t="s">
        <v>270</v>
      </c>
    </row>
    <row r="828" spans="1:17" x14ac:dyDescent="0.25">
      <c r="A828" s="91">
        <v>1279</v>
      </c>
      <c r="B828" s="15">
        <v>2009</v>
      </c>
      <c r="C828" s="1" t="s">
        <v>7</v>
      </c>
      <c r="D828" s="1" t="s">
        <v>215</v>
      </c>
      <c r="E828" s="15" t="s">
        <v>123</v>
      </c>
      <c r="F828" s="1" t="s">
        <v>156</v>
      </c>
      <c r="G828" s="16">
        <v>1426827.5</v>
      </c>
      <c r="H828" s="16">
        <f t="shared" si="28"/>
        <v>913.81242166386619</v>
      </c>
      <c r="I828" s="16">
        <f t="shared" si="29"/>
        <v>651926.34653580002</v>
      </c>
      <c r="J828" s="16">
        <v>591417.80000000005</v>
      </c>
      <c r="M828" s="19"/>
      <c r="N828" s="19"/>
      <c r="O828" s="19"/>
      <c r="P828" s="19"/>
      <c r="Q828" s="15" t="s">
        <v>270</v>
      </c>
    </row>
    <row r="829" spans="1:17" x14ac:dyDescent="0.25">
      <c r="A829" s="91">
        <v>1280</v>
      </c>
      <c r="B829" s="15">
        <v>2009</v>
      </c>
      <c r="C829" s="1" t="s">
        <v>7</v>
      </c>
      <c r="D829" s="1" t="s">
        <v>215</v>
      </c>
      <c r="E829" s="15" t="s">
        <v>123</v>
      </c>
      <c r="F829" s="1" t="s">
        <v>155</v>
      </c>
      <c r="G829" s="16">
        <v>539532.19999999995</v>
      </c>
      <c r="H829" s="16">
        <f t="shared" si="28"/>
        <v>1079.7822928444309</v>
      </c>
      <c r="I829" s="16">
        <f t="shared" si="29"/>
        <v>291288.65798970003</v>
      </c>
      <c r="J829" s="16">
        <v>264252.7</v>
      </c>
      <c r="M829" s="19"/>
      <c r="N829" s="19"/>
      <c r="O829" s="19"/>
      <c r="P829" s="19"/>
      <c r="Q829" s="15" t="s">
        <v>270</v>
      </c>
    </row>
    <row r="830" spans="1:17" x14ac:dyDescent="0.25">
      <c r="A830" s="91">
        <v>1283</v>
      </c>
      <c r="B830" s="15">
        <v>2009</v>
      </c>
      <c r="C830" s="1" t="s">
        <v>11</v>
      </c>
      <c r="D830" s="1" t="s">
        <v>215</v>
      </c>
      <c r="E830" s="15" t="s">
        <v>124</v>
      </c>
      <c r="F830" s="1" t="s">
        <v>12</v>
      </c>
      <c r="G830" s="16">
        <v>419.45</v>
      </c>
      <c r="H830" s="16">
        <f t="shared" si="28"/>
        <v>1824.319399241112</v>
      </c>
      <c r="I830" s="16">
        <f t="shared" si="29"/>
        <v>382.60538600584221</v>
      </c>
      <c r="J830" s="16">
        <v>347.09386552963929</v>
      </c>
      <c r="M830" s="19"/>
      <c r="N830" s="19"/>
      <c r="O830" s="19"/>
      <c r="P830" s="19"/>
      <c r="Q830" s="15" t="s">
        <v>270</v>
      </c>
    </row>
    <row r="831" spans="1:17" x14ac:dyDescent="0.25">
      <c r="A831" s="91">
        <v>1285</v>
      </c>
      <c r="B831" s="15">
        <v>2009</v>
      </c>
      <c r="C831" s="1" t="s">
        <v>11</v>
      </c>
      <c r="D831" s="1" t="s">
        <v>215</v>
      </c>
      <c r="E831" s="15" t="s">
        <v>123</v>
      </c>
      <c r="F831" s="1" t="s">
        <v>13</v>
      </c>
      <c r="G831" s="16">
        <v>454203</v>
      </c>
      <c r="H831" s="16">
        <f t="shared" si="28"/>
        <v>938.36446332380979</v>
      </c>
      <c r="I831" s="16">
        <f t="shared" si="29"/>
        <v>213103.97716753217</v>
      </c>
      <c r="J831" s="16">
        <v>193324.73065000001</v>
      </c>
      <c r="M831" s="19"/>
      <c r="N831" s="19"/>
      <c r="O831" s="19"/>
      <c r="P831" s="19"/>
      <c r="Q831" s="15" t="s">
        <v>270</v>
      </c>
    </row>
    <row r="832" spans="1:17" x14ac:dyDescent="0.25">
      <c r="A832" s="91">
        <v>1286</v>
      </c>
      <c r="B832" s="15">
        <v>2009</v>
      </c>
      <c r="C832" s="1" t="s">
        <v>11</v>
      </c>
      <c r="D832" s="1" t="s">
        <v>215</v>
      </c>
      <c r="E832" s="15" t="s">
        <v>123</v>
      </c>
      <c r="F832" s="1" t="s">
        <v>14</v>
      </c>
      <c r="G832" s="16">
        <v>64044.5</v>
      </c>
      <c r="H832" s="16">
        <f t="shared" si="28"/>
        <v>1569.4444137415658</v>
      </c>
      <c r="I832" s="16">
        <f t="shared" si="29"/>
        <v>50257.141377935855</v>
      </c>
      <c r="J832" s="16">
        <v>45592.524594180635</v>
      </c>
      <c r="M832" s="19"/>
      <c r="N832" s="19"/>
      <c r="O832" s="19"/>
      <c r="P832" s="19"/>
      <c r="Q832" s="15" t="s">
        <v>270</v>
      </c>
    </row>
    <row r="833" spans="1:17" x14ac:dyDescent="0.25">
      <c r="A833" s="91">
        <v>1287</v>
      </c>
      <c r="B833" s="15">
        <v>2009</v>
      </c>
      <c r="C833" s="1" t="s">
        <v>11</v>
      </c>
      <c r="D833" s="1" t="s">
        <v>215</v>
      </c>
      <c r="E833" s="15" t="s">
        <v>123</v>
      </c>
      <c r="F833" s="1" t="s">
        <v>15</v>
      </c>
      <c r="G833" s="16">
        <v>89229</v>
      </c>
      <c r="H833" s="16">
        <f t="shared" si="28"/>
        <v>1396.7769859261002</v>
      </c>
      <c r="I833" s="16">
        <f t="shared" si="29"/>
        <v>62316.506838600006</v>
      </c>
      <c r="J833" s="16">
        <v>56532.600000000006</v>
      </c>
      <c r="M833" s="19"/>
      <c r="N833" s="19"/>
      <c r="O833" s="19"/>
      <c r="P833" s="19"/>
      <c r="Q833" s="15" t="s">
        <v>270</v>
      </c>
    </row>
    <row r="834" spans="1:17" x14ac:dyDescent="0.25">
      <c r="A834" s="91">
        <v>1288</v>
      </c>
      <c r="B834" s="15">
        <v>2009</v>
      </c>
      <c r="C834" s="1" t="s">
        <v>11</v>
      </c>
      <c r="D834" s="1" t="s">
        <v>215</v>
      </c>
      <c r="E834" s="15" t="s">
        <v>123</v>
      </c>
      <c r="F834" s="1" t="s">
        <v>16</v>
      </c>
      <c r="G834" s="16">
        <v>18586.099999999999</v>
      </c>
      <c r="H834" s="16">
        <f t="shared" si="28"/>
        <v>1769.9984040008392</v>
      </c>
      <c r="I834" s="16">
        <f t="shared" si="29"/>
        <v>16448.683668299996</v>
      </c>
      <c r="J834" s="16">
        <v>14921.999025955465</v>
      </c>
      <c r="M834" s="19"/>
      <c r="N834" s="19"/>
      <c r="O834" s="19"/>
      <c r="P834" s="19"/>
      <c r="Q834" s="15" t="s">
        <v>270</v>
      </c>
    </row>
    <row r="835" spans="1:17" x14ac:dyDescent="0.25">
      <c r="A835" s="91">
        <v>1290</v>
      </c>
      <c r="B835" s="15">
        <v>2009</v>
      </c>
      <c r="C835" s="1" t="s">
        <v>11</v>
      </c>
      <c r="D835" s="1" t="s">
        <v>215</v>
      </c>
      <c r="E835" s="15" t="s">
        <v>125</v>
      </c>
      <c r="F835" s="1" t="s">
        <v>17</v>
      </c>
      <c r="G835" s="16">
        <v>381219.26400000002</v>
      </c>
      <c r="H835" s="92">
        <v>0</v>
      </c>
      <c r="I835" s="92">
        <f>(H835*G835)/2000</f>
        <v>0</v>
      </c>
      <c r="J835" s="92"/>
      <c r="K835" s="17" t="s">
        <v>229</v>
      </c>
      <c r="M835" s="19"/>
      <c r="N835" s="19"/>
      <c r="O835" s="19"/>
      <c r="P835" s="19"/>
    </row>
    <row r="836" spans="1:17" x14ac:dyDescent="0.25">
      <c r="A836" s="91">
        <v>1295</v>
      </c>
      <c r="B836" s="15">
        <v>2009</v>
      </c>
      <c r="C836" s="1" t="s">
        <v>11</v>
      </c>
      <c r="D836" s="1" t="s">
        <v>215</v>
      </c>
      <c r="E836" s="15" t="s">
        <v>123</v>
      </c>
      <c r="F836" s="1" t="s">
        <v>18</v>
      </c>
      <c r="G836" s="16">
        <v>16995.3</v>
      </c>
      <c r="H836" s="16">
        <f>(I836*2000)/G836</f>
        <v>1739.0063960469408</v>
      </c>
      <c r="I836" s="16">
        <f>J836*1.102311</f>
        <v>14777.467701368285</v>
      </c>
      <c r="J836" s="16">
        <v>13405.896975870044</v>
      </c>
      <c r="M836" s="19"/>
      <c r="N836" s="19"/>
      <c r="O836" s="19"/>
      <c r="P836" s="19"/>
      <c r="Q836" s="15" t="s">
        <v>270</v>
      </c>
    </row>
    <row r="837" spans="1:17" x14ac:dyDescent="0.25">
      <c r="A837" s="91">
        <v>1296</v>
      </c>
      <c r="B837" s="15">
        <v>2009</v>
      </c>
      <c r="C837" s="1" t="s">
        <v>11</v>
      </c>
      <c r="D837" s="1" t="s">
        <v>215</v>
      </c>
      <c r="E837" s="15" t="s">
        <v>125</v>
      </c>
      <c r="F837" s="1" t="s">
        <v>126</v>
      </c>
      <c r="G837" s="16">
        <v>565274.87399999995</v>
      </c>
      <c r="H837" s="92">
        <v>0</v>
      </c>
      <c r="I837" s="92">
        <f>(H837*G837)/2000</f>
        <v>0</v>
      </c>
      <c r="J837" s="92"/>
      <c r="K837" s="17" t="s">
        <v>229</v>
      </c>
      <c r="M837" s="19"/>
      <c r="N837" s="19"/>
      <c r="O837" s="19"/>
      <c r="P837" s="19"/>
    </row>
    <row r="838" spans="1:17" x14ac:dyDescent="0.25">
      <c r="A838" s="91">
        <v>1298</v>
      </c>
      <c r="B838" s="15">
        <v>2009</v>
      </c>
      <c r="C838" s="1" t="s">
        <v>19</v>
      </c>
      <c r="D838" s="1" t="s">
        <v>219</v>
      </c>
      <c r="E838" s="15" t="s">
        <v>217</v>
      </c>
      <c r="F838" s="1" t="s">
        <v>20</v>
      </c>
      <c r="G838" s="16">
        <v>22270.57</v>
      </c>
      <c r="H838" s="93">
        <f>'Emission Rates Net-by-Count'!$D$7</f>
        <v>1118.7938637421748</v>
      </c>
      <c r="I838" s="16">
        <f>(G838*H838)/2000</f>
        <v>12458.088529020284</v>
      </c>
      <c r="M838" s="19"/>
      <c r="N838" s="19"/>
      <c r="O838" s="19"/>
      <c r="P838" s="19"/>
    </row>
    <row r="839" spans="1:17" x14ac:dyDescent="0.25">
      <c r="A839" s="91">
        <v>1299</v>
      </c>
      <c r="B839" s="15">
        <v>2009</v>
      </c>
      <c r="C839" s="1" t="s">
        <v>19</v>
      </c>
      <c r="D839" s="1" t="s">
        <v>219</v>
      </c>
      <c r="E839" s="15" t="s">
        <v>125</v>
      </c>
      <c r="F839" s="1" t="s">
        <v>21</v>
      </c>
      <c r="G839" s="16">
        <v>7014</v>
      </c>
      <c r="H839" s="92">
        <v>0</v>
      </c>
      <c r="I839" s="92">
        <f>(H839*G839)/2000</f>
        <v>0</v>
      </c>
      <c r="J839" s="92"/>
      <c r="K839" s="17" t="s">
        <v>235</v>
      </c>
      <c r="M839" s="19"/>
      <c r="N839" s="19"/>
      <c r="O839" s="19"/>
      <c r="P839" s="19"/>
    </row>
    <row r="840" spans="1:17" x14ac:dyDescent="0.25">
      <c r="A840" s="91">
        <v>1300</v>
      </c>
      <c r="B840" s="15">
        <v>2009</v>
      </c>
      <c r="C840" s="1" t="s">
        <v>19</v>
      </c>
      <c r="D840" s="1" t="s">
        <v>219</v>
      </c>
      <c r="E840" s="15" t="s">
        <v>217</v>
      </c>
      <c r="F840" s="1" t="s">
        <v>22</v>
      </c>
      <c r="G840" s="16">
        <v>393717</v>
      </c>
      <c r="H840" s="93">
        <f>'Emission Rates Net-by-Count'!$D$7</f>
        <v>1118.7938637421748</v>
      </c>
      <c r="I840" s="16">
        <f>(G840*H840)/2000</f>
        <v>220244.08182548892</v>
      </c>
      <c r="J840" s="92"/>
      <c r="K840" s="17" t="s">
        <v>236</v>
      </c>
      <c r="M840" s="19"/>
      <c r="N840" s="19"/>
      <c r="O840" s="19"/>
      <c r="P840" s="19"/>
    </row>
    <row r="841" spans="1:17" x14ac:dyDescent="0.25">
      <c r="A841" s="91">
        <v>1302</v>
      </c>
      <c r="B841" s="15">
        <v>2009</v>
      </c>
      <c r="C841" s="1" t="s">
        <v>19</v>
      </c>
      <c r="D841" s="1" t="s">
        <v>219</v>
      </c>
      <c r="E841" s="15" t="s">
        <v>125</v>
      </c>
      <c r="F841" s="1" t="s">
        <v>23</v>
      </c>
      <c r="G841" s="16">
        <v>1263318</v>
      </c>
      <c r="H841" s="92">
        <v>0</v>
      </c>
      <c r="I841" s="92">
        <f t="shared" ref="I841:I848" si="30">(H841*G841)/2000</f>
        <v>0</v>
      </c>
      <c r="J841" s="92"/>
      <c r="K841" s="17" t="s">
        <v>223</v>
      </c>
      <c r="M841" s="19"/>
      <c r="N841" s="19"/>
      <c r="O841" s="19"/>
      <c r="P841" s="19"/>
    </row>
    <row r="842" spans="1:17" x14ac:dyDescent="0.25">
      <c r="A842" s="91">
        <v>1303</v>
      </c>
      <c r="B842" s="15">
        <v>2009</v>
      </c>
      <c r="C842" s="1" t="s">
        <v>19</v>
      </c>
      <c r="D842" s="1" t="s">
        <v>219</v>
      </c>
      <c r="E842" s="15" t="s">
        <v>125</v>
      </c>
      <c r="F842" s="1" t="s">
        <v>24</v>
      </c>
      <c r="G842" s="16">
        <v>2007333</v>
      </c>
      <c r="H842" s="92">
        <v>0</v>
      </c>
      <c r="I842" s="92">
        <f t="shared" si="30"/>
        <v>0</v>
      </c>
      <c r="J842" s="92"/>
      <c r="K842" s="17" t="s">
        <v>223</v>
      </c>
      <c r="M842" s="19"/>
      <c r="N842" s="19"/>
      <c r="O842" s="19"/>
      <c r="P842" s="19"/>
    </row>
    <row r="843" spans="1:17" x14ac:dyDescent="0.25">
      <c r="A843" s="91">
        <v>1304</v>
      </c>
      <c r="B843" s="15">
        <v>2009</v>
      </c>
      <c r="C843" s="1" t="s">
        <v>19</v>
      </c>
      <c r="D843" s="1" t="s">
        <v>219</v>
      </c>
      <c r="E843" s="15" t="s">
        <v>125</v>
      </c>
      <c r="F843" s="1" t="s">
        <v>25</v>
      </c>
      <c r="G843" s="16">
        <v>959848</v>
      </c>
      <c r="H843" s="92">
        <v>0</v>
      </c>
      <c r="I843" s="92">
        <f t="shared" si="30"/>
        <v>0</v>
      </c>
      <c r="J843" s="92"/>
      <c r="K843" s="17" t="s">
        <v>223</v>
      </c>
      <c r="M843" s="19"/>
      <c r="N843" s="19"/>
      <c r="O843" s="19"/>
      <c r="P843" s="19"/>
    </row>
    <row r="844" spans="1:17" x14ac:dyDescent="0.25">
      <c r="A844" s="91">
        <v>1305</v>
      </c>
      <c r="B844" s="15">
        <v>2009</v>
      </c>
      <c r="C844" s="1" t="s">
        <v>19</v>
      </c>
      <c r="D844" s="1" t="s">
        <v>219</v>
      </c>
      <c r="E844" s="15" t="s">
        <v>125</v>
      </c>
      <c r="F844" s="1" t="s">
        <v>161</v>
      </c>
      <c r="G844" s="16">
        <v>1523.01</v>
      </c>
      <c r="H844" s="92">
        <v>0</v>
      </c>
      <c r="I844" s="92">
        <f t="shared" si="30"/>
        <v>0</v>
      </c>
      <c r="J844" s="92"/>
      <c r="K844" s="17" t="s">
        <v>232</v>
      </c>
      <c r="M844" s="19"/>
      <c r="N844" s="19"/>
      <c r="O844" s="19"/>
      <c r="P844" s="19"/>
    </row>
    <row r="845" spans="1:17" x14ac:dyDescent="0.25">
      <c r="A845" s="91">
        <v>1306</v>
      </c>
      <c r="B845" s="15">
        <v>2009</v>
      </c>
      <c r="C845" s="1" t="s">
        <v>19</v>
      </c>
      <c r="D845" s="1" t="s">
        <v>219</v>
      </c>
      <c r="E845" s="15" t="s">
        <v>125</v>
      </c>
      <c r="F845" s="1" t="s">
        <v>26</v>
      </c>
      <c r="G845" s="16">
        <v>234580</v>
      </c>
      <c r="H845" s="92">
        <v>0</v>
      </c>
      <c r="I845" s="92">
        <f t="shared" si="30"/>
        <v>0</v>
      </c>
      <c r="J845" s="92"/>
      <c r="K845" s="17" t="s">
        <v>223</v>
      </c>
      <c r="M845" s="19"/>
      <c r="N845" s="19"/>
      <c r="O845" s="19"/>
      <c r="P845" s="19"/>
    </row>
    <row r="846" spans="1:17" x14ac:dyDescent="0.25">
      <c r="A846" s="91">
        <v>1307</v>
      </c>
      <c r="B846" s="15">
        <v>2009</v>
      </c>
      <c r="C846" s="1" t="s">
        <v>19</v>
      </c>
      <c r="D846" s="1" t="s">
        <v>219</v>
      </c>
      <c r="E846" s="15" t="s">
        <v>125</v>
      </c>
      <c r="F846" s="1" t="s">
        <v>162</v>
      </c>
      <c r="G846" s="16">
        <v>82584</v>
      </c>
      <c r="H846" s="92">
        <v>0</v>
      </c>
      <c r="I846" s="92">
        <f t="shared" si="30"/>
        <v>0</v>
      </c>
      <c r="J846" s="92"/>
      <c r="K846" s="17" t="s">
        <v>223</v>
      </c>
      <c r="M846" s="19"/>
      <c r="N846" s="19"/>
      <c r="O846" s="19"/>
      <c r="P846" s="19"/>
    </row>
    <row r="847" spans="1:17" x14ac:dyDescent="0.25">
      <c r="A847" s="91">
        <v>1308</v>
      </c>
      <c r="B847" s="15">
        <v>2009</v>
      </c>
      <c r="C847" s="1" t="s">
        <v>19</v>
      </c>
      <c r="D847" s="1" t="s">
        <v>219</v>
      </c>
      <c r="E847" s="15" t="s">
        <v>125</v>
      </c>
      <c r="F847" s="1" t="s">
        <v>27</v>
      </c>
      <c r="G847" s="16">
        <v>313799</v>
      </c>
      <c r="H847" s="92">
        <v>0</v>
      </c>
      <c r="I847" s="92">
        <f t="shared" si="30"/>
        <v>0</v>
      </c>
      <c r="J847" s="92"/>
      <c r="K847" s="17" t="s">
        <v>223</v>
      </c>
      <c r="M847" s="19"/>
      <c r="N847" s="19"/>
      <c r="O847" s="19"/>
      <c r="P847" s="19"/>
    </row>
    <row r="848" spans="1:17" x14ac:dyDescent="0.25">
      <c r="A848" s="91">
        <v>1309</v>
      </c>
      <c r="B848" s="15">
        <v>2009</v>
      </c>
      <c r="C848" s="1" t="s">
        <v>19</v>
      </c>
      <c r="D848" s="1" t="s">
        <v>219</v>
      </c>
      <c r="E848" s="15" t="s">
        <v>125</v>
      </c>
      <c r="F848" s="1" t="s">
        <v>145</v>
      </c>
      <c r="G848" s="16">
        <v>132569</v>
      </c>
      <c r="H848" s="92">
        <v>0</v>
      </c>
      <c r="I848" s="92">
        <f t="shared" si="30"/>
        <v>0</v>
      </c>
      <c r="J848" s="92"/>
      <c r="K848" s="17" t="s">
        <v>229</v>
      </c>
      <c r="M848" s="19"/>
      <c r="N848" s="19"/>
      <c r="O848" s="19"/>
      <c r="P848" s="19"/>
    </row>
    <row r="849" spans="1:17" x14ac:dyDescent="0.25">
      <c r="A849" s="91">
        <v>1310</v>
      </c>
      <c r="B849" s="15">
        <v>2009</v>
      </c>
      <c r="C849" s="1" t="s">
        <v>19</v>
      </c>
      <c r="D849" s="1" t="s">
        <v>219</v>
      </c>
      <c r="E849" s="15" t="s">
        <v>122</v>
      </c>
      <c r="F849" s="1" t="s">
        <v>28</v>
      </c>
      <c r="G849" s="16">
        <v>591921</v>
      </c>
      <c r="H849" s="92">
        <v>2421.1511045073498</v>
      </c>
      <c r="I849" s="92">
        <f>(G849*H849)/2000</f>
        <v>716565.09146554756</v>
      </c>
      <c r="J849" s="92"/>
      <c r="K849" s="17" t="s">
        <v>233</v>
      </c>
      <c r="M849" s="19"/>
      <c r="N849" s="19"/>
      <c r="O849" s="19"/>
      <c r="P849" s="19"/>
      <c r="Q849" s="15" t="s">
        <v>268</v>
      </c>
    </row>
    <row r="850" spans="1:17" x14ac:dyDescent="0.25">
      <c r="A850" s="91">
        <v>1311</v>
      </c>
      <c r="B850" s="15">
        <v>2009</v>
      </c>
      <c r="C850" s="1" t="s">
        <v>19</v>
      </c>
      <c r="D850" s="1" t="s">
        <v>219</v>
      </c>
      <c r="E850" s="15" t="s">
        <v>125</v>
      </c>
      <c r="F850" s="1" t="s">
        <v>163</v>
      </c>
      <c r="G850" s="16">
        <v>3036</v>
      </c>
      <c r="H850" s="92">
        <v>0</v>
      </c>
      <c r="I850" s="92">
        <f>(H850*G850)/2000</f>
        <v>0</v>
      </c>
      <c r="J850" s="92"/>
      <c r="K850" s="17" t="s">
        <v>232</v>
      </c>
      <c r="M850" s="19"/>
      <c r="N850" s="19"/>
      <c r="O850" s="19"/>
      <c r="P850" s="19"/>
    </row>
    <row r="851" spans="1:17" x14ac:dyDescent="0.25">
      <c r="A851" s="91">
        <v>1312</v>
      </c>
      <c r="B851" s="15">
        <v>2009</v>
      </c>
      <c r="C851" s="1" t="s">
        <v>19</v>
      </c>
      <c r="D851" s="1" t="s">
        <v>219</v>
      </c>
      <c r="E851" s="15" t="s">
        <v>217</v>
      </c>
      <c r="F851" s="1" t="s">
        <v>29</v>
      </c>
      <c r="G851" s="16">
        <v>89728</v>
      </c>
      <c r="H851" s="93">
        <f>'Emission Rates Net-by-Count'!$D$7</f>
        <v>1118.7938637421748</v>
      </c>
      <c r="I851" s="16">
        <f>(G851*H851)/2000</f>
        <v>50193.567902928931</v>
      </c>
      <c r="M851" s="19"/>
      <c r="N851" s="19"/>
      <c r="O851" s="19"/>
      <c r="P851" s="19"/>
    </row>
    <row r="852" spans="1:17" x14ac:dyDescent="0.25">
      <c r="A852" s="91">
        <v>1313</v>
      </c>
      <c r="B852" s="15">
        <v>2009</v>
      </c>
      <c r="C852" s="1" t="s">
        <v>19</v>
      </c>
      <c r="D852" s="1" t="s">
        <v>219</v>
      </c>
      <c r="E852" s="15" t="s">
        <v>125</v>
      </c>
      <c r="F852" s="1" t="s">
        <v>30</v>
      </c>
      <c r="G852" s="16">
        <v>2345.92</v>
      </c>
      <c r="H852" s="92">
        <v>0</v>
      </c>
      <c r="I852" s="92">
        <f>(H852*G852)/2000</f>
        <v>0</v>
      </c>
      <c r="J852" s="92"/>
      <c r="K852" s="17" t="s">
        <v>232</v>
      </c>
      <c r="M852" s="19"/>
      <c r="N852" s="19"/>
      <c r="O852" s="19"/>
      <c r="P852" s="19"/>
    </row>
    <row r="853" spans="1:17" x14ac:dyDescent="0.25">
      <c r="A853" s="91">
        <v>1314</v>
      </c>
      <c r="B853" s="15">
        <v>2009</v>
      </c>
      <c r="C853" s="1" t="s">
        <v>19</v>
      </c>
      <c r="D853" s="1" t="s">
        <v>219</v>
      </c>
      <c r="E853" s="15" t="s">
        <v>125</v>
      </c>
      <c r="F853" s="1" t="s">
        <v>31</v>
      </c>
      <c r="G853" s="16">
        <v>39992</v>
      </c>
      <c r="H853" s="92">
        <v>0</v>
      </c>
      <c r="I853" s="92">
        <f>(H853*G853)/2000</f>
        <v>0</v>
      </c>
      <c r="J853" s="92"/>
      <c r="K853" s="17" t="s">
        <v>223</v>
      </c>
      <c r="M853" s="19"/>
      <c r="N853" s="19"/>
      <c r="O853" s="19"/>
      <c r="P853" s="19"/>
    </row>
    <row r="854" spans="1:17" x14ac:dyDescent="0.25">
      <c r="A854" s="91">
        <v>1316</v>
      </c>
      <c r="B854" s="15">
        <v>2009</v>
      </c>
      <c r="C854" s="1" t="s">
        <v>32</v>
      </c>
      <c r="D854" s="1" t="s">
        <v>219</v>
      </c>
      <c r="E854" s="15" t="s">
        <v>125</v>
      </c>
      <c r="F854" s="1" t="s">
        <v>34</v>
      </c>
      <c r="G854" s="16">
        <v>36065.160000000003</v>
      </c>
      <c r="H854" s="92">
        <v>0</v>
      </c>
      <c r="I854" s="92">
        <f>(H854*G854)/2000</f>
        <v>0</v>
      </c>
      <c r="J854" s="92"/>
      <c r="K854" s="17" t="s">
        <v>223</v>
      </c>
      <c r="M854" s="19"/>
      <c r="N854" s="19"/>
      <c r="O854" s="19"/>
      <c r="P854" s="19"/>
    </row>
    <row r="855" spans="1:17" x14ac:dyDescent="0.25">
      <c r="A855" s="91">
        <v>1318</v>
      </c>
      <c r="B855" s="15">
        <v>2009</v>
      </c>
      <c r="C855" s="1" t="s">
        <v>32</v>
      </c>
      <c r="D855" s="1" t="s">
        <v>219</v>
      </c>
      <c r="E855" s="15" t="s">
        <v>123</v>
      </c>
      <c r="F855" s="1" t="s">
        <v>254</v>
      </c>
      <c r="G855" s="16">
        <v>995857.89</v>
      </c>
      <c r="H855" s="92">
        <f>P855</f>
        <v>711.04062100273177</v>
      </c>
      <c r="I855" s="92">
        <f>(+G855*H855)/2000</f>
        <v>354047.70626803505</v>
      </c>
      <c r="J855" s="92"/>
      <c r="K855" s="17" t="s">
        <v>224</v>
      </c>
      <c r="L855" s="18">
        <v>5.8439999999999999E-2</v>
      </c>
      <c r="M855" s="19">
        <v>6057229</v>
      </c>
      <c r="N855" s="19">
        <f>(M855*L855)</f>
        <v>353984.46275999997</v>
      </c>
      <c r="O855" s="19">
        <v>995680</v>
      </c>
      <c r="P855" s="19">
        <f>(N855*2000)/O855</f>
        <v>711.04062100273177</v>
      </c>
      <c r="Q855" s="15" t="s">
        <v>255</v>
      </c>
    </row>
    <row r="856" spans="1:17" x14ac:dyDescent="0.25">
      <c r="A856" s="91">
        <v>1319</v>
      </c>
      <c r="B856" s="15">
        <v>2009</v>
      </c>
      <c r="C856" s="1" t="s">
        <v>32</v>
      </c>
      <c r="D856" s="1" t="s">
        <v>219</v>
      </c>
      <c r="E856" s="15" t="s">
        <v>125</v>
      </c>
      <c r="F856" s="1" t="s">
        <v>35</v>
      </c>
      <c r="G856" s="16">
        <v>23209.795999999998</v>
      </c>
      <c r="H856" s="92">
        <v>0</v>
      </c>
      <c r="I856" s="92">
        <f>(H856*G856)/2000</f>
        <v>0</v>
      </c>
      <c r="J856" s="92"/>
      <c r="K856" s="17" t="s">
        <v>223</v>
      </c>
      <c r="M856" s="19"/>
      <c r="N856" s="19"/>
      <c r="O856" s="19"/>
      <c r="P856" s="19"/>
    </row>
    <row r="857" spans="1:17" x14ac:dyDescent="0.25">
      <c r="A857" s="91">
        <v>1320</v>
      </c>
      <c r="B857" s="15">
        <v>2009</v>
      </c>
      <c r="C857" s="1" t="s">
        <v>32</v>
      </c>
      <c r="D857" s="1" t="s">
        <v>219</v>
      </c>
      <c r="E857" s="15" t="s">
        <v>225</v>
      </c>
      <c r="F857" s="1" t="s">
        <v>36</v>
      </c>
      <c r="G857" s="16">
        <v>1816.9169999999999</v>
      </c>
      <c r="H857" s="92">
        <f>P857</f>
        <v>998.843085984749</v>
      </c>
      <c r="I857" s="92">
        <f>(+G857*H857)/2000</f>
        <v>907.40749162907605</v>
      </c>
      <c r="J857" s="92"/>
      <c r="K857" s="17" t="s">
        <v>225</v>
      </c>
      <c r="L857" s="18">
        <v>0.10448</v>
      </c>
      <c r="M857" s="19">
        <v>181786</v>
      </c>
      <c r="N857" s="19">
        <f>(M857*L857)</f>
        <v>18993.00128</v>
      </c>
      <c r="O857" s="19">
        <v>38030</v>
      </c>
      <c r="P857" s="19">
        <f>(N857*2000)/O857</f>
        <v>998.843085984749</v>
      </c>
      <c r="Q857" s="15" t="s">
        <v>255</v>
      </c>
    </row>
    <row r="858" spans="1:17" x14ac:dyDescent="0.25">
      <c r="A858" s="91">
        <v>1321</v>
      </c>
      <c r="B858" s="15">
        <v>2009</v>
      </c>
      <c r="C858" s="1" t="s">
        <v>32</v>
      </c>
      <c r="D858" s="1" t="s">
        <v>219</v>
      </c>
      <c r="E858" s="15" t="s">
        <v>125</v>
      </c>
      <c r="F858" s="1" t="s">
        <v>37</v>
      </c>
      <c r="G858" s="16">
        <v>343.577</v>
      </c>
      <c r="H858" s="92">
        <v>0</v>
      </c>
      <c r="I858" s="92">
        <f>(H858*G858)/2000</f>
        <v>0</v>
      </c>
      <c r="J858" s="92"/>
      <c r="K858" s="17" t="s">
        <v>226</v>
      </c>
      <c r="M858" s="19"/>
      <c r="N858" s="19"/>
      <c r="O858" s="19"/>
      <c r="P858" s="19"/>
    </row>
    <row r="859" spans="1:17" x14ac:dyDescent="0.25">
      <c r="A859" s="91">
        <v>1322</v>
      </c>
      <c r="B859" s="15">
        <v>2009</v>
      </c>
      <c r="C859" s="1" t="s">
        <v>32</v>
      </c>
      <c r="D859" s="1" t="s">
        <v>219</v>
      </c>
      <c r="E859" s="15" t="s">
        <v>227</v>
      </c>
      <c r="F859" s="1" t="s">
        <v>38</v>
      </c>
      <c r="G859" s="16">
        <v>133987</v>
      </c>
      <c r="H859" s="92">
        <f>P859</f>
        <v>1701.106388137611</v>
      </c>
      <c r="I859" s="92">
        <f>(+G859*H859)/2000</f>
        <v>113963.07081369704</v>
      </c>
      <c r="J859" s="92"/>
      <c r="K859" s="17" t="s">
        <v>228</v>
      </c>
      <c r="L859" s="18">
        <v>0.11289</v>
      </c>
      <c r="M859" s="19">
        <v>4537994</v>
      </c>
      <c r="N859" s="19">
        <f>(M859*L859)</f>
        <v>512294.14266000001</v>
      </c>
      <c r="O859" s="19">
        <v>602307</v>
      </c>
      <c r="P859" s="19">
        <f>(N859*2000)/O859</f>
        <v>1701.106388137611</v>
      </c>
      <c r="Q859" s="15" t="s">
        <v>255</v>
      </c>
    </row>
    <row r="860" spans="1:17" x14ac:dyDescent="0.25">
      <c r="A860" s="91">
        <v>1323</v>
      </c>
      <c r="B860" s="15">
        <v>2009</v>
      </c>
      <c r="C860" s="1" t="s">
        <v>32</v>
      </c>
      <c r="D860" s="1" t="s">
        <v>219</v>
      </c>
      <c r="E860" s="15" t="s">
        <v>125</v>
      </c>
      <c r="F860" s="1" t="s">
        <v>40</v>
      </c>
      <c r="G860" s="16">
        <v>1018.08</v>
      </c>
      <c r="H860" s="92">
        <v>0</v>
      </c>
      <c r="I860" s="92">
        <f>(H860*G860)/2000</f>
        <v>0</v>
      </c>
      <c r="J860" s="92"/>
      <c r="K860" s="17" t="s">
        <v>223</v>
      </c>
      <c r="M860" s="19"/>
      <c r="N860" s="19"/>
      <c r="O860" s="19"/>
      <c r="P860" s="19"/>
    </row>
    <row r="861" spans="1:17" x14ac:dyDescent="0.25">
      <c r="A861" s="91">
        <v>1324</v>
      </c>
      <c r="B861" s="15">
        <v>2009</v>
      </c>
      <c r="C861" s="1" t="s">
        <v>32</v>
      </c>
      <c r="D861" s="1" t="s">
        <v>219</v>
      </c>
      <c r="E861" s="15" t="s">
        <v>123</v>
      </c>
      <c r="F861" s="1" t="s">
        <v>41</v>
      </c>
      <c r="G861" s="16">
        <v>866454.6</v>
      </c>
      <c r="H861" s="92">
        <f>P861</f>
        <v>885.49548824682847</v>
      </c>
      <c r="I861" s="92">
        <f>(+G861*H861)/2000</f>
        <v>383620.8195353552</v>
      </c>
      <c r="J861" s="92"/>
      <c r="K861" s="17" t="s">
        <v>224</v>
      </c>
      <c r="L861" s="18">
        <v>5.8439999999999999E-2</v>
      </c>
      <c r="M861" s="19">
        <v>6641648</v>
      </c>
      <c r="N861" s="19">
        <f>(M861*L861)</f>
        <v>388137.90911999997</v>
      </c>
      <c r="O861" s="19">
        <v>876657</v>
      </c>
      <c r="P861" s="19">
        <f>(N861*2000)/O861</f>
        <v>885.49548824682847</v>
      </c>
      <c r="Q861" s="15" t="s">
        <v>255</v>
      </c>
    </row>
    <row r="862" spans="1:17" x14ac:dyDescent="0.25">
      <c r="A862" s="91">
        <v>1325</v>
      </c>
      <c r="B862" s="15">
        <v>2009</v>
      </c>
      <c r="C862" s="1" t="s">
        <v>32</v>
      </c>
      <c r="D862" s="1" t="s">
        <v>219</v>
      </c>
      <c r="E862" s="15" t="s">
        <v>125</v>
      </c>
      <c r="F862" s="1" t="s">
        <v>42</v>
      </c>
      <c r="G862" s="16">
        <v>69081.600000000006</v>
      </c>
      <c r="H862" s="92">
        <v>0</v>
      </c>
      <c r="I862" s="92">
        <f>(H862*G862)/2000</f>
        <v>0</v>
      </c>
      <c r="J862" s="92"/>
      <c r="K862" s="17" t="s">
        <v>223</v>
      </c>
      <c r="M862" s="19"/>
      <c r="N862" s="19"/>
      <c r="O862" s="19"/>
      <c r="P862" s="19"/>
    </row>
    <row r="863" spans="1:17" x14ac:dyDescent="0.25">
      <c r="A863" s="91">
        <v>1326</v>
      </c>
      <c r="B863" s="15">
        <v>2009</v>
      </c>
      <c r="C863" s="1" t="s">
        <v>32</v>
      </c>
      <c r="D863" s="1" t="s">
        <v>219</v>
      </c>
      <c r="E863" s="15" t="s">
        <v>125</v>
      </c>
      <c r="F863" s="1" t="s">
        <v>43</v>
      </c>
      <c r="G863" s="16">
        <v>12348</v>
      </c>
      <c r="H863" s="92">
        <v>0</v>
      </c>
      <c r="I863" s="92">
        <f>(H863*G863)/2000</f>
        <v>0</v>
      </c>
      <c r="J863" s="92"/>
      <c r="K863" s="17" t="s">
        <v>223</v>
      </c>
      <c r="M863" s="19"/>
      <c r="N863" s="19"/>
      <c r="O863" s="19"/>
      <c r="P863" s="19"/>
    </row>
    <row r="864" spans="1:17" x14ac:dyDescent="0.25">
      <c r="A864" s="91">
        <v>1328</v>
      </c>
      <c r="B864" s="15">
        <v>2009</v>
      </c>
      <c r="C864" s="1" t="s">
        <v>44</v>
      </c>
      <c r="D864" s="1" t="s">
        <v>216</v>
      </c>
      <c r="E864" s="15" t="s">
        <v>217</v>
      </c>
      <c r="F864" s="1" t="s">
        <v>47</v>
      </c>
      <c r="G864" s="16">
        <v>165617.92000000001</v>
      </c>
      <c r="H864" s="93">
        <f>'Emission Rates Net-by-Count'!$D$7</f>
        <v>1118.7938637421748</v>
      </c>
      <c r="I864" s="16">
        <f t="shared" ref="I864:I895" si="31">(G864*H864)/2000</f>
        <v>92646.156310871214</v>
      </c>
      <c r="M864" s="19"/>
      <c r="N864" s="19"/>
      <c r="O864" s="19"/>
      <c r="P864" s="19"/>
    </row>
    <row r="865" spans="1:16" x14ac:dyDescent="0.25">
      <c r="A865" s="91">
        <v>1329</v>
      </c>
      <c r="B865" s="15">
        <v>2009</v>
      </c>
      <c r="C865" s="1" t="s">
        <v>44</v>
      </c>
      <c r="D865" s="1" t="s">
        <v>216</v>
      </c>
      <c r="E865" s="15" t="s">
        <v>217</v>
      </c>
      <c r="F865" s="1" t="s">
        <v>127</v>
      </c>
      <c r="G865" s="16">
        <v>16746</v>
      </c>
      <c r="H865" s="93">
        <f>'Emission Rates Net-by-Count'!$D$7</f>
        <v>1118.7938637421748</v>
      </c>
      <c r="I865" s="16">
        <f t="shared" si="31"/>
        <v>9367.6610211132302</v>
      </c>
      <c r="M865" s="19"/>
      <c r="N865" s="19"/>
      <c r="O865" s="19"/>
      <c r="P865" s="19"/>
    </row>
    <row r="866" spans="1:16" x14ac:dyDescent="0.25">
      <c r="A866" s="91">
        <v>1330</v>
      </c>
      <c r="B866" s="15">
        <v>2009</v>
      </c>
      <c r="C866" s="1" t="s">
        <v>44</v>
      </c>
      <c r="D866" s="1" t="s">
        <v>216</v>
      </c>
      <c r="E866" s="15" t="s">
        <v>217</v>
      </c>
      <c r="F866" s="1" t="s">
        <v>50</v>
      </c>
      <c r="G866" s="16">
        <v>3800</v>
      </c>
      <c r="H866" s="93">
        <f>'Emission Rates Net-by-Count'!$D$7</f>
        <v>1118.7938637421748</v>
      </c>
      <c r="I866" s="16">
        <f t="shared" si="31"/>
        <v>2125.7083411101321</v>
      </c>
      <c r="M866" s="19"/>
      <c r="N866" s="19"/>
      <c r="O866" s="19"/>
      <c r="P866" s="19"/>
    </row>
    <row r="867" spans="1:16" x14ac:dyDescent="0.25">
      <c r="A867" s="91">
        <v>1331</v>
      </c>
      <c r="B867" s="15">
        <v>2009</v>
      </c>
      <c r="C867" s="1" t="s">
        <v>44</v>
      </c>
      <c r="D867" s="1" t="s">
        <v>216</v>
      </c>
      <c r="E867" s="15" t="s">
        <v>217</v>
      </c>
      <c r="F867" s="1" t="s">
        <v>51</v>
      </c>
      <c r="G867" s="16">
        <v>-3599695</v>
      </c>
      <c r="H867" s="93">
        <f>'Emission Rates Net-by-Count'!$D$7</f>
        <v>1118.7938637421748</v>
      </c>
      <c r="I867" s="16">
        <f t="shared" si="31"/>
        <v>-2013658.338671694</v>
      </c>
      <c r="M867" s="19"/>
      <c r="N867" s="19"/>
      <c r="O867" s="19"/>
      <c r="P867" s="19"/>
    </row>
    <row r="868" spans="1:16" x14ac:dyDescent="0.25">
      <c r="A868" s="91">
        <v>1332</v>
      </c>
      <c r="B868" s="15">
        <v>2009</v>
      </c>
      <c r="C868" s="1" t="s">
        <v>44</v>
      </c>
      <c r="D868" s="1" t="s">
        <v>216</v>
      </c>
      <c r="E868" s="15" t="s">
        <v>217</v>
      </c>
      <c r="F868" s="1" t="s">
        <v>52</v>
      </c>
      <c r="G868" s="16">
        <v>37192</v>
      </c>
      <c r="H868" s="93">
        <f>'Emission Rates Net-by-Count'!$D$7</f>
        <v>1118.7938637421748</v>
      </c>
      <c r="I868" s="16">
        <f t="shared" si="31"/>
        <v>20805.090690149482</v>
      </c>
      <c r="M868" s="19"/>
      <c r="N868" s="19"/>
      <c r="O868" s="19"/>
      <c r="P868" s="19"/>
    </row>
    <row r="869" spans="1:16" x14ac:dyDescent="0.25">
      <c r="A869" s="91">
        <v>1333</v>
      </c>
      <c r="B869" s="15">
        <v>2009</v>
      </c>
      <c r="C869" s="1" t="s">
        <v>44</v>
      </c>
      <c r="D869" s="1" t="s">
        <v>216</v>
      </c>
      <c r="E869" s="15" t="s">
        <v>217</v>
      </c>
      <c r="F869" s="1" t="s">
        <v>21</v>
      </c>
      <c r="G869" s="16">
        <v>334870</v>
      </c>
      <c r="H869" s="93">
        <f>'Emission Rates Net-by-Count'!$D$7</f>
        <v>1118.7938637421748</v>
      </c>
      <c r="I869" s="16">
        <f t="shared" si="31"/>
        <v>187325.25057567106</v>
      </c>
      <c r="M869" s="19"/>
      <c r="N869" s="19"/>
      <c r="O869" s="19"/>
      <c r="P869" s="19"/>
    </row>
    <row r="870" spans="1:16" x14ac:dyDescent="0.25">
      <c r="A870" s="91">
        <v>1334</v>
      </c>
      <c r="B870" s="15">
        <v>2009</v>
      </c>
      <c r="C870" s="1" t="s">
        <v>44</v>
      </c>
      <c r="D870" s="1" t="s">
        <v>216</v>
      </c>
      <c r="E870" s="15" t="s">
        <v>217</v>
      </c>
      <c r="F870" s="1" t="s">
        <v>53</v>
      </c>
      <c r="G870" s="16">
        <v>175</v>
      </c>
      <c r="H870" s="93">
        <f>'Emission Rates Net-by-Count'!$D$7</f>
        <v>1118.7938637421748</v>
      </c>
      <c r="I870" s="16">
        <f t="shared" si="31"/>
        <v>97.894463077440307</v>
      </c>
      <c r="M870" s="19"/>
      <c r="N870" s="19"/>
      <c r="O870" s="19"/>
      <c r="P870" s="19"/>
    </row>
    <row r="871" spans="1:16" x14ac:dyDescent="0.25">
      <c r="A871" s="91">
        <v>1335</v>
      </c>
      <c r="B871" s="15">
        <v>2009</v>
      </c>
      <c r="C871" s="1" t="s">
        <v>44</v>
      </c>
      <c r="D871" s="1" t="s">
        <v>216</v>
      </c>
      <c r="E871" s="15" t="s">
        <v>217</v>
      </c>
      <c r="F871" s="1" t="s">
        <v>56</v>
      </c>
      <c r="G871" s="16">
        <v>380859</v>
      </c>
      <c r="H871" s="93">
        <f>'Emission Rates Net-by-Count'!$D$7</f>
        <v>1118.7938637421748</v>
      </c>
      <c r="I871" s="16">
        <f t="shared" si="31"/>
        <v>213051.35607549048</v>
      </c>
      <c r="M871" s="19"/>
      <c r="N871" s="19"/>
      <c r="O871" s="19"/>
      <c r="P871" s="19"/>
    </row>
    <row r="872" spans="1:16" x14ac:dyDescent="0.25">
      <c r="A872" s="91">
        <v>1336</v>
      </c>
      <c r="B872" s="15">
        <v>2009</v>
      </c>
      <c r="C872" s="1" t="s">
        <v>44</v>
      </c>
      <c r="D872" s="1" t="s">
        <v>216</v>
      </c>
      <c r="E872" s="15" t="s">
        <v>217</v>
      </c>
      <c r="F872" s="1" t="s">
        <v>57</v>
      </c>
      <c r="G872" s="16">
        <v>29209</v>
      </c>
      <c r="H872" s="93">
        <f>'Emission Rates Net-by-Count'!$D$7</f>
        <v>1118.7938637421748</v>
      </c>
      <c r="I872" s="16">
        <f t="shared" si="31"/>
        <v>16339.424983022593</v>
      </c>
      <c r="M872" s="19"/>
      <c r="N872" s="19"/>
      <c r="O872" s="19"/>
      <c r="P872" s="19"/>
    </row>
    <row r="873" spans="1:16" x14ac:dyDescent="0.25">
      <c r="A873" s="91">
        <v>1337</v>
      </c>
      <c r="B873" s="15">
        <v>2009</v>
      </c>
      <c r="C873" s="1" t="s">
        <v>44</v>
      </c>
      <c r="D873" s="1" t="s">
        <v>216</v>
      </c>
      <c r="E873" s="15" t="s">
        <v>217</v>
      </c>
      <c r="F873" s="1" t="s">
        <v>58</v>
      </c>
      <c r="G873" s="16">
        <v>338327</v>
      </c>
      <c r="H873" s="93">
        <f>'Emission Rates Net-by-Count'!$D$7</f>
        <v>1118.7938637421748</v>
      </c>
      <c r="I873" s="16">
        <f t="shared" si="31"/>
        <v>189259.08576914939</v>
      </c>
      <c r="M873" s="19"/>
      <c r="N873" s="19"/>
      <c r="O873" s="19"/>
      <c r="P873" s="19"/>
    </row>
    <row r="874" spans="1:16" x14ac:dyDescent="0.25">
      <c r="A874" s="91">
        <v>1338</v>
      </c>
      <c r="B874" s="15">
        <v>2009</v>
      </c>
      <c r="C874" s="1" t="s">
        <v>44</v>
      </c>
      <c r="D874" s="1" t="s">
        <v>216</v>
      </c>
      <c r="E874" s="15" t="s">
        <v>217</v>
      </c>
      <c r="F874" s="1" t="s">
        <v>59</v>
      </c>
      <c r="G874" s="16">
        <v>50919</v>
      </c>
      <c r="H874" s="93">
        <f>'Emission Rates Net-by-Count'!$D$7</f>
        <v>1118.7938637421748</v>
      </c>
      <c r="I874" s="16">
        <f t="shared" si="31"/>
        <v>28483.932373943899</v>
      </c>
      <c r="M874" s="19"/>
      <c r="N874" s="19"/>
      <c r="O874" s="19"/>
      <c r="P874" s="19"/>
    </row>
    <row r="875" spans="1:16" x14ac:dyDescent="0.25">
      <c r="A875" s="91">
        <v>1339</v>
      </c>
      <c r="B875" s="15">
        <v>2009</v>
      </c>
      <c r="C875" s="1" t="s">
        <v>44</v>
      </c>
      <c r="D875" s="1" t="s">
        <v>216</v>
      </c>
      <c r="E875" s="15" t="s">
        <v>217</v>
      </c>
      <c r="F875" s="1" t="s">
        <v>60</v>
      </c>
      <c r="G875" s="16">
        <v>73722</v>
      </c>
      <c r="H875" s="93">
        <f>'Emission Rates Net-by-Count'!$D$7</f>
        <v>1118.7938637421748</v>
      </c>
      <c r="I875" s="16">
        <f t="shared" si="31"/>
        <v>41239.860611400305</v>
      </c>
      <c r="M875" s="19"/>
      <c r="N875" s="19"/>
      <c r="O875" s="19"/>
      <c r="P875" s="19"/>
    </row>
    <row r="876" spans="1:16" x14ac:dyDescent="0.25">
      <c r="A876" s="91">
        <v>1340</v>
      </c>
      <c r="B876" s="15">
        <v>2009</v>
      </c>
      <c r="C876" s="1" t="s">
        <v>44</v>
      </c>
      <c r="D876" s="1" t="s">
        <v>216</v>
      </c>
      <c r="E876" s="15" t="s">
        <v>217</v>
      </c>
      <c r="F876" s="1" t="s">
        <v>61</v>
      </c>
      <c r="G876" s="16">
        <v>562741</v>
      </c>
      <c r="H876" s="93">
        <f>'Emission Rates Net-by-Count'!$D$7</f>
        <v>1118.7938637421748</v>
      </c>
      <c r="I876" s="16">
        <f t="shared" si="31"/>
        <v>314795.5888380676</v>
      </c>
      <c r="M876" s="19"/>
      <c r="N876" s="19"/>
      <c r="O876" s="19"/>
      <c r="P876" s="19"/>
    </row>
    <row r="877" spans="1:16" x14ac:dyDescent="0.25">
      <c r="A877" s="91">
        <v>1341</v>
      </c>
      <c r="B877" s="15">
        <v>2009</v>
      </c>
      <c r="C877" s="1" t="s">
        <v>44</v>
      </c>
      <c r="D877" s="1" t="s">
        <v>216</v>
      </c>
      <c r="E877" s="15" t="s">
        <v>217</v>
      </c>
      <c r="F877" s="1" t="s">
        <v>146</v>
      </c>
      <c r="G877" s="16">
        <v>28908</v>
      </c>
      <c r="H877" s="93">
        <f>'Emission Rates Net-by-Count'!$D$7</f>
        <v>1118.7938637421748</v>
      </c>
      <c r="I877" s="16">
        <f t="shared" si="31"/>
        <v>16171.046506529394</v>
      </c>
      <c r="M877" s="19"/>
      <c r="N877" s="19"/>
      <c r="O877" s="19"/>
      <c r="P877" s="19"/>
    </row>
    <row r="878" spans="1:16" x14ac:dyDescent="0.25">
      <c r="A878" s="91">
        <v>1342</v>
      </c>
      <c r="B878" s="15">
        <v>2009</v>
      </c>
      <c r="C878" s="1" t="s">
        <v>44</v>
      </c>
      <c r="D878" s="1" t="s">
        <v>216</v>
      </c>
      <c r="E878" s="15" t="s">
        <v>217</v>
      </c>
      <c r="F878" s="1" t="s">
        <v>147</v>
      </c>
      <c r="G878" s="16">
        <v>445000</v>
      </c>
      <c r="H878" s="93">
        <f>'Emission Rates Net-by-Count'!$D$7</f>
        <v>1118.7938637421748</v>
      </c>
      <c r="I878" s="16">
        <f t="shared" si="31"/>
        <v>248931.63468263391</v>
      </c>
      <c r="M878" s="19"/>
      <c r="N878" s="19"/>
      <c r="O878" s="19"/>
      <c r="P878" s="19"/>
    </row>
    <row r="879" spans="1:16" x14ac:dyDescent="0.25">
      <c r="A879" s="91">
        <v>1343</v>
      </c>
      <c r="B879" s="15">
        <v>2009</v>
      </c>
      <c r="C879" s="1" t="s">
        <v>44</v>
      </c>
      <c r="D879" s="1" t="s">
        <v>216</v>
      </c>
      <c r="E879" s="15" t="s">
        <v>217</v>
      </c>
      <c r="F879" s="1" t="s">
        <v>131</v>
      </c>
      <c r="G879" s="16">
        <v>147600</v>
      </c>
      <c r="H879" s="93">
        <f>'Emission Rates Net-by-Count'!$D$7</f>
        <v>1118.7938637421748</v>
      </c>
      <c r="I879" s="16">
        <f t="shared" si="31"/>
        <v>82566.987144172512</v>
      </c>
      <c r="M879" s="19"/>
      <c r="N879" s="19"/>
      <c r="O879" s="19"/>
      <c r="P879" s="19"/>
    </row>
    <row r="880" spans="1:16" x14ac:dyDescent="0.25">
      <c r="A880" s="91">
        <v>1344</v>
      </c>
      <c r="B880" s="15">
        <v>2009</v>
      </c>
      <c r="C880" s="1" t="s">
        <v>44</v>
      </c>
      <c r="D880" s="1" t="s">
        <v>216</v>
      </c>
      <c r="E880" s="15" t="s">
        <v>217</v>
      </c>
      <c r="F880" s="1" t="s">
        <v>62</v>
      </c>
      <c r="G880" s="16">
        <v>187749</v>
      </c>
      <c r="H880" s="93">
        <f>'Emission Rates Net-by-Count'!$D$7</f>
        <v>1118.7938637421748</v>
      </c>
      <c r="I880" s="16">
        <f t="shared" si="31"/>
        <v>105026.21456186479</v>
      </c>
      <c r="M880" s="19"/>
      <c r="N880" s="19"/>
      <c r="O880" s="19"/>
      <c r="P880" s="19"/>
    </row>
    <row r="881" spans="1:16" x14ac:dyDescent="0.25">
      <c r="A881" s="91">
        <v>1345</v>
      </c>
      <c r="B881" s="15">
        <v>2009</v>
      </c>
      <c r="C881" s="1" t="s">
        <v>44</v>
      </c>
      <c r="D881" s="1" t="s">
        <v>216</v>
      </c>
      <c r="E881" s="15" t="s">
        <v>217</v>
      </c>
      <c r="F881" s="1" t="s">
        <v>164</v>
      </c>
      <c r="G881" s="16">
        <v>106240</v>
      </c>
      <c r="H881" s="93">
        <f>'Emission Rates Net-by-Count'!$D$7</f>
        <v>1118.7938637421748</v>
      </c>
      <c r="I881" s="16">
        <f t="shared" si="31"/>
        <v>59430.330041984329</v>
      </c>
      <c r="M881" s="19"/>
      <c r="N881" s="19"/>
      <c r="O881" s="19"/>
      <c r="P881" s="19"/>
    </row>
    <row r="882" spans="1:16" x14ac:dyDescent="0.25">
      <c r="A882" s="91">
        <v>1346</v>
      </c>
      <c r="B882" s="15">
        <v>2009</v>
      </c>
      <c r="C882" s="1" t="s">
        <v>44</v>
      </c>
      <c r="D882" s="1" t="s">
        <v>216</v>
      </c>
      <c r="E882" s="15" t="s">
        <v>217</v>
      </c>
      <c r="F882" s="1" t="s">
        <v>165</v>
      </c>
      <c r="G882" s="16">
        <v>31850</v>
      </c>
      <c r="H882" s="93">
        <f>'Emission Rates Net-by-Count'!$D$7</f>
        <v>1118.7938637421748</v>
      </c>
      <c r="I882" s="16">
        <f t="shared" si="31"/>
        <v>17816.792280094134</v>
      </c>
      <c r="M882" s="19"/>
      <c r="N882" s="19"/>
      <c r="O882" s="19"/>
      <c r="P882" s="19"/>
    </row>
    <row r="883" spans="1:16" x14ac:dyDescent="0.25">
      <c r="A883" s="91">
        <v>1347</v>
      </c>
      <c r="B883" s="15">
        <v>2009</v>
      </c>
      <c r="C883" s="1" t="s">
        <v>44</v>
      </c>
      <c r="D883" s="1" t="s">
        <v>216</v>
      </c>
      <c r="E883" s="15" t="s">
        <v>217</v>
      </c>
      <c r="F883" s="1" t="s">
        <v>166</v>
      </c>
      <c r="G883" s="16">
        <v>30600</v>
      </c>
      <c r="H883" s="93">
        <f>'Emission Rates Net-by-Count'!$D$7</f>
        <v>1118.7938637421748</v>
      </c>
      <c r="I883" s="16">
        <f t="shared" si="31"/>
        <v>17117.546115255274</v>
      </c>
      <c r="M883" s="19"/>
      <c r="N883" s="19"/>
      <c r="O883" s="19"/>
      <c r="P883" s="19"/>
    </row>
    <row r="884" spans="1:16" x14ac:dyDescent="0.25">
      <c r="A884" s="91">
        <v>1348</v>
      </c>
      <c r="B884" s="15">
        <v>2009</v>
      </c>
      <c r="C884" s="1" t="s">
        <v>44</v>
      </c>
      <c r="D884" s="1" t="s">
        <v>216</v>
      </c>
      <c r="E884" s="15" t="s">
        <v>217</v>
      </c>
      <c r="F884" s="1" t="s">
        <v>63</v>
      </c>
      <c r="G884" s="16">
        <v>2456</v>
      </c>
      <c r="H884" s="93">
        <f>'Emission Rates Net-by-Count'!$D$7</f>
        <v>1118.7938637421748</v>
      </c>
      <c r="I884" s="16">
        <f t="shared" si="31"/>
        <v>1373.8788646753908</v>
      </c>
      <c r="M884" s="19"/>
      <c r="N884" s="19"/>
      <c r="O884" s="19"/>
      <c r="P884" s="19"/>
    </row>
    <row r="885" spans="1:16" x14ac:dyDescent="0.25">
      <c r="A885" s="91">
        <v>1349</v>
      </c>
      <c r="B885" s="15">
        <v>2009</v>
      </c>
      <c r="C885" s="1" t="s">
        <v>44</v>
      </c>
      <c r="D885" s="1" t="s">
        <v>216</v>
      </c>
      <c r="E885" s="15" t="s">
        <v>217</v>
      </c>
      <c r="F885" s="1" t="s">
        <v>65</v>
      </c>
      <c r="G885" s="16">
        <v>89317</v>
      </c>
      <c r="H885" s="93">
        <f>'Emission Rates Net-by-Count'!$D$7</f>
        <v>1118.7938637421748</v>
      </c>
      <c r="I885" s="16">
        <f t="shared" si="31"/>
        <v>49963.655763929921</v>
      </c>
      <c r="M885" s="19"/>
      <c r="N885" s="19"/>
      <c r="O885" s="19"/>
      <c r="P885" s="19"/>
    </row>
    <row r="886" spans="1:16" x14ac:dyDescent="0.25">
      <c r="A886" s="91">
        <v>1350</v>
      </c>
      <c r="B886" s="15">
        <v>2009</v>
      </c>
      <c r="C886" s="1" t="s">
        <v>44</v>
      </c>
      <c r="D886" s="1" t="s">
        <v>216</v>
      </c>
      <c r="E886" s="15" t="s">
        <v>217</v>
      </c>
      <c r="F886" s="1" t="s">
        <v>132</v>
      </c>
      <c r="G886" s="16">
        <v>133941</v>
      </c>
      <c r="H886" s="93">
        <f>'Emission Rates Net-by-Count'!$D$7</f>
        <v>1118.7938637421748</v>
      </c>
      <c r="I886" s="16">
        <f t="shared" si="31"/>
        <v>74926.184451745314</v>
      </c>
      <c r="M886" s="19"/>
      <c r="N886" s="19"/>
      <c r="O886" s="19"/>
      <c r="P886" s="19"/>
    </row>
    <row r="887" spans="1:16" x14ac:dyDescent="0.25">
      <c r="A887" s="91">
        <v>1351</v>
      </c>
      <c r="B887" s="15">
        <v>2009</v>
      </c>
      <c r="C887" s="1" t="s">
        <v>44</v>
      </c>
      <c r="D887" s="1" t="s">
        <v>216</v>
      </c>
      <c r="E887" s="15" t="s">
        <v>217</v>
      </c>
      <c r="F887" s="1" t="s">
        <v>67</v>
      </c>
      <c r="G887" s="16">
        <v>53441</v>
      </c>
      <c r="H887" s="93">
        <f>'Emission Rates Net-by-Count'!$D$7</f>
        <v>1118.7938637421748</v>
      </c>
      <c r="I887" s="16">
        <f t="shared" si="31"/>
        <v>29894.731436122784</v>
      </c>
      <c r="M887" s="19"/>
      <c r="N887" s="19"/>
      <c r="O887" s="19"/>
      <c r="P887" s="19"/>
    </row>
    <row r="888" spans="1:16" x14ac:dyDescent="0.25">
      <c r="A888" s="91">
        <v>1352</v>
      </c>
      <c r="B888" s="15">
        <v>2009</v>
      </c>
      <c r="C888" s="1" t="s">
        <v>44</v>
      </c>
      <c r="D888" s="1" t="s">
        <v>216</v>
      </c>
      <c r="E888" s="15" t="s">
        <v>217</v>
      </c>
      <c r="F888" s="1" t="s">
        <v>121</v>
      </c>
      <c r="G888" s="16">
        <v>800</v>
      </c>
      <c r="H888" s="93">
        <f>'Emission Rates Net-by-Count'!$D$7</f>
        <v>1118.7938637421748</v>
      </c>
      <c r="I888" s="16">
        <f t="shared" si="31"/>
        <v>447.51754549686996</v>
      </c>
      <c r="M888" s="19"/>
      <c r="N888" s="19"/>
      <c r="O888" s="19"/>
      <c r="P888" s="19"/>
    </row>
    <row r="889" spans="1:16" x14ac:dyDescent="0.25">
      <c r="A889" s="91">
        <v>1353</v>
      </c>
      <c r="B889" s="15">
        <v>2009</v>
      </c>
      <c r="C889" s="1" t="s">
        <v>44</v>
      </c>
      <c r="D889" s="1" t="s">
        <v>216</v>
      </c>
      <c r="E889" s="15" t="s">
        <v>217</v>
      </c>
      <c r="F889" s="1" t="s">
        <v>69</v>
      </c>
      <c r="G889" s="16">
        <v>882331</v>
      </c>
      <c r="H889" s="93">
        <f>'Emission Rates Net-by-Count'!$D$7</f>
        <v>1118.7938637421748</v>
      </c>
      <c r="I889" s="16">
        <f t="shared" si="31"/>
        <v>493573.25429474842</v>
      </c>
      <c r="M889" s="19"/>
      <c r="N889" s="19"/>
      <c r="O889" s="19"/>
      <c r="P889" s="19"/>
    </row>
    <row r="890" spans="1:16" x14ac:dyDescent="0.25">
      <c r="A890" s="91">
        <v>1354</v>
      </c>
      <c r="B890" s="15">
        <v>2009</v>
      </c>
      <c r="C890" s="1" t="s">
        <v>44</v>
      </c>
      <c r="D890" s="1" t="s">
        <v>216</v>
      </c>
      <c r="E890" s="15" t="s">
        <v>217</v>
      </c>
      <c r="F890" s="1" t="s">
        <v>70</v>
      </c>
      <c r="G890" s="16">
        <v>37654</v>
      </c>
      <c r="H890" s="93">
        <f>'Emission Rates Net-by-Count'!$D$7</f>
        <v>1118.7938637421748</v>
      </c>
      <c r="I890" s="16">
        <f t="shared" si="31"/>
        <v>21063.532072673923</v>
      </c>
      <c r="M890" s="19"/>
      <c r="N890" s="19"/>
      <c r="O890" s="19"/>
      <c r="P890" s="19"/>
    </row>
    <row r="891" spans="1:16" x14ac:dyDescent="0.25">
      <c r="A891" s="91">
        <v>1355</v>
      </c>
      <c r="B891" s="15">
        <v>2009</v>
      </c>
      <c r="C891" s="1" t="s">
        <v>44</v>
      </c>
      <c r="D891" s="1" t="s">
        <v>216</v>
      </c>
      <c r="E891" s="15" t="s">
        <v>217</v>
      </c>
      <c r="F891" s="1" t="s">
        <v>71</v>
      </c>
      <c r="G891" s="16">
        <v>92731</v>
      </c>
      <c r="H891" s="93">
        <f>'Emission Rates Net-by-Count'!$D$7</f>
        <v>1118.7938637421748</v>
      </c>
      <c r="I891" s="16">
        <f t="shared" si="31"/>
        <v>51873.436889337805</v>
      </c>
      <c r="M891" s="19"/>
      <c r="N891" s="19"/>
      <c r="O891" s="19"/>
      <c r="P891" s="19"/>
    </row>
    <row r="892" spans="1:16" x14ac:dyDescent="0.25">
      <c r="A892" s="91">
        <v>1356</v>
      </c>
      <c r="B892" s="15">
        <v>2009</v>
      </c>
      <c r="C892" s="1" t="s">
        <v>44</v>
      </c>
      <c r="D892" s="1" t="s">
        <v>216</v>
      </c>
      <c r="E892" s="15" t="s">
        <v>217</v>
      </c>
      <c r="F892" s="1" t="s">
        <v>157</v>
      </c>
      <c r="G892" s="16">
        <v>1800</v>
      </c>
      <c r="H892" s="93">
        <f>'Emission Rates Net-by-Count'!$D$7</f>
        <v>1118.7938637421748</v>
      </c>
      <c r="I892" s="16">
        <f t="shared" si="31"/>
        <v>1006.9144773679574</v>
      </c>
      <c r="M892" s="19"/>
      <c r="N892" s="19"/>
      <c r="O892" s="19"/>
      <c r="P892" s="19"/>
    </row>
    <row r="893" spans="1:16" x14ac:dyDescent="0.25">
      <c r="A893" s="91">
        <v>1357</v>
      </c>
      <c r="B893" s="15">
        <v>2009</v>
      </c>
      <c r="C893" s="1" t="s">
        <v>44</v>
      </c>
      <c r="D893" s="1" t="s">
        <v>216</v>
      </c>
      <c r="E893" s="15" t="s">
        <v>217</v>
      </c>
      <c r="F893" s="1" t="s">
        <v>72</v>
      </c>
      <c r="G893" s="16">
        <v>14000</v>
      </c>
      <c r="H893" s="93">
        <f>'Emission Rates Net-by-Count'!$D$7</f>
        <v>1118.7938637421748</v>
      </c>
      <c r="I893" s="16">
        <f t="shared" si="31"/>
        <v>7831.5570461952238</v>
      </c>
      <c r="M893" s="19"/>
      <c r="N893" s="19"/>
      <c r="O893" s="19"/>
      <c r="P893" s="19"/>
    </row>
    <row r="894" spans="1:16" x14ac:dyDescent="0.25">
      <c r="A894" s="91">
        <v>1358</v>
      </c>
      <c r="B894" s="15">
        <v>2009</v>
      </c>
      <c r="C894" s="1" t="s">
        <v>44</v>
      </c>
      <c r="D894" s="1" t="s">
        <v>216</v>
      </c>
      <c r="E894" s="15" t="s">
        <v>217</v>
      </c>
      <c r="F894" s="1" t="s">
        <v>133</v>
      </c>
      <c r="G894" s="16">
        <v>143436</v>
      </c>
      <c r="H894" s="93">
        <f>'Emission Rates Net-by-Count'!$D$7</f>
        <v>1118.7938637421748</v>
      </c>
      <c r="I894" s="16">
        <f t="shared" si="31"/>
        <v>80237.658319861293</v>
      </c>
      <c r="M894" s="19"/>
      <c r="N894" s="19"/>
      <c r="O894" s="19"/>
      <c r="P894" s="19"/>
    </row>
    <row r="895" spans="1:16" x14ac:dyDescent="0.25">
      <c r="A895" s="91">
        <v>1359</v>
      </c>
      <c r="B895" s="15">
        <v>2009</v>
      </c>
      <c r="C895" s="1" t="s">
        <v>44</v>
      </c>
      <c r="D895" s="1" t="s">
        <v>216</v>
      </c>
      <c r="E895" s="15" t="s">
        <v>217</v>
      </c>
      <c r="F895" s="1" t="s">
        <v>74</v>
      </c>
      <c r="G895" s="16">
        <v>50</v>
      </c>
      <c r="H895" s="93">
        <f>'Emission Rates Net-by-Count'!$D$7</f>
        <v>1118.7938637421748</v>
      </c>
      <c r="I895" s="16">
        <f t="shared" si="31"/>
        <v>27.969846593554372</v>
      </c>
      <c r="M895" s="19"/>
      <c r="N895" s="19"/>
      <c r="O895" s="19"/>
      <c r="P895" s="19"/>
    </row>
    <row r="896" spans="1:16" x14ac:dyDescent="0.25">
      <c r="A896" s="91">
        <v>1360</v>
      </c>
      <c r="B896" s="15">
        <v>2009</v>
      </c>
      <c r="C896" s="1" t="s">
        <v>44</v>
      </c>
      <c r="D896" s="1" t="s">
        <v>216</v>
      </c>
      <c r="E896" s="15" t="s">
        <v>217</v>
      </c>
      <c r="F896" s="1" t="s">
        <v>76</v>
      </c>
      <c r="G896" s="16">
        <v>400</v>
      </c>
      <c r="H896" s="93">
        <f>'Emission Rates Net-by-Count'!$D$7</f>
        <v>1118.7938637421748</v>
      </c>
      <c r="I896" s="16">
        <f t="shared" ref="I896:I927" si="32">(G896*H896)/2000</f>
        <v>223.75877274843498</v>
      </c>
      <c r="M896" s="19"/>
      <c r="N896" s="19"/>
      <c r="O896" s="19"/>
      <c r="P896" s="19"/>
    </row>
    <row r="897" spans="1:16" x14ac:dyDescent="0.25">
      <c r="A897" s="91">
        <v>1361</v>
      </c>
      <c r="B897" s="15">
        <v>2009</v>
      </c>
      <c r="C897" s="1" t="s">
        <v>44</v>
      </c>
      <c r="D897" s="1" t="s">
        <v>216</v>
      </c>
      <c r="E897" s="15" t="s">
        <v>217</v>
      </c>
      <c r="F897" s="1" t="s">
        <v>77</v>
      </c>
      <c r="G897" s="16">
        <v>90</v>
      </c>
      <c r="H897" s="93">
        <f>'Emission Rates Net-by-Count'!$D$7</f>
        <v>1118.7938637421748</v>
      </c>
      <c r="I897" s="16">
        <f t="shared" si="32"/>
        <v>50.345723868397862</v>
      </c>
      <c r="M897" s="19"/>
      <c r="N897" s="19"/>
      <c r="O897" s="19"/>
      <c r="P897" s="19"/>
    </row>
    <row r="898" spans="1:16" x14ac:dyDescent="0.25">
      <c r="A898" s="91">
        <v>1362</v>
      </c>
      <c r="B898" s="15">
        <v>2009</v>
      </c>
      <c r="C898" s="1" t="s">
        <v>44</v>
      </c>
      <c r="D898" s="1" t="s">
        <v>216</v>
      </c>
      <c r="E898" s="15" t="s">
        <v>217</v>
      </c>
      <c r="F898" s="1" t="s">
        <v>78</v>
      </c>
      <c r="G898" s="16">
        <v>992212</v>
      </c>
      <c r="H898" s="93">
        <f>'Emission Rates Net-by-Count'!$D$7</f>
        <v>1118.7938637421748</v>
      </c>
      <c r="I898" s="16">
        <f t="shared" si="32"/>
        <v>555040.34856567543</v>
      </c>
      <c r="M898" s="19"/>
      <c r="N898" s="19"/>
      <c r="O898" s="19"/>
      <c r="P898" s="19"/>
    </row>
    <row r="899" spans="1:16" x14ac:dyDescent="0.25">
      <c r="A899" s="91">
        <v>1363</v>
      </c>
      <c r="B899" s="15">
        <v>2009</v>
      </c>
      <c r="C899" s="1" t="s">
        <v>44</v>
      </c>
      <c r="D899" s="1" t="s">
        <v>216</v>
      </c>
      <c r="E899" s="15" t="s">
        <v>217</v>
      </c>
      <c r="F899" s="1" t="s">
        <v>79</v>
      </c>
      <c r="G899" s="16">
        <v>323</v>
      </c>
      <c r="H899" s="93">
        <f>'Emission Rates Net-by-Count'!$D$7</f>
        <v>1118.7938637421748</v>
      </c>
      <c r="I899" s="16">
        <f t="shared" si="32"/>
        <v>180.68520899436123</v>
      </c>
      <c r="M899" s="19"/>
      <c r="N899" s="19"/>
      <c r="O899" s="19"/>
      <c r="P899" s="19"/>
    </row>
    <row r="900" spans="1:16" x14ac:dyDescent="0.25">
      <c r="A900" s="91">
        <v>1365</v>
      </c>
      <c r="B900" s="15">
        <v>2009</v>
      </c>
      <c r="C900" s="1" t="s">
        <v>44</v>
      </c>
      <c r="D900" s="1" t="s">
        <v>216</v>
      </c>
      <c r="E900" s="15" t="s">
        <v>217</v>
      </c>
      <c r="F900" s="1" t="s">
        <v>80</v>
      </c>
      <c r="G900" s="16">
        <v>3400</v>
      </c>
      <c r="H900" s="93">
        <f>'Emission Rates Net-by-Count'!$D$7</f>
        <v>1118.7938637421748</v>
      </c>
      <c r="I900" s="16">
        <f t="shared" si="32"/>
        <v>1901.9495683616972</v>
      </c>
      <c r="M900" s="19"/>
      <c r="N900" s="19"/>
      <c r="O900" s="19"/>
      <c r="P900" s="19"/>
    </row>
    <row r="901" spans="1:16" x14ac:dyDescent="0.25">
      <c r="A901" s="91">
        <v>1366</v>
      </c>
      <c r="B901" s="15">
        <v>2009</v>
      </c>
      <c r="C901" s="1" t="s">
        <v>44</v>
      </c>
      <c r="D901" s="1" t="s">
        <v>216</v>
      </c>
      <c r="E901" s="15" t="s">
        <v>217</v>
      </c>
      <c r="F901" s="1" t="s">
        <v>81</v>
      </c>
      <c r="G901" s="16">
        <v>6592</v>
      </c>
      <c r="H901" s="93">
        <f>'Emission Rates Net-by-Count'!$D$7</f>
        <v>1118.7938637421748</v>
      </c>
      <c r="I901" s="16">
        <f t="shared" si="32"/>
        <v>3687.5445748942084</v>
      </c>
      <c r="M901" s="19"/>
      <c r="N901" s="19"/>
      <c r="O901" s="19"/>
      <c r="P901" s="19"/>
    </row>
    <row r="902" spans="1:16" x14ac:dyDescent="0.25">
      <c r="A902" s="91">
        <v>1367</v>
      </c>
      <c r="B902" s="15">
        <v>2009</v>
      </c>
      <c r="C902" s="1" t="s">
        <v>44</v>
      </c>
      <c r="D902" s="1" t="s">
        <v>216</v>
      </c>
      <c r="E902" s="15" t="s">
        <v>217</v>
      </c>
      <c r="F902" s="1" t="s">
        <v>82</v>
      </c>
      <c r="G902" s="16">
        <v>7969</v>
      </c>
      <c r="H902" s="93">
        <f>'Emission Rates Net-by-Count'!$D$7</f>
        <v>1118.7938637421748</v>
      </c>
      <c r="I902" s="16">
        <f t="shared" si="32"/>
        <v>4457.8341500806955</v>
      </c>
      <c r="M902" s="19"/>
      <c r="N902" s="19"/>
      <c r="O902" s="19"/>
      <c r="P902" s="19"/>
    </row>
    <row r="903" spans="1:16" x14ac:dyDescent="0.25">
      <c r="A903" s="91">
        <v>1368</v>
      </c>
      <c r="B903" s="15">
        <v>2009</v>
      </c>
      <c r="C903" s="1" t="s">
        <v>44</v>
      </c>
      <c r="D903" s="1" t="s">
        <v>216</v>
      </c>
      <c r="E903" s="15" t="s">
        <v>217</v>
      </c>
      <c r="F903" s="1" t="s">
        <v>137</v>
      </c>
      <c r="G903" s="16">
        <v>31600</v>
      </c>
      <c r="H903" s="93">
        <f>'Emission Rates Net-by-Count'!$D$7</f>
        <v>1118.7938637421748</v>
      </c>
      <c r="I903" s="16">
        <f t="shared" si="32"/>
        <v>17676.943047126362</v>
      </c>
      <c r="M903" s="19"/>
      <c r="N903" s="19"/>
      <c r="O903" s="19"/>
      <c r="P903" s="19"/>
    </row>
    <row r="904" spans="1:16" x14ac:dyDescent="0.25">
      <c r="A904" s="91">
        <v>1369</v>
      </c>
      <c r="B904" s="15">
        <v>2009</v>
      </c>
      <c r="C904" s="1" t="s">
        <v>44</v>
      </c>
      <c r="D904" s="1" t="s">
        <v>216</v>
      </c>
      <c r="E904" s="15" t="s">
        <v>217</v>
      </c>
      <c r="F904" s="1" t="s">
        <v>83</v>
      </c>
      <c r="G904" s="16">
        <v>3810</v>
      </c>
      <c r="H904" s="93">
        <f>'Emission Rates Net-by-Count'!$D$7</f>
        <v>1118.7938637421748</v>
      </c>
      <c r="I904" s="16">
        <f t="shared" si="32"/>
        <v>2131.3023104288427</v>
      </c>
      <c r="M904" s="19"/>
      <c r="N904" s="19"/>
      <c r="O904" s="19"/>
      <c r="P904" s="19"/>
    </row>
    <row r="905" spans="1:16" x14ac:dyDescent="0.25">
      <c r="A905" s="91">
        <v>1370</v>
      </c>
      <c r="B905" s="15">
        <v>2009</v>
      </c>
      <c r="C905" s="1" t="s">
        <v>44</v>
      </c>
      <c r="D905" s="1" t="s">
        <v>216</v>
      </c>
      <c r="E905" s="15" t="s">
        <v>217</v>
      </c>
      <c r="F905" s="1" t="s">
        <v>84</v>
      </c>
      <c r="G905" s="16">
        <v>216587</v>
      </c>
      <c r="H905" s="93">
        <f>'Emission Rates Net-by-Count'!$D$7</f>
        <v>1118.7938637421748</v>
      </c>
      <c r="I905" s="16">
        <f t="shared" si="32"/>
        <v>121158.1032831632</v>
      </c>
      <c r="M905" s="19"/>
      <c r="N905" s="19"/>
      <c r="O905" s="19"/>
      <c r="P905" s="19"/>
    </row>
    <row r="906" spans="1:16" x14ac:dyDescent="0.25">
      <c r="A906" s="91">
        <v>1371</v>
      </c>
      <c r="B906" s="15">
        <v>2009</v>
      </c>
      <c r="C906" s="1" t="s">
        <v>44</v>
      </c>
      <c r="D906" s="1" t="s">
        <v>216</v>
      </c>
      <c r="E906" s="15" t="s">
        <v>217</v>
      </c>
      <c r="F906" s="1" t="s">
        <v>149</v>
      </c>
      <c r="G906" s="16">
        <v>68094</v>
      </c>
      <c r="H906" s="93">
        <f>'Emission Rates Net-by-Count'!$D$7</f>
        <v>1118.7938637421748</v>
      </c>
      <c r="I906" s="16">
        <f t="shared" si="32"/>
        <v>38091.574678829827</v>
      </c>
      <c r="M906" s="19"/>
      <c r="N906" s="19"/>
      <c r="O906" s="19"/>
      <c r="P906" s="19"/>
    </row>
    <row r="907" spans="1:16" x14ac:dyDescent="0.25">
      <c r="A907" s="91">
        <v>1372</v>
      </c>
      <c r="B907" s="15">
        <v>2009</v>
      </c>
      <c r="C907" s="1" t="s">
        <v>44</v>
      </c>
      <c r="D907" s="1" t="s">
        <v>216</v>
      </c>
      <c r="E907" s="15" t="s">
        <v>217</v>
      </c>
      <c r="F907" s="1" t="s">
        <v>85</v>
      </c>
      <c r="G907" s="16">
        <v>185612</v>
      </c>
      <c r="H907" s="93">
        <f>'Emission Rates Net-by-Count'!$D$7</f>
        <v>1118.7938637421748</v>
      </c>
      <c r="I907" s="16">
        <f t="shared" si="32"/>
        <v>103830.78331845628</v>
      </c>
      <c r="M907" s="19"/>
      <c r="N907" s="19"/>
      <c r="O907" s="19"/>
      <c r="P907" s="19"/>
    </row>
    <row r="908" spans="1:16" x14ac:dyDescent="0.25">
      <c r="A908" s="91">
        <v>1373</v>
      </c>
      <c r="B908" s="15">
        <v>2009</v>
      </c>
      <c r="C908" s="1" t="s">
        <v>44</v>
      </c>
      <c r="D908" s="1" t="s">
        <v>216</v>
      </c>
      <c r="E908" s="15" t="s">
        <v>217</v>
      </c>
      <c r="F908" s="1" t="s">
        <v>87</v>
      </c>
      <c r="G908" s="16">
        <v>208659</v>
      </c>
      <c r="H908" s="93">
        <f>'Emission Rates Net-by-Count'!$D$7</f>
        <v>1118.7938637421748</v>
      </c>
      <c r="I908" s="16">
        <f t="shared" si="32"/>
        <v>116723.20440728923</v>
      </c>
      <c r="M908" s="19"/>
      <c r="N908" s="19"/>
      <c r="O908" s="19"/>
      <c r="P908" s="19"/>
    </row>
    <row r="909" spans="1:16" x14ac:dyDescent="0.25">
      <c r="A909" s="91">
        <v>1374</v>
      </c>
      <c r="B909" s="15">
        <v>2009</v>
      </c>
      <c r="C909" s="1" t="s">
        <v>44</v>
      </c>
      <c r="D909" s="1" t="s">
        <v>216</v>
      </c>
      <c r="E909" s="15" t="s">
        <v>217</v>
      </c>
      <c r="F909" s="1" t="s">
        <v>88</v>
      </c>
      <c r="G909" s="16">
        <v>316076</v>
      </c>
      <c r="H909" s="93">
        <f>'Emission Rates Net-by-Count'!$D$7</f>
        <v>1118.7938637421748</v>
      </c>
      <c r="I909" s="16">
        <f t="shared" si="32"/>
        <v>176811.94463808581</v>
      </c>
      <c r="M909" s="19"/>
      <c r="N909" s="19"/>
      <c r="O909" s="19"/>
      <c r="P909" s="19"/>
    </row>
    <row r="910" spans="1:16" x14ac:dyDescent="0.25">
      <c r="A910" s="91">
        <v>1375</v>
      </c>
      <c r="B910" s="15">
        <v>2009</v>
      </c>
      <c r="C910" s="1" t="s">
        <v>44</v>
      </c>
      <c r="D910" s="1" t="s">
        <v>216</v>
      </c>
      <c r="E910" s="15" t="s">
        <v>217</v>
      </c>
      <c r="F910" s="1" t="s">
        <v>90</v>
      </c>
      <c r="G910" s="16">
        <v>3600</v>
      </c>
      <c r="H910" s="93">
        <f>'Emission Rates Net-by-Count'!$D$7</f>
        <v>1118.7938637421748</v>
      </c>
      <c r="I910" s="16">
        <f t="shared" si="32"/>
        <v>2013.8289547359147</v>
      </c>
      <c r="M910" s="19"/>
      <c r="N910" s="19"/>
      <c r="O910" s="19"/>
      <c r="P910" s="19"/>
    </row>
    <row r="911" spans="1:16" x14ac:dyDescent="0.25">
      <c r="A911" s="91">
        <v>1376</v>
      </c>
      <c r="B911" s="15">
        <v>2009</v>
      </c>
      <c r="C911" s="1" t="s">
        <v>44</v>
      </c>
      <c r="D911" s="1" t="s">
        <v>216</v>
      </c>
      <c r="E911" s="15" t="s">
        <v>217</v>
      </c>
      <c r="F911" s="1" t="s">
        <v>91</v>
      </c>
      <c r="G911" s="16">
        <v>222154</v>
      </c>
      <c r="H911" s="93">
        <f>'Emission Rates Net-by-Count'!$D$7</f>
        <v>1118.7938637421748</v>
      </c>
      <c r="I911" s="16">
        <f t="shared" si="32"/>
        <v>124272.26600288956</v>
      </c>
      <c r="M911" s="19"/>
      <c r="N911" s="19"/>
      <c r="O911" s="19"/>
      <c r="P911" s="19"/>
    </row>
    <row r="912" spans="1:16" x14ac:dyDescent="0.25">
      <c r="A912" s="91">
        <v>1377</v>
      </c>
      <c r="B912" s="15">
        <v>2009</v>
      </c>
      <c r="C912" s="1" t="s">
        <v>44</v>
      </c>
      <c r="D912" s="1" t="s">
        <v>216</v>
      </c>
      <c r="E912" s="15" t="s">
        <v>217</v>
      </c>
      <c r="F912" s="1" t="s">
        <v>92</v>
      </c>
      <c r="G912" s="16">
        <v>496</v>
      </c>
      <c r="H912" s="93">
        <f>'Emission Rates Net-by-Count'!$D$7</f>
        <v>1118.7938637421748</v>
      </c>
      <c r="I912" s="16">
        <f t="shared" si="32"/>
        <v>277.46087820805934</v>
      </c>
      <c r="M912" s="19"/>
      <c r="N912" s="19"/>
      <c r="O912" s="19"/>
      <c r="P912" s="19"/>
    </row>
    <row r="913" spans="1:16" x14ac:dyDescent="0.25">
      <c r="A913" s="91">
        <v>1378</v>
      </c>
      <c r="B913" s="15">
        <v>2009</v>
      </c>
      <c r="C913" s="1" t="s">
        <v>44</v>
      </c>
      <c r="D913" s="1" t="s">
        <v>216</v>
      </c>
      <c r="E913" s="15" t="s">
        <v>217</v>
      </c>
      <c r="F913" s="1" t="s">
        <v>93</v>
      </c>
      <c r="G913" s="16">
        <v>6590</v>
      </c>
      <c r="H913" s="93">
        <f>'Emission Rates Net-by-Count'!$D$7</f>
        <v>1118.7938637421748</v>
      </c>
      <c r="I913" s="16">
        <f t="shared" si="32"/>
        <v>3686.4257810304662</v>
      </c>
      <c r="M913" s="19"/>
      <c r="N913" s="19"/>
      <c r="O913" s="19"/>
      <c r="P913" s="19"/>
    </row>
    <row r="914" spans="1:16" x14ac:dyDescent="0.25">
      <c r="A914" s="91">
        <v>1379</v>
      </c>
      <c r="B914" s="15">
        <v>2009</v>
      </c>
      <c r="C914" s="1" t="s">
        <v>44</v>
      </c>
      <c r="D914" s="1" t="s">
        <v>216</v>
      </c>
      <c r="E914" s="15" t="s">
        <v>217</v>
      </c>
      <c r="F914" s="1" t="s">
        <v>95</v>
      </c>
      <c r="G914" s="16">
        <v>211502</v>
      </c>
      <c r="H914" s="93">
        <f>'Emission Rates Net-by-Count'!$D$7</f>
        <v>1118.7938637421748</v>
      </c>
      <c r="I914" s="16">
        <f t="shared" si="32"/>
        <v>118313.56988459874</v>
      </c>
      <c r="M914" s="19"/>
      <c r="N914" s="19"/>
      <c r="O914" s="19"/>
      <c r="P914" s="19"/>
    </row>
    <row r="915" spans="1:16" x14ac:dyDescent="0.25">
      <c r="A915" s="91">
        <v>1380</v>
      </c>
      <c r="B915" s="15">
        <v>2009</v>
      </c>
      <c r="C915" s="1" t="s">
        <v>44</v>
      </c>
      <c r="D915" s="1" t="s">
        <v>216</v>
      </c>
      <c r="E915" s="15" t="s">
        <v>217</v>
      </c>
      <c r="F915" s="1" t="s">
        <v>96</v>
      </c>
      <c r="G915" s="16">
        <v>2267825</v>
      </c>
      <c r="H915" s="93">
        <f>'Emission Rates Net-by-Count'!$D$7</f>
        <v>1118.7938637421748</v>
      </c>
      <c r="I915" s="16">
        <f t="shared" si="32"/>
        <v>1268614.3470205488</v>
      </c>
      <c r="M915" s="19"/>
      <c r="N915" s="19"/>
      <c r="O915" s="19"/>
      <c r="P915" s="19"/>
    </row>
    <row r="916" spans="1:16" x14ac:dyDescent="0.25">
      <c r="A916" s="91">
        <v>1381</v>
      </c>
      <c r="B916" s="15">
        <v>2009</v>
      </c>
      <c r="C916" s="1" t="s">
        <v>44</v>
      </c>
      <c r="D916" s="1" t="s">
        <v>216</v>
      </c>
      <c r="E916" s="15" t="s">
        <v>217</v>
      </c>
      <c r="F916" s="1" t="s">
        <v>97</v>
      </c>
      <c r="G916" s="16">
        <v>485252</v>
      </c>
      <c r="H916" s="93">
        <f>'Emission Rates Net-by-Count'!$D$7</f>
        <v>1118.7938637421748</v>
      </c>
      <c r="I916" s="16">
        <f t="shared" si="32"/>
        <v>271448.47998430888</v>
      </c>
      <c r="M916" s="19"/>
      <c r="N916" s="19"/>
      <c r="O916" s="19"/>
      <c r="P916" s="19"/>
    </row>
    <row r="917" spans="1:16" x14ac:dyDescent="0.25">
      <c r="A917" s="91">
        <v>1382</v>
      </c>
      <c r="B917" s="15">
        <v>2009</v>
      </c>
      <c r="C917" s="1" t="s">
        <v>44</v>
      </c>
      <c r="D917" s="1" t="s">
        <v>216</v>
      </c>
      <c r="E917" s="15" t="s">
        <v>217</v>
      </c>
      <c r="F917" s="1" t="s">
        <v>98</v>
      </c>
      <c r="G917" s="16">
        <v>25</v>
      </c>
      <c r="H917" s="93">
        <f>'Emission Rates Net-by-Count'!$D$7</f>
        <v>1118.7938637421748</v>
      </c>
      <c r="I917" s="16">
        <f t="shared" si="32"/>
        <v>13.984923296777186</v>
      </c>
      <c r="M917" s="19"/>
      <c r="N917" s="19"/>
      <c r="O917" s="19"/>
      <c r="P917" s="19"/>
    </row>
    <row r="918" spans="1:16" x14ac:dyDescent="0.25">
      <c r="A918" s="91">
        <v>1383</v>
      </c>
      <c r="B918" s="15">
        <v>2009</v>
      </c>
      <c r="C918" s="1" t="s">
        <v>44</v>
      </c>
      <c r="D918" s="1" t="s">
        <v>216</v>
      </c>
      <c r="E918" s="15" t="s">
        <v>217</v>
      </c>
      <c r="F918" s="1" t="s">
        <v>100</v>
      </c>
      <c r="G918" s="16">
        <v>57116</v>
      </c>
      <c r="H918" s="93">
        <f>'Emission Rates Net-by-Count'!$D$7</f>
        <v>1118.7938637421748</v>
      </c>
      <c r="I918" s="16">
        <f t="shared" si="32"/>
        <v>31950.51516074903</v>
      </c>
      <c r="M918" s="19"/>
      <c r="N918" s="19"/>
      <c r="O918" s="19"/>
      <c r="P918" s="19"/>
    </row>
    <row r="919" spans="1:16" x14ac:dyDescent="0.25">
      <c r="A919" s="91">
        <v>1384</v>
      </c>
      <c r="B919" s="15">
        <v>2009</v>
      </c>
      <c r="C919" s="1" t="s">
        <v>44</v>
      </c>
      <c r="D919" s="1" t="s">
        <v>216</v>
      </c>
      <c r="E919" s="15" t="s">
        <v>217</v>
      </c>
      <c r="F919" s="1" t="s">
        <v>101</v>
      </c>
      <c r="G919" s="16">
        <v>7805</v>
      </c>
      <c r="H919" s="93">
        <f>'Emission Rates Net-by-Count'!$D$7</f>
        <v>1118.7938637421748</v>
      </c>
      <c r="I919" s="16">
        <f t="shared" si="32"/>
        <v>4366.0930532538368</v>
      </c>
      <c r="M919" s="19"/>
      <c r="N919" s="19"/>
      <c r="O919" s="19"/>
      <c r="P919" s="19"/>
    </row>
    <row r="920" spans="1:16" x14ac:dyDescent="0.25">
      <c r="A920" s="91">
        <v>1385</v>
      </c>
      <c r="B920" s="15">
        <v>2009</v>
      </c>
      <c r="C920" s="1" t="s">
        <v>44</v>
      </c>
      <c r="D920" s="1" t="s">
        <v>216</v>
      </c>
      <c r="E920" s="15" t="s">
        <v>217</v>
      </c>
      <c r="F920" s="1" t="s">
        <v>103</v>
      </c>
      <c r="G920" s="16">
        <v>75813</v>
      </c>
      <c r="H920" s="93">
        <f>'Emission Rates Net-by-Count'!$D$7</f>
        <v>1118.7938637421748</v>
      </c>
      <c r="I920" s="16">
        <f t="shared" si="32"/>
        <v>42409.559595942752</v>
      </c>
      <c r="M920" s="19"/>
      <c r="N920" s="19"/>
      <c r="O920" s="19"/>
      <c r="P920" s="19"/>
    </row>
    <row r="921" spans="1:16" x14ac:dyDescent="0.25">
      <c r="A921" s="91">
        <v>1386</v>
      </c>
      <c r="B921" s="15">
        <v>2009</v>
      </c>
      <c r="C921" s="1" t="s">
        <v>44</v>
      </c>
      <c r="D921" s="1" t="s">
        <v>216</v>
      </c>
      <c r="E921" s="15" t="s">
        <v>217</v>
      </c>
      <c r="F921" s="1" t="s">
        <v>152</v>
      </c>
      <c r="G921" s="16">
        <v>407444</v>
      </c>
      <c r="H921" s="93">
        <f>'Emission Rates Net-by-Count'!$D$7</f>
        <v>1118.7938637421748</v>
      </c>
      <c r="I921" s="16">
        <f t="shared" si="32"/>
        <v>227922.92350928334</v>
      </c>
      <c r="M921" s="19"/>
      <c r="N921" s="19"/>
      <c r="O921" s="19"/>
      <c r="P921" s="19"/>
    </row>
    <row r="922" spans="1:16" x14ac:dyDescent="0.25">
      <c r="A922" s="91">
        <v>1387</v>
      </c>
      <c r="B922" s="15">
        <v>2009</v>
      </c>
      <c r="C922" s="1" t="s">
        <v>44</v>
      </c>
      <c r="D922" s="1" t="s">
        <v>216</v>
      </c>
      <c r="E922" s="15" t="s">
        <v>217</v>
      </c>
      <c r="F922" s="1" t="s">
        <v>41</v>
      </c>
      <c r="G922" s="16">
        <v>2895</v>
      </c>
      <c r="H922" s="93">
        <f>'Emission Rates Net-by-Count'!$D$7</f>
        <v>1118.7938637421748</v>
      </c>
      <c r="I922" s="16">
        <f t="shared" si="32"/>
        <v>1619.4541177667979</v>
      </c>
      <c r="M922" s="19"/>
      <c r="N922" s="19"/>
      <c r="O922" s="19"/>
      <c r="P922" s="19"/>
    </row>
    <row r="923" spans="1:16" x14ac:dyDescent="0.25">
      <c r="A923" s="91">
        <v>1388</v>
      </c>
      <c r="B923" s="15">
        <v>2009</v>
      </c>
      <c r="C923" s="1" t="s">
        <v>44</v>
      </c>
      <c r="D923" s="1" t="s">
        <v>216</v>
      </c>
      <c r="E923" s="15" t="s">
        <v>217</v>
      </c>
      <c r="F923" s="1" t="s">
        <v>153</v>
      </c>
      <c r="G923" s="16">
        <v>122625</v>
      </c>
      <c r="H923" s="93">
        <f>'Emission Rates Net-by-Count'!$D$7</f>
        <v>1118.7938637421748</v>
      </c>
      <c r="I923" s="16">
        <f t="shared" si="32"/>
        <v>68596.048770692098</v>
      </c>
      <c r="M923" s="19"/>
      <c r="N923" s="19"/>
      <c r="O923" s="19"/>
      <c r="P923" s="19"/>
    </row>
    <row r="924" spans="1:16" x14ac:dyDescent="0.25">
      <c r="A924" s="91">
        <v>1389</v>
      </c>
      <c r="B924" s="15">
        <v>2009</v>
      </c>
      <c r="C924" s="1" t="s">
        <v>44</v>
      </c>
      <c r="D924" s="1" t="s">
        <v>216</v>
      </c>
      <c r="E924" s="15" t="s">
        <v>217</v>
      </c>
      <c r="F924" s="1" t="s">
        <v>104</v>
      </c>
      <c r="G924" s="16">
        <v>278480</v>
      </c>
      <c r="H924" s="93">
        <f>'Emission Rates Net-by-Count'!$D$7</f>
        <v>1118.7938637421748</v>
      </c>
      <c r="I924" s="16">
        <f t="shared" si="32"/>
        <v>155780.85758746043</v>
      </c>
      <c r="M924" s="19"/>
      <c r="N924" s="19"/>
      <c r="O924" s="19"/>
      <c r="P924" s="19"/>
    </row>
    <row r="925" spans="1:16" x14ac:dyDescent="0.25">
      <c r="A925" s="91">
        <v>1390</v>
      </c>
      <c r="B925" s="15">
        <v>2009</v>
      </c>
      <c r="C925" s="1" t="s">
        <v>44</v>
      </c>
      <c r="D925" s="1" t="s">
        <v>216</v>
      </c>
      <c r="E925" s="15" t="s">
        <v>217</v>
      </c>
      <c r="F925" s="1" t="s">
        <v>154</v>
      </c>
      <c r="G925" s="16">
        <v>7326</v>
      </c>
      <c r="H925" s="93">
        <f>'Emission Rates Net-by-Count'!$D$7</f>
        <v>1118.7938637421748</v>
      </c>
      <c r="I925" s="16">
        <f t="shared" si="32"/>
        <v>4098.1419228875866</v>
      </c>
      <c r="M925" s="19"/>
      <c r="N925" s="19"/>
      <c r="O925" s="19"/>
      <c r="P925" s="19"/>
    </row>
    <row r="926" spans="1:16" x14ac:dyDescent="0.25">
      <c r="A926" s="91">
        <v>1391</v>
      </c>
      <c r="B926" s="15">
        <v>2009</v>
      </c>
      <c r="C926" s="1" t="s">
        <v>44</v>
      </c>
      <c r="D926" s="1" t="s">
        <v>216</v>
      </c>
      <c r="E926" s="15" t="s">
        <v>217</v>
      </c>
      <c r="F926" s="1" t="s">
        <v>167</v>
      </c>
      <c r="G926" s="16">
        <v>9898</v>
      </c>
      <c r="H926" s="93">
        <f>'Emission Rates Net-by-Count'!$D$7</f>
        <v>1118.7938637421748</v>
      </c>
      <c r="I926" s="16">
        <f t="shared" si="32"/>
        <v>5536.9108316600232</v>
      </c>
      <c r="M926" s="19"/>
      <c r="N926" s="19"/>
      <c r="O926" s="19"/>
      <c r="P926" s="19"/>
    </row>
    <row r="927" spans="1:16" x14ac:dyDescent="0.25">
      <c r="A927" s="91">
        <v>1392</v>
      </c>
      <c r="B927" s="15">
        <v>2009</v>
      </c>
      <c r="C927" s="1" t="s">
        <v>44</v>
      </c>
      <c r="D927" s="1" t="s">
        <v>216</v>
      </c>
      <c r="E927" s="15" t="s">
        <v>217</v>
      </c>
      <c r="F927" s="1" t="s">
        <v>106</v>
      </c>
      <c r="G927" s="16">
        <v>850</v>
      </c>
      <c r="H927" s="93">
        <f>'Emission Rates Net-by-Count'!$D$7</f>
        <v>1118.7938637421748</v>
      </c>
      <c r="I927" s="16">
        <f t="shared" si="32"/>
        <v>475.48739209042429</v>
      </c>
      <c r="M927" s="19"/>
      <c r="N927" s="19"/>
      <c r="O927" s="19"/>
      <c r="P927" s="19"/>
    </row>
    <row r="928" spans="1:16" x14ac:dyDescent="0.25">
      <c r="A928" s="91">
        <v>1393</v>
      </c>
      <c r="B928" s="15">
        <v>2009</v>
      </c>
      <c r="C928" s="1" t="s">
        <v>44</v>
      </c>
      <c r="D928" s="1" t="s">
        <v>216</v>
      </c>
      <c r="E928" s="15" t="s">
        <v>217</v>
      </c>
      <c r="F928" s="1" t="s">
        <v>108</v>
      </c>
      <c r="G928" s="16">
        <v>360</v>
      </c>
      <c r="H928" s="93">
        <f>'Emission Rates Net-by-Count'!$D$7</f>
        <v>1118.7938637421748</v>
      </c>
      <c r="I928" s="16">
        <f t="shared" ref="I928:I959" si="33">(G928*H928)/2000</f>
        <v>201.38289547359145</v>
      </c>
      <c r="M928" s="19"/>
      <c r="N928" s="19"/>
      <c r="O928" s="19"/>
      <c r="P928" s="19"/>
    </row>
    <row r="929" spans="1:16" x14ac:dyDescent="0.25">
      <c r="A929" s="91">
        <v>1396</v>
      </c>
      <c r="B929" s="15">
        <v>2009</v>
      </c>
      <c r="C929" s="1" t="s">
        <v>109</v>
      </c>
      <c r="D929" s="1" t="s">
        <v>216</v>
      </c>
      <c r="E929" s="15" t="s">
        <v>217</v>
      </c>
      <c r="F929" s="1" t="s">
        <v>110</v>
      </c>
      <c r="G929" s="16">
        <v>6088</v>
      </c>
      <c r="H929" s="93">
        <f>'Emission Rates Net-by-Count'!$D$7</f>
        <v>1118.7938637421748</v>
      </c>
      <c r="I929" s="16">
        <f t="shared" si="33"/>
        <v>3405.60852123118</v>
      </c>
      <c r="M929" s="19"/>
      <c r="N929" s="19"/>
      <c r="O929" s="19"/>
      <c r="P929" s="19"/>
    </row>
    <row r="930" spans="1:16" x14ac:dyDescent="0.25">
      <c r="A930" s="91">
        <v>1397</v>
      </c>
      <c r="B930" s="15">
        <v>2009</v>
      </c>
      <c r="C930" s="1" t="s">
        <v>109</v>
      </c>
      <c r="D930" s="1" t="s">
        <v>216</v>
      </c>
      <c r="E930" s="15" t="s">
        <v>217</v>
      </c>
      <c r="F930" s="1" t="s">
        <v>21</v>
      </c>
      <c r="G930" s="16">
        <v>76504</v>
      </c>
      <c r="H930" s="93">
        <f>'Emission Rates Net-by-Count'!$D$7</f>
        <v>1118.7938637421748</v>
      </c>
      <c r="I930" s="16">
        <f t="shared" si="33"/>
        <v>42796.102875865676</v>
      </c>
      <c r="M930" s="19"/>
      <c r="N930" s="19"/>
      <c r="O930" s="19"/>
      <c r="P930" s="19"/>
    </row>
    <row r="931" spans="1:16" x14ac:dyDescent="0.25">
      <c r="A931" s="91">
        <v>1398</v>
      </c>
      <c r="B931" s="15">
        <v>2009</v>
      </c>
      <c r="C931" s="1" t="s">
        <v>109</v>
      </c>
      <c r="D931" s="1" t="s">
        <v>216</v>
      </c>
      <c r="E931" s="15" t="s">
        <v>217</v>
      </c>
      <c r="F931" s="1" t="s">
        <v>114</v>
      </c>
      <c r="G931" s="16">
        <v>-23317.616000000002</v>
      </c>
      <c r="H931" s="93">
        <f>'Emission Rates Net-by-Count'!$D$7</f>
        <v>1118.7938637421748</v>
      </c>
      <c r="I931" s="16">
        <f t="shared" si="33"/>
        <v>-13043.802848948179</v>
      </c>
      <c r="M931" s="19"/>
      <c r="N931" s="19"/>
      <c r="O931" s="19"/>
      <c r="P931" s="19"/>
    </row>
    <row r="932" spans="1:16" x14ac:dyDescent="0.25">
      <c r="A932" s="91">
        <v>1399</v>
      </c>
      <c r="B932" s="15">
        <v>2009</v>
      </c>
      <c r="C932" s="1" t="s">
        <v>109</v>
      </c>
      <c r="D932" s="1" t="s">
        <v>216</v>
      </c>
      <c r="E932" s="15" t="s">
        <v>217</v>
      </c>
      <c r="F932" s="1" t="s">
        <v>78</v>
      </c>
      <c r="G932" s="16">
        <v>20000</v>
      </c>
      <c r="H932" s="93">
        <f>'Emission Rates Net-by-Count'!$D$7</f>
        <v>1118.7938637421748</v>
      </c>
      <c r="I932" s="16">
        <f t="shared" si="33"/>
        <v>11187.938637421748</v>
      </c>
      <c r="M932" s="19"/>
      <c r="N932" s="19"/>
      <c r="O932" s="19"/>
      <c r="P932" s="19"/>
    </row>
    <row r="933" spans="1:16" x14ac:dyDescent="0.25">
      <c r="A933" s="91">
        <v>1400</v>
      </c>
      <c r="B933" s="15">
        <v>2009</v>
      </c>
      <c r="C933" s="1" t="s">
        <v>109</v>
      </c>
      <c r="D933" s="1" t="s">
        <v>216</v>
      </c>
      <c r="E933" s="15" t="s">
        <v>217</v>
      </c>
      <c r="F933" s="1" t="s">
        <v>111</v>
      </c>
      <c r="G933" s="16">
        <v>413000</v>
      </c>
      <c r="H933" s="93">
        <f>'Emission Rates Net-by-Count'!$D$7</f>
        <v>1118.7938637421748</v>
      </c>
      <c r="I933" s="16">
        <f t="shared" si="33"/>
        <v>231030.9328627591</v>
      </c>
      <c r="M933" s="19"/>
      <c r="N933" s="19"/>
      <c r="O933" s="19"/>
      <c r="P933" s="19"/>
    </row>
    <row r="934" spans="1:16" x14ac:dyDescent="0.25">
      <c r="A934" s="91">
        <v>1401</v>
      </c>
      <c r="B934" s="15">
        <v>2009</v>
      </c>
      <c r="C934" s="1" t="s">
        <v>109</v>
      </c>
      <c r="D934" s="1" t="s">
        <v>216</v>
      </c>
      <c r="E934" s="15" t="s">
        <v>217</v>
      </c>
      <c r="F934" s="1" t="s">
        <v>88</v>
      </c>
      <c r="G934" s="16">
        <v>38000</v>
      </c>
      <c r="H934" s="93">
        <f>'Emission Rates Net-by-Count'!$D$7</f>
        <v>1118.7938637421748</v>
      </c>
      <c r="I934" s="16">
        <f t="shared" si="33"/>
        <v>21257.083411101321</v>
      </c>
      <c r="M934" s="19"/>
      <c r="N934" s="19"/>
      <c r="O934" s="19"/>
      <c r="P934" s="19"/>
    </row>
    <row r="935" spans="1:16" x14ac:dyDescent="0.25">
      <c r="A935" s="91">
        <v>1402</v>
      </c>
      <c r="B935" s="15">
        <v>2009</v>
      </c>
      <c r="C935" s="1" t="s">
        <v>109</v>
      </c>
      <c r="D935" s="1" t="s">
        <v>216</v>
      </c>
      <c r="E935" s="15" t="s">
        <v>217</v>
      </c>
      <c r="F935" s="1" t="s">
        <v>104</v>
      </c>
      <c r="G935" s="16">
        <v>1533600</v>
      </c>
      <c r="H935" s="93">
        <f>'Emission Rates Net-by-Count'!$D$7</f>
        <v>1118.7938637421748</v>
      </c>
      <c r="I935" s="16">
        <f t="shared" si="33"/>
        <v>857891.1347174996</v>
      </c>
      <c r="M935" s="19"/>
      <c r="N935" s="19"/>
      <c r="O935" s="19"/>
      <c r="P935" s="19"/>
    </row>
    <row r="936" spans="1:16" x14ac:dyDescent="0.25">
      <c r="A936" s="91">
        <v>1404</v>
      </c>
      <c r="B936" s="15">
        <v>2009</v>
      </c>
      <c r="C936" s="1" t="s">
        <v>113</v>
      </c>
      <c r="D936" s="1" t="s">
        <v>216</v>
      </c>
      <c r="E936" s="15" t="s">
        <v>217</v>
      </c>
      <c r="F936" s="1" t="s">
        <v>110</v>
      </c>
      <c r="G936" s="16">
        <v>-4172</v>
      </c>
      <c r="H936" s="93">
        <f>'Emission Rates Net-by-Count'!$D$7</f>
        <v>1118.7938637421748</v>
      </c>
      <c r="I936" s="16">
        <f t="shared" si="33"/>
        <v>-2333.8039997661767</v>
      </c>
      <c r="M936" s="19"/>
      <c r="N936" s="19"/>
      <c r="O936" s="19"/>
      <c r="P936" s="19"/>
    </row>
    <row r="937" spans="1:16" x14ac:dyDescent="0.25">
      <c r="A937" s="91">
        <v>1405</v>
      </c>
      <c r="B937" s="15">
        <v>2009</v>
      </c>
      <c r="C937" s="1" t="s">
        <v>113</v>
      </c>
      <c r="D937" s="1" t="s">
        <v>216</v>
      </c>
      <c r="E937" s="15" t="s">
        <v>217</v>
      </c>
      <c r="F937" s="1" t="s">
        <v>21</v>
      </c>
      <c r="G937" s="16">
        <v>-81545</v>
      </c>
      <c r="H937" s="93">
        <f>'Emission Rates Net-by-Count'!$D$7</f>
        <v>1118.7938637421748</v>
      </c>
      <c r="I937" s="16">
        <f t="shared" si="33"/>
        <v>-45616.022809427821</v>
      </c>
      <c r="M937" s="19"/>
      <c r="N937" s="19"/>
      <c r="O937" s="19"/>
      <c r="P937" s="19"/>
    </row>
    <row r="938" spans="1:16" x14ac:dyDescent="0.25">
      <c r="A938" s="91">
        <v>1406</v>
      </c>
      <c r="B938" s="15">
        <v>2009</v>
      </c>
      <c r="C938" s="1" t="s">
        <v>113</v>
      </c>
      <c r="D938" s="1" t="s">
        <v>216</v>
      </c>
      <c r="E938" s="15" t="s">
        <v>217</v>
      </c>
      <c r="F938" s="1" t="s">
        <v>114</v>
      </c>
      <c r="G938" s="16">
        <v>-43828.805999999997</v>
      </c>
      <c r="H938" s="93">
        <f>'Emission Rates Net-by-Count'!$D$7</f>
        <v>1118.7938637421748</v>
      </c>
      <c r="I938" s="16">
        <f t="shared" si="33"/>
        <v>-24517.699603973106</v>
      </c>
      <c r="M938" s="19"/>
      <c r="N938" s="19"/>
      <c r="O938" s="19"/>
      <c r="P938" s="19"/>
    </row>
    <row r="939" spans="1:16" x14ac:dyDescent="0.25">
      <c r="A939" s="91">
        <v>1407</v>
      </c>
      <c r="B939" s="15">
        <v>2009</v>
      </c>
      <c r="C939" s="1" t="s">
        <v>113</v>
      </c>
      <c r="D939" s="1" t="s">
        <v>216</v>
      </c>
      <c r="E939" s="15" t="s">
        <v>217</v>
      </c>
      <c r="F939" s="1" t="s">
        <v>78</v>
      </c>
      <c r="G939" s="16">
        <v>-17200</v>
      </c>
      <c r="H939" s="93">
        <f>'Emission Rates Net-by-Count'!$D$7</f>
        <v>1118.7938637421748</v>
      </c>
      <c r="I939" s="16">
        <f t="shared" si="33"/>
        <v>-9621.6272281827041</v>
      </c>
      <c r="M939" s="19"/>
      <c r="N939" s="19"/>
      <c r="O939" s="19"/>
      <c r="P939" s="19"/>
    </row>
    <row r="940" spans="1:16" x14ac:dyDescent="0.25">
      <c r="A940" s="91">
        <v>1408</v>
      </c>
      <c r="B940" s="15">
        <v>2009</v>
      </c>
      <c r="C940" s="1" t="s">
        <v>113</v>
      </c>
      <c r="D940" s="1" t="s">
        <v>216</v>
      </c>
      <c r="E940" s="15" t="s">
        <v>217</v>
      </c>
      <c r="F940" s="1" t="s">
        <v>111</v>
      </c>
      <c r="G940" s="16">
        <v>-413000</v>
      </c>
      <c r="H940" s="93">
        <f>'Emission Rates Net-by-Count'!$D$7</f>
        <v>1118.7938637421748</v>
      </c>
      <c r="I940" s="16">
        <f t="shared" si="33"/>
        <v>-231030.9328627591</v>
      </c>
      <c r="M940" s="19"/>
      <c r="N940" s="19"/>
      <c r="O940" s="19"/>
      <c r="P940" s="19"/>
    </row>
    <row r="941" spans="1:16" x14ac:dyDescent="0.25">
      <c r="A941" s="91">
        <v>1409</v>
      </c>
      <c r="B941" s="15">
        <v>2009</v>
      </c>
      <c r="C941" s="1" t="s">
        <v>113</v>
      </c>
      <c r="D941" s="1" t="s">
        <v>216</v>
      </c>
      <c r="E941" s="15" t="s">
        <v>217</v>
      </c>
      <c r="F941" s="1" t="s">
        <v>88</v>
      </c>
      <c r="G941" s="16">
        <v>-68795</v>
      </c>
      <c r="H941" s="93">
        <f>'Emission Rates Net-by-Count'!$D$7</f>
        <v>1118.7938637421748</v>
      </c>
      <c r="I941" s="16">
        <f t="shared" si="33"/>
        <v>-38483.711928071461</v>
      </c>
      <c r="M941" s="19"/>
      <c r="N941" s="19"/>
      <c r="O941" s="19"/>
      <c r="P941" s="19"/>
    </row>
    <row r="942" spans="1:16" x14ac:dyDescent="0.25">
      <c r="A942" s="91">
        <v>1410</v>
      </c>
      <c r="B942" s="15">
        <v>2009</v>
      </c>
      <c r="C942" s="1" t="s">
        <v>113</v>
      </c>
      <c r="D942" s="1" t="s">
        <v>216</v>
      </c>
      <c r="E942" s="15" t="s">
        <v>217</v>
      </c>
      <c r="F942" s="1" t="s">
        <v>104</v>
      </c>
      <c r="G942" s="16">
        <v>-1533600</v>
      </c>
      <c r="H942" s="93">
        <f>'Emission Rates Net-by-Count'!$D$7</f>
        <v>1118.7938637421748</v>
      </c>
      <c r="I942" s="16">
        <f t="shared" si="33"/>
        <v>-857891.1347174996</v>
      </c>
      <c r="M942" s="19"/>
      <c r="N942" s="19"/>
      <c r="O942" s="19"/>
      <c r="P942" s="19"/>
    </row>
    <row r="943" spans="1:16" x14ac:dyDescent="0.25">
      <c r="A943" s="91">
        <v>1461</v>
      </c>
      <c r="B943" s="15">
        <v>2009</v>
      </c>
      <c r="C943" s="1" t="s">
        <v>120</v>
      </c>
      <c r="D943" s="1" t="s">
        <v>216</v>
      </c>
      <c r="E943" s="15" t="s">
        <v>217</v>
      </c>
      <c r="F943" s="1" t="s">
        <v>47</v>
      </c>
      <c r="G943" s="16">
        <v>-39571</v>
      </c>
      <c r="H943" s="93">
        <f>'Emission Rates Net-by-Count'!$D$7</f>
        <v>1118.7938637421748</v>
      </c>
      <c r="I943" s="16">
        <f t="shared" si="33"/>
        <v>-22135.8959910708</v>
      </c>
      <c r="M943" s="19"/>
      <c r="N943" s="19"/>
      <c r="O943" s="19"/>
      <c r="P943" s="19"/>
    </row>
    <row r="944" spans="1:16" x14ac:dyDescent="0.25">
      <c r="A944" s="91">
        <v>1462</v>
      </c>
      <c r="B944" s="15">
        <v>2009</v>
      </c>
      <c r="C944" s="1" t="s">
        <v>120</v>
      </c>
      <c r="D944" s="1" t="s">
        <v>216</v>
      </c>
      <c r="E944" s="15" t="s">
        <v>217</v>
      </c>
      <c r="F944" s="1" t="s">
        <v>127</v>
      </c>
      <c r="G944" s="16">
        <v>-33513</v>
      </c>
      <c r="H944" s="93">
        <f>'Emission Rates Net-by-Count'!$D$7</f>
        <v>1118.7938637421748</v>
      </c>
      <c r="I944" s="16">
        <f t="shared" si="33"/>
        <v>-18747.069377795753</v>
      </c>
      <c r="M944" s="19"/>
      <c r="N944" s="19"/>
      <c r="O944" s="19"/>
      <c r="P944" s="19"/>
    </row>
    <row r="945" spans="1:16" x14ac:dyDescent="0.25">
      <c r="A945" s="91">
        <v>1463</v>
      </c>
      <c r="B945" s="15">
        <v>2009</v>
      </c>
      <c r="C945" s="1" t="s">
        <v>120</v>
      </c>
      <c r="D945" s="1" t="s">
        <v>216</v>
      </c>
      <c r="E945" s="15" t="s">
        <v>217</v>
      </c>
      <c r="F945" s="1" t="s">
        <v>50</v>
      </c>
      <c r="G945" s="16">
        <v>-1600</v>
      </c>
      <c r="H945" s="93">
        <f>'Emission Rates Net-by-Count'!$D$7</f>
        <v>1118.7938637421748</v>
      </c>
      <c r="I945" s="16">
        <f t="shared" si="33"/>
        <v>-895.03509099373991</v>
      </c>
      <c r="M945" s="19"/>
      <c r="N945" s="19"/>
      <c r="O945" s="19"/>
      <c r="P945" s="19"/>
    </row>
    <row r="946" spans="1:16" x14ac:dyDescent="0.25">
      <c r="A946" s="91">
        <v>1464</v>
      </c>
      <c r="B946" s="15">
        <v>2009</v>
      </c>
      <c r="C946" s="1" t="s">
        <v>120</v>
      </c>
      <c r="D946" s="1" t="s">
        <v>216</v>
      </c>
      <c r="E946" s="15" t="s">
        <v>217</v>
      </c>
      <c r="F946" s="1" t="s">
        <v>51</v>
      </c>
      <c r="G946" s="16">
        <v>3599695</v>
      </c>
      <c r="H946" s="93">
        <f>'Emission Rates Net-by-Count'!$D$7</f>
        <v>1118.7938637421748</v>
      </c>
      <c r="I946" s="16">
        <f t="shared" si="33"/>
        <v>2013658.338671694</v>
      </c>
      <c r="K946" s="17" t="s">
        <v>244</v>
      </c>
      <c r="M946" s="19"/>
      <c r="N946" s="19"/>
      <c r="O946" s="19"/>
      <c r="P946" s="19"/>
    </row>
    <row r="947" spans="1:16" x14ac:dyDescent="0.25">
      <c r="A947" s="91">
        <v>1465</v>
      </c>
      <c r="B947" s="15">
        <v>2009</v>
      </c>
      <c r="C947" s="1" t="s">
        <v>120</v>
      </c>
      <c r="D947" s="1" t="s">
        <v>216</v>
      </c>
      <c r="E947" s="15" t="s">
        <v>217</v>
      </c>
      <c r="F947" s="1" t="s">
        <v>52</v>
      </c>
      <c r="G947" s="16">
        <v>-152945</v>
      </c>
      <c r="H947" s="93">
        <f>'Emission Rates Net-by-Count'!$D$7</f>
        <v>1118.7938637421748</v>
      </c>
      <c r="I947" s="16">
        <f t="shared" si="33"/>
        <v>-85556.963745023459</v>
      </c>
      <c r="M947" s="19"/>
      <c r="N947" s="19"/>
      <c r="O947" s="19"/>
      <c r="P947" s="19"/>
    </row>
    <row r="948" spans="1:16" x14ac:dyDescent="0.25">
      <c r="A948" s="91">
        <v>1466</v>
      </c>
      <c r="B948" s="15">
        <v>2009</v>
      </c>
      <c r="C948" s="1" t="s">
        <v>120</v>
      </c>
      <c r="D948" s="1" t="s">
        <v>216</v>
      </c>
      <c r="E948" s="15" t="s">
        <v>217</v>
      </c>
      <c r="F948" s="1" t="s">
        <v>21</v>
      </c>
      <c r="G948" s="16">
        <v>-254156</v>
      </c>
      <c r="H948" s="93">
        <f>'Emission Rates Net-by-Count'!$D$7</f>
        <v>1118.7938637421748</v>
      </c>
      <c r="I948" s="16">
        <f t="shared" si="33"/>
        <v>-142174.08661662808</v>
      </c>
      <c r="M948" s="19"/>
      <c r="N948" s="19"/>
      <c r="O948" s="19"/>
      <c r="P948" s="19"/>
    </row>
    <row r="949" spans="1:16" x14ac:dyDescent="0.25">
      <c r="A949" s="91">
        <v>1467</v>
      </c>
      <c r="B949" s="15">
        <v>2009</v>
      </c>
      <c r="C949" s="1" t="s">
        <v>120</v>
      </c>
      <c r="D949" s="1" t="s">
        <v>216</v>
      </c>
      <c r="E949" s="15" t="s">
        <v>217</v>
      </c>
      <c r="F949" s="1" t="s">
        <v>143</v>
      </c>
      <c r="G949" s="16">
        <v>-35</v>
      </c>
      <c r="H949" s="93">
        <f>'Emission Rates Net-by-Count'!$D$7</f>
        <v>1118.7938637421748</v>
      </c>
      <c r="I949" s="16">
        <f t="shared" si="33"/>
        <v>-19.578892615488062</v>
      </c>
      <c r="M949" s="19"/>
      <c r="N949" s="19"/>
      <c r="O949" s="19"/>
      <c r="P949" s="19"/>
    </row>
    <row r="950" spans="1:16" x14ac:dyDescent="0.25">
      <c r="A950" s="91">
        <v>1468</v>
      </c>
      <c r="B950" s="15">
        <v>2009</v>
      </c>
      <c r="C950" s="1" t="s">
        <v>120</v>
      </c>
      <c r="D950" s="1" t="s">
        <v>216</v>
      </c>
      <c r="E950" s="15" t="s">
        <v>217</v>
      </c>
      <c r="F950" s="1" t="s">
        <v>56</v>
      </c>
      <c r="G950" s="16">
        <v>-240421</v>
      </c>
      <c r="H950" s="93">
        <f>'Emission Rates Net-by-Count'!$D$7</f>
        <v>1118.7938637421748</v>
      </c>
      <c r="I950" s="16">
        <f t="shared" si="33"/>
        <v>-134490.7697573787</v>
      </c>
      <c r="M950" s="19"/>
      <c r="N950" s="19"/>
      <c r="O950" s="19"/>
      <c r="P950" s="19"/>
    </row>
    <row r="951" spans="1:16" x14ac:dyDescent="0.25">
      <c r="A951" s="91">
        <v>1469</v>
      </c>
      <c r="B951" s="15">
        <v>2009</v>
      </c>
      <c r="C951" s="1" t="s">
        <v>120</v>
      </c>
      <c r="D951" s="1" t="s">
        <v>216</v>
      </c>
      <c r="E951" s="15" t="s">
        <v>217</v>
      </c>
      <c r="F951" s="1" t="s">
        <v>57</v>
      </c>
      <c r="G951" s="16">
        <v>-3890</v>
      </c>
      <c r="H951" s="93">
        <f>'Emission Rates Net-by-Count'!$D$7</f>
        <v>1118.7938637421748</v>
      </c>
      <c r="I951" s="16">
        <f t="shared" si="33"/>
        <v>-2176.0540649785303</v>
      </c>
      <c r="M951" s="19"/>
      <c r="N951" s="19"/>
      <c r="O951" s="19"/>
      <c r="P951" s="19"/>
    </row>
    <row r="952" spans="1:16" x14ac:dyDescent="0.25">
      <c r="A952" s="91">
        <v>1470</v>
      </c>
      <c r="B952" s="15">
        <v>2009</v>
      </c>
      <c r="C952" s="1" t="s">
        <v>120</v>
      </c>
      <c r="D952" s="1" t="s">
        <v>216</v>
      </c>
      <c r="E952" s="15" t="s">
        <v>217</v>
      </c>
      <c r="F952" s="1" t="s">
        <v>58</v>
      </c>
      <c r="G952" s="16">
        <v>-635716</v>
      </c>
      <c r="H952" s="93">
        <f>'Emission Rates Net-by-Count'!$D$7</f>
        <v>1118.7938637421748</v>
      </c>
      <c r="I952" s="16">
        <f t="shared" si="33"/>
        <v>-355617.57994136022</v>
      </c>
      <c r="M952" s="19"/>
      <c r="N952" s="19"/>
      <c r="O952" s="19"/>
      <c r="P952" s="19"/>
    </row>
    <row r="953" spans="1:16" x14ac:dyDescent="0.25">
      <c r="A953" s="91">
        <v>1471</v>
      </c>
      <c r="B953" s="15">
        <v>2009</v>
      </c>
      <c r="C953" s="1" t="s">
        <v>120</v>
      </c>
      <c r="D953" s="1" t="s">
        <v>216</v>
      </c>
      <c r="E953" s="15" t="s">
        <v>217</v>
      </c>
      <c r="F953" s="1" t="s">
        <v>59</v>
      </c>
      <c r="G953" s="16">
        <v>-15633</v>
      </c>
      <c r="H953" s="93">
        <f>'Emission Rates Net-by-Count'!$D$7</f>
        <v>1118.7938637421748</v>
      </c>
      <c r="I953" s="16">
        <f t="shared" si="33"/>
        <v>-8745.0522359407096</v>
      </c>
      <c r="M953" s="19"/>
      <c r="N953" s="19"/>
      <c r="O953" s="19"/>
      <c r="P953" s="19"/>
    </row>
    <row r="954" spans="1:16" x14ac:dyDescent="0.25">
      <c r="A954" s="91">
        <v>1472</v>
      </c>
      <c r="B954" s="15">
        <v>2009</v>
      </c>
      <c r="C954" s="1" t="s">
        <v>120</v>
      </c>
      <c r="D954" s="1" t="s">
        <v>216</v>
      </c>
      <c r="E954" s="15" t="s">
        <v>217</v>
      </c>
      <c r="F954" s="1" t="s">
        <v>60</v>
      </c>
      <c r="G954" s="16">
        <v>-111736</v>
      </c>
      <c r="H954" s="93">
        <f>'Emission Rates Net-by-Count'!$D$7</f>
        <v>1118.7938637421748</v>
      </c>
      <c r="I954" s="16">
        <f t="shared" si="33"/>
        <v>-62504.775579547822</v>
      </c>
      <c r="M954" s="19"/>
      <c r="N954" s="19"/>
      <c r="O954" s="19"/>
      <c r="P954" s="19"/>
    </row>
    <row r="955" spans="1:16" x14ac:dyDescent="0.25">
      <c r="A955" s="91">
        <v>1473</v>
      </c>
      <c r="B955" s="15">
        <v>2009</v>
      </c>
      <c r="C955" s="1" t="s">
        <v>120</v>
      </c>
      <c r="D955" s="1" t="s">
        <v>216</v>
      </c>
      <c r="E955" s="15" t="s">
        <v>217</v>
      </c>
      <c r="F955" s="1" t="s">
        <v>61</v>
      </c>
      <c r="G955" s="16">
        <v>-61701</v>
      </c>
      <c r="H955" s="93">
        <f>'Emission Rates Net-by-Count'!$D$7</f>
        <v>1118.7938637421748</v>
      </c>
      <c r="I955" s="16">
        <f t="shared" si="33"/>
        <v>-34515.350093377965</v>
      </c>
      <c r="M955" s="19"/>
      <c r="N955" s="19"/>
      <c r="O955" s="19"/>
      <c r="P955" s="19"/>
    </row>
    <row r="956" spans="1:16" x14ac:dyDescent="0.25">
      <c r="A956" s="91">
        <v>1474</v>
      </c>
      <c r="B956" s="15">
        <v>2009</v>
      </c>
      <c r="C956" s="1" t="s">
        <v>120</v>
      </c>
      <c r="D956" s="1" t="s">
        <v>216</v>
      </c>
      <c r="E956" s="15" t="s">
        <v>217</v>
      </c>
      <c r="F956" s="1" t="s">
        <v>146</v>
      </c>
      <c r="G956" s="16">
        <v>-605</v>
      </c>
      <c r="H956" s="93">
        <f>'Emission Rates Net-by-Count'!$D$7</f>
        <v>1118.7938637421748</v>
      </c>
      <c r="I956" s="16">
        <f t="shared" si="33"/>
        <v>-338.43514378200791</v>
      </c>
      <c r="M956" s="19"/>
      <c r="N956" s="19"/>
      <c r="O956" s="19"/>
      <c r="P956" s="19"/>
    </row>
    <row r="957" spans="1:16" x14ac:dyDescent="0.25">
      <c r="A957" s="91">
        <v>1475</v>
      </c>
      <c r="B957" s="15">
        <v>2009</v>
      </c>
      <c r="C957" s="1" t="s">
        <v>120</v>
      </c>
      <c r="D957" s="1" t="s">
        <v>216</v>
      </c>
      <c r="E957" s="15" t="s">
        <v>217</v>
      </c>
      <c r="F957" s="1" t="s">
        <v>147</v>
      </c>
      <c r="G957" s="16">
        <v>-8444</v>
      </c>
      <c r="H957" s="93">
        <f>'Emission Rates Net-by-Count'!$D$7</f>
        <v>1118.7938637421748</v>
      </c>
      <c r="I957" s="16">
        <f t="shared" si="33"/>
        <v>-4723.5476927194622</v>
      </c>
      <c r="M957" s="19"/>
      <c r="N957" s="19"/>
      <c r="O957" s="19"/>
      <c r="P957" s="19"/>
    </row>
    <row r="958" spans="1:16" x14ac:dyDescent="0.25">
      <c r="A958" s="91">
        <v>1476</v>
      </c>
      <c r="B958" s="15">
        <v>2009</v>
      </c>
      <c r="C958" s="1" t="s">
        <v>120</v>
      </c>
      <c r="D958" s="1" t="s">
        <v>216</v>
      </c>
      <c r="E958" s="15" t="s">
        <v>217</v>
      </c>
      <c r="F958" s="1" t="s">
        <v>131</v>
      </c>
      <c r="G958" s="16">
        <v>-182400</v>
      </c>
      <c r="H958" s="93">
        <f>'Emission Rates Net-by-Count'!$D$7</f>
        <v>1118.7938637421748</v>
      </c>
      <c r="I958" s="16">
        <f t="shared" si="33"/>
        <v>-102034.00037328636</v>
      </c>
      <c r="M958" s="19"/>
      <c r="N958" s="19"/>
      <c r="O958" s="19"/>
      <c r="P958" s="19"/>
    </row>
    <row r="959" spans="1:16" x14ac:dyDescent="0.25">
      <c r="A959" s="91">
        <v>1477</v>
      </c>
      <c r="B959" s="15">
        <v>2009</v>
      </c>
      <c r="C959" s="1" t="s">
        <v>120</v>
      </c>
      <c r="D959" s="1" t="s">
        <v>216</v>
      </c>
      <c r="E959" s="15" t="s">
        <v>217</v>
      </c>
      <c r="F959" s="1" t="s">
        <v>62</v>
      </c>
      <c r="G959" s="16">
        <v>-450</v>
      </c>
      <c r="H959" s="93">
        <f>'Emission Rates Net-by-Count'!$D$7</f>
        <v>1118.7938637421748</v>
      </c>
      <c r="I959" s="16">
        <f t="shared" si="33"/>
        <v>-251.72861934198934</v>
      </c>
      <c r="M959" s="19"/>
      <c r="N959" s="19"/>
      <c r="O959" s="19"/>
      <c r="P959" s="19"/>
    </row>
    <row r="960" spans="1:16" x14ac:dyDescent="0.25">
      <c r="A960" s="91">
        <v>1478</v>
      </c>
      <c r="B960" s="15">
        <v>2009</v>
      </c>
      <c r="C960" s="1" t="s">
        <v>120</v>
      </c>
      <c r="D960" s="1" t="s">
        <v>216</v>
      </c>
      <c r="E960" s="15" t="s">
        <v>217</v>
      </c>
      <c r="F960" s="1" t="s">
        <v>164</v>
      </c>
      <c r="G960" s="16">
        <v>-10242</v>
      </c>
      <c r="H960" s="93">
        <f>'Emission Rates Net-by-Count'!$D$7</f>
        <v>1118.7938637421748</v>
      </c>
      <c r="I960" s="16">
        <f t="shared" ref="I960:I991" si="34">(G960*H960)/2000</f>
        <v>-5729.3433762236782</v>
      </c>
      <c r="M960" s="19"/>
      <c r="N960" s="19"/>
      <c r="O960" s="19"/>
      <c r="P960" s="19"/>
    </row>
    <row r="961" spans="1:16" x14ac:dyDescent="0.25">
      <c r="A961" s="91">
        <v>1479</v>
      </c>
      <c r="B961" s="15">
        <v>2009</v>
      </c>
      <c r="C961" s="1" t="s">
        <v>120</v>
      </c>
      <c r="D961" s="1" t="s">
        <v>216</v>
      </c>
      <c r="E961" s="15" t="s">
        <v>217</v>
      </c>
      <c r="F961" s="1" t="s">
        <v>63</v>
      </c>
      <c r="G961" s="16">
        <v>-6394</v>
      </c>
      <c r="H961" s="93">
        <f>'Emission Rates Net-by-Count'!$D$7</f>
        <v>1118.7938637421748</v>
      </c>
      <c r="I961" s="16">
        <f t="shared" si="34"/>
        <v>-3576.783982383733</v>
      </c>
      <c r="M961" s="19"/>
      <c r="N961" s="19"/>
      <c r="O961" s="19"/>
      <c r="P961" s="19"/>
    </row>
    <row r="962" spans="1:16" x14ac:dyDescent="0.25">
      <c r="A962" s="91">
        <v>1480</v>
      </c>
      <c r="B962" s="15">
        <v>2009</v>
      </c>
      <c r="C962" s="1" t="s">
        <v>120</v>
      </c>
      <c r="D962" s="1" t="s">
        <v>216</v>
      </c>
      <c r="E962" s="15" t="s">
        <v>217</v>
      </c>
      <c r="F962" s="1" t="s">
        <v>65</v>
      </c>
      <c r="G962" s="16">
        <v>-19889</v>
      </c>
      <c r="H962" s="93">
        <f>'Emission Rates Net-by-Count'!$D$7</f>
        <v>1118.7938637421748</v>
      </c>
      <c r="I962" s="16">
        <f t="shared" si="34"/>
        <v>-11125.845577984057</v>
      </c>
      <c r="M962" s="19"/>
      <c r="N962" s="19"/>
      <c r="O962" s="19"/>
      <c r="P962" s="19"/>
    </row>
    <row r="963" spans="1:16" x14ac:dyDescent="0.25">
      <c r="A963" s="91">
        <v>1481</v>
      </c>
      <c r="B963" s="15">
        <v>2009</v>
      </c>
      <c r="C963" s="1" t="s">
        <v>120</v>
      </c>
      <c r="D963" s="1" t="s">
        <v>216</v>
      </c>
      <c r="E963" s="15" t="s">
        <v>217</v>
      </c>
      <c r="F963" s="1" t="s">
        <v>132</v>
      </c>
      <c r="G963" s="16">
        <v>-110920</v>
      </c>
      <c r="H963" s="93">
        <f>'Emission Rates Net-by-Count'!$D$7</f>
        <v>1118.7938637421748</v>
      </c>
      <c r="I963" s="16">
        <f t="shared" si="34"/>
        <v>-62048.307683141014</v>
      </c>
      <c r="M963" s="19"/>
      <c r="N963" s="19"/>
      <c r="O963" s="19"/>
      <c r="P963" s="19"/>
    </row>
    <row r="964" spans="1:16" x14ac:dyDescent="0.25">
      <c r="A964" s="91">
        <v>1482</v>
      </c>
      <c r="B964" s="15">
        <v>2009</v>
      </c>
      <c r="C964" s="1" t="s">
        <v>120</v>
      </c>
      <c r="D964" s="1" t="s">
        <v>216</v>
      </c>
      <c r="E964" s="15" t="s">
        <v>217</v>
      </c>
      <c r="F964" s="1" t="s">
        <v>67</v>
      </c>
      <c r="G964" s="16">
        <v>-22571</v>
      </c>
      <c r="H964" s="93">
        <f>'Emission Rates Net-by-Count'!$D$7</f>
        <v>1118.7938637421748</v>
      </c>
      <c r="I964" s="16">
        <f t="shared" si="34"/>
        <v>-12626.148149262315</v>
      </c>
      <c r="M964" s="19"/>
      <c r="N964" s="19"/>
      <c r="O964" s="19"/>
      <c r="P964" s="19"/>
    </row>
    <row r="965" spans="1:16" x14ac:dyDescent="0.25">
      <c r="A965" s="91">
        <v>1483</v>
      </c>
      <c r="B965" s="15">
        <v>2009</v>
      </c>
      <c r="C965" s="1" t="s">
        <v>120</v>
      </c>
      <c r="D965" s="1" t="s">
        <v>216</v>
      </c>
      <c r="E965" s="15" t="s">
        <v>217</v>
      </c>
      <c r="F965" s="1" t="s">
        <v>121</v>
      </c>
      <c r="G965" s="16">
        <v>-3950</v>
      </c>
      <c r="H965" s="93">
        <f>'Emission Rates Net-by-Count'!$D$7</f>
        <v>1118.7938637421748</v>
      </c>
      <c r="I965" s="16">
        <f t="shared" si="34"/>
        <v>-2209.6178808907953</v>
      </c>
      <c r="M965" s="19"/>
      <c r="N965" s="19"/>
      <c r="O965" s="19"/>
      <c r="P965" s="19"/>
    </row>
    <row r="966" spans="1:16" x14ac:dyDescent="0.25">
      <c r="A966" s="91">
        <v>1484</v>
      </c>
      <c r="B966" s="15">
        <v>2009</v>
      </c>
      <c r="C966" s="1" t="s">
        <v>120</v>
      </c>
      <c r="D966" s="1" t="s">
        <v>216</v>
      </c>
      <c r="E966" s="15" t="s">
        <v>217</v>
      </c>
      <c r="F966" s="1" t="s">
        <v>69</v>
      </c>
      <c r="G966" s="16">
        <v>-485458</v>
      </c>
      <c r="H966" s="93">
        <f>'Emission Rates Net-by-Count'!$D$7</f>
        <v>1118.7938637421748</v>
      </c>
      <c r="I966" s="16">
        <f t="shared" si="34"/>
        <v>-271563.71575227432</v>
      </c>
      <c r="M966" s="19"/>
      <c r="N966" s="19"/>
      <c r="O966" s="19"/>
      <c r="P966" s="19"/>
    </row>
    <row r="967" spans="1:16" x14ac:dyDescent="0.25">
      <c r="A967" s="91">
        <v>1485</v>
      </c>
      <c r="B967" s="15">
        <v>2009</v>
      </c>
      <c r="C967" s="1" t="s">
        <v>120</v>
      </c>
      <c r="D967" s="1" t="s">
        <v>216</v>
      </c>
      <c r="E967" s="15" t="s">
        <v>217</v>
      </c>
      <c r="F967" s="1" t="s">
        <v>71</v>
      </c>
      <c r="G967" s="16">
        <v>-31952</v>
      </c>
      <c r="H967" s="93">
        <f>'Emission Rates Net-by-Count'!$D$7</f>
        <v>1118.7938637421748</v>
      </c>
      <c r="I967" s="16">
        <f t="shared" si="34"/>
        <v>-17873.850767144984</v>
      </c>
      <c r="M967" s="19"/>
      <c r="N967" s="19"/>
      <c r="O967" s="19"/>
      <c r="P967" s="19"/>
    </row>
    <row r="968" spans="1:16" x14ac:dyDescent="0.25">
      <c r="A968" s="91">
        <v>1486</v>
      </c>
      <c r="B968" s="15">
        <v>2009</v>
      </c>
      <c r="C968" s="1" t="s">
        <v>120</v>
      </c>
      <c r="D968" s="1" t="s">
        <v>216</v>
      </c>
      <c r="E968" s="15" t="s">
        <v>217</v>
      </c>
      <c r="F968" s="1" t="s">
        <v>157</v>
      </c>
      <c r="G968" s="16">
        <v>-4800</v>
      </c>
      <c r="H968" s="93">
        <f>'Emission Rates Net-by-Count'!$D$7</f>
        <v>1118.7938637421748</v>
      </c>
      <c r="I968" s="16">
        <f t="shared" si="34"/>
        <v>-2685.1052729812195</v>
      </c>
      <c r="M968" s="19"/>
      <c r="N968" s="19"/>
      <c r="O968" s="19"/>
      <c r="P968" s="19"/>
    </row>
    <row r="969" spans="1:16" x14ac:dyDescent="0.25">
      <c r="A969" s="91">
        <v>1487</v>
      </c>
      <c r="B969" s="15">
        <v>2009</v>
      </c>
      <c r="C969" s="1" t="s">
        <v>120</v>
      </c>
      <c r="D969" s="1" t="s">
        <v>216</v>
      </c>
      <c r="E969" s="15" t="s">
        <v>217</v>
      </c>
      <c r="F969" s="1" t="s">
        <v>72</v>
      </c>
      <c r="G969" s="16">
        <v>-43800</v>
      </c>
      <c r="H969" s="93">
        <f>'Emission Rates Net-by-Count'!$D$7</f>
        <v>1118.7938637421748</v>
      </c>
      <c r="I969" s="16">
        <f t="shared" si="34"/>
        <v>-24501.585615953627</v>
      </c>
      <c r="M969" s="19"/>
      <c r="N969" s="19"/>
      <c r="O969" s="19"/>
      <c r="P969" s="19"/>
    </row>
    <row r="970" spans="1:16" x14ac:dyDescent="0.25">
      <c r="A970" s="91">
        <v>1488</v>
      </c>
      <c r="B970" s="15">
        <v>2009</v>
      </c>
      <c r="C970" s="1" t="s">
        <v>120</v>
      </c>
      <c r="D970" s="1" t="s">
        <v>216</v>
      </c>
      <c r="E970" s="15" t="s">
        <v>217</v>
      </c>
      <c r="F970" s="1" t="s">
        <v>133</v>
      </c>
      <c r="G970" s="16">
        <v>-162587</v>
      </c>
      <c r="H970" s="93">
        <f>'Emission Rates Net-by-Count'!$D$7</f>
        <v>1118.7938637421748</v>
      </c>
      <c r="I970" s="16">
        <f t="shared" si="34"/>
        <v>-90950.668962124502</v>
      </c>
      <c r="M970" s="19"/>
      <c r="N970" s="19"/>
      <c r="O970" s="19"/>
      <c r="P970" s="19"/>
    </row>
    <row r="971" spans="1:16" x14ac:dyDescent="0.25">
      <c r="A971" s="91">
        <v>1489</v>
      </c>
      <c r="B971" s="15">
        <v>2009</v>
      </c>
      <c r="C971" s="1" t="s">
        <v>120</v>
      </c>
      <c r="D971" s="1" t="s">
        <v>216</v>
      </c>
      <c r="E971" s="15" t="s">
        <v>217</v>
      </c>
      <c r="F971" s="1" t="s">
        <v>74</v>
      </c>
      <c r="G971" s="16">
        <v>-400</v>
      </c>
      <c r="H971" s="93">
        <f>'Emission Rates Net-by-Count'!$D$7</f>
        <v>1118.7938637421748</v>
      </c>
      <c r="I971" s="16">
        <f t="shared" si="34"/>
        <v>-223.75877274843498</v>
      </c>
      <c r="M971" s="19"/>
      <c r="N971" s="19"/>
      <c r="O971" s="19"/>
      <c r="P971" s="19"/>
    </row>
    <row r="972" spans="1:16" x14ac:dyDescent="0.25">
      <c r="A972" s="91">
        <v>1490</v>
      </c>
      <c r="B972" s="15">
        <v>2009</v>
      </c>
      <c r="C972" s="1" t="s">
        <v>120</v>
      </c>
      <c r="D972" s="1" t="s">
        <v>216</v>
      </c>
      <c r="E972" s="15" t="s">
        <v>217</v>
      </c>
      <c r="F972" s="1" t="s">
        <v>77</v>
      </c>
      <c r="G972" s="16">
        <v>-2329</v>
      </c>
      <c r="H972" s="93">
        <f>'Emission Rates Net-by-Count'!$D$7</f>
        <v>1118.7938637421748</v>
      </c>
      <c r="I972" s="16">
        <f t="shared" si="34"/>
        <v>-1302.8354543277626</v>
      </c>
      <c r="M972" s="19"/>
      <c r="N972" s="19"/>
      <c r="O972" s="19"/>
      <c r="P972" s="19"/>
    </row>
    <row r="973" spans="1:16" x14ac:dyDescent="0.25">
      <c r="A973" s="91">
        <v>1491</v>
      </c>
      <c r="B973" s="15">
        <v>2009</v>
      </c>
      <c r="C973" s="1" t="s">
        <v>120</v>
      </c>
      <c r="D973" s="1" t="s">
        <v>216</v>
      </c>
      <c r="E973" s="15" t="s">
        <v>217</v>
      </c>
      <c r="F973" s="1" t="s">
        <v>78</v>
      </c>
      <c r="G973" s="16">
        <v>-660584</v>
      </c>
      <c r="H973" s="93">
        <f>'Emission Rates Net-by-Count'!$D$7</f>
        <v>1118.7938637421748</v>
      </c>
      <c r="I973" s="16">
        <f t="shared" si="34"/>
        <v>-369528.66284313041</v>
      </c>
      <c r="M973" s="19"/>
      <c r="N973" s="19"/>
      <c r="O973" s="19"/>
      <c r="P973" s="19"/>
    </row>
    <row r="974" spans="1:16" x14ac:dyDescent="0.25">
      <c r="A974" s="91">
        <v>1492</v>
      </c>
      <c r="B974" s="15">
        <v>2009</v>
      </c>
      <c r="C974" s="1" t="s">
        <v>120</v>
      </c>
      <c r="D974" s="1" t="s">
        <v>216</v>
      </c>
      <c r="E974" s="15" t="s">
        <v>217</v>
      </c>
      <c r="F974" s="1" t="s">
        <v>79</v>
      </c>
      <c r="G974" s="16">
        <v>-558</v>
      </c>
      <c r="H974" s="93">
        <f>'Emission Rates Net-by-Count'!$D$7</f>
        <v>1118.7938637421748</v>
      </c>
      <c r="I974" s="16">
        <f t="shared" si="34"/>
        <v>-312.14348798406678</v>
      </c>
      <c r="M974" s="19"/>
      <c r="N974" s="19"/>
      <c r="O974" s="19"/>
      <c r="P974" s="19"/>
    </row>
    <row r="975" spans="1:16" x14ac:dyDescent="0.25">
      <c r="A975" s="91">
        <v>1493</v>
      </c>
      <c r="B975" s="15">
        <v>2009</v>
      </c>
      <c r="C975" s="1" t="s">
        <v>120</v>
      </c>
      <c r="D975" s="1" t="s">
        <v>216</v>
      </c>
      <c r="E975" s="15" t="s">
        <v>217</v>
      </c>
      <c r="F975" s="1" t="s">
        <v>168</v>
      </c>
      <c r="G975" s="16">
        <v>-9</v>
      </c>
      <c r="H975" s="93">
        <f>'Emission Rates Net-by-Count'!$D$7</f>
        <v>1118.7938637421748</v>
      </c>
      <c r="I975" s="16">
        <f t="shared" si="34"/>
        <v>-5.0345723868397876</v>
      </c>
      <c r="M975" s="19"/>
      <c r="N975" s="19"/>
      <c r="O975" s="19"/>
      <c r="P975" s="19"/>
    </row>
    <row r="976" spans="1:16" x14ac:dyDescent="0.25">
      <c r="A976" s="91">
        <v>1494</v>
      </c>
      <c r="B976" s="15">
        <v>2009</v>
      </c>
      <c r="C976" s="1" t="s">
        <v>120</v>
      </c>
      <c r="D976" s="1" t="s">
        <v>216</v>
      </c>
      <c r="E976" s="15" t="s">
        <v>217</v>
      </c>
      <c r="F976" s="1" t="s">
        <v>81</v>
      </c>
      <c r="G976" s="16">
        <v>-40364</v>
      </c>
      <c r="H976" s="93">
        <f>'Emission Rates Net-by-Count'!$D$7</f>
        <v>1118.7938637421748</v>
      </c>
      <c r="I976" s="16">
        <f t="shared" si="34"/>
        <v>-22579.49775804457</v>
      </c>
      <c r="M976" s="19"/>
      <c r="N976" s="19"/>
      <c r="O976" s="19"/>
      <c r="P976" s="19"/>
    </row>
    <row r="977" spans="1:16" x14ac:dyDescent="0.25">
      <c r="A977" s="91">
        <v>1495</v>
      </c>
      <c r="B977" s="15">
        <v>2009</v>
      </c>
      <c r="C977" s="1" t="s">
        <v>120</v>
      </c>
      <c r="D977" s="1" t="s">
        <v>216</v>
      </c>
      <c r="E977" s="15" t="s">
        <v>217</v>
      </c>
      <c r="F977" s="1" t="s">
        <v>82</v>
      </c>
      <c r="G977" s="16">
        <v>-22137</v>
      </c>
      <c r="H977" s="93">
        <f>'Emission Rates Net-by-Count'!$D$7</f>
        <v>1118.7938637421748</v>
      </c>
      <c r="I977" s="16">
        <f t="shared" si="34"/>
        <v>-12383.369880830262</v>
      </c>
      <c r="M977" s="19"/>
      <c r="N977" s="19"/>
      <c r="O977" s="19"/>
      <c r="P977" s="19"/>
    </row>
    <row r="978" spans="1:16" x14ac:dyDescent="0.25">
      <c r="A978" s="91">
        <v>1496</v>
      </c>
      <c r="B978" s="15">
        <v>2009</v>
      </c>
      <c r="C978" s="1" t="s">
        <v>120</v>
      </c>
      <c r="D978" s="1" t="s">
        <v>216</v>
      </c>
      <c r="E978" s="15" t="s">
        <v>217</v>
      </c>
      <c r="F978" s="1" t="s">
        <v>137</v>
      </c>
      <c r="G978" s="16">
        <v>-33200</v>
      </c>
      <c r="H978" s="93">
        <f>'Emission Rates Net-by-Count'!$D$7</f>
        <v>1118.7938637421748</v>
      </c>
      <c r="I978" s="16">
        <f t="shared" si="34"/>
        <v>-18571.978138120103</v>
      </c>
      <c r="M978" s="19"/>
      <c r="N978" s="19"/>
      <c r="O978" s="19"/>
      <c r="P978" s="19"/>
    </row>
    <row r="979" spans="1:16" x14ac:dyDescent="0.25">
      <c r="A979" s="91">
        <v>1497</v>
      </c>
      <c r="B979" s="15">
        <v>2009</v>
      </c>
      <c r="C979" s="1" t="s">
        <v>120</v>
      </c>
      <c r="D979" s="1" t="s">
        <v>216</v>
      </c>
      <c r="E979" s="15" t="s">
        <v>217</v>
      </c>
      <c r="F979" s="1" t="s">
        <v>83</v>
      </c>
      <c r="G979" s="16">
        <v>-180</v>
      </c>
      <c r="H979" s="93">
        <f>'Emission Rates Net-by-Count'!$D$7</f>
        <v>1118.7938637421748</v>
      </c>
      <c r="I979" s="16">
        <f t="shared" si="34"/>
        <v>-100.69144773679572</v>
      </c>
      <c r="M979" s="19"/>
      <c r="N979" s="19"/>
      <c r="O979" s="19"/>
      <c r="P979" s="19"/>
    </row>
    <row r="980" spans="1:16" x14ac:dyDescent="0.25">
      <c r="A980" s="91">
        <v>1498</v>
      </c>
      <c r="B980" s="15">
        <v>2009</v>
      </c>
      <c r="C980" s="1" t="s">
        <v>120</v>
      </c>
      <c r="D980" s="1" t="s">
        <v>216</v>
      </c>
      <c r="E980" s="15" t="s">
        <v>217</v>
      </c>
      <c r="F980" s="1" t="s">
        <v>84</v>
      </c>
      <c r="G980" s="16">
        <v>-15026</v>
      </c>
      <c r="H980" s="93">
        <f>'Emission Rates Net-by-Count'!$D$7</f>
        <v>1118.7938637421748</v>
      </c>
      <c r="I980" s="16">
        <f t="shared" si="34"/>
        <v>-8405.4982982949605</v>
      </c>
      <c r="M980" s="19"/>
      <c r="N980" s="19"/>
      <c r="O980" s="19"/>
      <c r="P980" s="19"/>
    </row>
    <row r="981" spans="1:16" x14ac:dyDescent="0.25">
      <c r="A981" s="91">
        <v>1499</v>
      </c>
      <c r="B981" s="15">
        <v>2009</v>
      </c>
      <c r="C981" s="1" t="s">
        <v>120</v>
      </c>
      <c r="D981" s="1" t="s">
        <v>216</v>
      </c>
      <c r="E981" s="15" t="s">
        <v>217</v>
      </c>
      <c r="F981" s="1" t="s">
        <v>149</v>
      </c>
      <c r="G981" s="16">
        <v>-141740</v>
      </c>
      <c r="H981" s="93">
        <f>'Emission Rates Net-by-Count'!$D$7</f>
        <v>1118.7938637421748</v>
      </c>
      <c r="I981" s="16">
        <f t="shared" si="34"/>
        <v>-79288.921123407927</v>
      </c>
      <c r="M981" s="19"/>
      <c r="N981" s="19"/>
      <c r="O981" s="19"/>
      <c r="P981" s="19"/>
    </row>
    <row r="982" spans="1:16" x14ac:dyDescent="0.25">
      <c r="A982" s="91">
        <v>1500</v>
      </c>
      <c r="B982" s="15">
        <v>2009</v>
      </c>
      <c r="C982" s="1" t="s">
        <v>120</v>
      </c>
      <c r="D982" s="1" t="s">
        <v>216</v>
      </c>
      <c r="E982" s="15" t="s">
        <v>217</v>
      </c>
      <c r="F982" s="1" t="s">
        <v>85</v>
      </c>
      <c r="G982" s="16">
        <v>-175631</v>
      </c>
      <c r="H982" s="93">
        <f>'Emission Rates Net-by-Count'!$D$7</f>
        <v>1118.7938637421748</v>
      </c>
      <c r="I982" s="16">
        <f t="shared" si="34"/>
        <v>-98247.442541450946</v>
      </c>
      <c r="M982" s="19"/>
      <c r="N982" s="19"/>
      <c r="O982" s="19"/>
      <c r="P982" s="19"/>
    </row>
    <row r="983" spans="1:16" x14ac:dyDescent="0.25">
      <c r="A983" s="91">
        <v>1501</v>
      </c>
      <c r="B983" s="15">
        <v>2009</v>
      </c>
      <c r="C983" s="1" t="s">
        <v>120</v>
      </c>
      <c r="D983" s="1" t="s">
        <v>216</v>
      </c>
      <c r="E983" s="15" t="s">
        <v>217</v>
      </c>
      <c r="F983" s="1" t="s">
        <v>138</v>
      </c>
      <c r="G983" s="16">
        <v>-1400</v>
      </c>
      <c r="H983" s="93">
        <f>'Emission Rates Net-by-Count'!$D$7</f>
        <v>1118.7938637421748</v>
      </c>
      <c r="I983" s="16">
        <f t="shared" si="34"/>
        <v>-783.15570461952245</v>
      </c>
      <c r="M983" s="19"/>
      <c r="N983" s="19"/>
      <c r="O983" s="19"/>
      <c r="P983" s="19"/>
    </row>
    <row r="984" spans="1:16" x14ac:dyDescent="0.25">
      <c r="A984" s="91">
        <v>1502</v>
      </c>
      <c r="B984" s="15">
        <v>2009</v>
      </c>
      <c r="C984" s="1" t="s">
        <v>120</v>
      </c>
      <c r="D984" s="1" t="s">
        <v>216</v>
      </c>
      <c r="E984" s="15" t="s">
        <v>217</v>
      </c>
      <c r="F984" s="1" t="s">
        <v>87</v>
      </c>
      <c r="G984" s="16">
        <v>-88446</v>
      </c>
      <c r="H984" s="93">
        <f>'Emission Rates Net-by-Count'!$D$7</f>
        <v>1118.7938637421748</v>
      </c>
      <c r="I984" s="16">
        <f t="shared" si="34"/>
        <v>-49476.4210362702</v>
      </c>
      <c r="M984" s="19"/>
      <c r="N984" s="19"/>
      <c r="O984" s="19"/>
      <c r="P984" s="19"/>
    </row>
    <row r="985" spans="1:16" x14ac:dyDescent="0.25">
      <c r="A985" s="91">
        <v>1503</v>
      </c>
      <c r="B985" s="15">
        <v>2009</v>
      </c>
      <c r="C985" s="1" t="s">
        <v>120</v>
      </c>
      <c r="D985" s="1" t="s">
        <v>216</v>
      </c>
      <c r="E985" s="15" t="s">
        <v>217</v>
      </c>
      <c r="F985" s="1" t="s">
        <v>88</v>
      </c>
      <c r="G985" s="16">
        <v>-547840</v>
      </c>
      <c r="H985" s="93">
        <f>'Emission Rates Net-by-Count'!$D$7</f>
        <v>1118.7938637421748</v>
      </c>
      <c r="I985" s="16">
        <f t="shared" si="34"/>
        <v>-306460.01515625656</v>
      </c>
      <c r="M985" s="19"/>
      <c r="N985" s="19"/>
      <c r="O985" s="19"/>
      <c r="P985" s="19"/>
    </row>
    <row r="986" spans="1:16" x14ac:dyDescent="0.25">
      <c r="A986" s="91">
        <v>1504</v>
      </c>
      <c r="B986" s="15">
        <v>2009</v>
      </c>
      <c r="C986" s="1" t="s">
        <v>120</v>
      </c>
      <c r="D986" s="1" t="s">
        <v>216</v>
      </c>
      <c r="E986" s="15" t="s">
        <v>217</v>
      </c>
      <c r="F986" s="1" t="s">
        <v>90</v>
      </c>
      <c r="G986" s="16">
        <v>-6800</v>
      </c>
      <c r="H986" s="93">
        <f>'Emission Rates Net-by-Count'!$D$7</f>
        <v>1118.7938637421748</v>
      </c>
      <c r="I986" s="16">
        <f t="shared" si="34"/>
        <v>-3803.8991367233943</v>
      </c>
      <c r="M986" s="19"/>
      <c r="N986" s="19"/>
      <c r="O986" s="19"/>
      <c r="P986" s="19"/>
    </row>
    <row r="987" spans="1:16" x14ac:dyDescent="0.25">
      <c r="A987" s="91">
        <v>1505</v>
      </c>
      <c r="B987" s="15">
        <v>2009</v>
      </c>
      <c r="C987" s="1" t="s">
        <v>120</v>
      </c>
      <c r="D987" s="1" t="s">
        <v>216</v>
      </c>
      <c r="E987" s="15" t="s">
        <v>217</v>
      </c>
      <c r="F987" s="1" t="s">
        <v>91</v>
      </c>
      <c r="G987" s="16">
        <v>-57994</v>
      </c>
      <c r="H987" s="93">
        <f>'Emission Rates Net-by-Count'!$D$7</f>
        <v>1118.7938637421748</v>
      </c>
      <c r="I987" s="16">
        <f t="shared" si="34"/>
        <v>-32441.665666931844</v>
      </c>
      <c r="M987" s="19"/>
      <c r="N987" s="19"/>
      <c r="O987" s="19"/>
      <c r="P987" s="19"/>
    </row>
    <row r="988" spans="1:16" x14ac:dyDescent="0.25">
      <c r="A988" s="91">
        <v>1506</v>
      </c>
      <c r="B988" s="15">
        <v>2009</v>
      </c>
      <c r="C988" s="1" t="s">
        <v>120</v>
      </c>
      <c r="D988" s="1" t="s">
        <v>216</v>
      </c>
      <c r="E988" s="15" t="s">
        <v>217</v>
      </c>
      <c r="F988" s="1" t="s">
        <v>92</v>
      </c>
      <c r="G988" s="16">
        <v>-441</v>
      </c>
      <c r="H988" s="93">
        <f>'Emission Rates Net-by-Count'!$D$7</f>
        <v>1118.7938637421748</v>
      </c>
      <c r="I988" s="16">
        <f t="shared" si="34"/>
        <v>-246.69404695514956</v>
      </c>
      <c r="M988" s="19"/>
      <c r="N988" s="19"/>
      <c r="O988" s="19"/>
      <c r="P988" s="19"/>
    </row>
    <row r="989" spans="1:16" x14ac:dyDescent="0.25">
      <c r="A989" s="91">
        <v>1507</v>
      </c>
      <c r="B989" s="15">
        <v>2009</v>
      </c>
      <c r="C989" s="1" t="s">
        <v>120</v>
      </c>
      <c r="D989" s="1" t="s">
        <v>216</v>
      </c>
      <c r="E989" s="15" t="s">
        <v>217</v>
      </c>
      <c r="F989" s="1" t="s">
        <v>93</v>
      </c>
      <c r="G989" s="16">
        <v>-11919</v>
      </c>
      <c r="H989" s="93">
        <f>'Emission Rates Net-by-Count'!$D$7</f>
        <v>1118.7938637421748</v>
      </c>
      <c r="I989" s="16">
        <f t="shared" si="34"/>
        <v>-6667.4520309714908</v>
      </c>
      <c r="M989" s="19"/>
      <c r="N989" s="19"/>
      <c r="O989" s="19"/>
      <c r="P989" s="19"/>
    </row>
    <row r="990" spans="1:16" x14ac:dyDescent="0.25">
      <c r="A990" s="91">
        <v>1508</v>
      </c>
      <c r="B990" s="15">
        <v>2009</v>
      </c>
      <c r="C990" s="1" t="s">
        <v>120</v>
      </c>
      <c r="D990" s="1" t="s">
        <v>216</v>
      </c>
      <c r="E990" s="15" t="s">
        <v>217</v>
      </c>
      <c r="F990" s="1" t="s">
        <v>94</v>
      </c>
      <c r="G990" s="16">
        <v>-1032</v>
      </c>
      <c r="H990" s="93">
        <f>'Emission Rates Net-by-Count'!$D$7</f>
        <v>1118.7938637421748</v>
      </c>
      <c r="I990" s="16">
        <f t="shared" si="34"/>
        <v>-577.29763369096224</v>
      </c>
      <c r="M990" s="19"/>
      <c r="N990" s="19"/>
      <c r="O990" s="19"/>
      <c r="P990" s="19"/>
    </row>
    <row r="991" spans="1:16" x14ac:dyDescent="0.25">
      <c r="A991" s="91">
        <v>1509</v>
      </c>
      <c r="B991" s="15">
        <v>2009</v>
      </c>
      <c r="C991" s="1" t="s">
        <v>120</v>
      </c>
      <c r="D991" s="1" t="s">
        <v>216</v>
      </c>
      <c r="E991" s="15" t="s">
        <v>217</v>
      </c>
      <c r="F991" s="1" t="s">
        <v>95</v>
      </c>
      <c r="G991" s="16">
        <v>-33841</v>
      </c>
      <c r="H991" s="93">
        <f>'Emission Rates Net-by-Count'!$D$7</f>
        <v>1118.7938637421748</v>
      </c>
      <c r="I991" s="16">
        <f t="shared" si="34"/>
        <v>-18930.551571449469</v>
      </c>
      <c r="M991" s="19"/>
      <c r="N991" s="19"/>
      <c r="O991" s="19"/>
      <c r="P991" s="19"/>
    </row>
    <row r="992" spans="1:16" x14ac:dyDescent="0.25">
      <c r="A992" s="91">
        <v>1510</v>
      </c>
      <c r="B992" s="15">
        <v>2009</v>
      </c>
      <c r="C992" s="1" t="s">
        <v>120</v>
      </c>
      <c r="D992" s="1" t="s">
        <v>216</v>
      </c>
      <c r="E992" s="15" t="s">
        <v>217</v>
      </c>
      <c r="F992" s="1" t="s">
        <v>96</v>
      </c>
      <c r="G992" s="16">
        <v>-272319</v>
      </c>
      <c r="H992" s="93">
        <f>'Emission Rates Net-by-Count'!$D$7</f>
        <v>1118.7938637421748</v>
      </c>
      <c r="I992" s="16">
        <f t="shared" ref="I992:I1005" si="35">(G992*H992)/2000</f>
        <v>-152334.41309020267</v>
      </c>
      <c r="M992" s="19"/>
      <c r="N992" s="19"/>
      <c r="O992" s="19"/>
      <c r="P992" s="19"/>
    </row>
    <row r="993" spans="1:16" x14ac:dyDescent="0.25">
      <c r="A993" s="91">
        <v>1511</v>
      </c>
      <c r="B993" s="15">
        <v>2009</v>
      </c>
      <c r="C993" s="1" t="s">
        <v>120</v>
      </c>
      <c r="D993" s="1" t="s">
        <v>216</v>
      </c>
      <c r="E993" s="15" t="s">
        <v>217</v>
      </c>
      <c r="F993" s="1" t="s">
        <v>97</v>
      </c>
      <c r="G993" s="16">
        <v>-446690</v>
      </c>
      <c r="H993" s="93">
        <f>'Emission Rates Net-by-Count'!$D$7</f>
        <v>1118.7938637421748</v>
      </c>
      <c r="I993" s="16">
        <f t="shared" si="35"/>
        <v>-249877.01549749603</v>
      </c>
      <c r="M993" s="19"/>
      <c r="N993" s="19"/>
      <c r="O993" s="19"/>
      <c r="P993" s="19"/>
    </row>
    <row r="994" spans="1:16" x14ac:dyDescent="0.25">
      <c r="A994" s="91">
        <v>1512</v>
      </c>
      <c r="B994" s="15">
        <v>2009</v>
      </c>
      <c r="C994" s="1" t="s">
        <v>120</v>
      </c>
      <c r="D994" s="1" t="s">
        <v>216</v>
      </c>
      <c r="E994" s="15" t="s">
        <v>217</v>
      </c>
      <c r="F994" s="1" t="s">
        <v>98</v>
      </c>
      <c r="G994" s="16">
        <v>-3532</v>
      </c>
      <c r="H994" s="93">
        <f>'Emission Rates Net-by-Count'!$D$7</f>
        <v>1118.7938637421748</v>
      </c>
      <c r="I994" s="16">
        <f t="shared" si="35"/>
        <v>-1975.7899633686809</v>
      </c>
      <c r="M994" s="19"/>
      <c r="N994" s="19"/>
      <c r="O994" s="19"/>
      <c r="P994" s="19"/>
    </row>
    <row r="995" spans="1:16" x14ac:dyDescent="0.25">
      <c r="A995" s="91">
        <v>1513</v>
      </c>
      <c r="B995" s="15">
        <v>2009</v>
      </c>
      <c r="C995" s="1" t="s">
        <v>120</v>
      </c>
      <c r="D995" s="1" t="s">
        <v>216</v>
      </c>
      <c r="E995" s="15" t="s">
        <v>217</v>
      </c>
      <c r="F995" s="1" t="s">
        <v>99</v>
      </c>
      <c r="G995" s="16">
        <v>-35</v>
      </c>
      <c r="H995" s="93">
        <f>'Emission Rates Net-by-Count'!$D$7</f>
        <v>1118.7938637421748</v>
      </c>
      <c r="I995" s="16">
        <f t="shared" si="35"/>
        <v>-19.578892615488062</v>
      </c>
      <c r="M995" s="19"/>
      <c r="N995" s="19"/>
      <c r="O995" s="19"/>
      <c r="P995" s="19"/>
    </row>
    <row r="996" spans="1:16" x14ac:dyDescent="0.25">
      <c r="A996" s="91">
        <v>1514</v>
      </c>
      <c r="B996" s="15">
        <v>2009</v>
      </c>
      <c r="C996" s="1" t="s">
        <v>120</v>
      </c>
      <c r="D996" s="1" t="s">
        <v>216</v>
      </c>
      <c r="E996" s="15" t="s">
        <v>217</v>
      </c>
      <c r="F996" s="1" t="s">
        <v>100</v>
      </c>
      <c r="G996" s="16">
        <v>-10967</v>
      </c>
      <c r="H996" s="93">
        <f>'Emission Rates Net-by-Count'!$D$7</f>
        <v>1118.7938637421748</v>
      </c>
      <c r="I996" s="16">
        <f t="shared" si="35"/>
        <v>-6134.906151830216</v>
      </c>
      <c r="M996" s="19"/>
      <c r="N996" s="19"/>
      <c r="O996" s="19"/>
      <c r="P996" s="19"/>
    </row>
    <row r="997" spans="1:16" x14ac:dyDescent="0.25">
      <c r="A997" s="91">
        <v>1515</v>
      </c>
      <c r="B997" s="15">
        <v>2009</v>
      </c>
      <c r="C997" s="1" t="s">
        <v>120</v>
      </c>
      <c r="D997" s="1" t="s">
        <v>216</v>
      </c>
      <c r="E997" s="15" t="s">
        <v>217</v>
      </c>
      <c r="F997" s="1" t="s">
        <v>101</v>
      </c>
      <c r="G997" s="16">
        <v>-502250</v>
      </c>
      <c r="H997" s="93">
        <f>'Emission Rates Net-by-Count'!$D$7</f>
        <v>1118.7938637421748</v>
      </c>
      <c r="I997" s="16">
        <f t="shared" si="35"/>
        <v>-280957.10903225368</v>
      </c>
      <c r="M997" s="19"/>
      <c r="N997" s="19"/>
      <c r="O997" s="19"/>
      <c r="P997" s="19"/>
    </row>
    <row r="998" spans="1:16" x14ac:dyDescent="0.25">
      <c r="A998" s="91">
        <v>1516</v>
      </c>
      <c r="B998" s="15">
        <v>2009</v>
      </c>
      <c r="C998" s="1" t="s">
        <v>120</v>
      </c>
      <c r="D998" s="1" t="s">
        <v>216</v>
      </c>
      <c r="E998" s="15" t="s">
        <v>217</v>
      </c>
      <c r="F998" s="1" t="s">
        <v>103</v>
      </c>
      <c r="G998" s="16">
        <v>-2294</v>
      </c>
      <c r="H998" s="93">
        <f>'Emission Rates Net-by-Count'!$D$7</f>
        <v>1118.7938637421748</v>
      </c>
      <c r="I998" s="16">
        <f t="shared" si="35"/>
        <v>-1283.2565617122746</v>
      </c>
      <c r="M998" s="19"/>
      <c r="N998" s="19"/>
      <c r="O998" s="19"/>
      <c r="P998" s="19"/>
    </row>
    <row r="999" spans="1:16" x14ac:dyDescent="0.25">
      <c r="A999" s="91">
        <v>1517</v>
      </c>
      <c r="B999" s="15">
        <v>2009</v>
      </c>
      <c r="C999" s="1" t="s">
        <v>120</v>
      </c>
      <c r="D999" s="1" t="s">
        <v>216</v>
      </c>
      <c r="E999" s="15" t="s">
        <v>217</v>
      </c>
      <c r="F999" s="1" t="s">
        <v>152</v>
      </c>
      <c r="G999" s="16">
        <v>-71305</v>
      </c>
      <c r="H999" s="93">
        <f>'Emission Rates Net-by-Count'!$D$7</f>
        <v>1118.7938637421748</v>
      </c>
      <c r="I999" s="16">
        <f t="shared" si="35"/>
        <v>-39887.798227067891</v>
      </c>
      <c r="M999" s="19"/>
      <c r="N999" s="19"/>
      <c r="O999" s="19"/>
      <c r="P999" s="19"/>
    </row>
    <row r="1000" spans="1:16" x14ac:dyDescent="0.25">
      <c r="A1000" s="91">
        <v>1518</v>
      </c>
      <c r="B1000" s="15">
        <v>2009</v>
      </c>
      <c r="C1000" s="1" t="s">
        <v>120</v>
      </c>
      <c r="D1000" s="1" t="s">
        <v>216</v>
      </c>
      <c r="E1000" s="15" t="s">
        <v>217</v>
      </c>
      <c r="F1000" s="1" t="s">
        <v>153</v>
      </c>
      <c r="G1000" s="16">
        <v>-14698</v>
      </c>
      <c r="H1000" s="93">
        <f>'Emission Rates Net-by-Count'!$D$7</f>
        <v>1118.7938637421748</v>
      </c>
      <c r="I1000" s="16">
        <f t="shared" si="35"/>
        <v>-8222.0161046412431</v>
      </c>
      <c r="M1000" s="19"/>
      <c r="N1000" s="19"/>
      <c r="O1000" s="19"/>
      <c r="P1000" s="19"/>
    </row>
    <row r="1001" spans="1:16" x14ac:dyDescent="0.25">
      <c r="A1001" s="91">
        <v>1519</v>
      </c>
      <c r="B1001" s="15">
        <v>2009</v>
      </c>
      <c r="C1001" s="1" t="s">
        <v>120</v>
      </c>
      <c r="D1001" s="1" t="s">
        <v>216</v>
      </c>
      <c r="E1001" s="15" t="s">
        <v>217</v>
      </c>
      <c r="F1001" s="1" t="s">
        <v>104</v>
      </c>
      <c r="G1001" s="16">
        <v>-297158</v>
      </c>
      <c r="H1001" s="93">
        <f>'Emission Rates Net-by-Count'!$D$7</f>
        <v>1118.7938637421748</v>
      </c>
      <c r="I1001" s="16">
        <f t="shared" si="35"/>
        <v>-166229.27348094858</v>
      </c>
      <c r="M1001" s="19"/>
      <c r="N1001" s="19"/>
      <c r="O1001" s="19"/>
      <c r="P1001" s="19"/>
    </row>
    <row r="1002" spans="1:16" x14ac:dyDescent="0.25">
      <c r="A1002" s="91">
        <v>1520</v>
      </c>
      <c r="B1002" s="15">
        <v>2009</v>
      </c>
      <c r="C1002" s="1" t="s">
        <v>120</v>
      </c>
      <c r="D1002" s="1" t="s">
        <v>216</v>
      </c>
      <c r="E1002" s="15" t="s">
        <v>217</v>
      </c>
      <c r="F1002" s="1" t="s">
        <v>154</v>
      </c>
      <c r="G1002" s="16">
        <v>-4687</v>
      </c>
      <c r="H1002" s="93">
        <f>'Emission Rates Net-by-Count'!$D$7</f>
        <v>1118.7938637421748</v>
      </c>
      <c r="I1002" s="16">
        <f t="shared" si="35"/>
        <v>-2621.8934196797863</v>
      </c>
      <c r="M1002" s="19"/>
      <c r="N1002" s="19"/>
      <c r="O1002" s="19"/>
      <c r="P1002" s="19"/>
    </row>
    <row r="1003" spans="1:16" x14ac:dyDescent="0.25">
      <c r="A1003" s="91">
        <v>1521</v>
      </c>
      <c r="B1003" s="15">
        <v>2009</v>
      </c>
      <c r="C1003" s="1" t="s">
        <v>120</v>
      </c>
      <c r="D1003" s="1" t="s">
        <v>216</v>
      </c>
      <c r="E1003" s="15" t="s">
        <v>217</v>
      </c>
      <c r="F1003" s="1" t="s">
        <v>167</v>
      </c>
      <c r="G1003" s="16">
        <v>-10850</v>
      </c>
      <c r="H1003" s="93">
        <f>'Emission Rates Net-by-Count'!$D$7</f>
        <v>1118.7938637421748</v>
      </c>
      <c r="I1003" s="16">
        <f t="shared" si="35"/>
        <v>-6069.4567108012989</v>
      </c>
      <c r="M1003" s="19"/>
      <c r="N1003" s="19"/>
      <c r="O1003" s="19"/>
      <c r="P1003" s="19"/>
    </row>
    <row r="1004" spans="1:16" x14ac:dyDescent="0.25">
      <c r="A1004" s="91">
        <v>1522</v>
      </c>
      <c r="B1004" s="15">
        <v>2009</v>
      </c>
      <c r="C1004" s="1" t="s">
        <v>120</v>
      </c>
      <c r="D1004" s="1" t="s">
        <v>216</v>
      </c>
      <c r="E1004" s="15" t="s">
        <v>217</v>
      </c>
      <c r="F1004" s="1" t="s">
        <v>106</v>
      </c>
      <c r="G1004" s="16">
        <v>-3013</v>
      </c>
      <c r="H1004" s="93">
        <f>'Emission Rates Net-by-Count'!$D$7</f>
        <v>1118.7938637421748</v>
      </c>
      <c r="I1004" s="16">
        <f t="shared" si="35"/>
        <v>-1685.4629557275862</v>
      </c>
      <c r="M1004" s="19"/>
      <c r="N1004" s="19"/>
      <c r="O1004" s="19"/>
      <c r="P1004" s="19"/>
    </row>
    <row r="1005" spans="1:16" x14ac:dyDescent="0.25">
      <c r="A1005" s="91">
        <v>1523</v>
      </c>
      <c r="B1005" s="15">
        <v>2009</v>
      </c>
      <c r="C1005" s="1" t="s">
        <v>120</v>
      </c>
      <c r="D1005" s="1" t="s">
        <v>216</v>
      </c>
      <c r="E1005" s="15" t="s">
        <v>217</v>
      </c>
      <c r="F1005" s="1" t="s">
        <v>108</v>
      </c>
      <c r="G1005" s="16">
        <v>-80</v>
      </c>
      <c r="H1005" s="93">
        <f>'Emission Rates Net-by-Count'!$D$7</f>
        <v>1118.7938637421748</v>
      </c>
      <c r="I1005" s="16">
        <f t="shared" si="35"/>
        <v>-44.751754549686993</v>
      </c>
      <c r="M1005" s="19"/>
      <c r="N1005" s="19"/>
      <c r="O1005" s="19"/>
      <c r="P1005" s="19"/>
    </row>
    <row r="1006" spans="1:16" x14ac:dyDescent="0.25">
      <c r="A1006" s="91">
        <v>1571</v>
      </c>
      <c r="B1006" s="15">
        <v>2010</v>
      </c>
      <c r="C1006" s="1" t="s">
        <v>0</v>
      </c>
      <c r="D1006" s="1" t="s">
        <v>215</v>
      </c>
      <c r="E1006" s="15" t="s">
        <v>125</v>
      </c>
      <c r="F1006" s="1" t="s">
        <v>1</v>
      </c>
      <c r="G1006" s="16">
        <v>88025.31</v>
      </c>
      <c r="H1006" s="92">
        <v>0</v>
      </c>
      <c r="I1006" s="92">
        <f>(H1006*G1006)/2000</f>
        <v>0</v>
      </c>
      <c r="J1006" s="92"/>
      <c r="K1006" s="17" t="s">
        <v>223</v>
      </c>
      <c r="M1006" s="19"/>
      <c r="N1006" s="19"/>
      <c r="O1006" s="19"/>
      <c r="P1006" s="19"/>
    </row>
    <row r="1007" spans="1:16" x14ac:dyDescent="0.25">
      <c r="A1007" s="91">
        <v>1572</v>
      </c>
      <c r="B1007" s="15">
        <v>2010</v>
      </c>
      <c r="C1007" s="1" t="s">
        <v>0</v>
      </c>
      <c r="D1007" s="1" t="s">
        <v>215</v>
      </c>
      <c r="E1007" s="15" t="s">
        <v>125</v>
      </c>
      <c r="F1007" s="1" t="s">
        <v>2</v>
      </c>
      <c r="G1007" s="16">
        <v>366338.20400000003</v>
      </c>
      <c r="H1007" s="92">
        <v>0</v>
      </c>
      <c r="I1007" s="92">
        <f>(H1007*G1007)/2000</f>
        <v>0</v>
      </c>
      <c r="J1007" s="92"/>
      <c r="K1007" s="17" t="s">
        <v>223</v>
      </c>
      <c r="M1007" s="19"/>
      <c r="N1007" s="19"/>
      <c r="O1007" s="19"/>
      <c r="P1007" s="19"/>
    </row>
    <row r="1008" spans="1:16" x14ac:dyDescent="0.25">
      <c r="A1008" s="91">
        <v>1573</v>
      </c>
      <c r="B1008" s="15">
        <v>2010</v>
      </c>
      <c r="C1008" s="1" t="s">
        <v>0</v>
      </c>
      <c r="D1008" s="1" t="s">
        <v>215</v>
      </c>
      <c r="E1008" s="15" t="s">
        <v>125</v>
      </c>
      <c r="F1008" s="1" t="s">
        <v>4</v>
      </c>
      <c r="G1008" s="16">
        <v>13051.4</v>
      </c>
      <c r="H1008" s="92">
        <v>0</v>
      </c>
      <c r="I1008" s="92">
        <f>(H1008*G1008)/2000</f>
        <v>0</v>
      </c>
      <c r="J1008" s="92"/>
      <c r="K1008" s="17" t="s">
        <v>223</v>
      </c>
      <c r="M1008" s="19"/>
      <c r="N1008" s="19"/>
      <c r="O1008" s="19"/>
      <c r="P1008" s="19"/>
    </row>
    <row r="1009" spans="1:17" x14ac:dyDescent="0.25">
      <c r="A1009" s="91">
        <v>1574</v>
      </c>
      <c r="B1009" s="15">
        <v>2010</v>
      </c>
      <c r="C1009" s="1" t="s">
        <v>0</v>
      </c>
      <c r="D1009" s="1" t="s">
        <v>215</v>
      </c>
      <c r="E1009" s="15" t="s">
        <v>125</v>
      </c>
      <c r="F1009" s="1" t="s">
        <v>5</v>
      </c>
      <c r="G1009" s="16">
        <v>101676.9</v>
      </c>
      <c r="H1009" s="92">
        <v>0</v>
      </c>
      <c r="I1009" s="92">
        <f>(H1009*G1009)/2000</f>
        <v>0</v>
      </c>
      <c r="J1009" s="92"/>
      <c r="K1009" s="17" t="s">
        <v>223</v>
      </c>
      <c r="M1009" s="19"/>
      <c r="N1009" s="19"/>
      <c r="O1009" s="19"/>
      <c r="P1009" s="19"/>
    </row>
    <row r="1010" spans="1:17" x14ac:dyDescent="0.25">
      <c r="A1010" s="91">
        <v>1576</v>
      </c>
      <c r="B1010" s="15">
        <v>2010</v>
      </c>
      <c r="C1010" s="1" t="s">
        <v>0</v>
      </c>
      <c r="D1010" s="1" t="s">
        <v>215</v>
      </c>
      <c r="E1010" s="15" t="s">
        <v>125</v>
      </c>
      <c r="F1010" s="1" t="s">
        <v>6</v>
      </c>
      <c r="G1010" s="16">
        <v>360504.88400000002</v>
      </c>
      <c r="H1010" s="92">
        <v>0</v>
      </c>
      <c r="I1010" s="92">
        <f>(H1010*G1010)/2000</f>
        <v>0</v>
      </c>
      <c r="J1010" s="92"/>
      <c r="K1010" s="17" t="s">
        <v>223</v>
      </c>
      <c r="M1010" s="19"/>
      <c r="N1010" s="19"/>
      <c r="O1010" s="19"/>
      <c r="P1010" s="19"/>
    </row>
    <row r="1011" spans="1:17" x14ac:dyDescent="0.25">
      <c r="A1011" s="91">
        <v>1578</v>
      </c>
      <c r="B1011" s="15">
        <v>2010</v>
      </c>
      <c r="C1011" s="1" t="s">
        <v>7</v>
      </c>
      <c r="D1011" s="1" t="s">
        <v>215</v>
      </c>
      <c r="E1011" s="15" t="s">
        <v>122</v>
      </c>
      <c r="F1011" s="1" t="s">
        <v>8</v>
      </c>
      <c r="G1011" s="16">
        <v>2293375</v>
      </c>
      <c r="H1011" s="16">
        <f t="shared" ref="H1011:H1021" si="36">(I1011*2000)/G1011</f>
        <v>2459.3791415279557</v>
      </c>
      <c r="I1011" s="16">
        <v>2820139.3193508377</v>
      </c>
      <c r="M1011" s="19"/>
      <c r="N1011" s="19"/>
      <c r="O1011" s="19"/>
      <c r="P1011" s="19"/>
      <c r="Q1011" s="15" t="s">
        <v>269</v>
      </c>
    </row>
    <row r="1012" spans="1:17" x14ac:dyDescent="0.25">
      <c r="A1012" s="91">
        <v>1579</v>
      </c>
      <c r="B1012" s="15">
        <v>2010</v>
      </c>
      <c r="C1012" s="1" t="s">
        <v>7</v>
      </c>
      <c r="D1012" s="1" t="s">
        <v>215</v>
      </c>
      <c r="E1012" s="15" t="s">
        <v>122</v>
      </c>
      <c r="F1012" s="1" t="s">
        <v>9</v>
      </c>
      <c r="G1012" s="16">
        <v>2904730</v>
      </c>
      <c r="H1012" s="16">
        <f t="shared" si="36"/>
        <v>2253.7140624002409</v>
      </c>
      <c r="I1012" s="16">
        <v>3273215.424237926</v>
      </c>
      <c r="M1012" s="19"/>
      <c r="N1012" s="19"/>
      <c r="O1012" s="19"/>
      <c r="P1012" s="19"/>
      <c r="Q1012" s="15" t="s">
        <v>269</v>
      </c>
    </row>
    <row r="1013" spans="1:17" x14ac:dyDescent="0.25">
      <c r="A1013" s="91">
        <v>1580</v>
      </c>
      <c r="B1013" s="15">
        <v>2010</v>
      </c>
      <c r="C1013" s="1" t="s">
        <v>7</v>
      </c>
      <c r="D1013" s="1" t="s">
        <v>215</v>
      </c>
      <c r="E1013" s="15" t="s">
        <v>123</v>
      </c>
      <c r="F1013" s="1" t="s">
        <v>10</v>
      </c>
      <c r="G1013" s="16">
        <v>197771.9</v>
      </c>
      <c r="H1013" s="16">
        <f t="shared" si="36"/>
        <v>1048.0399821103836</v>
      </c>
      <c r="I1013" s="16">
        <f t="shared" ref="I1013:I1021" si="37">J1013*1.102311</f>
        <v>103636.42926896828</v>
      </c>
      <c r="J1013" s="16">
        <v>94017.413660000006</v>
      </c>
      <c r="M1013" s="19"/>
      <c r="N1013" s="19"/>
      <c r="O1013" s="19"/>
      <c r="P1013" s="19"/>
      <c r="Q1013" s="15" t="s">
        <v>270</v>
      </c>
    </row>
    <row r="1014" spans="1:17" x14ac:dyDescent="0.25">
      <c r="A1014" s="91">
        <v>1581</v>
      </c>
      <c r="B1014" s="15">
        <v>2010</v>
      </c>
      <c r="C1014" s="1" t="s">
        <v>7</v>
      </c>
      <c r="D1014" s="1" t="s">
        <v>215</v>
      </c>
      <c r="E1014" s="15" t="s">
        <v>123</v>
      </c>
      <c r="F1014" s="1" t="s">
        <v>13</v>
      </c>
      <c r="G1014" s="16">
        <v>418445.701</v>
      </c>
      <c r="H1014" s="16">
        <f t="shared" si="36"/>
        <v>852.04390676417449</v>
      </c>
      <c r="I1014" s="16">
        <f t="shared" si="37"/>
        <v>178267.05492435681</v>
      </c>
      <c r="J1014" s="16">
        <v>161721.19748814701</v>
      </c>
      <c r="M1014" s="19"/>
      <c r="N1014" s="19"/>
      <c r="O1014" s="19"/>
      <c r="P1014" s="19"/>
      <c r="Q1014" s="15" t="s">
        <v>270</v>
      </c>
    </row>
    <row r="1015" spans="1:17" x14ac:dyDescent="0.25">
      <c r="A1015" s="91">
        <v>1582</v>
      </c>
      <c r="B1015" s="15">
        <v>2010</v>
      </c>
      <c r="C1015" s="1" t="s">
        <v>7</v>
      </c>
      <c r="D1015" s="1" t="s">
        <v>215</v>
      </c>
      <c r="E1015" s="15" t="s">
        <v>123</v>
      </c>
      <c r="F1015" s="1" t="s">
        <v>144</v>
      </c>
      <c r="G1015" s="16">
        <v>1541236</v>
      </c>
      <c r="H1015" s="16">
        <f t="shared" si="36"/>
        <v>802.12478285881059</v>
      </c>
      <c r="I1015" s="16">
        <f t="shared" si="37"/>
        <v>618131.79591709084</v>
      </c>
      <c r="J1015" s="94">
        <v>560759.89073599991</v>
      </c>
      <c r="M1015" s="19"/>
      <c r="N1015" s="19"/>
      <c r="O1015" s="19"/>
      <c r="P1015" s="19"/>
      <c r="Q1015" s="15" t="s">
        <v>270</v>
      </c>
    </row>
    <row r="1016" spans="1:17" x14ac:dyDescent="0.25">
      <c r="A1016" s="91">
        <v>1583</v>
      </c>
      <c r="B1016" s="15">
        <v>2010</v>
      </c>
      <c r="C1016" s="1" t="s">
        <v>7</v>
      </c>
      <c r="D1016" s="1" t="s">
        <v>215</v>
      </c>
      <c r="E1016" s="15" t="s">
        <v>123</v>
      </c>
      <c r="F1016" s="1" t="s">
        <v>156</v>
      </c>
      <c r="G1016" s="16">
        <v>1441302.4</v>
      </c>
      <c r="H1016" s="16">
        <f t="shared" si="36"/>
        <v>853.14312133657666</v>
      </c>
      <c r="I1016" s="16">
        <f t="shared" si="37"/>
        <v>614818.61416294961</v>
      </c>
      <c r="J1016" s="16">
        <v>557754.22196</v>
      </c>
      <c r="M1016" s="19"/>
      <c r="N1016" s="19"/>
      <c r="O1016" s="19"/>
      <c r="P1016" s="19"/>
      <c r="Q1016" s="15" t="s">
        <v>270</v>
      </c>
    </row>
    <row r="1017" spans="1:17" x14ac:dyDescent="0.25">
      <c r="A1017" s="91">
        <v>1584</v>
      </c>
      <c r="B1017" s="15">
        <v>2010</v>
      </c>
      <c r="C1017" s="1" t="s">
        <v>7</v>
      </c>
      <c r="D1017" s="1" t="s">
        <v>215</v>
      </c>
      <c r="E1017" s="15" t="s">
        <v>123</v>
      </c>
      <c r="F1017" s="1" t="s">
        <v>155</v>
      </c>
      <c r="G1017" s="16">
        <v>410625.5</v>
      </c>
      <c r="H1017" s="16">
        <f t="shared" si="36"/>
        <v>1003.9238425075457</v>
      </c>
      <c r="I1017" s="16">
        <f t="shared" si="37"/>
        <v>206118.36489579111</v>
      </c>
      <c r="J1017" s="16">
        <v>186987.48801</v>
      </c>
      <c r="M1017" s="19"/>
      <c r="N1017" s="19"/>
      <c r="O1017" s="19"/>
      <c r="P1017" s="19"/>
      <c r="Q1017" s="15" t="s">
        <v>270</v>
      </c>
    </row>
    <row r="1018" spans="1:17" x14ac:dyDescent="0.25">
      <c r="A1018" s="91">
        <v>1587</v>
      </c>
      <c r="B1018" s="15">
        <v>2010</v>
      </c>
      <c r="C1018" s="1" t="s">
        <v>11</v>
      </c>
      <c r="D1018" s="1" t="s">
        <v>215</v>
      </c>
      <c r="E1018" s="15" t="s">
        <v>124</v>
      </c>
      <c r="F1018" s="1" t="s">
        <v>12</v>
      </c>
      <c r="G1018" s="16">
        <v>113.77</v>
      </c>
      <c r="H1018" s="16">
        <f t="shared" si="36"/>
        <v>2093.3542823985194</v>
      </c>
      <c r="I1018" s="16">
        <f t="shared" si="37"/>
        <v>119.08045835423978</v>
      </c>
      <c r="J1018" s="16">
        <v>108.02800512218401</v>
      </c>
      <c r="M1018" s="19"/>
      <c r="N1018" s="19"/>
      <c r="O1018" s="19"/>
      <c r="P1018" s="19"/>
      <c r="Q1018" s="15" t="s">
        <v>270</v>
      </c>
    </row>
    <row r="1019" spans="1:17" x14ac:dyDescent="0.25">
      <c r="A1019" s="91">
        <v>1590</v>
      </c>
      <c r="B1019" s="15">
        <v>2010</v>
      </c>
      <c r="C1019" s="1" t="s">
        <v>11</v>
      </c>
      <c r="D1019" s="1" t="s">
        <v>215</v>
      </c>
      <c r="E1019" s="15" t="s">
        <v>123</v>
      </c>
      <c r="F1019" s="1" t="s">
        <v>14</v>
      </c>
      <c r="G1019" s="16">
        <v>11884.6</v>
      </c>
      <c r="H1019" s="16">
        <f t="shared" si="36"/>
        <v>1778.949592432009</v>
      </c>
      <c r="I1019" s="16">
        <f t="shared" si="37"/>
        <v>10571.052163108727</v>
      </c>
      <c r="J1019" s="16">
        <v>9589.8999130995944</v>
      </c>
      <c r="M1019" s="19"/>
      <c r="N1019" s="19"/>
      <c r="O1019" s="19"/>
      <c r="P1019" s="19"/>
      <c r="Q1019" s="15" t="s">
        <v>270</v>
      </c>
    </row>
    <row r="1020" spans="1:17" x14ac:dyDescent="0.25">
      <c r="A1020" s="91">
        <v>1591</v>
      </c>
      <c r="B1020" s="15">
        <v>2010</v>
      </c>
      <c r="C1020" s="1" t="s">
        <v>11</v>
      </c>
      <c r="D1020" s="1" t="s">
        <v>215</v>
      </c>
      <c r="E1020" s="15" t="s">
        <v>123</v>
      </c>
      <c r="F1020" s="1" t="s">
        <v>15</v>
      </c>
      <c r="G1020" s="16">
        <v>62288.3</v>
      </c>
      <c r="H1020" s="16">
        <f t="shared" si="36"/>
        <v>1250.8379732879328</v>
      </c>
      <c r="I1020" s="16">
        <f t="shared" si="37"/>
        <v>38956.285465775371</v>
      </c>
      <c r="J1020" s="16">
        <v>35340.557670000002</v>
      </c>
      <c r="M1020" s="19"/>
      <c r="N1020" s="19"/>
      <c r="O1020" s="19"/>
      <c r="P1020" s="19"/>
      <c r="Q1020" s="15" t="s">
        <v>270</v>
      </c>
    </row>
    <row r="1021" spans="1:17" x14ac:dyDescent="0.25">
      <c r="A1021" s="91">
        <v>1592</v>
      </c>
      <c r="B1021" s="15">
        <v>2010</v>
      </c>
      <c r="C1021" s="1" t="s">
        <v>11</v>
      </c>
      <c r="D1021" s="1" t="s">
        <v>215</v>
      </c>
      <c r="E1021" s="15" t="s">
        <v>123</v>
      </c>
      <c r="F1021" s="1" t="s">
        <v>16</v>
      </c>
      <c r="G1021" s="16">
        <v>10272.1</v>
      </c>
      <c r="H1021" s="16">
        <f t="shared" si="36"/>
        <v>2012.6363069602537</v>
      </c>
      <c r="I1021" s="16">
        <f t="shared" si="37"/>
        <v>10337.000704363212</v>
      </c>
      <c r="J1021" s="16">
        <v>9377.5719414604519</v>
      </c>
      <c r="M1021" s="19"/>
      <c r="N1021" s="19"/>
      <c r="O1021" s="19"/>
      <c r="P1021" s="19"/>
      <c r="Q1021" s="15" t="s">
        <v>270</v>
      </c>
    </row>
    <row r="1022" spans="1:17" x14ac:dyDescent="0.25">
      <c r="A1022" s="91">
        <v>1594</v>
      </c>
      <c r="B1022" s="15">
        <v>2010</v>
      </c>
      <c r="C1022" s="1" t="s">
        <v>11</v>
      </c>
      <c r="D1022" s="1" t="s">
        <v>215</v>
      </c>
      <c r="E1022" s="15" t="s">
        <v>125</v>
      </c>
      <c r="F1022" s="1" t="s">
        <v>17</v>
      </c>
      <c r="G1022" s="16">
        <v>381270.98800000001</v>
      </c>
      <c r="H1022" s="92">
        <v>0</v>
      </c>
      <c r="I1022" s="92">
        <f>(H1022*G1022)/2000</f>
        <v>0</v>
      </c>
      <c r="J1022" s="92"/>
      <c r="K1022" s="17" t="s">
        <v>229</v>
      </c>
      <c r="M1022" s="19"/>
      <c r="N1022" s="19"/>
      <c r="O1022" s="19"/>
      <c r="P1022" s="19"/>
    </row>
    <row r="1023" spans="1:17" x14ac:dyDescent="0.25">
      <c r="A1023" s="91">
        <v>1599</v>
      </c>
      <c r="B1023" s="15">
        <v>2010</v>
      </c>
      <c r="C1023" s="1" t="s">
        <v>11</v>
      </c>
      <c r="D1023" s="1" t="s">
        <v>215</v>
      </c>
      <c r="E1023" s="15" t="s">
        <v>123</v>
      </c>
      <c r="F1023" s="1" t="s">
        <v>18</v>
      </c>
      <c r="G1023" s="16">
        <v>8366.7000000000007</v>
      </c>
      <c r="H1023" s="16">
        <f>(I1023*2000)/G1023</f>
        <v>1870.3544180877277</v>
      </c>
      <c r="I1023" s="16">
        <f>J1023*1.102311</f>
        <v>7824.3471549072965</v>
      </c>
      <c r="J1023" s="16">
        <v>7098.1303415345546</v>
      </c>
      <c r="M1023" s="19"/>
      <c r="N1023" s="19"/>
      <c r="O1023" s="19"/>
      <c r="P1023" s="19"/>
      <c r="Q1023" s="15" t="s">
        <v>270</v>
      </c>
    </row>
    <row r="1024" spans="1:17" x14ac:dyDescent="0.25">
      <c r="A1024" s="91">
        <v>1600</v>
      </c>
      <c r="B1024" s="15">
        <v>2010</v>
      </c>
      <c r="C1024" s="1" t="s">
        <v>11</v>
      </c>
      <c r="D1024" s="1" t="s">
        <v>215</v>
      </c>
      <c r="E1024" s="15" t="s">
        <v>125</v>
      </c>
      <c r="F1024" s="1" t="s">
        <v>126</v>
      </c>
      <c r="G1024" s="16">
        <v>609654.95499999996</v>
      </c>
      <c r="H1024" s="92">
        <v>0</v>
      </c>
      <c r="I1024" s="92">
        <f>(H1024*G1024)/2000</f>
        <v>0</v>
      </c>
      <c r="J1024" s="92"/>
      <c r="K1024" s="17" t="s">
        <v>229</v>
      </c>
      <c r="M1024" s="19"/>
      <c r="N1024" s="19"/>
      <c r="O1024" s="19"/>
      <c r="P1024" s="19"/>
    </row>
    <row r="1025" spans="1:17" x14ac:dyDescent="0.25">
      <c r="A1025" s="91">
        <v>1602</v>
      </c>
      <c r="B1025" s="15">
        <v>2010</v>
      </c>
      <c r="C1025" s="1" t="s">
        <v>19</v>
      </c>
      <c r="D1025" s="1" t="s">
        <v>219</v>
      </c>
      <c r="E1025" s="15" t="s">
        <v>217</v>
      </c>
      <c r="F1025" s="1" t="s">
        <v>20</v>
      </c>
      <c r="G1025" s="16">
        <v>20921</v>
      </c>
      <c r="H1025" s="93">
        <f>'Emission Rates Net-by-Count'!$D$8</f>
        <v>1191.716320391361</v>
      </c>
      <c r="I1025" s="16">
        <f>(G1025*H1025)/2000</f>
        <v>12465.948569453833</v>
      </c>
      <c r="M1025" s="19"/>
      <c r="N1025" s="19"/>
      <c r="O1025" s="19"/>
      <c r="P1025" s="19"/>
    </row>
    <row r="1026" spans="1:17" x14ac:dyDescent="0.25">
      <c r="A1026" s="91">
        <v>1603</v>
      </c>
      <c r="B1026" s="15">
        <v>2010</v>
      </c>
      <c r="C1026" s="1" t="s">
        <v>19</v>
      </c>
      <c r="D1026" s="1" t="s">
        <v>219</v>
      </c>
      <c r="E1026" s="15" t="s">
        <v>230</v>
      </c>
      <c r="F1026" s="1" t="s">
        <v>51</v>
      </c>
      <c r="G1026" s="16">
        <v>-753803</v>
      </c>
      <c r="H1026" s="92">
        <v>0</v>
      </c>
      <c r="I1026" s="92">
        <f>(H1026*G1026)/2000</f>
        <v>0</v>
      </c>
      <c r="J1026" s="92"/>
      <c r="K1026" s="17" t="s">
        <v>231</v>
      </c>
      <c r="M1026" s="19"/>
      <c r="N1026" s="19"/>
      <c r="O1026" s="19"/>
      <c r="P1026" s="19"/>
    </row>
    <row r="1027" spans="1:17" x14ac:dyDescent="0.25">
      <c r="A1027" s="91">
        <v>1604</v>
      </c>
      <c r="B1027" s="15">
        <v>2010</v>
      </c>
      <c r="C1027" s="1" t="s">
        <v>19</v>
      </c>
      <c r="D1027" s="1" t="s">
        <v>219</v>
      </c>
      <c r="E1027" s="15" t="s">
        <v>125</v>
      </c>
      <c r="F1027" s="1" t="s">
        <v>21</v>
      </c>
      <c r="G1027" s="16">
        <v>7000</v>
      </c>
      <c r="H1027" s="92">
        <v>0</v>
      </c>
      <c r="I1027" s="92">
        <f>(H1027*G1027)/2000</f>
        <v>0</v>
      </c>
      <c r="J1027" s="92"/>
      <c r="K1027" s="17" t="s">
        <v>235</v>
      </c>
      <c r="M1027" s="19"/>
      <c r="N1027" s="19"/>
      <c r="O1027" s="19"/>
      <c r="P1027" s="19"/>
    </row>
    <row r="1028" spans="1:17" x14ac:dyDescent="0.25">
      <c r="A1028" s="91">
        <v>1605</v>
      </c>
      <c r="B1028" s="15">
        <v>2010</v>
      </c>
      <c r="C1028" s="1" t="s">
        <v>19</v>
      </c>
      <c r="D1028" s="1" t="s">
        <v>219</v>
      </c>
      <c r="E1028" s="15" t="s">
        <v>217</v>
      </c>
      <c r="F1028" s="1" t="s">
        <v>22</v>
      </c>
      <c r="G1028" s="16">
        <v>406710</v>
      </c>
      <c r="H1028" s="93">
        <f>'Emission Rates Net-by-Count'!$D$8</f>
        <v>1191.716320391361</v>
      </c>
      <c r="I1028" s="16">
        <f>(G1028*H1028)/2000</f>
        <v>242341.47233318523</v>
      </c>
      <c r="J1028" s="92"/>
      <c r="K1028" s="17" t="s">
        <v>236</v>
      </c>
      <c r="M1028" s="19"/>
      <c r="N1028" s="19"/>
      <c r="O1028" s="19"/>
      <c r="P1028" s="19"/>
    </row>
    <row r="1029" spans="1:17" x14ac:dyDescent="0.25">
      <c r="A1029" s="91">
        <v>1607</v>
      </c>
      <c r="B1029" s="15">
        <v>2010</v>
      </c>
      <c r="C1029" s="1" t="s">
        <v>19</v>
      </c>
      <c r="D1029" s="1" t="s">
        <v>219</v>
      </c>
      <c r="E1029" s="15" t="s">
        <v>125</v>
      </c>
      <c r="F1029" s="1" t="s">
        <v>23</v>
      </c>
      <c r="G1029" s="16">
        <v>1213235</v>
      </c>
      <c r="H1029" s="92">
        <v>0</v>
      </c>
      <c r="I1029" s="92">
        <f>(H1029*G1029)/2000</f>
        <v>0</v>
      </c>
      <c r="J1029" s="92"/>
      <c r="K1029" s="17" t="s">
        <v>223</v>
      </c>
      <c r="M1029" s="19"/>
      <c r="N1029" s="19"/>
      <c r="O1029" s="19"/>
      <c r="P1029" s="19"/>
    </row>
    <row r="1030" spans="1:17" x14ac:dyDescent="0.25">
      <c r="A1030" s="91">
        <v>1608</v>
      </c>
      <c r="B1030" s="15">
        <v>2010</v>
      </c>
      <c r="C1030" s="1" t="s">
        <v>19</v>
      </c>
      <c r="D1030" s="1" t="s">
        <v>219</v>
      </c>
      <c r="E1030" s="15" t="s">
        <v>125</v>
      </c>
      <c r="F1030" s="1" t="s">
        <v>24</v>
      </c>
      <c r="G1030" s="16">
        <v>1914094</v>
      </c>
      <c r="H1030" s="92">
        <v>0</v>
      </c>
      <c r="I1030" s="92">
        <f>(H1030*G1030)/2000</f>
        <v>0</v>
      </c>
      <c r="J1030" s="92"/>
      <c r="K1030" s="17" t="s">
        <v>223</v>
      </c>
      <c r="M1030" s="19"/>
      <c r="N1030" s="19"/>
      <c r="O1030" s="19"/>
      <c r="P1030" s="19"/>
    </row>
    <row r="1031" spans="1:17" x14ac:dyDescent="0.25">
      <c r="A1031" s="91">
        <v>1609</v>
      </c>
      <c r="B1031" s="15">
        <v>2010</v>
      </c>
      <c r="C1031" s="1" t="s">
        <v>19</v>
      </c>
      <c r="D1031" s="1" t="s">
        <v>219</v>
      </c>
      <c r="E1031" s="15" t="s">
        <v>217</v>
      </c>
      <c r="F1031" s="1" t="s">
        <v>147</v>
      </c>
      <c r="G1031" s="16">
        <v>107950</v>
      </c>
      <c r="H1031" s="93">
        <f>'Emission Rates Net-by-Count'!$D$8</f>
        <v>1191.716320391361</v>
      </c>
      <c r="I1031" s="16">
        <f>(G1031*H1031)/2000</f>
        <v>64322.888393123707</v>
      </c>
      <c r="M1031" s="19"/>
      <c r="N1031" s="19"/>
      <c r="O1031" s="19"/>
      <c r="P1031" s="19"/>
    </row>
    <row r="1032" spans="1:17" x14ac:dyDescent="0.25">
      <c r="A1032" s="91">
        <v>1610</v>
      </c>
      <c r="B1032" s="15">
        <v>2010</v>
      </c>
      <c r="C1032" s="1" t="s">
        <v>19</v>
      </c>
      <c r="D1032" s="1" t="s">
        <v>219</v>
      </c>
      <c r="E1032" s="15" t="s">
        <v>125</v>
      </c>
      <c r="F1032" s="1" t="s">
        <v>25</v>
      </c>
      <c r="G1032" s="16">
        <v>871104</v>
      </c>
      <c r="H1032" s="92">
        <v>0</v>
      </c>
      <c r="I1032" s="92">
        <f>(H1032*G1032)/2000</f>
        <v>0</v>
      </c>
      <c r="J1032" s="92"/>
      <c r="K1032" s="17" t="s">
        <v>223</v>
      </c>
      <c r="M1032" s="19"/>
      <c r="N1032" s="19"/>
      <c r="O1032" s="19"/>
      <c r="P1032" s="19"/>
    </row>
    <row r="1033" spans="1:17" x14ac:dyDescent="0.25">
      <c r="A1033" s="91">
        <v>1611</v>
      </c>
      <c r="B1033" s="15">
        <v>2010</v>
      </c>
      <c r="C1033" s="1" t="s">
        <v>19</v>
      </c>
      <c r="D1033" s="1" t="s">
        <v>219</v>
      </c>
      <c r="E1033" s="15" t="s">
        <v>125</v>
      </c>
      <c r="F1033" s="1" t="s">
        <v>169</v>
      </c>
      <c r="G1033" s="16">
        <v>204.023</v>
      </c>
      <c r="H1033" s="92">
        <v>0</v>
      </c>
      <c r="I1033" s="92">
        <f>(H1033*G1033)/2000</f>
        <v>0</v>
      </c>
      <c r="J1033" s="92"/>
      <c r="K1033" s="17" t="s">
        <v>232</v>
      </c>
      <c r="M1033" s="19"/>
      <c r="N1033" s="19"/>
      <c r="O1033" s="19"/>
      <c r="P1033" s="19"/>
    </row>
    <row r="1034" spans="1:17" x14ac:dyDescent="0.25">
      <c r="A1034" s="91">
        <v>1612</v>
      </c>
      <c r="B1034" s="15">
        <v>2010</v>
      </c>
      <c r="C1034" s="1" t="s">
        <v>19</v>
      </c>
      <c r="D1034" s="1" t="s">
        <v>219</v>
      </c>
      <c r="E1034" s="15" t="s">
        <v>125</v>
      </c>
      <c r="F1034" s="1" t="s">
        <v>161</v>
      </c>
      <c r="G1034" s="16">
        <v>4873.87</v>
      </c>
      <c r="H1034" s="92">
        <v>0</v>
      </c>
      <c r="I1034" s="92">
        <f>(H1034*G1034)/2000</f>
        <v>0</v>
      </c>
      <c r="J1034" s="92"/>
      <c r="K1034" s="17" t="s">
        <v>232</v>
      </c>
      <c r="M1034" s="19"/>
      <c r="N1034" s="19"/>
      <c r="O1034" s="19"/>
      <c r="P1034" s="19"/>
    </row>
    <row r="1035" spans="1:17" x14ac:dyDescent="0.25">
      <c r="A1035" s="91">
        <v>1614</v>
      </c>
      <c r="B1035" s="15">
        <v>2010</v>
      </c>
      <c r="C1035" s="1" t="s">
        <v>19</v>
      </c>
      <c r="D1035" s="1" t="s">
        <v>219</v>
      </c>
      <c r="E1035" s="15" t="s">
        <v>125</v>
      </c>
      <c r="F1035" s="1" t="s">
        <v>162</v>
      </c>
      <c r="G1035" s="16">
        <v>331731</v>
      </c>
      <c r="H1035" s="92">
        <v>0</v>
      </c>
      <c r="I1035" s="92">
        <f>(H1035*G1035)/2000</f>
        <v>0</v>
      </c>
      <c r="J1035" s="92"/>
      <c r="K1035" s="17" t="s">
        <v>223</v>
      </c>
      <c r="M1035" s="19"/>
      <c r="N1035" s="19"/>
      <c r="O1035" s="19"/>
      <c r="P1035" s="19"/>
    </row>
    <row r="1036" spans="1:17" x14ac:dyDescent="0.25">
      <c r="A1036" s="91">
        <v>1616</v>
      </c>
      <c r="B1036" s="15">
        <v>2010</v>
      </c>
      <c r="C1036" s="1" t="s">
        <v>19</v>
      </c>
      <c r="D1036" s="1" t="s">
        <v>219</v>
      </c>
      <c r="E1036" s="15" t="s">
        <v>125</v>
      </c>
      <c r="F1036" s="1" t="s">
        <v>145</v>
      </c>
      <c r="G1036" s="16">
        <v>120632</v>
      </c>
      <c r="H1036" s="92">
        <v>0</v>
      </c>
      <c r="I1036" s="92">
        <f>(H1036*G1036)/2000</f>
        <v>0</v>
      </c>
      <c r="J1036" s="92"/>
      <c r="K1036" s="17" t="s">
        <v>229</v>
      </c>
      <c r="M1036" s="19"/>
      <c r="N1036" s="19"/>
      <c r="O1036" s="19"/>
      <c r="P1036" s="19"/>
    </row>
    <row r="1037" spans="1:17" x14ac:dyDescent="0.25">
      <c r="A1037" s="91">
        <v>1617</v>
      </c>
      <c r="B1037" s="15">
        <v>2010</v>
      </c>
      <c r="C1037" s="1" t="s">
        <v>19</v>
      </c>
      <c r="D1037" s="1" t="s">
        <v>219</v>
      </c>
      <c r="E1037" s="15" t="s">
        <v>122</v>
      </c>
      <c r="F1037" s="1" t="s">
        <v>28</v>
      </c>
      <c r="G1037" s="16">
        <v>788313</v>
      </c>
      <c r="H1037" s="92">
        <v>2156.77257820159</v>
      </c>
      <c r="I1037" s="92">
        <f>(G1037*H1037)/2000</f>
        <v>850105.93071991508</v>
      </c>
      <c r="J1037" s="92"/>
      <c r="K1037" s="17" t="s">
        <v>233</v>
      </c>
      <c r="M1037" s="19"/>
      <c r="N1037" s="19"/>
      <c r="O1037" s="19"/>
      <c r="P1037" s="19"/>
      <c r="Q1037" s="15" t="s">
        <v>268</v>
      </c>
    </row>
    <row r="1038" spans="1:17" x14ac:dyDescent="0.25">
      <c r="A1038" s="91">
        <v>1618</v>
      </c>
      <c r="B1038" s="15">
        <v>2010</v>
      </c>
      <c r="C1038" s="1" t="s">
        <v>19</v>
      </c>
      <c r="D1038" s="1" t="s">
        <v>219</v>
      </c>
      <c r="E1038" s="15" t="s">
        <v>217</v>
      </c>
      <c r="F1038" s="1" t="s">
        <v>88</v>
      </c>
      <c r="G1038" s="16">
        <v>179999</v>
      </c>
      <c r="H1038" s="93">
        <f>'Emission Rates Net-by-Count'!$D$8</f>
        <v>1191.716320391361</v>
      </c>
      <c r="I1038" s="16">
        <f>(G1038*H1038)/2000</f>
        <v>107253.8729770623</v>
      </c>
      <c r="M1038" s="19"/>
      <c r="N1038" s="19"/>
      <c r="O1038" s="19"/>
      <c r="P1038" s="19"/>
    </row>
    <row r="1039" spans="1:17" x14ac:dyDescent="0.25">
      <c r="A1039" s="91">
        <v>1619</v>
      </c>
      <c r="B1039" s="15">
        <v>2010</v>
      </c>
      <c r="C1039" s="1" t="s">
        <v>19</v>
      </c>
      <c r="D1039" s="1" t="s">
        <v>219</v>
      </c>
      <c r="E1039" s="15" t="s">
        <v>125</v>
      </c>
      <c r="F1039" s="1" t="s">
        <v>163</v>
      </c>
      <c r="G1039" s="16">
        <v>3520</v>
      </c>
      <c r="H1039" s="92">
        <v>0</v>
      </c>
      <c r="I1039" s="92">
        <f>(H1039*G1039)/2000</f>
        <v>0</v>
      </c>
      <c r="J1039" s="92"/>
      <c r="K1039" s="17" t="s">
        <v>232</v>
      </c>
      <c r="M1039" s="19"/>
      <c r="N1039" s="19"/>
      <c r="O1039" s="19"/>
      <c r="P1039" s="19"/>
    </row>
    <row r="1040" spans="1:17" x14ac:dyDescent="0.25">
      <c r="A1040" s="91">
        <v>1620</v>
      </c>
      <c r="B1040" s="15">
        <v>2010</v>
      </c>
      <c r="C1040" s="1" t="s">
        <v>19</v>
      </c>
      <c r="D1040" s="1" t="s">
        <v>219</v>
      </c>
      <c r="E1040" s="15" t="s">
        <v>217</v>
      </c>
      <c r="F1040" s="1" t="s">
        <v>96</v>
      </c>
      <c r="G1040" s="16">
        <v>547795</v>
      </c>
      <c r="H1040" s="93">
        <f>'Emission Rates Net-by-Count'!$D$8</f>
        <v>1191.716320391361</v>
      </c>
      <c r="I1040" s="16">
        <f>(G1040*H1040)/2000</f>
        <v>326408.12086439284</v>
      </c>
      <c r="M1040" s="19"/>
      <c r="N1040" s="19"/>
      <c r="O1040" s="19"/>
      <c r="P1040" s="19"/>
    </row>
    <row r="1041" spans="1:17" x14ac:dyDescent="0.25">
      <c r="A1041" s="91">
        <v>1621</v>
      </c>
      <c r="B1041" s="15">
        <v>2010</v>
      </c>
      <c r="C1041" s="1" t="s">
        <v>19</v>
      </c>
      <c r="D1041" s="1" t="s">
        <v>219</v>
      </c>
      <c r="E1041" s="15" t="s">
        <v>217</v>
      </c>
      <c r="F1041" s="1" t="s">
        <v>97</v>
      </c>
      <c r="G1041" s="16">
        <v>330050</v>
      </c>
      <c r="H1041" s="93">
        <f>'Emission Rates Net-by-Count'!$D$8</f>
        <v>1191.716320391361</v>
      </c>
      <c r="I1041" s="16">
        <f>(G1041*H1041)/2000</f>
        <v>196662.98577258436</v>
      </c>
      <c r="M1041" s="19"/>
      <c r="N1041" s="19"/>
      <c r="O1041" s="19"/>
      <c r="P1041" s="19"/>
    </row>
    <row r="1042" spans="1:17" x14ac:dyDescent="0.25">
      <c r="A1042" s="91">
        <v>1622</v>
      </c>
      <c r="B1042" s="15">
        <v>2010</v>
      </c>
      <c r="C1042" s="1" t="s">
        <v>19</v>
      </c>
      <c r="D1042" s="1" t="s">
        <v>219</v>
      </c>
      <c r="E1042" s="15" t="s">
        <v>217</v>
      </c>
      <c r="F1042" s="1" t="s">
        <v>29</v>
      </c>
      <c r="G1042" s="16">
        <v>14464</v>
      </c>
      <c r="H1042" s="93">
        <f>'Emission Rates Net-by-Count'!$D$8</f>
        <v>1191.716320391361</v>
      </c>
      <c r="I1042" s="16">
        <f>(G1042*H1042)/2000</f>
        <v>8618.4924290703239</v>
      </c>
      <c r="M1042" s="19"/>
      <c r="N1042" s="19"/>
      <c r="O1042" s="19"/>
      <c r="P1042" s="19"/>
    </row>
    <row r="1043" spans="1:17" x14ac:dyDescent="0.25">
      <c r="A1043" s="91">
        <v>1623</v>
      </c>
      <c r="B1043" s="15">
        <v>2010</v>
      </c>
      <c r="C1043" s="1" t="s">
        <v>19</v>
      </c>
      <c r="D1043" s="1" t="s">
        <v>219</v>
      </c>
      <c r="E1043" s="15" t="s">
        <v>125</v>
      </c>
      <c r="F1043" s="1" t="s">
        <v>30</v>
      </c>
      <c r="G1043" s="16">
        <v>2551.8000000000002</v>
      </c>
      <c r="H1043" s="92">
        <v>0</v>
      </c>
      <c r="I1043" s="92">
        <f>(H1043*G1043)/2000</f>
        <v>0</v>
      </c>
      <c r="J1043" s="92"/>
      <c r="K1043" s="17" t="s">
        <v>232</v>
      </c>
      <c r="M1043" s="19"/>
      <c r="N1043" s="19"/>
      <c r="O1043" s="19"/>
      <c r="P1043" s="19"/>
    </row>
    <row r="1044" spans="1:17" x14ac:dyDescent="0.25">
      <c r="A1044" s="91">
        <v>1624</v>
      </c>
      <c r="B1044" s="15">
        <v>2010</v>
      </c>
      <c r="C1044" s="1" t="s">
        <v>19</v>
      </c>
      <c r="D1044" s="1" t="s">
        <v>219</v>
      </c>
      <c r="E1044" s="15" t="s">
        <v>125</v>
      </c>
      <c r="F1044" s="1" t="s">
        <v>31</v>
      </c>
      <c r="G1044" s="16">
        <v>40782</v>
      </c>
      <c r="H1044" s="92">
        <v>0</v>
      </c>
      <c r="I1044" s="92">
        <f>(H1044*G1044)/2000</f>
        <v>0</v>
      </c>
      <c r="J1044" s="92"/>
      <c r="K1044" s="17" t="s">
        <v>223</v>
      </c>
      <c r="M1044" s="19"/>
      <c r="N1044" s="19"/>
      <c r="O1044" s="19"/>
      <c r="P1044" s="19"/>
    </row>
    <row r="1045" spans="1:17" x14ac:dyDescent="0.25">
      <c r="A1045" s="91">
        <v>1626</v>
      </c>
      <c r="B1045" s="15">
        <v>2010</v>
      </c>
      <c r="C1045" s="1" t="s">
        <v>32</v>
      </c>
      <c r="D1045" s="1" t="s">
        <v>219</v>
      </c>
      <c r="E1045" s="15" t="s">
        <v>125</v>
      </c>
      <c r="F1045" s="1" t="s">
        <v>33</v>
      </c>
      <c r="G1045" s="16">
        <v>1106.72</v>
      </c>
      <c r="H1045" s="92">
        <v>0</v>
      </c>
      <c r="I1045" s="92">
        <f>(H1045*G1045)/2000</f>
        <v>0</v>
      </c>
      <c r="J1045" s="92"/>
      <c r="K1045" s="17" t="s">
        <v>223</v>
      </c>
      <c r="M1045" s="19"/>
      <c r="N1045" s="19"/>
      <c r="O1045" s="19"/>
      <c r="P1045" s="19"/>
    </row>
    <row r="1046" spans="1:17" x14ac:dyDescent="0.25">
      <c r="A1046" s="91">
        <v>1627</v>
      </c>
      <c r="B1046" s="15">
        <v>2010</v>
      </c>
      <c r="C1046" s="1" t="s">
        <v>32</v>
      </c>
      <c r="D1046" s="1" t="s">
        <v>219</v>
      </c>
      <c r="E1046" s="15" t="s">
        <v>125</v>
      </c>
      <c r="F1046" s="1" t="s">
        <v>34</v>
      </c>
      <c r="G1046" s="16">
        <v>42708.480000000003</v>
      </c>
      <c r="H1046" s="92">
        <v>0</v>
      </c>
      <c r="I1046" s="92">
        <f>(H1046*G1046)/2000</f>
        <v>0</v>
      </c>
      <c r="J1046" s="92"/>
      <c r="K1046" s="17" t="s">
        <v>223</v>
      </c>
      <c r="M1046" s="19"/>
      <c r="N1046" s="19"/>
      <c r="O1046" s="19"/>
      <c r="P1046" s="19"/>
    </row>
    <row r="1047" spans="1:17" x14ac:dyDescent="0.25">
      <c r="A1047" s="91">
        <v>1629</v>
      </c>
      <c r="B1047" s="15">
        <v>2010</v>
      </c>
      <c r="C1047" s="1" t="s">
        <v>32</v>
      </c>
      <c r="D1047" s="1" t="s">
        <v>219</v>
      </c>
      <c r="E1047" s="15" t="s">
        <v>123</v>
      </c>
      <c r="F1047" s="1" t="s">
        <v>254</v>
      </c>
      <c r="G1047" s="16">
        <v>1081243.416</v>
      </c>
      <c r="H1047" s="92">
        <f>P1047</f>
        <v>712.53279701083932</v>
      </c>
      <c r="I1047" s="92">
        <f>(+G1047*H1047)/2000</f>
        <v>385210.69772601721</v>
      </c>
      <c r="J1047" s="92"/>
      <c r="K1047" s="17" t="s">
        <v>224</v>
      </c>
      <c r="L1047" s="18">
        <v>5.8439999999999999E-2</v>
      </c>
      <c r="M1047" s="19">
        <v>6591538</v>
      </c>
      <c r="N1047" s="19">
        <f>(M1047*L1047)</f>
        <v>385209.48071999999</v>
      </c>
      <c r="O1047" s="19">
        <v>1081240</v>
      </c>
      <c r="P1047" s="19">
        <f>(N1047*2000)/O1047</f>
        <v>712.53279701083932</v>
      </c>
      <c r="Q1047" s="15" t="s">
        <v>255</v>
      </c>
    </row>
    <row r="1048" spans="1:17" x14ac:dyDescent="0.25">
      <c r="A1048" s="91">
        <v>1630</v>
      </c>
      <c r="B1048" s="15">
        <v>2010</v>
      </c>
      <c r="C1048" s="1" t="s">
        <v>32</v>
      </c>
      <c r="D1048" s="1" t="s">
        <v>219</v>
      </c>
      <c r="E1048" s="15" t="s">
        <v>125</v>
      </c>
      <c r="F1048" s="1" t="s">
        <v>35</v>
      </c>
      <c r="G1048" s="16">
        <v>25921.554</v>
      </c>
      <c r="H1048" s="92">
        <v>0</v>
      </c>
      <c r="I1048" s="92">
        <f>(H1048*G1048)/2000</f>
        <v>0</v>
      </c>
      <c r="J1048" s="92"/>
      <c r="K1048" s="17" t="s">
        <v>223</v>
      </c>
      <c r="M1048" s="19"/>
      <c r="N1048" s="19"/>
      <c r="O1048" s="19"/>
      <c r="P1048" s="19"/>
    </row>
    <row r="1049" spans="1:17" x14ac:dyDescent="0.25">
      <c r="A1049" s="91">
        <v>1631</v>
      </c>
      <c r="B1049" s="15">
        <v>2010</v>
      </c>
      <c r="C1049" s="1" t="s">
        <v>32</v>
      </c>
      <c r="D1049" s="1" t="s">
        <v>219</v>
      </c>
      <c r="E1049" s="15" t="s">
        <v>225</v>
      </c>
      <c r="F1049" s="1" t="s">
        <v>36</v>
      </c>
      <c r="G1049" s="16">
        <v>2886.24</v>
      </c>
      <c r="H1049" s="92">
        <f>P1049</f>
        <v>1034.1967526732399</v>
      </c>
      <c r="I1049" s="92">
        <f>(+G1049*H1049)/2000</f>
        <v>1492.4700177178058</v>
      </c>
      <c r="J1049" s="92"/>
      <c r="K1049" s="17" t="s">
        <v>225</v>
      </c>
      <c r="L1049" s="18">
        <v>0.10448</v>
      </c>
      <c r="M1049" s="19">
        <v>178198</v>
      </c>
      <c r="N1049" s="19">
        <f>(M1049*L1049)</f>
        <v>18618.127039999999</v>
      </c>
      <c r="O1049" s="19">
        <v>36005</v>
      </c>
      <c r="P1049" s="19">
        <f>(N1049*2000)/O1049</f>
        <v>1034.1967526732399</v>
      </c>
      <c r="Q1049" s="15" t="s">
        <v>255</v>
      </c>
    </row>
    <row r="1050" spans="1:17" x14ac:dyDescent="0.25">
      <c r="A1050" s="91">
        <v>1632</v>
      </c>
      <c r="B1050" s="15">
        <v>2010</v>
      </c>
      <c r="C1050" s="1" t="s">
        <v>32</v>
      </c>
      <c r="D1050" s="1" t="s">
        <v>219</v>
      </c>
      <c r="E1050" s="15" t="s">
        <v>227</v>
      </c>
      <c r="F1050" s="1" t="s">
        <v>38</v>
      </c>
      <c r="G1050" s="16">
        <v>141480</v>
      </c>
      <c r="H1050" s="92">
        <f>P1050</f>
        <v>4609.1077496501721</v>
      </c>
      <c r="I1050" s="92">
        <f>(+G1050*H1050)/2000</f>
        <v>326048.28221025318</v>
      </c>
      <c r="J1050" s="92"/>
      <c r="K1050" s="17" t="s">
        <v>228</v>
      </c>
      <c r="L1050" s="18">
        <v>0.11289</v>
      </c>
      <c r="M1050" s="19">
        <v>2888562</v>
      </c>
      <c r="N1050" s="19">
        <f>(M1050*L1050)</f>
        <v>326089.76418</v>
      </c>
      <c r="O1050" s="19">
        <v>141498</v>
      </c>
      <c r="P1050" s="19">
        <f>(N1050*2000)/O1050</f>
        <v>4609.1077496501721</v>
      </c>
      <c r="Q1050" s="15" t="s">
        <v>255</v>
      </c>
    </row>
    <row r="1051" spans="1:17" x14ac:dyDescent="0.25">
      <c r="A1051" s="91">
        <v>1633</v>
      </c>
      <c r="B1051" s="15">
        <v>2010</v>
      </c>
      <c r="C1051" s="1" t="s">
        <v>32</v>
      </c>
      <c r="D1051" s="1" t="s">
        <v>219</v>
      </c>
      <c r="E1051" s="15" t="s">
        <v>125</v>
      </c>
      <c r="F1051" s="1" t="s">
        <v>40</v>
      </c>
      <c r="G1051" s="16">
        <v>1227.8399999999999</v>
      </c>
      <c r="H1051" s="92">
        <v>0</v>
      </c>
      <c r="I1051" s="92">
        <f>(H1051*G1051)/2000</f>
        <v>0</v>
      </c>
      <c r="J1051" s="92"/>
      <c r="K1051" s="17" t="s">
        <v>223</v>
      </c>
      <c r="M1051" s="19"/>
      <c r="N1051" s="19"/>
      <c r="O1051" s="19"/>
      <c r="P1051" s="19"/>
    </row>
    <row r="1052" spans="1:17" x14ac:dyDescent="0.25">
      <c r="A1052" s="91">
        <v>1634</v>
      </c>
      <c r="B1052" s="15">
        <v>2010</v>
      </c>
      <c r="C1052" s="1" t="s">
        <v>32</v>
      </c>
      <c r="D1052" s="1" t="s">
        <v>219</v>
      </c>
      <c r="E1052" s="15" t="s">
        <v>123</v>
      </c>
      <c r="F1052" s="1" t="s">
        <v>41</v>
      </c>
      <c r="G1052" s="16">
        <v>652723.43999999994</v>
      </c>
      <c r="H1052" s="92">
        <f>P1052</f>
        <v>885.49571382392162</v>
      </c>
      <c r="I1052" s="92">
        <f>(+G1052*H1052)/2000</f>
        <v>288991.90421620279</v>
      </c>
      <c r="J1052" s="92"/>
      <c r="K1052" s="17" t="s">
        <v>224</v>
      </c>
      <c r="L1052" s="18">
        <v>5.8439999999999999E-2</v>
      </c>
      <c r="M1052" s="19">
        <v>4992073</v>
      </c>
      <c r="N1052" s="19">
        <f>(M1052*L1052)</f>
        <v>291736.74611999997</v>
      </c>
      <c r="O1052" s="19">
        <v>658923</v>
      </c>
      <c r="P1052" s="19">
        <f>(N1052*2000)/O1052</f>
        <v>885.49571382392162</v>
      </c>
      <c r="Q1052" s="15" t="s">
        <v>255</v>
      </c>
    </row>
    <row r="1053" spans="1:17" x14ac:dyDescent="0.25">
      <c r="A1053" s="91">
        <v>1635</v>
      </c>
      <c r="B1053" s="15">
        <v>2010</v>
      </c>
      <c r="C1053" s="1" t="s">
        <v>32</v>
      </c>
      <c r="D1053" s="1" t="s">
        <v>219</v>
      </c>
      <c r="E1053" s="15" t="s">
        <v>125</v>
      </c>
      <c r="F1053" s="1" t="s">
        <v>42</v>
      </c>
      <c r="G1053" s="16">
        <v>73497.600000000006</v>
      </c>
      <c r="H1053" s="92">
        <v>0</v>
      </c>
      <c r="I1053" s="92">
        <f>(H1053*G1053)/2000</f>
        <v>0</v>
      </c>
      <c r="J1053" s="92"/>
      <c r="K1053" s="17" t="s">
        <v>223</v>
      </c>
      <c r="M1053" s="19"/>
      <c r="N1053" s="19"/>
      <c r="O1053" s="19"/>
      <c r="P1053" s="19"/>
    </row>
    <row r="1054" spans="1:17" x14ac:dyDescent="0.25">
      <c r="A1054" s="91">
        <v>1636</v>
      </c>
      <c r="B1054" s="15">
        <v>2010</v>
      </c>
      <c r="C1054" s="1" t="s">
        <v>32</v>
      </c>
      <c r="D1054" s="1" t="s">
        <v>219</v>
      </c>
      <c r="E1054" s="15" t="s">
        <v>125</v>
      </c>
      <c r="F1054" s="1" t="s">
        <v>43</v>
      </c>
      <c r="G1054" s="16">
        <v>13234.2</v>
      </c>
      <c r="H1054" s="92">
        <v>0</v>
      </c>
      <c r="I1054" s="92">
        <f>(H1054*G1054)/2000</f>
        <v>0</v>
      </c>
      <c r="J1054" s="92"/>
      <c r="K1054" s="17" t="s">
        <v>223</v>
      </c>
      <c r="M1054" s="19"/>
      <c r="N1054" s="19"/>
      <c r="O1054" s="19"/>
      <c r="P1054" s="19"/>
    </row>
    <row r="1055" spans="1:17" x14ac:dyDescent="0.25">
      <c r="A1055" s="91">
        <v>1638</v>
      </c>
      <c r="B1055" s="15">
        <v>2010</v>
      </c>
      <c r="C1055" s="1" t="s">
        <v>44</v>
      </c>
      <c r="D1055" s="1" t="s">
        <v>216</v>
      </c>
      <c r="E1055" s="15" t="s">
        <v>217</v>
      </c>
      <c r="F1055" s="1" t="s">
        <v>47</v>
      </c>
      <c r="G1055" s="16">
        <v>165694.6</v>
      </c>
      <c r="H1055" s="93">
        <f>'Emission Rates Net-by-Count'!$D$8</f>
        <v>1191.716320391361</v>
      </c>
      <c r="I1055" s="16">
        <f t="shared" ref="I1055:I1086" si="38">(G1055*H1055)/2000</f>
        <v>98730.479510359219</v>
      </c>
      <c r="M1055" s="19"/>
      <c r="N1055" s="19"/>
      <c r="O1055" s="19"/>
      <c r="P1055" s="19"/>
    </row>
    <row r="1056" spans="1:17" x14ac:dyDescent="0.25">
      <c r="A1056" s="91">
        <v>1640</v>
      </c>
      <c r="B1056" s="15">
        <v>2010</v>
      </c>
      <c r="C1056" s="1" t="s">
        <v>44</v>
      </c>
      <c r="D1056" s="1" t="s">
        <v>216</v>
      </c>
      <c r="E1056" s="15" t="s">
        <v>217</v>
      </c>
      <c r="F1056" s="1" t="s">
        <v>127</v>
      </c>
      <c r="G1056" s="16">
        <v>138700</v>
      </c>
      <c r="H1056" s="93">
        <f>'Emission Rates Net-by-Count'!$D$8</f>
        <v>1191.716320391361</v>
      </c>
      <c r="I1056" s="16">
        <f t="shared" si="38"/>
        <v>82645.526819140883</v>
      </c>
      <c r="M1056" s="19"/>
      <c r="N1056" s="19"/>
      <c r="O1056" s="19"/>
      <c r="P1056" s="19"/>
    </row>
    <row r="1057" spans="1:16" x14ac:dyDescent="0.25">
      <c r="A1057" s="91">
        <v>1641</v>
      </c>
      <c r="B1057" s="15">
        <v>2010</v>
      </c>
      <c r="C1057" s="1" t="s">
        <v>44</v>
      </c>
      <c r="D1057" s="1" t="s">
        <v>216</v>
      </c>
      <c r="E1057" s="15" t="s">
        <v>217</v>
      </c>
      <c r="F1057" s="1" t="s">
        <v>50</v>
      </c>
      <c r="G1057" s="16">
        <v>1224</v>
      </c>
      <c r="H1057" s="93">
        <f>'Emission Rates Net-by-Count'!$D$8</f>
        <v>1191.716320391361</v>
      </c>
      <c r="I1057" s="16">
        <f t="shared" si="38"/>
        <v>729.330388079513</v>
      </c>
      <c r="M1057" s="19"/>
      <c r="N1057" s="19"/>
      <c r="O1057" s="19"/>
      <c r="P1057" s="19"/>
    </row>
    <row r="1058" spans="1:16" x14ac:dyDescent="0.25">
      <c r="A1058" s="91">
        <v>1642</v>
      </c>
      <c r="B1058" s="15">
        <v>2010</v>
      </c>
      <c r="C1058" s="1" t="s">
        <v>44</v>
      </c>
      <c r="D1058" s="1" t="s">
        <v>216</v>
      </c>
      <c r="E1058" s="15" t="s">
        <v>217</v>
      </c>
      <c r="F1058" s="1" t="s">
        <v>170</v>
      </c>
      <c r="G1058" s="16">
        <v>15600</v>
      </c>
      <c r="H1058" s="93">
        <f>'Emission Rates Net-by-Count'!$D$8</f>
        <v>1191.716320391361</v>
      </c>
      <c r="I1058" s="16">
        <f t="shared" si="38"/>
        <v>9295.3872990526161</v>
      </c>
      <c r="M1058" s="19"/>
      <c r="N1058" s="19"/>
      <c r="O1058" s="19"/>
      <c r="P1058" s="19"/>
    </row>
    <row r="1059" spans="1:16" x14ac:dyDescent="0.25">
      <c r="A1059" s="91">
        <v>1643</v>
      </c>
      <c r="B1059" s="15">
        <v>2010</v>
      </c>
      <c r="C1059" s="1" t="s">
        <v>44</v>
      </c>
      <c r="D1059" s="1" t="s">
        <v>216</v>
      </c>
      <c r="E1059" s="15" t="s">
        <v>217</v>
      </c>
      <c r="F1059" s="1" t="s">
        <v>51</v>
      </c>
      <c r="G1059" s="16">
        <v>-3094185</v>
      </c>
      <c r="H1059" s="93">
        <f>'Emission Rates Net-by-Count'!$D$8</f>
        <v>1191.716320391361</v>
      </c>
      <c r="I1059" s="16">
        <f t="shared" si="38"/>
        <v>-1843695.3814050718</v>
      </c>
      <c r="M1059" s="19"/>
      <c r="N1059" s="19"/>
      <c r="O1059" s="19"/>
      <c r="P1059" s="19"/>
    </row>
    <row r="1060" spans="1:16" x14ac:dyDescent="0.25">
      <c r="A1060" s="91">
        <v>1644</v>
      </c>
      <c r="B1060" s="15">
        <v>2010</v>
      </c>
      <c r="C1060" s="1" t="s">
        <v>44</v>
      </c>
      <c r="D1060" s="1" t="s">
        <v>216</v>
      </c>
      <c r="E1060" s="15" t="s">
        <v>217</v>
      </c>
      <c r="F1060" s="1" t="s">
        <v>52</v>
      </c>
      <c r="G1060" s="16">
        <v>78616</v>
      </c>
      <c r="H1060" s="93">
        <f>'Emission Rates Net-by-Count'!$D$8</f>
        <v>1191.716320391361</v>
      </c>
      <c r="I1060" s="16">
        <f t="shared" si="38"/>
        <v>46843.985121943624</v>
      </c>
      <c r="M1060" s="19"/>
      <c r="N1060" s="19"/>
      <c r="O1060" s="19"/>
      <c r="P1060" s="19"/>
    </row>
    <row r="1061" spans="1:16" x14ac:dyDescent="0.25">
      <c r="A1061" s="91">
        <v>1645</v>
      </c>
      <c r="B1061" s="15">
        <v>2010</v>
      </c>
      <c r="C1061" s="1" t="s">
        <v>44</v>
      </c>
      <c r="D1061" s="1" t="s">
        <v>216</v>
      </c>
      <c r="E1061" s="15" t="s">
        <v>217</v>
      </c>
      <c r="F1061" s="1" t="s">
        <v>21</v>
      </c>
      <c r="G1061" s="16">
        <v>206160</v>
      </c>
      <c r="H1061" s="93">
        <f>'Emission Rates Net-by-Count'!$D$8</f>
        <v>1191.716320391361</v>
      </c>
      <c r="I1061" s="16">
        <f t="shared" si="38"/>
        <v>122842.11830594149</v>
      </c>
      <c r="M1061" s="19"/>
      <c r="N1061" s="19"/>
      <c r="O1061" s="19"/>
      <c r="P1061" s="19"/>
    </row>
    <row r="1062" spans="1:16" x14ac:dyDescent="0.25">
      <c r="A1062" s="91">
        <v>1648</v>
      </c>
      <c r="B1062" s="15">
        <v>2010</v>
      </c>
      <c r="C1062" s="1" t="s">
        <v>44</v>
      </c>
      <c r="D1062" s="1" t="s">
        <v>216</v>
      </c>
      <c r="E1062" s="15" t="s">
        <v>217</v>
      </c>
      <c r="F1062" s="1" t="s">
        <v>53</v>
      </c>
      <c r="G1062" s="16">
        <v>59686</v>
      </c>
      <c r="H1062" s="93">
        <f>'Emission Rates Net-by-Count'!$D$8</f>
        <v>1191.716320391361</v>
      </c>
      <c r="I1062" s="16">
        <f t="shared" si="38"/>
        <v>35564.390149439387</v>
      </c>
      <c r="M1062" s="19"/>
      <c r="N1062" s="19"/>
      <c r="O1062" s="19"/>
      <c r="P1062" s="19"/>
    </row>
    <row r="1063" spans="1:16" x14ac:dyDescent="0.25">
      <c r="A1063" s="91">
        <v>1649</v>
      </c>
      <c r="B1063" s="15">
        <v>2010</v>
      </c>
      <c r="C1063" s="1" t="s">
        <v>44</v>
      </c>
      <c r="D1063" s="1" t="s">
        <v>216</v>
      </c>
      <c r="E1063" s="15" t="s">
        <v>217</v>
      </c>
      <c r="F1063" s="1" t="s">
        <v>56</v>
      </c>
      <c r="G1063" s="16">
        <v>183821</v>
      </c>
      <c r="H1063" s="93">
        <f>'Emission Rates Net-by-Count'!$D$8</f>
        <v>1191.716320391361</v>
      </c>
      <c r="I1063" s="16">
        <f t="shared" si="38"/>
        <v>109531.24286533019</v>
      </c>
      <c r="M1063" s="19"/>
      <c r="N1063" s="19"/>
      <c r="O1063" s="19"/>
      <c r="P1063" s="19"/>
    </row>
    <row r="1064" spans="1:16" x14ac:dyDescent="0.25">
      <c r="A1064" s="91">
        <v>1650</v>
      </c>
      <c r="B1064" s="15">
        <v>2010</v>
      </c>
      <c r="C1064" s="1" t="s">
        <v>44</v>
      </c>
      <c r="D1064" s="1" t="s">
        <v>216</v>
      </c>
      <c r="E1064" s="15" t="s">
        <v>217</v>
      </c>
      <c r="F1064" s="1" t="s">
        <v>57</v>
      </c>
      <c r="G1064" s="16">
        <v>15633</v>
      </c>
      <c r="H1064" s="93">
        <f>'Emission Rates Net-by-Count'!$D$8</f>
        <v>1191.716320391361</v>
      </c>
      <c r="I1064" s="16">
        <f t="shared" si="38"/>
        <v>9315.0506183390735</v>
      </c>
      <c r="M1064" s="19"/>
      <c r="N1064" s="19"/>
      <c r="O1064" s="19"/>
      <c r="P1064" s="19"/>
    </row>
    <row r="1065" spans="1:16" x14ac:dyDescent="0.25">
      <c r="A1065" s="91">
        <v>1652</v>
      </c>
      <c r="B1065" s="15">
        <v>2010</v>
      </c>
      <c r="C1065" s="1" t="s">
        <v>44</v>
      </c>
      <c r="D1065" s="1" t="s">
        <v>216</v>
      </c>
      <c r="E1065" s="15" t="s">
        <v>217</v>
      </c>
      <c r="F1065" s="1" t="s">
        <v>58</v>
      </c>
      <c r="G1065" s="16">
        <v>775756</v>
      </c>
      <c r="H1065" s="93">
        <f>'Emission Rates Net-by-Count'!$D$8</f>
        <v>1191.716320391361</v>
      </c>
      <c r="I1065" s="16">
        <f t="shared" si="38"/>
        <v>462240.54292076034</v>
      </c>
      <c r="M1065" s="19"/>
      <c r="N1065" s="19"/>
      <c r="O1065" s="19"/>
      <c r="P1065" s="19"/>
    </row>
    <row r="1066" spans="1:16" x14ac:dyDescent="0.25">
      <c r="A1066" s="91">
        <v>1653</v>
      </c>
      <c r="B1066" s="15">
        <v>2010</v>
      </c>
      <c r="C1066" s="1" t="s">
        <v>44</v>
      </c>
      <c r="D1066" s="1" t="s">
        <v>216</v>
      </c>
      <c r="E1066" s="15" t="s">
        <v>217</v>
      </c>
      <c r="F1066" s="1" t="s">
        <v>59</v>
      </c>
      <c r="G1066" s="16">
        <v>25594</v>
      </c>
      <c r="H1066" s="93">
        <f>'Emission Rates Net-by-Count'!$D$8</f>
        <v>1191.716320391361</v>
      </c>
      <c r="I1066" s="16">
        <f t="shared" si="38"/>
        <v>15250.393752048247</v>
      </c>
      <c r="M1066" s="19"/>
      <c r="N1066" s="19"/>
      <c r="O1066" s="19"/>
      <c r="P1066" s="19"/>
    </row>
    <row r="1067" spans="1:16" x14ac:dyDescent="0.25">
      <c r="A1067" s="91">
        <v>1654</v>
      </c>
      <c r="B1067" s="15">
        <v>2010</v>
      </c>
      <c r="C1067" s="1" t="s">
        <v>44</v>
      </c>
      <c r="D1067" s="1" t="s">
        <v>216</v>
      </c>
      <c r="E1067" s="15" t="s">
        <v>217</v>
      </c>
      <c r="F1067" s="1" t="s">
        <v>60</v>
      </c>
      <c r="G1067" s="16">
        <v>82208</v>
      </c>
      <c r="H1067" s="93">
        <f>'Emission Rates Net-by-Count'!$D$8</f>
        <v>1191.716320391361</v>
      </c>
      <c r="I1067" s="16">
        <f t="shared" si="38"/>
        <v>48984.307633366501</v>
      </c>
      <c r="M1067" s="19"/>
      <c r="N1067" s="19"/>
      <c r="O1067" s="19"/>
      <c r="P1067" s="19"/>
    </row>
    <row r="1068" spans="1:16" x14ac:dyDescent="0.25">
      <c r="A1068" s="91">
        <v>1656</v>
      </c>
      <c r="B1068" s="15">
        <v>2010</v>
      </c>
      <c r="C1068" s="1" t="s">
        <v>44</v>
      </c>
      <c r="D1068" s="1" t="s">
        <v>216</v>
      </c>
      <c r="E1068" s="15" t="s">
        <v>217</v>
      </c>
      <c r="F1068" s="1" t="s">
        <v>61</v>
      </c>
      <c r="G1068" s="16">
        <v>95234</v>
      </c>
      <c r="H1068" s="93">
        <f>'Emission Rates Net-by-Count'!$D$8</f>
        <v>1191.716320391361</v>
      </c>
      <c r="I1068" s="16">
        <f t="shared" si="38"/>
        <v>56745.956028075438</v>
      </c>
      <c r="M1068" s="19"/>
      <c r="N1068" s="19"/>
      <c r="O1068" s="19"/>
      <c r="P1068" s="19"/>
    </row>
    <row r="1069" spans="1:16" x14ac:dyDescent="0.25">
      <c r="A1069" s="91">
        <v>1657</v>
      </c>
      <c r="B1069" s="15">
        <v>2010</v>
      </c>
      <c r="C1069" s="1" t="s">
        <v>44</v>
      </c>
      <c r="D1069" s="1" t="s">
        <v>216</v>
      </c>
      <c r="E1069" s="15" t="s">
        <v>217</v>
      </c>
      <c r="F1069" s="1" t="s">
        <v>146</v>
      </c>
      <c r="G1069" s="16">
        <v>10876</v>
      </c>
      <c r="H1069" s="93">
        <f>'Emission Rates Net-by-Count'!$D$8</f>
        <v>1191.716320391361</v>
      </c>
      <c r="I1069" s="16">
        <f t="shared" si="38"/>
        <v>6480.5533502882217</v>
      </c>
      <c r="M1069" s="19"/>
      <c r="N1069" s="19"/>
      <c r="O1069" s="19"/>
      <c r="P1069" s="19"/>
    </row>
    <row r="1070" spans="1:16" x14ac:dyDescent="0.25">
      <c r="A1070" s="91">
        <v>1658</v>
      </c>
      <c r="B1070" s="15">
        <v>2010</v>
      </c>
      <c r="C1070" s="1" t="s">
        <v>44</v>
      </c>
      <c r="D1070" s="1" t="s">
        <v>216</v>
      </c>
      <c r="E1070" s="15" t="s">
        <v>217</v>
      </c>
      <c r="F1070" s="1" t="s">
        <v>131</v>
      </c>
      <c r="G1070" s="16">
        <v>117600</v>
      </c>
      <c r="H1070" s="93">
        <f>'Emission Rates Net-by-Count'!$D$8</f>
        <v>1191.716320391361</v>
      </c>
      <c r="I1070" s="16">
        <f t="shared" si="38"/>
        <v>70072.91963901202</v>
      </c>
      <c r="M1070" s="19"/>
      <c r="N1070" s="19"/>
      <c r="O1070" s="19"/>
      <c r="P1070" s="19"/>
    </row>
    <row r="1071" spans="1:16" x14ac:dyDescent="0.25">
      <c r="A1071" s="91">
        <v>1660</v>
      </c>
      <c r="B1071" s="15">
        <v>2010</v>
      </c>
      <c r="C1071" s="1" t="s">
        <v>44</v>
      </c>
      <c r="D1071" s="1" t="s">
        <v>216</v>
      </c>
      <c r="E1071" s="15" t="s">
        <v>217</v>
      </c>
      <c r="F1071" s="1" t="s">
        <v>62</v>
      </c>
      <c r="G1071" s="16">
        <v>184451</v>
      </c>
      <c r="H1071" s="93">
        <f>'Emission Rates Net-by-Count'!$D$8</f>
        <v>1191.716320391361</v>
      </c>
      <c r="I1071" s="16">
        <f t="shared" si="38"/>
        <v>109906.63350625346</v>
      </c>
      <c r="M1071" s="19"/>
      <c r="N1071" s="19"/>
      <c r="O1071" s="19"/>
      <c r="P1071" s="19"/>
    </row>
    <row r="1072" spans="1:16" x14ac:dyDescent="0.25">
      <c r="A1072" s="91">
        <v>1661</v>
      </c>
      <c r="B1072" s="15">
        <v>2010</v>
      </c>
      <c r="C1072" s="1" t="s">
        <v>44</v>
      </c>
      <c r="D1072" s="1" t="s">
        <v>216</v>
      </c>
      <c r="E1072" s="15" t="s">
        <v>217</v>
      </c>
      <c r="F1072" s="1" t="s">
        <v>164</v>
      </c>
      <c r="G1072" s="16">
        <v>31</v>
      </c>
      <c r="H1072" s="93">
        <f>'Emission Rates Net-by-Count'!$D$8</f>
        <v>1191.716320391361</v>
      </c>
      <c r="I1072" s="16">
        <f t="shared" si="38"/>
        <v>18.471602966066097</v>
      </c>
      <c r="M1072" s="19"/>
      <c r="N1072" s="19"/>
      <c r="O1072" s="19"/>
      <c r="P1072" s="19"/>
    </row>
    <row r="1073" spans="1:16" x14ac:dyDescent="0.25">
      <c r="A1073" s="91">
        <v>1662</v>
      </c>
      <c r="B1073" s="15">
        <v>2010</v>
      </c>
      <c r="C1073" s="1" t="s">
        <v>44</v>
      </c>
      <c r="D1073" s="1" t="s">
        <v>216</v>
      </c>
      <c r="E1073" s="15" t="s">
        <v>217</v>
      </c>
      <c r="F1073" s="1" t="s">
        <v>165</v>
      </c>
      <c r="G1073" s="16">
        <v>320131</v>
      </c>
      <c r="H1073" s="93">
        <f>'Emission Rates Net-by-Count'!$D$8</f>
        <v>1191.716320391361</v>
      </c>
      <c r="I1073" s="16">
        <f t="shared" si="38"/>
        <v>190752.66868160339</v>
      </c>
      <c r="M1073" s="19"/>
      <c r="N1073" s="19"/>
      <c r="O1073" s="19"/>
      <c r="P1073" s="19"/>
    </row>
    <row r="1074" spans="1:16" x14ac:dyDescent="0.25">
      <c r="A1074" s="91">
        <v>1663</v>
      </c>
      <c r="B1074" s="15">
        <v>2010</v>
      </c>
      <c r="C1074" s="1" t="s">
        <v>44</v>
      </c>
      <c r="D1074" s="1" t="s">
        <v>216</v>
      </c>
      <c r="E1074" s="15" t="s">
        <v>217</v>
      </c>
      <c r="F1074" s="1" t="s">
        <v>166</v>
      </c>
      <c r="G1074" s="16">
        <v>17600</v>
      </c>
      <c r="H1074" s="93">
        <f>'Emission Rates Net-by-Count'!$D$8</f>
        <v>1191.716320391361</v>
      </c>
      <c r="I1074" s="16">
        <f t="shared" si="38"/>
        <v>10487.103619443977</v>
      </c>
      <c r="M1074" s="19"/>
      <c r="N1074" s="19"/>
      <c r="O1074" s="19"/>
      <c r="P1074" s="19"/>
    </row>
    <row r="1075" spans="1:16" x14ac:dyDescent="0.25">
      <c r="A1075" s="91">
        <v>1664</v>
      </c>
      <c r="B1075" s="15">
        <v>2010</v>
      </c>
      <c r="C1075" s="1" t="s">
        <v>44</v>
      </c>
      <c r="D1075" s="1" t="s">
        <v>216</v>
      </c>
      <c r="E1075" s="15" t="s">
        <v>217</v>
      </c>
      <c r="F1075" s="1" t="s">
        <v>63</v>
      </c>
      <c r="G1075" s="16">
        <v>430</v>
      </c>
      <c r="H1075" s="93">
        <f>'Emission Rates Net-by-Count'!$D$8</f>
        <v>1191.716320391361</v>
      </c>
      <c r="I1075" s="16">
        <f t="shared" si="38"/>
        <v>256.21900888414262</v>
      </c>
      <c r="M1075" s="19"/>
      <c r="N1075" s="19"/>
      <c r="O1075" s="19"/>
      <c r="P1075" s="19"/>
    </row>
    <row r="1076" spans="1:16" x14ac:dyDescent="0.25">
      <c r="A1076" s="91">
        <v>1665</v>
      </c>
      <c r="B1076" s="15">
        <v>2010</v>
      </c>
      <c r="C1076" s="1" t="s">
        <v>44</v>
      </c>
      <c r="D1076" s="1" t="s">
        <v>216</v>
      </c>
      <c r="E1076" s="15" t="s">
        <v>217</v>
      </c>
      <c r="F1076" s="1" t="s">
        <v>65</v>
      </c>
      <c r="G1076" s="16">
        <v>63929</v>
      </c>
      <c r="H1076" s="93">
        <f>'Emission Rates Net-by-Count'!$D$8</f>
        <v>1191.716320391361</v>
      </c>
      <c r="I1076" s="16">
        <f t="shared" si="38"/>
        <v>38092.616323149661</v>
      </c>
      <c r="M1076" s="19"/>
      <c r="N1076" s="19"/>
      <c r="O1076" s="19"/>
      <c r="P1076" s="19"/>
    </row>
    <row r="1077" spans="1:16" x14ac:dyDescent="0.25">
      <c r="A1077" s="91">
        <v>1666</v>
      </c>
      <c r="B1077" s="15">
        <v>2010</v>
      </c>
      <c r="C1077" s="1" t="s">
        <v>44</v>
      </c>
      <c r="D1077" s="1" t="s">
        <v>216</v>
      </c>
      <c r="E1077" s="15" t="s">
        <v>217</v>
      </c>
      <c r="F1077" s="1" t="s">
        <v>132</v>
      </c>
      <c r="G1077" s="16">
        <v>4000</v>
      </c>
      <c r="H1077" s="93">
        <f>'Emission Rates Net-by-Count'!$D$8</f>
        <v>1191.716320391361</v>
      </c>
      <c r="I1077" s="16">
        <f t="shared" si="38"/>
        <v>2383.432640782722</v>
      </c>
      <c r="M1077" s="19"/>
      <c r="N1077" s="19"/>
      <c r="O1077" s="19"/>
      <c r="P1077" s="19"/>
    </row>
    <row r="1078" spans="1:16" x14ac:dyDescent="0.25">
      <c r="A1078" s="91">
        <v>1667</v>
      </c>
      <c r="B1078" s="15">
        <v>2010</v>
      </c>
      <c r="C1078" s="1" t="s">
        <v>44</v>
      </c>
      <c r="D1078" s="1" t="s">
        <v>216</v>
      </c>
      <c r="E1078" s="15" t="s">
        <v>217</v>
      </c>
      <c r="F1078" s="1" t="s">
        <v>67</v>
      </c>
      <c r="G1078" s="16">
        <v>20495</v>
      </c>
      <c r="H1078" s="93">
        <f>'Emission Rates Net-by-Count'!$D$8</f>
        <v>1191.716320391361</v>
      </c>
      <c r="I1078" s="16">
        <f t="shared" si="38"/>
        <v>12212.112993210472</v>
      </c>
      <c r="M1078" s="19"/>
      <c r="N1078" s="19"/>
      <c r="O1078" s="19"/>
      <c r="P1078" s="19"/>
    </row>
    <row r="1079" spans="1:16" x14ac:dyDescent="0.25">
      <c r="A1079" s="91">
        <v>1668</v>
      </c>
      <c r="B1079" s="15">
        <v>2010</v>
      </c>
      <c r="C1079" s="1" t="s">
        <v>44</v>
      </c>
      <c r="D1079" s="1" t="s">
        <v>216</v>
      </c>
      <c r="E1079" s="15" t="s">
        <v>217</v>
      </c>
      <c r="F1079" s="1" t="s">
        <v>69</v>
      </c>
      <c r="G1079" s="16">
        <v>682132</v>
      </c>
      <c r="H1079" s="93">
        <f>'Emission Rates Net-by-Count'!$D$8</f>
        <v>1191.716320391361</v>
      </c>
      <c r="I1079" s="16">
        <f t="shared" si="38"/>
        <v>406453.91853059997</v>
      </c>
      <c r="M1079" s="19"/>
      <c r="N1079" s="19"/>
      <c r="O1079" s="19"/>
      <c r="P1079" s="19"/>
    </row>
    <row r="1080" spans="1:16" x14ac:dyDescent="0.25">
      <c r="A1080" s="91">
        <v>1669</v>
      </c>
      <c r="B1080" s="15">
        <v>2010</v>
      </c>
      <c r="C1080" s="1" t="s">
        <v>44</v>
      </c>
      <c r="D1080" s="1" t="s">
        <v>216</v>
      </c>
      <c r="E1080" s="15" t="s">
        <v>217</v>
      </c>
      <c r="F1080" s="1" t="s">
        <v>71</v>
      </c>
      <c r="G1080" s="16">
        <v>17382</v>
      </c>
      <c r="H1080" s="93">
        <f>'Emission Rates Net-by-Count'!$D$8</f>
        <v>1191.716320391361</v>
      </c>
      <c r="I1080" s="16">
        <f t="shared" si="38"/>
        <v>10357.206540521318</v>
      </c>
      <c r="M1080" s="19"/>
      <c r="N1080" s="19"/>
      <c r="O1080" s="19"/>
      <c r="P1080" s="19"/>
    </row>
    <row r="1081" spans="1:16" x14ac:dyDescent="0.25">
      <c r="A1081" s="91">
        <v>1670</v>
      </c>
      <c r="B1081" s="15">
        <v>2010</v>
      </c>
      <c r="C1081" s="1" t="s">
        <v>44</v>
      </c>
      <c r="D1081" s="1" t="s">
        <v>216</v>
      </c>
      <c r="E1081" s="15" t="s">
        <v>217</v>
      </c>
      <c r="F1081" s="1" t="s">
        <v>72</v>
      </c>
      <c r="G1081" s="16">
        <v>32200</v>
      </c>
      <c r="H1081" s="93">
        <f>'Emission Rates Net-by-Count'!$D$8</f>
        <v>1191.716320391361</v>
      </c>
      <c r="I1081" s="16">
        <f t="shared" si="38"/>
        <v>19186.632758300912</v>
      </c>
      <c r="M1081" s="19"/>
      <c r="N1081" s="19"/>
      <c r="O1081" s="19"/>
      <c r="P1081" s="19"/>
    </row>
    <row r="1082" spans="1:16" x14ac:dyDescent="0.25">
      <c r="A1082" s="91">
        <v>1672</v>
      </c>
      <c r="B1082" s="15">
        <v>2010</v>
      </c>
      <c r="C1082" s="1" t="s">
        <v>44</v>
      </c>
      <c r="D1082" s="1" t="s">
        <v>216</v>
      </c>
      <c r="E1082" s="15" t="s">
        <v>217</v>
      </c>
      <c r="F1082" s="1" t="s">
        <v>133</v>
      </c>
      <c r="G1082" s="16">
        <v>136924</v>
      </c>
      <c r="H1082" s="93">
        <f>'Emission Rates Net-by-Count'!$D$8</f>
        <v>1191.716320391361</v>
      </c>
      <c r="I1082" s="16">
        <f t="shared" si="38"/>
        <v>81587.282726633348</v>
      </c>
      <c r="M1082" s="19"/>
      <c r="N1082" s="19"/>
      <c r="O1082" s="19"/>
      <c r="P1082" s="19"/>
    </row>
    <row r="1083" spans="1:16" x14ac:dyDescent="0.25">
      <c r="A1083" s="91">
        <v>1674</v>
      </c>
      <c r="B1083" s="15">
        <v>2010</v>
      </c>
      <c r="C1083" s="1" t="s">
        <v>44</v>
      </c>
      <c r="D1083" s="1" t="s">
        <v>216</v>
      </c>
      <c r="E1083" s="15" t="s">
        <v>217</v>
      </c>
      <c r="F1083" s="1" t="s">
        <v>76</v>
      </c>
      <c r="G1083" s="16">
        <v>55600</v>
      </c>
      <c r="H1083" s="93">
        <f>'Emission Rates Net-by-Count'!$D$8</f>
        <v>1191.716320391361</v>
      </c>
      <c r="I1083" s="16">
        <f t="shared" si="38"/>
        <v>33129.713706879833</v>
      </c>
      <c r="M1083" s="19"/>
      <c r="N1083" s="19"/>
      <c r="O1083" s="19"/>
      <c r="P1083" s="19"/>
    </row>
    <row r="1084" spans="1:16" x14ac:dyDescent="0.25">
      <c r="A1084" s="91">
        <v>1675</v>
      </c>
      <c r="B1084" s="15">
        <v>2010</v>
      </c>
      <c r="C1084" s="1" t="s">
        <v>44</v>
      </c>
      <c r="D1084" s="1" t="s">
        <v>216</v>
      </c>
      <c r="E1084" s="15" t="s">
        <v>217</v>
      </c>
      <c r="F1084" s="1" t="s">
        <v>77</v>
      </c>
      <c r="G1084" s="16">
        <v>45</v>
      </c>
      <c r="H1084" s="93">
        <f>'Emission Rates Net-by-Count'!$D$8</f>
        <v>1191.716320391361</v>
      </c>
      <c r="I1084" s="16">
        <f t="shared" si="38"/>
        <v>26.813617208805624</v>
      </c>
      <c r="M1084" s="19"/>
      <c r="N1084" s="19"/>
      <c r="O1084" s="19"/>
      <c r="P1084" s="19"/>
    </row>
    <row r="1085" spans="1:16" x14ac:dyDescent="0.25">
      <c r="A1085" s="91">
        <v>1676</v>
      </c>
      <c r="B1085" s="15">
        <v>2010</v>
      </c>
      <c r="C1085" s="1" t="s">
        <v>44</v>
      </c>
      <c r="D1085" s="1" t="s">
        <v>216</v>
      </c>
      <c r="E1085" s="15" t="s">
        <v>217</v>
      </c>
      <c r="F1085" s="1" t="s">
        <v>78</v>
      </c>
      <c r="G1085" s="16">
        <v>1135590</v>
      </c>
      <c r="H1085" s="93">
        <f>'Emission Rates Net-by-Count'!$D$8</f>
        <v>1191.716320391361</v>
      </c>
      <c r="I1085" s="16">
        <f t="shared" si="38"/>
        <v>676650.56813661277</v>
      </c>
      <c r="M1085" s="19"/>
      <c r="N1085" s="19"/>
      <c r="O1085" s="19"/>
      <c r="P1085" s="19"/>
    </row>
    <row r="1086" spans="1:16" x14ac:dyDescent="0.25">
      <c r="A1086" s="91">
        <v>1678</v>
      </c>
      <c r="B1086" s="15">
        <v>2010</v>
      </c>
      <c r="C1086" s="1" t="s">
        <v>44</v>
      </c>
      <c r="D1086" s="1" t="s">
        <v>216</v>
      </c>
      <c r="E1086" s="15" t="s">
        <v>217</v>
      </c>
      <c r="F1086" s="1" t="s">
        <v>173</v>
      </c>
      <c r="G1086" s="16">
        <v>20186</v>
      </c>
      <c r="H1086" s="93">
        <f>'Emission Rates Net-by-Count'!$D$8</f>
        <v>1191.716320391361</v>
      </c>
      <c r="I1086" s="16">
        <f t="shared" si="38"/>
        <v>12027.992821710008</v>
      </c>
      <c r="M1086" s="19"/>
      <c r="N1086" s="19"/>
      <c r="O1086" s="19"/>
      <c r="P1086" s="19"/>
    </row>
    <row r="1087" spans="1:16" x14ac:dyDescent="0.25">
      <c r="A1087" s="91">
        <v>1679</v>
      </c>
      <c r="B1087" s="15">
        <v>2010</v>
      </c>
      <c r="C1087" s="1" t="s">
        <v>44</v>
      </c>
      <c r="D1087" s="1" t="s">
        <v>216</v>
      </c>
      <c r="E1087" s="15" t="s">
        <v>217</v>
      </c>
      <c r="F1087" s="1" t="s">
        <v>80</v>
      </c>
      <c r="G1087" s="16">
        <v>24200</v>
      </c>
      <c r="H1087" s="93">
        <f>'Emission Rates Net-by-Count'!$D$8</f>
        <v>1191.716320391361</v>
      </c>
      <c r="I1087" s="16">
        <f t="shared" ref="I1087:I1118" si="39">(G1087*H1087)/2000</f>
        <v>14419.767476735469</v>
      </c>
      <c r="M1087" s="19"/>
      <c r="N1087" s="19"/>
      <c r="O1087" s="19"/>
      <c r="P1087" s="19"/>
    </row>
    <row r="1088" spans="1:16" x14ac:dyDescent="0.25">
      <c r="A1088" s="91">
        <v>1680</v>
      </c>
      <c r="B1088" s="15">
        <v>2010</v>
      </c>
      <c r="C1088" s="1" t="s">
        <v>44</v>
      </c>
      <c r="D1088" s="1" t="s">
        <v>216</v>
      </c>
      <c r="E1088" s="15" t="s">
        <v>217</v>
      </c>
      <c r="F1088" s="1" t="s">
        <v>81</v>
      </c>
      <c r="G1088" s="16">
        <v>4037</v>
      </c>
      <c r="H1088" s="93">
        <f>'Emission Rates Net-by-Count'!$D$8</f>
        <v>1191.716320391361</v>
      </c>
      <c r="I1088" s="16">
        <f t="shared" si="39"/>
        <v>2405.4793927099622</v>
      </c>
      <c r="M1088" s="19"/>
      <c r="N1088" s="19"/>
      <c r="O1088" s="19"/>
      <c r="P1088" s="19"/>
    </row>
    <row r="1089" spans="1:16" x14ac:dyDescent="0.25">
      <c r="A1089" s="91">
        <v>1681</v>
      </c>
      <c r="B1089" s="15">
        <v>2010</v>
      </c>
      <c r="C1089" s="1" t="s">
        <v>44</v>
      </c>
      <c r="D1089" s="1" t="s">
        <v>216</v>
      </c>
      <c r="E1089" s="15" t="s">
        <v>217</v>
      </c>
      <c r="F1089" s="1" t="s">
        <v>82</v>
      </c>
      <c r="G1089" s="16">
        <v>2854</v>
      </c>
      <c r="H1089" s="93">
        <f>'Emission Rates Net-by-Count'!$D$8</f>
        <v>1191.716320391361</v>
      </c>
      <c r="I1089" s="16">
        <f t="shared" si="39"/>
        <v>1700.579189198472</v>
      </c>
      <c r="M1089" s="19"/>
      <c r="N1089" s="19"/>
      <c r="O1089" s="19"/>
      <c r="P1089" s="19"/>
    </row>
    <row r="1090" spans="1:16" x14ac:dyDescent="0.25">
      <c r="A1090" s="91">
        <v>1682</v>
      </c>
      <c r="B1090" s="15">
        <v>2010</v>
      </c>
      <c r="C1090" s="1" t="s">
        <v>44</v>
      </c>
      <c r="D1090" s="1" t="s">
        <v>216</v>
      </c>
      <c r="E1090" s="15" t="s">
        <v>217</v>
      </c>
      <c r="F1090" s="1" t="s">
        <v>137</v>
      </c>
      <c r="G1090" s="16">
        <v>30400</v>
      </c>
      <c r="H1090" s="93">
        <f>'Emission Rates Net-by-Count'!$D$8</f>
        <v>1191.716320391361</v>
      </c>
      <c r="I1090" s="16">
        <f t="shared" si="39"/>
        <v>18114.088069948688</v>
      </c>
      <c r="M1090" s="19"/>
      <c r="N1090" s="19"/>
      <c r="O1090" s="19"/>
      <c r="P1090" s="19"/>
    </row>
    <row r="1091" spans="1:16" x14ac:dyDescent="0.25">
      <c r="A1091" s="91">
        <v>1683</v>
      </c>
      <c r="B1091" s="15">
        <v>2010</v>
      </c>
      <c r="C1091" s="1" t="s">
        <v>44</v>
      </c>
      <c r="D1091" s="1" t="s">
        <v>216</v>
      </c>
      <c r="E1091" s="15" t="s">
        <v>217</v>
      </c>
      <c r="F1091" s="1" t="s">
        <v>83</v>
      </c>
      <c r="G1091" s="16">
        <v>2374</v>
      </c>
      <c r="H1091" s="93">
        <f>'Emission Rates Net-by-Count'!$D$8</f>
        <v>1191.716320391361</v>
      </c>
      <c r="I1091" s="16">
        <f t="shared" si="39"/>
        <v>1414.5672723045457</v>
      </c>
      <c r="M1091" s="19"/>
      <c r="N1091" s="19"/>
      <c r="O1091" s="19"/>
      <c r="P1091" s="19"/>
    </row>
    <row r="1092" spans="1:16" x14ac:dyDescent="0.25">
      <c r="A1092" s="91">
        <v>1684</v>
      </c>
      <c r="B1092" s="15">
        <v>2010</v>
      </c>
      <c r="C1092" s="1" t="s">
        <v>44</v>
      </c>
      <c r="D1092" s="1" t="s">
        <v>216</v>
      </c>
      <c r="E1092" s="15" t="s">
        <v>217</v>
      </c>
      <c r="F1092" s="1" t="s">
        <v>84</v>
      </c>
      <c r="G1092" s="16">
        <v>87811</v>
      </c>
      <c r="H1092" s="93">
        <f>'Emission Rates Net-by-Count'!$D$8</f>
        <v>1191.716320391361</v>
      </c>
      <c r="I1092" s="16">
        <f t="shared" si="39"/>
        <v>52322.900904942901</v>
      </c>
      <c r="M1092" s="19"/>
      <c r="N1092" s="19"/>
      <c r="O1092" s="19"/>
      <c r="P1092" s="19"/>
    </row>
    <row r="1093" spans="1:16" x14ac:dyDescent="0.25">
      <c r="A1093" s="91">
        <v>1685</v>
      </c>
      <c r="B1093" s="15">
        <v>2010</v>
      </c>
      <c r="C1093" s="1" t="s">
        <v>44</v>
      </c>
      <c r="D1093" s="1" t="s">
        <v>216</v>
      </c>
      <c r="E1093" s="15" t="s">
        <v>217</v>
      </c>
      <c r="F1093" s="1" t="s">
        <v>149</v>
      </c>
      <c r="G1093" s="16">
        <v>46767</v>
      </c>
      <c r="H1093" s="93">
        <f>'Emission Rates Net-by-Count'!$D$8</f>
        <v>1191.716320391361</v>
      </c>
      <c r="I1093" s="16">
        <f t="shared" si="39"/>
        <v>27866.498577871389</v>
      </c>
      <c r="M1093" s="19"/>
      <c r="N1093" s="19"/>
      <c r="O1093" s="19"/>
      <c r="P1093" s="19"/>
    </row>
    <row r="1094" spans="1:16" x14ac:dyDescent="0.25">
      <c r="A1094" s="91">
        <v>1686</v>
      </c>
      <c r="B1094" s="15">
        <v>2010</v>
      </c>
      <c r="C1094" s="1" t="s">
        <v>44</v>
      </c>
      <c r="D1094" s="1" t="s">
        <v>216</v>
      </c>
      <c r="E1094" s="15" t="s">
        <v>217</v>
      </c>
      <c r="F1094" s="1" t="s">
        <v>85</v>
      </c>
      <c r="G1094" s="16">
        <v>80243</v>
      </c>
      <c r="H1094" s="93">
        <f>'Emission Rates Net-by-Count'!$D$8</f>
        <v>1191.716320391361</v>
      </c>
      <c r="I1094" s="16">
        <f t="shared" si="39"/>
        <v>47813.446348581994</v>
      </c>
      <c r="M1094" s="19"/>
      <c r="N1094" s="19"/>
      <c r="O1094" s="19"/>
      <c r="P1094" s="19"/>
    </row>
    <row r="1095" spans="1:16" x14ac:dyDescent="0.25">
      <c r="A1095" s="91">
        <v>1687</v>
      </c>
      <c r="B1095" s="15">
        <v>2010</v>
      </c>
      <c r="C1095" s="1" t="s">
        <v>44</v>
      </c>
      <c r="D1095" s="1" t="s">
        <v>216</v>
      </c>
      <c r="E1095" s="15" t="s">
        <v>217</v>
      </c>
      <c r="F1095" s="1" t="s">
        <v>87</v>
      </c>
      <c r="G1095" s="16">
        <v>292936</v>
      </c>
      <c r="H1095" s="93">
        <f>'Emission Rates Net-by-Count'!$D$8</f>
        <v>1191.716320391361</v>
      </c>
      <c r="I1095" s="16">
        <f t="shared" si="39"/>
        <v>174548.30601508185</v>
      </c>
      <c r="M1095" s="19"/>
      <c r="N1095" s="19"/>
      <c r="O1095" s="19"/>
      <c r="P1095" s="19"/>
    </row>
    <row r="1096" spans="1:16" x14ac:dyDescent="0.25">
      <c r="A1096" s="91">
        <v>1688</v>
      </c>
      <c r="B1096" s="15">
        <v>2010</v>
      </c>
      <c r="C1096" s="1" t="s">
        <v>44</v>
      </c>
      <c r="D1096" s="1" t="s">
        <v>216</v>
      </c>
      <c r="E1096" s="15" t="s">
        <v>217</v>
      </c>
      <c r="F1096" s="1" t="s">
        <v>88</v>
      </c>
      <c r="G1096" s="16">
        <v>300036</v>
      </c>
      <c r="H1096" s="93">
        <f>'Emission Rates Net-by-Count'!$D$8</f>
        <v>1191.716320391361</v>
      </c>
      <c r="I1096" s="16">
        <f t="shared" si="39"/>
        <v>178778.89895247121</v>
      </c>
      <c r="M1096" s="19"/>
      <c r="N1096" s="19"/>
      <c r="O1096" s="19"/>
      <c r="P1096" s="19"/>
    </row>
    <row r="1097" spans="1:16" x14ac:dyDescent="0.25">
      <c r="A1097" s="91">
        <v>1689</v>
      </c>
      <c r="B1097" s="15">
        <v>2010</v>
      </c>
      <c r="C1097" s="1" t="s">
        <v>44</v>
      </c>
      <c r="D1097" s="1" t="s">
        <v>216</v>
      </c>
      <c r="E1097" s="15" t="s">
        <v>217</v>
      </c>
      <c r="F1097" s="1" t="s">
        <v>90</v>
      </c>
      <c r="G1097" s="16">
        <v>6500</v>
      </c>
      <c r="H1097" s="93">
        <f>'Emission Rates Net-by-Count'!$D$8</f>
        <v>1191.716320391361</v>
      </c>
      <c r="I1097" s="16">
        <f t="shared" si="39"/>
        <v>3873.0780412719232</v>
      </c>
      <c r="M1097" s="19"/>
      <c r="N1097" s="19"/>
      <c r="O1097" s="19"/>
      <c r="P1097" s="19"/>
    </row>
    <row r="1098" spans="1:16" x14ac:dyDescent="0.25">
      <c r="A1098" s="91">
        <v>1690</v>
      </c>
      <c r="B1098" s="15">
        <v>2010</v>
      </c>
      <c r="C1098" s="1" t="s">
        <v>44</v>
      </c>
      <c r="D1098" s="1" t="s">
        <v>216</v>
      </c>
      <c r="E1098" s="15" t="s">
        <v>217</v>
      </c>
      <c r="F1098" s="1" t="s">
        <v>91</v>
      </c>
      <c r="G1098" s="16">
        <v>98150</v>
      </c>
      <c r="H1098" s="93">
        <f>'Emission Rates Net-by-Count'!$D$8</f>
        <v>1191.716320391361</v>
      </c>
      <c r="I1098" s="16">
        <f t="shared" si="39"/>
        <v>58483.478423206041</v>
      </c>
      <c r="M1098" s="19"/>
      <c r="N1098" s="19"/>
      <c r="O1098" s="19"/>
      <c r="P1098" s="19"/>
    </row>
    <row r="1099" spans="1:16" x14ac:dyDescent="0.25">
      <c r="A1099" s="91">
        <v>1691</v>
      </c>
      <c r="B1099" s="15">
        <v>2010</v>
      </c>
      <c r="C1099" s="1" t="s">
        <v>44</v>
      </c>
      <c r="D1099" s="1" t="s">
        <v>216</v>
      </c>
      <c r="E1099" s="15" t="s">
        <v>217</v>
      </c>
      <c r="F1099" s="1" t="s">
        <v>92</v>
      </c>
      <c r="G1099" s="16">
        <v>173</v>
      </c>
      <c r="H1099" s="93">
        <f>'Emission Rates Net-by-Count'!$D$8</f>
        <v>1191.716320391361</v>
      </c>
      <c r="I1099" s="16">
        <f t="shared" si="39"/>
        <v>103.08346171385273</v>
      </c>
      <c r="M1099" s="19"/>
      <c r="N1099" s="19"/>
      <c r="O1099" s="19"/>
      <c r="P1099" s="19"/>
    </row>
    <row r="1100" spans="1:16" x14ac:dyDescent="0.25">
      <c r="A1100" s="91">
        <v>1693</v>
      </c>
      <c r="B1100" s="15">
        <v>2010</v>
      </c>
      <c r="C1100" s="1" t="s">
        <v>44</v>
      </c>
      <c r="D1100" s="1" t="s">
        <v>216</v>
      </c>
      <c r="E1100" s="15" t="s">
        <v>217</v>
      </c>
      <c r="F1100" s="1" t="s">
        <v>93</v>
      </c>
      <c r="G1100" s="16">
        <v>5475</v>
      </c>
      <c r="H1100" s="93">
        <f>'Emission Rates Net-by-Count'!$D$8</f>
        <v>1191.716320391361</v>
      </c>
      <c r="I1100" s="16">
        <f t="shared" si="39"/>
        <v>3262.3234270713506</v>
      </c>
      <c r="M1100" s="19"/>
      <c r="N1100" s="19"/>
      <c r="O1100" s="19"/>
      <c r="P1100" s="19"/>
    </row>
    <row r="1101" spans="1:16" x14ac:dyDescent="0.25">
      <c r="A1101" s="91">
        <v>1694</v>
      </c>
      <c r="B1101" s="15">
        <v>2010</v>
      </c>
      <c r="C1101" s="1" t="s">
        <v>44</v>
      </c>
      <c r="D1101" s="1" t="s">
        <v>216</v>
      </c>
      <c r="E1101" s="15" t="s">
        <v>217</v>
      </c>
      <c r="F1101" s="1" t="s">
        <v>94</v>
      </c>
      <c r="G1101" s="16">
        <v>684</v>
      </c>
      <c r="H1101" s="93">
        <f>'Emission Rates Net-by-Count'!$D$8</f>
        <v>1191.716320391361</v>
      </c>
      <c r="I1101" s="16">
        <f t="shared" si="39"/>
        <v>407.56698157384551</v>
      </c>
      <c r="M1101" s="19"/>
      <c r="N1101" s="19"/>
      <c r="O1101" s="19"/>
      <c r="P1101" s="19"/>
    </row>
    <row r="1102" spans="1:16" x14ac:dyDescent="0.25">
      <c r="A1102" s="91">
        <v>1695</v>
      </c>
      <c r="B1102" s="15">
        <v>2010</v>
      </c>
      <c r="C1102" s="1" t="s">
        <v>44</v>
      </c>
      <c r="D1102" s="1" t="s">
        <v>216</v>
      </c>
      <c r="E1102" s="15" t="s">
        <v>217</v>
      </c>
      <c r="F1102" s="1" t="s">
        <v>95</v>
      </c>
      <c r="G1102" s="16">
        <v>249821</v>
      </c>
      <c r="H1102" s="93">
        <f>'Emission Rates Net-by-Count'!$D$8</f>
        <v>1191.716320391361</v>
      </c>
      <c r="I1102" s="16">
        <f t="shared" si="39"/>
        <v>148857.88143824509</v>
      </c>
      <c r="M1102" s="19"/>
      <c r="N1102" s="19"/>
      <c r="O1102" s="19"/>
      <c r="P1102" s="19"/>
    </row>
    <row r="1103" spans="1:16" x14ac:dyDescent="0.25">
      <c r="A1103" s="91">
        <v>1696</v>
      </c>
      <c r="B1103" s="15">
        <v>2010</v>
      </c>
      <c r="C1103" s="1" t="s">
        <v>44</v>
      </c>
      <c r="D1103" s="1" t="s">
        <v>216</v>
      </c>
      <c r="E1103" s="15" t="s">
        <v>217</v>
      </c>
      <c r="F1103" s="1" t="s">
        <v>96</v>
      </c>
      <c r="G1103" s="16">
        <v>995085</v>
      </c>
      <c r="H1103" s="93">
        <f>'Emission Rates Net-by-Count'!$D$8</f>
        <v>1191.716320391361</v>
      </c>
      <c r="I1103" s="16">
        <f t="shared" si="39"/>
        <v>592929.51733831875</v>
      </c>
      <c r="M1103" s="19"/>
      <c r="N1103" s="19"/>
      <c r="O1103" s="19"/>
      <c r="P1103" s="19"/>
    </row>
    <row r="1104" spans="1:16" x14ac:dyDescent="0.25">
      <c r="A1104" s="91">
        <v>1697</v>
      </c>
      <c r="B1104" s="15">
        <v>2010</v>
      </c>
      <c r="C1104" s="1" t="s">
        <v>44</v>
      </c>
      <c r="D1104" s="1" t="s">
        <v>216</v>
      </c>
      <c r="E1104" s="15" t="s">
        <v>217</v>
      </c>
      <c r="F1104" s="1" t="s">
        <v>97</v>
      </c>
      <c r="G1104" s="16">
        <v>355579</v>
      </c>
      <c r="H1104" s="93">
        <f>'Emission Rates Net-by-Count'!$D$8</f>
        <v>1191.716320391361</v>
      </c>
      <c r="I1104" s="16">
        <f t="shared" si="39"/>
        <v>211874.64874421986</v>
      </c>
      <c r="M1104" s="19"/>
      <c r="N1104" s="19"/>
      <c r="O1104" s="19"/>
      <c r="P1104" s="19"/>
    </row>
    <row r="1105" spans="1:16" x14ac:dyDescent="0.25">
      <c r="A1105" s="91">
        <v>1699</v>
      </c>
      <c r="B1105" s="15">
        <v>2010</v>
      </c>
      <c r="C1105" s="1" t="s">
        <v>44</v>
      </c>
      <c r="D1105" s="1" t="s">
        <v>216</v>
      </c>
      <c r="E1105" s="15" t="s">
        <v>217</v>
      </c>
      <c r="F1105" s="1" t="s">
        <v>98</v>
      </c>
      <c r="G1105" s="16">
        <v>1600</v>
      </c>
      <c r="H1105" s="93">
        <f>'Emission Rates Net-by-Count'!$D$8</f>
        <v>1191.716320391361</v>
      </c>
      <c r="I1105" s="16">
        <f t="shared" si="39"/>
        <v>953.37305631308891</v>
      </c>
      <c r="M1105" s="19"/>
      <c r="N1105" s="19"/>
      <c r="O1105" s="19"/>
      <c r="P1105" s="19"/>
    </row>
    <row r="1106" spans="1:16" x14ac:dyDescent="0.25">
      <c r="A1106" s="91">
        <v>1700</v>
      </c>
      <c r="B1106" s="15">
        <v>2010</v>
      </c>
      <c r="C1106" s="1" t="s">
        <v>44</v>
      </c>
      <c r="D1106" s="1" t="s">
        <v>216</v>
      </c>
      <c r="E1106" s="15" t="s">
        <v>217</v>
      </c>
      <c r="F1106" s="1" t="s">
        <v>100</v>
      </c>
      <c r="G1106" s="16">
        <v>45702</v>
      </c>
      <c r="H1106" s="93">
        <f>'Emission Rates Net-by-Count'!$D$8</f>
        <v>1191.716320391361</v>
      </c>
      <c r="I1106" s="16">
        <f t="shared" si="39"/>
        <v>27231.909637262994</v>
      </c>
      <c r="M1106" s="19"/>
      <c r="N1106" s="19"/>
      <c r="O1106" s="19"/>
      <c r="P1106" s="19"/>
    </row>
    <row r="1107" spans="1:16" x14ac:dyDescent="0.25">
      <c r="A1107" s="91">
        <v>1701</v>
      </c>
      <c r="B1107" s="15">
        <v>2010</v>
      </c>
      <c r="C1107" s="1" t="s">
        <v>44</v>
      </c>
      <c r="D1107" s="1" t="s">
        <v>216</v>
      </c>
      <c r="E1107" s="15" t="s">
        <v>217</v>
      </c>
      <c r="F1107" s="1" t="s">
        <v>101</v>
      </c>
      <c r="G1107" s="16">
        <v>13647</v>
      </c>
      <c r="H1107" s="93">
        <f>'Emission Rates Net-by-Count'!$D$8</f>
        <v>1191.716320391361</v>
      </c>
      <c r="I1107" s="16">
        <f t="shared" si="39"/>
        <v>8131.6763121904514</v>
      </c>
      <c r="M1107" s="19"/>
      <c r="N1107" s="19"/>
      <c r="O1107" s="19"/>
      <c r="P1107" s="19"/>
    </row>
    <row r="1108" spans="1:16" x14ac:dyDescent="0.25">
      <c r="A1108" s="91">
        <v>1702</v>
      </c>
      <c r="B1108" s="15">
        <v>2010</v>
      </c>
      <c r="C1108" s="1" t="s">
        <v>44</v>
      </c>
      <c r="D1108" s="1" t="s">
        <v>216</v>
      </c>
      <c r="E1108" s="15" t="s">
        <v>217</v>
      </c>
      <c r="F1108" s="1" t="s">
        <v>103</v>
      </c>
      <c r="G1108" s="16">
        <v>47836</v>
      </c>
      <c r="H1108" s="93">
        <f>'Emission Rates Net-by-Count'!$D$8</f>
        <v>1191.716320391361</v>
      </c>
      <c r="I1108" s="16">
        <f t="shared" si="39"/>
        <v>28503.470951120573</v>
      </c>
      <c r="M1108" s="19"/>
      <c r="N1108" s="19"/>
      <c r="O1108" s="19"/>
      <c r="P1108" s="19"/>
    </row>
    <row r="1109" spans="1:16" x14ac:dyDescent="0.25">
      <c r="A1109" s="91">
        <v>1703</v>
      </c>
      <c r="B1109" s="15">
        <v>2010</v>
      </c>
      <c r="C1109" s="1" t="s">
        <v>44</v>
      </c>
      <c r="D1109" s="1" t="s">
        <v>216</v>
      </c>
      <c r="E1109" s="15" t="s">
        <v>217</v>
      </c>
      <c r="F1109" s="1" t="s">
        <v>152</v>
      </c>
      <c r="G1109" s="16">
        <v>147357</v>
      </c>
      <c r="H1109" s="93">
        <f>'Emission Rates Net-by-Count'!$D$8</f>
        <v>1191.716320391361</v>
      </c>
      <c r="I1109" s="16">
        <f t="shared" si="39"/>
        <v>87803.870911954888</v>
      </c>
      <c r="M1109" s="19"/>
      <c r="N1109" s="19"/>
      <c r="O1109" s="19"/>
      <c r="P1109" s="19"/>
    </row>
    <row r="1110" spans="1:16" x14ac:dyDescent="0.25">
      <c r="A1110" s="91">
        <v>1704</v>
      </c>
      <c r="B1110" s="15">
        <v>2010</v>
      </c>
      <c r="C1110" s="1" t="s">
        <v>44</v>
      </c>
      <c r="D1110" s="1" t="s">
        <v>216</v>
      </c>
      <c r="E1110" s="15" t="s">
        <v>217</v>
      </c>
      <c r="F1110" s="1" t="s">
        <v>41</v>
      </c>
      <c r="G1110" s="16">
        <v>1038</v>
      </c>
      <c r="H1110" s="93">
        <f>'Emission Rates Net-by-Count'!$D$8</f>
        <v>1191.716320391361</v>
      </c>
      <c r="I1110" s="16">
        <f t="shared" si="39"/>
        <v>618.50077028311637</v>
      </c>
      <c r="M1110" s="19"/>
      <c r="N1110" s="19"/>
      <c r="O1110" s="19"/>
      <c r="P1110" s="19"/>
    </row>
    <row r="1111" spans="1:16" x14ac:dyDescent="0.25">
      <c r="A1111" s="91">
        <v>1705</v>
      </c>
      <c r="B1111" s="15">
        <v>2010</v>
      </c>
      <c r="C1111" s="1" t="s">
        <v>44</v>
      </c>
      <c r="D1111" s="1" t="s">
        <v>216</v>
      </c>
      <c r="E1111" s="15" t="s">
        <v>217</v>
      </c>
      <c r="F1111" s="1" t="s">
        <v>153</v>
      </c>
      <c r="G1111" s="16">
        <v>78028</v>
      </c>
      <c r="H1111" s="93">
        <f>'Emission Rates Net-by-Count'!$D$8</f>
        <v>1191.716320391361</v>
      </c>
      <c r="I1111" s="16">
        <f t="shared" si="39"/>
        <v>46493.620523748563</v>
      </c>
      <c r="M1111" s="19"/>
      <c r="N1111" s="19"/>
      <c r="O1111" s="19"/>
      <c r="P1111" s="19"/>
    </row>
    <row r="1112" spans="1:16" x14ac:dyDescent="0.25">
      <c r="A1112" s="91">
        <v>1706</v>
      </c>
      <c r="B1112" s="15">
        <v>2010</v>
      </c>
      <c r="C1112" s="1" t="s">
        <v>44</v>
      </c>
      <c r="D1112" s="1" t="s">
        <v>216</v>
      </c>
      <c r="E1112" s="15" t="s">
        <v>217</v>
      </c>
      <c r="F1112" s="1" t="s">
        <v>104</v>
      </c>
      <c r="G1112" s="16">
        <v>1107783</v>
      </c>
      <c r="H1112" s="93">
        <f>'Emission Rates Net-by-Count'!$D$8</f>
        <v>1191.716320391361</v>
      </c>
      <c r="I1112" s="16">
        <f t="shared" si="39"/>
        <v>660081.5402760515</v>
      </c>
      <c r="M1112" s="19"/>
      <c r="N1112" s="19"/>
      <c r="O1112" s="19"/>
      <c r="P1112" s="19"/>
    </row>
    <row r="1113" spans="1:16" x14ac:dyDescent="0.25">
      <c r="A1113" s="91">
        <v>1707</v>
      </c>
      <c r="B1113" s="15">
        <v>2010</v>
      </c>
      <c r="C1113" s="1" t="s">
        <v>44</v>
      </c>
      <c r="D1113" s="1" t="s">
        <v>216</v>
      </c>
      <c r="E1113" s="15" t="s">
        <v>217</v>
      </c>
      <c r="F1113" s="1" t="s">
        <v>167</v>
      </c>
      <c r="G1113" s="16">
        <v>8791</v>
      </c>
      <c r="H1113" s="93">
        <f>'Emission Rates Net-by-Count'!$D$8</f>
        <v>1191.716320391361</v>
      </c>
      <c r="I1113" s="16">
        <f t="shared" si="39"/>
        <v>5238.1890862802275</v>
      </c>
      <c r="M1113" s="19"/>
      <c r="N1113" s="19"/>
      <c r="O1113" s="19"/>
      <c r="P1113" s="19"/>
    </row>
    <row r="1114" spans="1:16" x14ac:dyDescent="0.25">
      <c r="A1114" s="91">
        <v>1708</v>
      </c>
      <c r="B1114" s="15">
        <v>2010</v>
      </c>
      <c r="C1114" s="1" t="s">
        <v>44</v>
      </c>
      <c r="D1114" s="1" t="s">
        <v>216</v>
      </c>
      <c r="E1114" s="15" t="s">
        <v>217</v>
      </c>
      <c r="F1114" s="1" t="s">
        <v>106</v>
      </c>
      <c r="G1114" s="16">
        <v>52383</v>
      </c>
      <c r="H1114" s="93">
        <f>'Emission Rates Net-by-Count'!$D$8</f>
        <v>1191.716320391361</v>
      </c>
      <c r="I1114" s="16">
        <f t="shared" si="39"/>
        <v>31212.838005530331</v>
      </c>
      <c r="M1114" s="19"/>
      <c r="N1114" s="19"/>
      <c r="O1114" s="19"/>
      <c r="P1114" s="19"/>
    </row>
    <row r="1115" spans="1:16" x14ac:dyDescent="0.25">
      <c r="A1115" s="91">
        <v>1709</v>
      </c>
      <c r="B1115" s="15">
        <v>2010</v>
      </c>
      <c r="C1115" s="1" t="s">
        <v>44</v>
      </c>
      <c r="D1115" s="1" t="s">
        <v>216</v>
      </c>
      <c r="E1115" s="15" t="s">
        <v>217</v>
      </c>
      <c r="F1115" s="1" t="s">
        <v>108</v>
      </c>
      <c r="G1115" s="16">
        <v>20</v>
      </c>
      <c r="H1115" s="93">
        <f>'Emission Rates Net-by-Count'!$D$8</f>
        <v>1191.716320391361</v>
      </c>
      <c r="I1115" s="16">
        <f t="shared" si="39"/>
        <v>11.91716320391361</v>
      </c>
      <c r="M1115" s="19"/>
      <c r="N1115" s="19"/>
      <c r="O1115" s="19"/>
      <c r="P1115" s="19"/>
    </row>
    <row r="1116" spans="1:16" x14ac:dyDescent="0.25">
      <c r="A1116" s="91">
        <v>1711</v>
      </c>
      <c r="B1116" s="15">
        <v>2010</v>
      </c>
      <c r="C1116" s="1" t="s">
        <v>109</v>
      </c>
      <c r="D1116" s="1" t="s">
        <v>216</v>
      </c>
      <c r="E1116" s="15" t="s">
        <v>217</v>
      </c>
      <c r="F1116" s="1" t="s">
        <v>110</v>
      </c>
      <c r="G1116" s="16">
        <v>11424</v>
      </c>
      <c r="H1116" s="93">
        <f>'Emission Rates Net-by-Count'!$D$8</f>
        <v>1191.716320391361</v>
      </c>
      <c r="I1116" s="16">
        <f t="shared" si="39"/>
        <v>6807.0836220754545</v>
      </c>
      <c r="M1116" s="19"/>
      <c r="N1116" s="19"/>
      <c r="O1116" s="19"/>
      <c r="P1116" s="19"/>
    </row>
    <row r="1117" spans="1:16" x14ac:dyDescent="0.25">
      <c r="A1117" s="91">
        <v>1712</v>
      </c>
      <c r="B1117" s="15">
        <v>2010</v>
      </c>
      <c r="C1117" s="1" t="s">
        <v>109</v>
      </c>
      <c r="D1117" s="1" t="s">
        <v>216</v>
      </c>
      <c r="E1117" s="15" t="s">
        <v>217</v>
      </c>
      <c r="F1117" s="1" t="s">
        <v>21</v>
      </c>
      <c r="G1117" s="16">
        <v>65580</v>
      </c>
      <c r="H1117" s="93">
        <f>'Emission Rates Net-by-Count'!$D$8</f>
        <v>1191.716320391361</v>
      </c>
      <c r="I1117" s="16">
        <f t="shared" si="39"/>
        <v>39076.378145632727</v>
      </c>
      <c r="M1117" s="19"/>
      <c r="N1117" s="19"/>
      <c r="O1117" s="19"/>
      <c r="P1117" s="19"/>
    </row>
    <row r="1118" spans="1:16" x14ac:dyDescent="0.25">
      <c r="A1118" s="91">
        <v>1713</v>
      </c>
      <c r="B1118" s="15">
        <v>2010</v>
      </c>
      <c r="C1118" s="1" t="s">
        <v>109</v>
      </c>
      <c r="D1118" s="1" t="s">
        <v>216</v>
      </c>
      <c r="E1118" s="15" t="s">
        <v>217</v>
      </c>
      <c r="F1118" s="1" t="s">
        <v>111</v>
      </c>
      <c r="G1118" s="16">
        <v>412908</v>
      </c>
      <c r="H1118" s="93">
        <f>'Emission Rates Net-by-Count'!$D$8</f>
        <v>1191.716320391361</v>
      </c>
      <c r="I1118" s="16">
        <f t="shared" si="39"/>
        <v>246034.60121007805</v>
      </c>
      <c r="M1118" s="19"/>
      <c r="N1118" s="19"/>
      <c r="O1118" s="19"/>
      <c r="P1118" s="19"/>
    </row>
    <row r="1119" spans="1:16" x14ac:dyDescent="0.25">
      <c r="A1119" s="91">
        <v>1714</v>
      </c>
      <c r="B1119" s="15">
        <v>2010</v>
      </c>
      <c r="C1119" s="1" t="s">
        <v>109</v>
      </c>
      <c r="D1119" s="1" t="s">
        <v>216</v>
      </c>
      <c r="E1119" s="15" t="s">
        <v>217</v>
      </c>
      <c r="F1119" s="1" t="s">
        <v>104</v>
      </c>
      <c r="G1119" s="16">
        <v>1533400</v>
      </c>
      <c r="H1119" s="93">
        <f>'Emission Rates Net-by-Count'!$D$8</f>
        <v>1191.716320391361</v>
      </c>
      <c r="I1119" s="16">
        <f t="shared" ref="I1119:I1150" si="40">(G1119*H1119)/2000</f>
        <v>913688.90284405649</v>
      </c>
      <c r="M1119" s="19"/>
      <c r="N1119" s="19"/>
      <c r="O1119" s="19"/>
      <c r="P1119" s="19"/>
    </row>
    <row r="1120" spans="1:16" x14ac:dyDescent="0.25">
      <c r="A1120" s="91">
        <v>1716</v>
      </c>
      <c r="B1120" s="15">
        <v>2010</v>
      </c>
      <c r="C1120" s="1" t="s">
        <v>113</v>
      </c>
      <c r="D1120" s="1" t="s">
        <v>216</v>
      </c>
      <c r="E1120" s="15" t="s">
        <v>217</v>
      </c>
      <c r="F1120" s="1" t="s">
        <v>110</v>
      </c>
      <c r="G1120" s="16">
        <v>-10438</v>
      </c>
      <c r="H1120" s="93">
        <f>'Emission Rates Net-by-Count'!$D$8</f>
        <v>1191.716320391361</v>
      </c>
      <c r="I1120" s="16">
        <f t="shared" si="40"/>
        <v>-6219.5674761225137</v>
      </c>
      <c r="M1120" s="19"/>
      <c r="N1120" s="19"/>
      <c r="O1120" s="19"/>
      <c r="P1120" s="19"/>
    </row>
    <row r="1121" spans="1:16" x14ac:dyDescent="0.25">
      <c r="A1121" s="91">
        <v>1717</v>
      </c>
      <c r="B1121" s="15">
        <v>2010</v>
      </c>
      <c r="C1121" s="1" t="s">
        <v>113</v>
      </c>
      <c r="D1121" s="1" t="s">
        <v>216</v>
      </c>
      <c r="E1121" s="15" t="s">
        <v>217</v>
      </c>
      <c r="F1121" s="1" t="s">
        <v>21</v>
      </c>
      <c r="G1121" s="16">
        <v>-57475</v>
      </c>
      <c r="H1121" s="93">
        <f>'Emission Rates Net-by-Count'!$D$8</f>
        <v>1191.716320391361</v>
      </c>
      <c r="I1121" s="16">
        <f t="shared" si="40"/>
        <v>-34246.947757246737</v>
      </c>
      <c r="M1121" s="19"/>
      <c r="N1121" s="19"/>
      <c r="O1121" s="19"/>
      <c r="P1121" s="19"/>
    </row>
    <row r="1122" spans="1:16" x14ac:dyDescent="0.25">
      <c r="A1122" s="91">
        <v>1718</v>
      </c>
      <c r="B1122" s="15">
        <v>2010</v>
      </c>
      <c r="C1122" s="1" t="s">
        <v>113</v>
      </c>
      <c r="D1122" s="1" t="s">
        <v>216</v>
      </c>
      <c r="E1122" s="15" t="s">
        <v>217</v>
      </c>
      <c r="F1122" s="1" t="s">
        <v>114</v>
      </c>
      <c r="G1122" s="16">
        <v>20831.312000000002</v>
      </c>
      <c r="H1122" s="93">
        <f>'Emission Rates Net-by-Count'!$D$8</f>
        <v>1191.716320391361</v>
      </c>
      <c r="I1122" s="16">
        <f t="shared" si="40"/>
        <v>12412.507242782203</v>
      </c>
      <c r="M1122" s="19"/>
      <c r="N1122" s="19"/>
      <c r="O1122" s="19"/>
      <c r="P1122" s="19"/>
    </row>
    <row r="1123" spans="1:16" x14ac:dyDescent="0.25">
      <c r="A1123" s="91">
        <v>1719</v>
      </c>
      <c r="B1123" s="15">
        <v>2010</v>
      </c>
      <c r="C1123" s="1" t="s">
        <v>113</v>
      </c>
      <c r="D1123" s="1" t="s">
        <v>216</v>
      </c>
      <c r="E1123" s="15" t="s">
        <v>217</v>
      </c>
      <c r="F1123" s="1" t="s">
        <v>111</v>
      </c>
      <c r="G1123" s="16">
        <v>-413000</v>
      </c>
      <c r="H1123" s="93">
        <f>'Emission Rates Net-by-Count'!$D$8</f>
        <v>1191.716320391361</v>
      </c>
      <c r="I1123" s="16">
        <f t="shared" si="40"/>
        <v>-246089.42016081605</v>
      </c>
      <c r="M1123" s="19"/>
      <c r="N1123" s="19"/>
      <c r="O1123" s="19"/>
      <c r="P1123" s="19"/>
    </row>
    <row r="1124" spans="1:16" x14ac:dyDescent="0.25">
      <c r="A1124" s="91">
        <v>1720</v>
      </c>
      <c r="B1124" s="15">
        <v>2010</v>
      </c>
      <c r="C1124" s="1" t="s">
        <v>113</v>
      </c>
      <c r="D1124" s="1" t="s">
        <v>216</v>
      </c>
      <c r="E1124" s="15" t="s">
        <v>217</v>
      </c>
      <c r="F1124" s="1" t="s">
        <v>104</v>
      </c>
      <c r="G1124" s="16">
        <v>-1536249</v>
      </c>
      <c r="H1124" s="93">
        <f>'Emission Rates Net-by-Count'!$D$8</f>
        <v>1191.716320391361</v>
      </c>
      <c r="I1124" s="16">
        <f t="shared" si="40"/>
        <v>-915386.50274245394</v>
      </c>
      <c r="M1124" s="19"/>
      <c r="N1124" s="19"/>
      <c r="O1124" s="19"/>
      <c r="P1124" s="19"/>
    </row>
    <row r="1125" spans="1:16" x14ac:dyDescent="0.25">
      <c r="A1125" s="91">
        <v>1775</v>
      </c>
      <c r="B1125" s="15">
        <v>2010</v>
      </c>
      <c r="C1125" s="1" t="s">
        <v>120</v>
      </c>
      <c r="D1125" s="1" t="s">
        <v>216</v>
      </c>
      <c r="E1125" s="15" t="s">
        <v>217</v>
      </c>
      <c r="F1125" s="1" t="s">
        <v>47</v>
      </c>
      <c r="G1125" s="16">
        <v>-27014</v>
      </c>
      <c r="H1125" s="93">
        <f>'Emission Rates Net-by-Count'!$D$8</f>
        <v>1191.716320391361</v>
      </c>
      <c r="I1125" s="16">
        <f t="shared" si="40"/>
        <v>-16096.512339526113</v>
      </c>
      <c r="M1125" s="19"/>
      <c r="N1125" s="19"/>
      <c r="O1125" s="19"/>
      <c r="P1125" s="19"/>
    </row>
    <row r="1126" spans="1:16" x14ac:dyDescent="0.25">
      <c r="A1126" s="91">
        <v>1776</v>
      </c>
      <c r="B1126" s="15">
        <v>2010</v>
      </c>
      <c r="C1126" s="1" t="s">
        <v>120</v>
      </c>
      <c r="D1126" s="1" t="s">
        <v>216</v>
      </c>
      <c r="E1126" s="15" t="s">
        <v>217</v>
      </c>
      <c r="F1126" s="1" t="s">
        <v>127</v>
      </c>
      <c r="G1126" s="16">
        <v>-40109</v>
      </c>
      <c r="H1126" s="93">
        <f>'Emission Rates Net-by-Count'!$D$8</f>
        <v>1191.716320391361</v>
      </c>
      <c r="I1126" s="16">
        <f t="shared" si="40"/>
        <v>-23899.274947288552</v>
      </c>
      <c r="M1126" s="19"/>
      <c r="N1126" s="19"/>
      <c r="O1126" s="19"/>
      <c r="P1126" s="19"/>
    </row>
    <row r="1127" spans="1:16" x14ac:dyDescent="0.25">
      <c r="A1127" s="91">
        <v>1777</v>
      </c>
      <c r="B1127" s="15">
        <v>2010</v>
      </c>
      <c r="C1127" s="1" t="s">
        <v>120</v>
      </c>
      <c r="D1127" s="1" t="s">
        <v>216</v>
      </c>
      <c r="E1127" s="15" t="s">
        <v>217</v>
      </c>
      <c r="F1127" s="1" t="s">
        <v>50</v>
      </c>
      <c r="G1127" s="16">
        <v>-2465</v>
      </c>
      <c r="H1127" s="93">
        <f>'Emission Rates Net-by-Count'!$D$8</f>
        <v>1191.716320391361</v>
      </c>
      <c r="I1127" s="16">
        <f t="shared" si="40"/>
        <v>-1468.7903648823526</v>
      </c>
      <c r="M1127" s="19"/>
      <c r="N1127" s="19"/>
      <c r="O1127" s="19"/>
      <c r="P1127" s="19"/>
    </row>
    <row r="1128" spans="1:16" x14ac:dyDescent="0.25">
      <c r="A1128" s="91">
        <v>1778</v>
      </c>
      <c r="B1128" s="15">
        <v>2010</v>
      </c>
      <c r="C1128" s="1" t="s">
        <v>120</v>
      </c>
      <c r="D1128" s="1" t="s">
        <v>216</v>
      </c>
      <c r="E1128" s="15" t="s">
        <v>217</v>
      </c>
      <c r="F1128" s="1" t="s">
        <v>170</v>
      </c>
      <c r="G1128" s="16">
        <v>-29925</v>
      </c>
      <c r="H1128" s="93">
        <f>'Emission Rates Net-by-Count'!$D$8</f>
        <v>1191.716320391361</v>
      </c>
      <c r="I1128" s="16">
        <f t="shared" si="40"/>
        <v>-17831.055443855741</v>
      </c>
      <c r="M1128" s="19"/>
      <c r="N1128" s="19"/>
      <c r="O1128" s="19"/>
      <c r="P1128" s="19"/>
    </row>
    <row r="1129" spans="1:16" x14ac:dyDescent="0.25">
      <c r="A1129" s="91">
        <v>1779</v>
      </c>
      <c r="B1129" s="15">
        <v>2010</v>
      </c>
      <c r="C1129" s="1" t="s">
        <v>120</v>
      </c>
      <c r="D1129" s="1" t="s">
        <v>216</v>
      </c>
      <c r="E1129" s="15" t="s">
        <v>217</v>
      </c>
      <c r="F1129" s="1" t="s">
        <v>51</v>
      </c>
      <c r="G1129" s="16">
        <v>3847988</v>
      </c>
      <c r="H1129" s="93">
        <f>'Emission Rates Net-by-Count'!$D$8</f>
        <v>1191.716320391361</v>
      </c>
      <c r="I1129" s="16">
        <f t="shared" si="40"/>
        <v>2292855.0501350565</v>
      </c>
      <c r="K1129" s="17" t="s">
        <v>244</v>
      </c>
      <c r="M1129" s="19"/>
      <c r="N1129" s="19"/>
      <c r="O1129" s="19"/>
      <c r="P1129" s="19"/>
    </row>
    <row r="1130" spans="1:16" x14ac:dyDescent="0.25">
      <c r="A1130" s="91">
        <v>1780</v>
      </c>
      <c r="B1130" s="15">
        <v>2010</v>
      </c>
      <c r="C1130" s="1" t="s">
        <v>120</v>
      </c>
      <c r="D1130" s="1" t="s">
        <v>216</v>
      </c>
      <c r="E1130" s="15" t="s">
        <v>217</v>
      </c>
      <c r="F1130" s="1" t="s">
        <v>52</v>
      </c>
      <c r="G1130" s="16">
        <v>-259544</v>
      </c>
      <c r="H1130" s="93">
        <f>'Emission Rates Net-by-Count'!$D$8</f>
        <v>1191.716320391361</v>
      </c>
      <c r="I1130" s="16">
        <f t="shared" si="40"/>
        <v>-154651.41032982769</v>
      </c>
      <c r="M1130" s="19"/>
      <c r="N1130" s="19"/>
      <c r="O1130" s="19"/>
      <c r="P1130" s="19"/>
    </row>
    <row r="1131" spans="1:16" x14ac:dyDescent="0.25">
      <c r="A1131" s="91">
        <v>1781</v>
      </c>
      <c r="B1131" s="15">
        <v>2010</v>
      </c>
      <c r="C1131" s="1" t="s">
        <v>120</v>
      </c>
      <c r="D1131" s="1" t="s">
        <v>216</v>
      </c>
      <c r="E1131" s="15" t="s">
        <v>217</v>
      </c>
      <c r="F1131" s="1" t="s">
        <v>21</v>
      </c>
      <c r="G1131" s="16">
        <v>-159865</v>
      </c>
      <c r="H1131" s="93">
        <f>'Emission Rates Net-by-Count'!$D$8</f>
        <v>1191.716320391361</v>
      </c>
      <c r="I1131" s="16">
        <f t="shared" si="40"/>
        <v>-95256.864779682466</v>
      </c>
      <c r="M1131" s="19"/>
      <c r="N1131" s="19"/>
      <c r="O1131" s="19"/>
      <c r="P1131" s="19"/>
    </row>
    <row r="1132" spans="1:16" x14ac:dyDescent="0.25">
      <c r="A1132" s="91">
        <v>1782</v>
      </c>
      <c r="B1132" s="15">
        <v>2010</v>
      </c>
      <c r="C1132" s="1" t="s">
        <v>120</v>
      </c>
      <c r="D1132" s="1" t="s">
        <v>216</v>
      </c>
      <c r="E1132" s="15" t="s">
        <v>217</v>
      </c>
      <c r="F1132" s="1" t="s">
        <v>143</v>
      </c>
      <c r="G1132" s="16">
        <v>-49</v>
      </c>
      <c r="H1132" s="93">
        <f>'Emission Rates Net-by-Count'!$D$8</f>
        <v>1191.716320391361</v>
      </c>
      <c r="I1132" s="16">
        <f t="shared" si="40"/>
        <v>-29.197049849588343</v>
      </c>
      <c r="M1132" s="19"/>
      <c r="N1132" s="19"/>
      <c r="O1132" s="19"/>
      <c r="P1132" s="19"/>
    </row>
    <row r="1133" spans="1:16" x14ac:dyDescent="0.25">
      <c r="A1133" s="91">
        <v>1783</v>
      </c>
      <c r="B1133" s="15">
        <v>2010</v>
      </c>
      <c r="C1133" s="1" t="s">
        <v>120</v>
      </c>
      <c r="D1133" s="1" t="s">
        <v>216</v>
      </c>
      <c r="E1133" s="15" t="s">
        <v>217</v>
      </c>
      <c r="F1133" s="1" t="s">
        <v>53</v>
      </c>
      <c r="G1133" s="16">
        <v>-530</v>
      </c>
      <c r="H1133" s="93">
        <f>'Emission Rates Net-by-Count'!$D$8</f>
        <v>1191.716320391361</v>
      </c>
      <c r="I1133" s="16">
        <f t="shared" si="40"/>
        <v>-315.80482490371071</v>
      </c>
      <c r="M1133" s="19"/>
      <c r="N1133" s="19"/>
      <c r="O1133" s="19"/>
      <c r="P1133" s="19"/>
    </row>
    <row r="1134" spans="1:16" x14ac:dyDescent="0.25">
      <c r="A1134" s="91">
        <v>1785</v>
      </c>
      <c r="B1134" s="15">
        <v>2010</v>
      </c>
      <c r="C1134" s="1" t="s">
        <v>120</v>
      </c>
      <c r="D1134" s="1" t="s">
        <v>216</v>
      </c>
      <c r="E1134" s="15" t="s">
        <v>217</v>
      </c>
      <c r="F1134" s="1" t="s">
        <v>56</v>
      </c>
      <c r="G1134" s="16">
        <v>-261663</v>
      </c>
      <c r="H1134" s="93">
        <f>'Emission Rates Net-by-Count'!$D$8</f>
        <v>1191.716320391361</v>
      </c>
      <c r="I1134" s="16">
        <f t="shared" si="40"/>
        <v>-155914.03377128235</v>
      </c>
      <c r="M1134" s="19"/>
      <c r="N1134" s="19"/>
      <c r="O1134" s="19"/>
      <c r="P1134" s="19"/>
    </row>
    <row r="1135" spans="1:16" x14ac:dyDescent="0.25">
      <c r="A1135" s="91">
        <v>1786</v>
      </c>
      <c r="B1135" s="15">
        <v>2010</v>
      </c>
      <c r="C1135" s="1" t="s">
        <v>120</v>
      </c>
      <c r="D1135" s="1" t="s">
        <v>216</v>
      </c>
      <c r="E1135" s="15" t="s">
        <v>217</v>
      </c>
      <c r="F1135" s="1" t="s">
        <v>57</v>
      </c>
      <c r="G1135" s="16">
        <v>-5161</v>
      </c>
      <c r="H1135" s="93">
        <f>'Emission Rates Net-by-Count'!$D$8</f>
        <v>1191.716320391361</v>
      </c>
      <c r="I1135" s="16">
        <f t="shared" si="40"/>
        <v>-3075.2239647699071</v>
      </c>
      <c r="M1135" s="19"/>
      <c r="N1135" s="19"/>
      <c r="O1135" s="19"/>
      <c r="P1135" s="19"/>
    </row>
    <row r="1136" spans="1:16" x14ac:dyDescent="0.25">
      <c r="A1136" s="91">
        <v>1787</v>
      </c>
      <c r="B1136" s="15">
        <v>2010</v>
      </c>
      <c r="C1136" s="1" t="s">
        <v>120</v>
      </c>
      <c r="D1136" s="1" t="s">
        <v>216</v>
      </c>
      <c r="E1136" s="15" t="s">
        <v>217</v>
      </c>
      <c r="F1136" s="1" t="s">
        <v>58</v>
      </c>
      <c r="G1136" s="16">
        <v>-767741</v>
      </c>
      <c r="H1136" s="93">
        <f>'Emission Rates Net-by-Count'!$D$8</f>
        <v>1191.716320391361</v>
      </c>
      <c r="I1136" s="16">
        <f t="shared" si="40"/>
        <v>-457464.73976679193</v>
      </c>
      <c r="M1136" s="19"/>
      <c r="N1136" s="19"/>
      <c r="O1136" s="19"/>
      <c r="P1136" s="19"/>
    </row>
    <row r="1137" spans="1:16" x14ac:dyDescent="0.25">
      <c r="A1137" s="91">
        <v>1788</v>
      </c>
      <c r="B1137" s="15">
        <v>2010</v>
      </c>
      <c r="C1137" s="1" t="s">
        <v>120</v>
      </c>
      <c r="D1137" s="1" t="s">
        <v>216</v>
      </c>
      <c r="E1137" s="15" t="s">
        <v>217</v>
      </c>
      <c r="F1137" s="1" t="s">
        <v>59</v>
      </c>
      <c r="G1137" s="16">
        <v>-10025</v>
      </c>
      <c r="H1137" s="93">
        <f>'Emission Rates Net-by-Count'!$D$8</f>
        <v>1191.716320391361</v>
      </c>
      <c r="I1137" s="16">
        <f t="shared" si="40"/>
        <v>-5973.4780559616975</v>
      </c>
      <c r="M1137" s="19"/>
      <c r="N1137" s="19"/>
      <c r="O1137" s="19"/>
      <c r="P1137" s="19"/>
    </row>
    <row r="1138" spans="1:16" x14ac:dyDescent="0.25">
      <c r="A1138" s="91">
        <v>1789</v>
      </c>
      <c r="B1138" s="15">
        <v>2010</v>
      </c>
      <c r="C1138" s="1" t="s">
        <v>120</v>
      </c>
      <c r="D1138" s="1" t="s">
        <v>216</v>
      </c>
      <c r="E1138" s="15" t="s">
        <v>217</v>
      </c>
      <c r="F1138" s="1" t="s">
        <v>60</v>
      </c>
      <c r="G1138" s="16">
        <v>-111624</v>
      </c>
      <c r="H1138" s="93">
        <f>'Emission Rates Net-by-Count'!$D$8</f>
        <v>1191.716320391361</v>
      </c>
      <c r="I1138" s="16">
        <f t="shared" si="40"/>
        <v>-66512.071273682639</v>
      </c>
      <c r="M1138" s="19"/>
      <c r="N1138" s="19"/>
      <c r="O1138" s="19"/>
      <c r="P1138" s="19"/>
    </row>
    <row r="1139" spans="1:16" x14ac:dyDescent="0.25">
      <c r="A1139" s="91">
        <v>1790</v>
      </c>
      <c r="B1139" s="15">
        <v>2010</v>
      </c>
      <c r="C1139" s="1" t="s">
        <v>120</v>
      </c>
      <c r="D1139" s="1" t="s">
        <v>216</v>
      </c>
      <c r="E1139" s="15" t="s">
        <v>217</v>
      </c>
      <c r="F1139" s="1" t="s">
        <v>61</v>
      </c>
      <c r="G1139" s="16">
        <v>-42662</v>
      </c>
      <c r="H1139" s="93">
        <f>'Emission Rates Net-by-Count'!$D$8</f>
        <v>1191.716320391361</v>
      </c>
      <c r="I1139" s="16">
        <f t="shared" si="40"/>
        <v>-25420.500830268124</v>
      </c>
      <c r="M1139" s="19"/>
      <c r="N1139" s="19"/>
      <c r="O1139" s="19"/>
      <c r="P1139" s="19"/>
    </row>
    <row r="1140" spans="1:16" x14ac:dyDescent="0.25">
      <c r="A1140" s="91">
        <v>1791</v>
      </c>
      <c r="B1140" s="15">
        <v>2010</v>
      </c>
      <c r="C1140" s="1" t="s">
        <v>120</v>
      </c>
      <c r="D1140" s="1" t="s">
        <v>216</v>
      </c>
      <c r="E1140" s="15" t="s">
        <v>217</v>
      </c>
      <c r="F1140" s="1" t="s">
        <v>146</v>
      </c>
      <c r="G1140" s="16">
        <v>-54095</v>
      </c>
      <c r="H1140" s="93">
        <f>'Emission Rates Net-by-Count'!$D$8</f>
        <v>1191.716320391361</v>
      </c>
      <c r="I1140" s="16">
        <f t="shared" si="40"/>
        <v>-32232.947175785335</v>
      </c>
      <c r="M1140" s="19"/>
      <c r="N1140" s="19"/>
      <c r="O1140" s="19"/>
      <c r="P1140" s="19"/>
    </row>
    <row r="1141" spans="1:16" x14ac:dyDescent="0.25">
      <c r="A1141" s="91">
        <v>1792</v>
      </c>
      <c r="B1141" s="15">
        <v>2010</v>
      </c>
      <c r="C1141" s="1" t="s">
        <v>120</v>
      </c>
      <c r="D1141" s="1" t="s">
        <v>216</v>
      </c>
      <c r="E1141" s="15" t="s">
        <v>217</v>
      </c>
      <c r="F1141" s="1" t="s">
        <v>131</v>
      </c>
      <c r="G1141" s="16">
        <v>-150800</v>
      </c>
      <c r="H1141" s="93">
        <f>'Emission Rates Net-by-Count'!$D$8</f>
        <v>1191.716320391361</v>
      </c>
      <c r="I1141" s="16">
        <f t="shared" si="40"/>
        <v>-89855.410557508614</v>
      </c>
      <c r="M1141" s="19"/>
      <c r="N1141" s="19"/>
      <c r="O1141" s="19"/>
      <c r="P1141" s="19"/>
    </row>
    <row r="1142" spans="1:16" x14ac:dyDescent="0.25">
      <c r="A1142" s="91">
        <v>1793</v>
      </c>
      <c r="B1142" s="15">
        <v>2010</v>
      </c>
      <c r="C1142" s="1" t="s">
        <v>120</v>
      </c>
      <c r="D1142" s="1" t="s">
        <v>216</v>
      </c>
      <c r="E1142" s="15" t="s">
        <v>217</v>
      </c>
      <c r="F1142" s="1" t="s">
        <v>62</v>
      </c>
      <c r="G1142" s="16">
        <v>-1065</v>
      </c>
      <c r="H1142" s="93">
        <f>'Emission Rates Net-by-Count'!$D$8</f>
        <v>1191.716320391361</v>
      </c>
      <c r="I1142" s="16">
        <f t="shared" si="40"/>
        <v>-634.58894060839964</v>
      </c>
      <c r="M1142" s="19"/>
      <c r="N1142" s="19"/>
      <c r="O1142" s="19"/>
      <c r="P1142" s="19"/>
    </row>
    <row r="1143" spans="1:16" x14ac:dyDescent="0.25">
      <c r="A1143" s="91">
        <v>1794</v>
      </c>
      <c r="B1143" s="15">
        <v>2010</v>
      </c>
      <c r="C1143" s="1" t="s">
        <v>120</v>
      </c>
      <c r="D1143" s="1" t="s">
        <v>216</v>
      </c>
      <c r="E1143" s="15" t="s">
        <v>217</v>
      </c>
      <c r="F1143" s="1" t="s">
        <v>164</v>
      </c>
      <c r="G1143" s="16">
        <v>-831</v>
      </c>
      <c r="H1143" s="93">
        <f>'Emission Rates Net-by-Count'!$D$8</f>
        <v>1191.716320391361</v>
      </c>
      <c r="I1143" s="16">
        <f t="shared" si="40"/>
        <v>-495.15813112261054</v>
      </c>
      <c r="M1143" s="19"/>
      <c r="N1143" s="19"/>
      <c r="O1143" s="19"/>
      <c r="P1143" s="19"/>
    </row>
    <row r="1144" spans="1:16" x14ac:dyDescent="0.25">
      <c r="A1144" s="91">
        <v>1795</v>
      </c>
      <c r="B1144" s="15">
        <v>2010</v>
      </c>
      <c r="C1144" s="1" t="s">
        <v>120</v>
      </c>
      <c r="D1144" s="1" t="s">
        <v>216</v>
      </c>
      <c r="E1144" s="15" t="s">
        <v>217</v>
      </c>
      <c r="F1144" s="1" t="s">
        <v>165</v>
      </c>
      <c r="G1144" s="16">
        <v>-58348</v>
      </c>
      <c r="H1144" s="93">
        <f>'Emission Rates Net-by-Count'!$D$8</f>
        <v>1191.716320391361</v>
      </c>
      <c r="I1144" s="16">
        <f t="shared" si="40"/>
        <v>-34767.131931097567</v>
      </c>
      <c r="M1144" s="19"/>
      <c r="N1144" s="19"/>
      <c r="O1144" s="19"/>
      <c r="P1144" s="19"/>
    </row>
    <row r="1145" spans="1:16" x14ac:dyDescent="0.25">
      <c r="A1145" s="91">
        <v>1796</v>
      </c>
      <c r="B1145" s="15">
        <v>2010</v>
      </c>
      <c r="C1145" s="1" t="s">
        <v>120</v>
      </c>
      <c r="D1145" s="1" t="s">
        <v>216</v>
      </c>
      <c r="E1145" s="15" t="s">
        <v>217</v>
      </c>
      <c r="F1145" s="1" t="s">
        <v>166</v>
      </c>
      <c r="G1145" s="16">
        <v>-1200</v>
      </c>
      <c r="H1145" s="93">
        <f>'Emission Rates Net-by-Count'!$D$8</f>
        <v>1191.716320391361</v>
      </c>
      <c r="I1145" s="16">
        <f t="shared" si="40"/>
        <v>-715.02979223481657</v>
      </c>
      <c r="M1145" s="19"/>
      <c r="N1145" s="19"/>
      <c r="O1145" s="19"/>
      <c r="P1145" s="19"/>
    </row>
    <row r="1146" spans="1:16" x14ac:dyDescent="0.25">
      <c r="A1146" s="91">
        <v>1797</v>
      </c>
      <c r="B1146" s="15">
        <v>2010</v>
      </c>
      <c r="C1146" s="1" t="s">
        <v>120</v>
      </c>
      <c r="D1146" s="1" t="s">
        <v>216</v>
      </c>
      <c r="E1146" s="15" t="s">
        <v>217</v>
      </c>
      <c r="F1146" s="1" t="s">
        <v>63</v>
      </c>
      <c r="G1146" s="16">
        <v>-1808</v>
      </c>
      <c r="H1146" s="93">
        <f>'Emission Rates Net-by-Count'!$D$8</f>
        <v>1191.716320391361</v>
      </c>
      <c r="I1146" s="16">
        <f t="shared" si="40"/>
        <v>-1077.3115536337905</v>
      </c>
      <c r="M1146" s="19"/>
      <c r="N1146" s="19"/>
      <c r="O1146" s="19"/>
      <c r="P1146" s="19"/>
    </row>
    <row r="1147" spans="1:16" x14ac:dyDescent="0.25">
      <c r="A1147" s="91">
        <v>1798</v>
      </c>
      <c r="B1147" s="15">
        <v>2010</v>
      </c>
      <c r="C1147" s="1" t="s">
        <v>120</v>
      </c>
      <c r="D1147" s="1" t="s">
        <v>216</v>
      </c>
      <c r="E1147" s="15" t="s">
        <v>217</v>
      </c>
      <c r="F1147" s="1" t="s">
        <v>65</v>
      </c>
      <c r="G1147" s="16">
        <v>-14553</v>
      </c>
      <c r="H1147" s="93">
        <f>'Emission Rates Net-by-Count'!$D$8</f>
        <v>1191.716320391361</v>
      </c>
      <c r="I1147" s="16">
        <f t="shared" si="40"/>
        <v>-8671.5238053277371</v>
      </c>
      <c r="M1147" s="19"/>
      <c r="N1147" s="19"/>
      <c r="O1147" s="19"/>
      <c r="P1147" s="19"/>
    </row>
    <row r="1148" spans="1:16" x14ac:dyDescent="0.25">
      <c r="A1148" s="91">
        <v>1799</v>
      </c>
      <c r="B1148" s="15">
        <v>2010</v>
      </c>
      <c r="C1148" s="1" t="s">
        <v>120</v>
      </c>
      <c r="D1148" s="1" t="s">
        <v>216</v>
      </c>
      <c r="E1148" s="15" t="s">
        <v>217</v>
      </c>
      <c r="F1148" s="1" t="s">
        <v>132</v>
      </c>
      <c r="G1148" s="16">
        <v>-12000</v>
      </c>
      <c r="H1148" s="93">
        <f>'Emission Rates Net-by-Count'!$D$8</f>
        <v>1191.716320391361</v>
      </c>
      <c r="I1148" s="16">
        <f t="shared" si="40"/>
        <v>-7150.2979223481661</v>
      </c>
      <c r="M1148" s="19"/>
      <c r="N1148" s="19"/>
      <c r="O1148" s="19"/>
      <c r="P1148" s="19"/>
    </row>
    <row r="1149" spans="1:16" x14ac:dyDescent="0.25">
      <c r="A1149" s="91">
        <v>1800</v>
      </c>
      <c r="B1149" s="15">
        <v>2010</v>
      </c>
      <c r="C1149" s="1" t="s">
        <v>120</v>
      </c>
      <c r="D1149" s="1" t="s">
        <v>216</v>
      </c>
      <c r="E1149" s="15" t="s">
        <v>217</v>
      </c>
      <c r="F1149" s="1" t="s">
        <v>67</v>
      </c>
      <c r="G1149" s="16">
        <v>-45909</v>
      </c>
      <c r="H1149" s="93">
        <f>'Emission Rates Net-by-Count'!$D$8</f>
        <v>1191.716320391361</v>
      </c>
      <c r="I1149" s="16">
        <f t="shared" si="40"/>
        <v>-27355.252276423496</v>
      </c>
      <c r="M1149" s="19"/>
      <c r="N1149" s="19"/>
      <c r="O1149" s="19"/>
      <c r="P1149" s="19"/>
    </row>
    <row r="1150" spans="1:16" x14ac:dyDescent="0.25">
      <c r="A1150" s="91">
        <v>1801</v>
      </c>
      <c r="B1150" s="15">
        <v>2010</v>
      </c>
      <c r="C1150" s="1" t="s">
        <v>120</v>
      </c>
      <c r="D1150" s="1" t="s">
        <v>216</v>
      </c>
      <c r="E1150" s="15" t="s">
        <v>217</v>
      </c>
      <c r="F1150" s="1" t="s">
        <v>69</v>
      </c>
      <c r="G1150" s="16">
        <v>-442218</v>
      </c>
      <c r="H1150" s="93">
        <f>'Emission Rates Net-by-Count'!$D$8</f>
        <v>1191.716320391361</v>
      </c>
      <c r="I1150" s="16">
        <f t="shared" si="40"/>
        <v>-263499.20388541342</v>
      </c>
      <c r="M1150" s="19"/>
      <c r="N1150" s="19"/>
      <c r="O1150" s="19"/>
      <c r="P1150" s="19"/>
    </row>
    <row r="1151" spans="1:16" x14ac:dyDescent="0.25">
      <c r="A1151" s="91">
        <v>1802</v>
      </c>
      <c r="B1151" s="15">
        <v>2010</v>
      </c>
      <c r="C1151" s="1" t="s">
        <v>120</v>
      </c>
      <c r="D1151" s="1" t="s">
        <v>216</v>
      </c>
      <c r="E1151" s="15" t="s">
        <v>217</v>
      </c>
      <c r="F1151" s="1" t="s">
        <v>71</v>
      </c>
      <c r="G1151" s="16">
        <v>-60759</v>
      </c>
      <c r="H1151" s="93">
        <f>'Emission Rates Net-by-Count'!$D$8</f>
        <v>1191.716320391361</v>
      </c>
      <c r="I1151" s="16">
        <f t="shared" ref="I1151:I1182" si="41">(G1151*H1151)/2000</f>
        <v>-36203.745955329352</v>
      </c>
      <c r="M1151" s="19"/>
      <c r="N1151" s="19"/>
      <c r="O1151" s="19"/>
      <c r="P1151" s="19"/>
    </row>
    <row r="1152" spans="1:16" x14ac:dyDescent="0.25">
      <c r="A1152" s="91">
        <v>1803</v>
      </c>
      <c r="B1152" s="15">
        <v>2010</v>
      </c>
      <c r="C1152" s="1" t="s">
        <v>120</v>
      </c>
      <c r="D1152" s="1" t="s">
        <v>216</v>
      </c>
      <c r="E1152" s="15" t="s">
        <v>217</v>
      </c>
      <c r="F1152" s="1" t="s">
        <v>72</v>
      </c>
      <c r="G1152" s="16">
        <v>-800</v>
      </c>
      <c r="H1152" s="93">
        <f>'Emission Rates Net-by-Count'!$D$8</f>
        <v>1191.716320391361</v>
      </c>
      <c r="I1152" s="16">
        <f t="shared" si="41"/>
        <v>-476.68652815654445</v>
      </c>
      <c r="M1152" s="19"/>
      <c r="N1152" s="19"/>
      <c r="O1152" s="19"/>
      <c r="P1152" s="19"/>
    </row>
    <row r="1153" spans="1:16" x14ac:dyDescent="0.25">
      <c r="A1153" s="91">
        <v>1804</v>
      </c>
      <c r="B1153" s="15">
        <v>2010</v>
      </c>
      <c r="C1153" s="1" t="s">
        <v>120</v>
      </c>
      <c r="D1153" s="1" t="s">
        <v>216</v>
      </c>
      <c r="E1153" s="15" t="s">
        <v>217</v>
      </c>
      <c r="F1153" s="1" t="s">
        <v>133</v>
      </c>
      <c r="G1153" s="16">
        <v>-92601</v>
      </c>
      <c r="H1153" s="93">
        <f>'Emission Rates Net-by-Count'!$D$8</f>
        <v>1191.716320391361</v>
      </c>
      <c r="I1153" s="16">
        <f t="shared" si="41"/>
        <v>-55177.061492280205</v>
      </c>
      <c r="M1153" s="19"/>
      <c r="N1153" s="19"/>
      <c r="O1153" s="19"/>
      <c r="P1153" s="19"/>
    </row>
    <row r="1154" spans="1:16" x14ac:dyDescent="0.25">
      <c r="A1154" s="91">
        <v>1805</v>
      </c>
      <c r="B1154" s="15">
        <v>2010</v>
      </c>
      <c r="C1154" s="1" t="s">
        <v>120</v>
      </c>
      <c r="D1154" s="1" t="s">
        <v>216</v>
      </c>
      <c r="E1154" s="15" t="s">
        <v>217</v>
      </c>
      <c r="F1154" s="1" t="s">
        <v>76</v>
      </c>
      <c r="G1154" s="16">
        <v>-75385</v>
      </c>
      <c r="H1154" s="93">
        <f>'Emission Rates Net-by-Count'!$D$8</f>
        <v>1191.716320391361</v>
      </c>
      <c r="I1154" s="16">
        <f t="shared" si="41"/>
        <v>-44918.76740635137</v>
      </c>
      <c r="M1154" s="19"/>
      <c r="N1154" s="19"/>
      <c r="O1154" s="19"/>
      <c r="P1154" s="19"/>
    </row>
    <row r="1155" spans="1:16" x14ac:dyDescent="0.25">
      <c r="A1155" s="91">
        <v>1806</v>
      </c>
      <c r="B1155" s="15">
        <v>2010</v>
      </c>
      <c r="C1155" s="1" t="s">
        <v>120</v>
      </c>
      <c r="D1155" s="1" t="s">
        <v>216</v>
      </c>
      <c r="E1155" s="15" t="s">
        <v>217</v>
      </c>
      <c r="F1155" s="1" t="s">
        <v>77</v>
      </c>
      <c r="G1155" s="16">
        <v>-10</v>
      </c>
      <c r="H1155" s="93">
        <f>'Emission Rates Net-by-Count'!$D$8</f>
        <v>1191.716320391361</v>
      </c>
      <c r="I1155" s="16">
        <f t="shared" si="41"/>
        <v>-5.958581601956805</v>
      </c>
      <c r="M1155" s="19"/>
      <c r="N1155" s="19"/>
      <c r="O1155" s="19"/>
      <c r="P1155" s="19"/>
    </row>
    <row r="1156" spans="1:16" x14ac:dyDescent="0.25">
      <c r="A1156" s="91">
        <v>1807</v>
      </c>
      <c r="B1156" s="15">
        <v>2010</v>
      </c>
      <c r="C1156" s="1" t="s">
        <v>120</v>
      </c>
      <c r="D1156" s="1" t="s">
        <v>216</v>
      </c>
      <c r="E1156" s="15" t="s">
        <v>217</v>
      </c>
      <c r="F1156" s="1" t="s">
        <v>78</v>
      </c>
      <c r="G1156" s="16">
        <v>-454431</v>
      </c>
      <c r="H1156" s="93">
        <f>'Emission Rates Net-by-Count'!$D$8</f>
        <v>1191.716320391361</v>
      </c>
      <c r="I1156" s="16">
        <f t="shared" si="41"/>
        <v>-270776.41959588329</v>
      </c>
      <c r="M1156" s="19"/>
      <c r="N1156" s="19"/>
      <c r="O1156" s="19"/>
      <c r="P1156" s="19"/>
    </row>
    <row r="1157" spans="1:16" x14ac:dyDescent="0.25">
      <c r="A1157" s="91">
        <v>1808</v>
      </c>
      <c r="B1157" s="15">
        <v>2010</v>
      </c>
      <c r="C1157" s="1" t="s">
        <v>120</v>
      </c>
      <c r="D1157" s="1" t="s">
        <v>216</v>
      </c>
      <c r="E1157" s="15" t="s">
        <v>217</v>
      </c>
      <c r="F1157" s="1" t="s">
        <v>79</v>
      </c>
      <c r="G1157" s="16">
        <v>-356</v>
      </c>
      <c r="H1157" s="93">
        <f>'Emission Rates Net-by-Count'!$D$8</f>
        <v>1191.716320391361</v>
      </c>
      <c r="I1157" s="16">
        <f t="shared" si="41"/>
        <v>-212.12550502966226</v>
      </c>
      <c r="M1157" s="19"/>
      <c r="N1157" s="19"/>
      <c r="O1157" s="19"/>
      <c r="P1157" s="19"/>
    </row>
    <row r="1158" spans="1:16" x14ac:dyDescent="0.25">
      <c r="A1158" s="91">
        <v>1809</v>
      </c>
      <c r="B1158" s="15">
        <v>2010</v>
      </c>
      <c r="C1158" s="1" t="s">
        <v>120</v>
      </c>
      <c r="D1158" s="1" t="s">
        <v>216</v>
      </c>
      <c r="E1158" s="15" t="s">
        <v>217</v>
      </c>
      <c r="F1158" s="1" t="s">
        <v>168</v>
      </c>
      <c r="G1158" s="16">
        <v>-2</v>
      </c>
      <c r="H1158" s="93">
        <f>'Emission Rates Net-by-Count'!$D$8</f>
        <v>1191.716320391361</v>
      </c>
      <c r="I1158" s="16">
        <f t="shared" si="41"/>
        <v>-1.191716320391361</v>
      </c>
      <c r="M1158" s="19"/>
      <c r="N1158" s="19"/>
      <c r="O1158" s="19"/>
      <c r="P1158" s="19"/>
    </row>
    <row r="1159" spans="1:16" x14ac:dyDescent="0.25">
      <c r="A1159" s="91">
        <v>1810</v>
      </c>
      <c r="B1159" s="15">
        <v>2010</v>
      </c>
      <c r="C1159" s="1" t="s">
        <v>120</v>
      </c>
      <c r="D1159" s="1" t="s">
        <v>216</v>
      </c>
      <c r="E1159" s="15" t="s">
        <v>217</v>
      </c>
      <c r="F1159" s="1" t="s">
        <v>173</v>
      </c>
      <c r="G1159" s="16">
        <v>-294</v>
      </c>
      <c r="H1159" s="93">
        <f>'Emission Rates Net-by-Count'!$D$8</f>
        <v>1191.716320391361</v>
      </c>
      <c r="I1159" s="16">
        <f t="shared" si="41"/>
        <v>-175.18229909753009</v>
      </c>
      <c r="M1159" s="19"/>
      <c r="N1159" s="19"/>
      <c r="O1159" s="19"/>
      <c r="P1159" s="19"/>
    </row>
    <row r="1160" spans="1:16" x14ac:dyDescent="0.25">
      <c r="A1160" s="91">
        <v>1811</v>
      </c>
      <c r="B1160" s="15">
        <v>2010</v>
      </c>
      <c r="C1160" s="1" t="s">
        <v>120</v>
      </c>
      <c r="D1160" s="1" t="s">
        <v>216</v>
      </c>
      <c r="E1160" s="15" t="s">
        <v>217</v>
      </c>
      <c r="F1160" s="1" t="s">
        <v>81</v>
      </c>
      <c r="G1160" s="16">
        <v>-10173</v>
      </c>
      <c r="H1160" s="93">
        <f>'Emission Rates Net-by-Count'!$D$8</f>
        <v>1191.716320391361</v>
      </c>
      <c r="I1160" s="16">
        <f t="shared" si="41"/>
        <v>-6061.6650636706572</v>
      </c>
      <c r="M1160" s="19"/>
      <c r="N1160" s="19"/>
      <c r="O1160" s="19"/>
      <c r="P1160" s="19"/>
    </row>
    <row r="1161" spans="1:16" x14ac:dyDescent="0.25">
      <c r="A1161" s="91">
        <v>1812</v>
      </c>
      <c r="B1161" s="15">
        <v>2010</v>
      </c>
      <c r="C1161" s="1" t="s">
        <v>120</v>
      </c>
      <c r="D1161" s="1" t="s">
        <v>216</v>
      </c>
      <c r="E1161" s="15" t="s">
        <v>217</v>
      </c>
      <c r="F1161" s="1" t="s">
        <v>82</v>
      </c>
      <c r="G1161" s="16">
        <v>-48784</v>
      </c>
      <c r="H1161" s="93">
        <f>'Emission Rates Net-by-Count'!$D$8</f>
        <v>1191.716320391361</v>
      </c>
      <c r="I1161" s="16">
        <f t="shared" si="41"/>
        <v>-29068.34448698608</v>
      </c>
      <c r="M1161" s="19"/>
      <c r="N1161" s="19"/>
      <c r="O1161" s="19"/>
      <c r="P1161" s="19"/>
    </row>
    <row r="1162" spans="1:16" x14ac:dyDescent="0.25">
      <c r="A1162" s="91">
        <v>1813</v>
      </c>
      <c r="B1162" s="15">
        <v>2010</v>
      </c>
      <c r="C1162" s="1" t="s">
        <v>120</v>
      </c>
      <c r="D1162" s="1" t="s">
        <v>216</v>
      </c>
      <c r="E1162" s="15" t="s">
        <v>217</v>
      </c>
      <c r="F1162" s="1" t="s">
        <v>83</v>
      </c>
      <c r="G1162" s="16">
        <v>-175</v>
      </c>
      <c r="H1162" s="93">
        <f>'Emission Rates Net-by-Count'!$D$8</f>
        <v>1191.716320391361</v>
      </c>
      <c r="I1162" s="16">
        <f t="shared" si="41"/>
        <v>-104.27517803424409</v>
      </c>
      <c r="M1162" s="19"/>
      <c r="N1162" s="19"/>
      <c r="O1162" s="19"/>
      <c r="P1162" s="19"/>
    </row>
    <row r="1163" spans="1:16" x14ac:dyDescent="0.25">
      <c r="A1163" s="91">
        <v>1814</v>
      </c>
      <c r="B1163" s="15">
        <v>2010</v>
      </c>
      <c r="C1163" s="1" t="s">
        <v>120</v>
      </c>
      <c r="D1163" s="1" t="s">
        <v>216</v>
      </c>
      <c r="E1163" s="15" t="s">
        <v>217</v>
      </c>
      <c r="F1163" s="1" t="s">
        <v>84</v>
      </c>
      <c r="G1163" s="16">
        <v>-4755</v>
      </c>
      <c r="H1163" s="93">
        <f>'Emission Rates Net-by-Count'!$D$8</f>
        <v>1191.716320391361</v>
      </c>
      <c r="I1163" s="16">
        <f t="shared" si="41"/>
        <v>-2833.305551730461</v>
      </c>
      <c r="M1163" s="19"/>
      <c r="N1163" s="19"/>
      <c r="O1163" s="19"/>
      <c r="P1163" s="19"/>
    </row>
    <row r="1164" spans="1:16" x14ac:dyDescent="0.25">
      <c r="A1164" s="91">
        <v>1815</v>
      </c>
      <c r="B1164" s="15">
        <v>2010</v>
      </c>
      <c r="C1164" s="1" t="s">
        <v>120</v>
      </c>
      <c r="D1164" s="1" t="s">
        <v>216</v>
      </c>
      <c r="E1164" s="15" t="s">
        <v>217</v>
      </c>
      <c r="F1164" s="1" t="s">
        <v>149</v>
      </c>
      <c r="G1164" s="16">
        <v>-111596</v>
      </c>
      <c r="H1164" s="93">
        <f>'Emission Rates Net-by-Count'!$D$8</f>
        <v>1191.716320391361</v>
      </c>
      <c r="I1164" s="16">
        <f t="shared" si="41"/>
        <v>-66495.387245197169</v>
      </c>
      <c r="M1164" s="19"/>
      <c r="N1164" s="19"/>
      <c r="O1164" s="19"/>
      <c r="P1164" s="19"/>
    </row>
    <row r="1165" spans="1:16" x14ac:dyDescent="0.25">
      <c r="A1165" s="91">
        <v>1816</v>
      </c>
      <c r="B1165" s="15">
        <v>2010</v>
      </c>
      <c r="C1165" s="1" t="s">
        <v>120</v>
      </c>
      <c r="D1165" s="1" t="s">
        <v>216</v>
      </c>
      <c r="E1165" s="15" t="s">
        <v>217</v>
      </c>
      <c r="F1165" s="1" t="s">
        <v>85</v>
      </c>
      <c r="G1165" s="16">
        <v>-167918</v>
      </c>
      <c r="H1165" s="93">
        <f>'Emission Rates Net-by-Count'!$D$8</f>
        <v>1191.716320391361</v>
      </c>
      <c r="I1165" s="16">
        <f t="shared" si="41"/>
        <v>-100055.31054373828</v>
      </c>
      <c r="M1165" s="19"/>
      <c r="N1165" s="19"/>
      <c r="O1165" s="19"/>
      <c r="P1165" s="19"/>
    </row>
    <row r="1166" spans="1:16" x14ac:dyDescent="0.25">
      <c r="A1166" s="91">
        <v>1817</v>
      </c>
      <c r="B1166" s="15">
        <v>2010</v>
      </c>
      <c r="C1166" s="1" t="s">
        <v>120</v>
      </c>
      <c r="D1166" s="1" t="s">
        <v>216</v>
      </c>
      <c r="E1166" s="15" t="s">
        <v>217</v>
      </c>
      <c r="F1166" s="1" t="s">
        <v>87</v>
      </c>
      <c r="G1166" s="16">
        <v>-68889</v>
      </c>
      <c r="H1166" s="93">
        <f>'Emission Rates Net-by-Count'!$D$8</f>
        <v>1191.716320391361</v>
      </c>
      <c r="I1166" s="16">
        <f t="shared" si="41"/>
        <v>-41048.072797720233</v>
      </c>
      <c r="M1166" s="19"/>
      <c r="N1166" s="19"/>
      <c r="O1166" s="19"/>
      <c r="P1166" s="19"/>
    </row>
    <row r="1167" spans="1:16" x14ac:dyDescent="0.25">
      <c r="A1167" s="91">
        <v>1818</v>
      </c>
      <c r="B1167" s="15">
        <v>2010</v>
      </c>
      <c r="C1167" s="1" t="s">
        <v>120</v>
      </c>
      <c r="D1167" s="1" t="s">
        <v>216</v>
      </c>
      <c r="E1167" s="15" t="s">
        <v>217</v>
      </c>
      <c r="F1167" s="1" t="s">
        <v>88</v>
      </c>
      <c r="G1167" s="16">
        <v>-330673</v>
      </c>
      <c r="H1167" s="93">
        <f>'Emission Rates Net-by-Count'!$D$8</f>
        <v>1191.716320391361</v>
      </c>
      <c r="I1167" s="16">
        <f t="shared" si="41"/>
        <v>-197034.20540638626</v>
      </c>
      <c r="M1167" s="19"/>
      <c r="N1167" s="19"/>
      <c r="O1167" s="19"/>
      <c r="P1167" s="19"/>
    </row>
    <row r="1168" spans="1:16" x14ac:dyDescent="0.25">
      <c r="A1168" s="91">
        <v>1819</v>
      </c>
      <c r="B1168" s="15">
        <v>2010</v>
      </c>
      <c r="C1168" s="1" t="s">
        <v>120</v>
      </c>
      <c r="D1168" s="1" t="s">
        <v>216</v>
      </c>
      <c r="E1168" s="15" t="s">
        <v>217</v>
      </c>
      <c r="F1168" s="1" t="s">
        <v>90</v>
      </c>
      <c r="G1168" s="16">
        <v>-4400</v>
      </c>
      <c r="H1168" s="93">
        <f>'Emission Rates Net-by-Count'!$D$8</f>
        <v>1191.716320391361</v>
      </c>
      <c r="I1168" s="16">
        <f t="shared" si="41"/>
        <v>-2621.7759048609942</v>
      </c>
      <c r="M1168" s="19"/>
      <c r="N1168" s="19"/>
      <c r="O1168" s="19"/>
      <c r="P1168" s="19"/>
    </row>
    <row r="1169" spans="1:16" x14ac:dyDescent="0.25">
      <c r="A1169" s="91">
        <v>1820</v>
      </c>
      <c r="B1169" s="15">
        <v>2010</v>
      </c>
      <c r="C1169" s="1" t="s">
        <v>120</v>
      </c>
      <c r="D1169" s="1" t="s">
        <v>216</v>
      </c>
      <c r="E1169" s="15" t="s">
        <v>217</v>
      </c>
      <c r="F1169" s="1" t="s">
        <v>91</v>
      </c>
      <c r="G1169" s="16">
        <v>-46883</v>
      </c>
      <c r="H1169" s="93">
        <f>'Emission Rates Net-by-Count'!$D$8</f>
        <v>1191.716320391361</v>
      </c>
      <c r="I1169" s="16">
        <f t="shared" si="41"/>
        <v>-27935.618124454089</v>
      </c>
      <c r="M1169" s="19"/>
      <c r="N1169" s="19"/>
      <c r="O1169" s="19"/>
      <c r="P1169" s="19"/>
    </row>
    <row r="1170" spans="1:16" x14ac:dyDescent="0.25">
      <c r="A1170" s="91">
        <v>1821</v>
      </c>
      <c r="B1170" s="15">
        <v>2010</v>
      </c>
      <c r="C1170" s="1" t="s">
        <v>120</v>
      </c>
      <c r="D1170" s="1" t="s">
        <v>216</v>
      </c>
      <c r="E1170" s="15" t="s">
        <v>217</v>
      </c>
      <c r="F1170" s="1" t="s">
        <v>92</v>
      </c>
      <c r="G1170" s="16">
        <v>-463</v>
      </c>
      <c r="H1170" s="93">
        <f>'Emission Rates Net-by-Count'!$D$8</f>
        <v>1191.716320391361</v>
      </c>
      <c r="I1170" s="16">
        <f t="shared" si="41"/>
        <v>-275.88232817060003</v>
      </c>
      <c r="M1170" s="19"/>
      <c r="N1170" s="19"/>
      <c r="O1170" s="19"/>
      <c r="P1170" s="19"/>
    </row>
    <row r="1171" spans="1:16" x14ac:dyDescent="0.25">
      <c r="A1171" s="91">
        <v>1822</v>
      </c>
      <c r="B1171" s="15">
        <v>2010</v>
      </c>
      <c r="C1171" s="1" t="s">
        <v>120</v>
      </c>
      <c r="D1171" s="1" t="s">
        <v>216</v>
      </c>
      <c r="E1171" s="15" t="s">
        <v>217</v>
      </c>
      <c r="F1171" s="1" t="s">
        <v>93</v>
      </c>
      <c r="G1171" s="16">
        <v>-4178</v>
      </c>
      <c r="H1171" s="93">
        <f>'Emission Rates Net-by-Count'!$D$8</f>
        <v>1191.716320391361</v>
      </c>
      <c r="I1171" s="16">
        <f t="shared" si="41"/>
        <v>-2489.4953932975532</v>
      </c>
      <c r="M1171" s="19"/>
      <c r="N1171" s="19"/>
      <c r="O1171" s="19"/>
      <c r="P1171" s="19"/>
    </row>
    <row r="1172" spans="1:16" x14ac:dyDescent="0.25">
      <c r="A1172" s="91">
        <v>1823</v>
      </c>
      <c r="B1172" s="15">
        <v>2010</v>
      </c>
      <c r="C1172" s="1" t="s">
        <v>120</v>
      </c>
      <c r="D1172" s="1" t="s">
        <v>216</v>
      </c>
      <c r="E1172" s="15" t="s">
        <v>217</v>
      </c>
      <c r="F1172" s="1" t="s">
        <v>94</v>
      </c>
      <c r="G1172" s="16">
        <v>-10399</v>
      </c>
      <c r="H1172" s="93">
        <f>'Emission Rates Net-by-Count'!$D$8</f>
        <v>1191.716320391361</v>
      </c>
      <c r="I1172" s="16">
        <f t="shared" si="41"/>
        <v>-6196.3290078748814</v>
      </c>
      <c r="M1172" s="19"/>
      <c r="N1172" s="19"/>
      <c r="O1172" s="19"/>
      <c r="P1172" s="19"/>
    </row>
    <row r="1173" spans="1:16" x14ac:dyDescent="0.25">
      <c r="A1173" s="91">
        <v>1824</v>
      </c>
      <c r="B1173" s="15">
        <v>2010</v>
      </c>
      <c r="C1173" s="1" t="s">
        <v>120</v>
      </c>
      <c r="D1173" s="1" t="s">
        <v>216</v>
      </c>
      <c r="E1173" s="15" t="s">
        <v>217</v>
      </c>
      <c r="F1173" s="1" t="s">
        <v>95</v>
      </c>
      <c r="G1173" s="16">
        <v>-24056</v>
      </c>
      <c r="H1173" s="93">
        <f>'Emission Rates Net-by-Count'!$D$8</f>
        <v>1191.716320391361</v>
      </c>
      <c r="I1173" s="16">
        <f t="shared" si="41"/>
        <v>-14333.963901667292</v>
      </c>
      <c r="M1173" s="19"/>
      <c r="N1173" s="19"/>
      <c r="O1173" s="19"/>
      <c r="P1173" s="19"/>
    </row>
    <row r="1174" spans="1:16" x14ac:dyDescent="0.25">
      <c r="A1174" s="91">
        <v>1825</v>
      </c>
      <c r="B1174" s="15">
        <v>2010</v>
      </c>
      <c r="C1174" s="1" t="s">
        <v>120</v>
      </c>
      <c r="D1174" s="1" t="s">
        <v>216</v>
      </c>
      <c r="E1174" s="15" t="s">
        <v>217</v>
      </c>
      <c r="F1174" s="1" t="s">
        <v>96</v>
      </c>
      <c r="G1174" s="16">
        <v>-112120</v>
      </c>
      <c r="H1174" s="93">
        <f>'Emission Rates Net-by-Count'!$D$8</f>
        <v>1191.716320391361</v>
      </c>
      <c r="I1174" s="16">
        <f t="shared" si="41"/>
        <v>-66807.616921139706</v>
      </c>
      <c r="M1174" s="19"/>
      <c r="N1174" s="19"/>
      <c r="O1174" s="19"/>
      <c r="P1174" s="19"/>
    </row>
    <row r="1175" spans="1:16" x14ac:dyDescent="0.25">
      <c r="A1175" s="91">
        <v>1826</v>
      </c>
      <c r="B1175" s="15">
        <v>2010</v>
      </c>
      <c r="C1175" s="1" t="s">
        <v>120</v>
      </c>
      <c r="D1175" s="1" t="s">
        <v>216</v>
      </c>
      <c r="E1175" s="15" t="s">
        <v>217</v>
      </c>
      <c r="F1175" s="1" t="s">
        <v>97</v>
      </c>
      <c r="G1175" s="16">
        <v>-449454</v>
      </c>
      <c r="H1175" s="93">
        <f>'Emission Rates Net-by-Count'!$D$8</f>
        <v>1191.716320391361</v>
      </c>
      <c r="I1175" s="16">
        <f t="shared" si="41"/>
        <v>-267810.83353258937</v>
      </c>
      <c r="M1175" s="19"/>
      <c r="N1175" s="19"/>
      <c r="O1175" s="19"/>
      <c r="P1175" s="19"/>
    </row>
    <row r="1176" spans="1:16" x14ac:dyDescent="0.25">
      <c r="A1176" s="91">
        <v>1827</v>
      </c>
      <c r="B1176" s="15">
        <v>2010</v>
      </c>
      <c r="C1176" s="1" t="s">
        <v>120</v>
      </c>
      <c r="D1176" s="1" t="s">
        <v>216</v>
      </c>
      <c r="E1176" s="15" t="s">
        <v>217</v>
      </c>
      <c r="F1176" s="1" t="s">
        <v>98</v>
      </c>
      <c r="G1176" s="16">
        <v>-2937</v>
      </c>
      <c r="H1176" s="93">
        <f>'Emission Rates Net-by-Count'!$D$8</f>
        <v>1191.716320391361</v>
      </c>
      <c r="I1176" s="16">
        <f t="shared" si="41"/>
        <v>-1750.0354164947137</v>
      </c>
      <c r="M1176" s="19"/>
      <c r="N1176" s="19"/>
      <c r="O1176" s="19"/>
      <c r="P1176" s="19"/>
    </row>
    <row r="1177" spans="1:16" x14ac:dyDescent="0.25">
      <c r="A1177" s="91">
        <v>1828</v>
      </c>
      <c r="B1177" s="15">
        <v>2010</v>
      </c>
      <c r="C1177" s="1" t="s">
        <v>120</v>
      </c>
      <c r="D1177" s="1" t="s">
        <v>216</v>
      </c>
      <c r="E1177" s="15" t="s">
        <v>217</v>
      </c>
      <c r="F1177" s="1" t="s">
        <v>100</v>
      </c>
      <c r="G1177" s="16">
        <v>-6352</v>
      </c>
      <c r="H1177" s="93">
        <f>'Emission Rates Net-by-Count'!$D$8</f>
        <v>1191.716320391361</v>
      </c>
      <c r="I1177" s="16">
        <f t="shared" si="41"/>
        <v>-3784.8910335629625</v>
      </c>
      <c r="M1177" s="19"/>
      <c r="N1177" s="19"/>
      <c r="O1177" s="19"/>
      <c r="P1177" s="19"/>
    </row>
    <row r="1178" spans="1:16" x14ac:dyDescent="0.25">
      <c r="A1178" s="91">
        <v>1829</v>
      </c>
      <c r="B1178" s="15">
        <v>2010</v>
      </c>
      <c r="C1178" s="1" t="s">
        <v>120</v>
      </c>
      <c r="D1178" s="1" t="s">
        <v>216</v>
      </c>
      <c r="E1178" s="15" t="s">
        <v>217</v>
      </c>
      <c r="F1178" s="1" t="s">
        <v>101</v>
      </c>
      <c r="G1178" s="16">
        <v>-1236986</v>
      </c>
      <c r="H1178" s="93">
        <f>'Emission Rates Net-by-Count'!$D$8</f>
        <v>1191.716320391361</v>
      </c>
      <c r="I1178" s="16">
        <f t="shared" si="41"/>
        <v>-737068.20214781398</v>
      </c>
      <c r="M1178" s="19"/>
      <c r="N1178" s="19"/>
      <c r="O1178" s="19"/>
      <c r="P1178" s="19"/>
    </row>
    <row r="1179" spans="1:16" x14ac:dyDescent="0.25">
      <c r="A1179" s="91">
        <v>1830</v>
      </c>
      <c r="B1179" s="15">
        <v>2010</v>
      </c>
      <c r="C1179" s="1" t="s">
        <v>120</v>
      </c>
      <c r="D1179" s="1" t="s">
        <v>216</v>
      </c>
      <c r="E1179" s="15" t="s">
        <v>217</v>
      </c>
      <c r="F1179" s="1" t="s">
        <v>103</v>
      </c>
      <c r="G1179" s="16">
        <v>-2132</v>
      </c>
      <c r="H1179" s="93">
        <f>'Emission Rates Net-by-Count'!$D$8</f>
        <v>1191.716320391361</v>
      </c>
      <c r="I1179" s="16">
        <f t="shared" si="41"/>
        <v>-1270.3695975371909</v>
      </c>
      <c r="M1179" s="19"/>
      <c r="N1179" s="19"/>
      <c r="O1179" s="19"/>
      <c r="P1179" s="19"/>
    </row>
    <row r="1180" spans="1:16" x14ac:dyDescent="0.25">
      <c r="A1180" s="91">
        <v>1831</v>
      </c>
      <c r="B1180" s="15">
        <v>2010</v>
      </c>
      <c r="C1180" s="1" t="s">
        <v>120</v>
      </c>
      <c r="D1180" s="1" t="s">
        <v>216</v>
      </c>
      <c r="E1180" s="15" t="s">
        <v>217</v>
      </c>
      <c r="F1180" s="1" t="s">
        <v>152</v>
      </c>
      <c r="G1180" s="16">
        <v>-176278</v>
      </c>
      <c r="H1180" s="93">
        <f>'Emission Rates Net-by-Count'!$D$8</f>
        <v>1191.716320391361</v>
      </c>
      <c r="I1180" s="16">
        <f t="shared" si="41"/>
        <v>-105036.68476297417</v>
      </c>
      <c r="M1180" s="19"/>
      <c r="N1180" s="19"/>
      <c r="O1180" s="19"/>
      <c r="P1180" s="19"/>
    </row>
    <row r="1181" spans="1:16" x14ac:dyDescent="0.25">
      <c r="A1181" s="91">
        <v>1832</v>
      </c>
      <c r="B1181" s="15">
        <v>2010</v>
      </c>
      <c r="C1181" s="1" t="s">
        <v>120</v>
      </c>
      <c r="D1181" s="1" t="s">
        <v>216</v>
      </c>
      <c r="E1181" s="15" t="s">
        <v>217</v>
      </c>
      <c r="F1181" s="1" t="s">
        <v>153</v>
      </c>
      <c r="G1181" s="16">
        <v>-8119</v>
      </c>
      <c r="H1181" s="93">
        <f>'Emission Rates Net-by-Count'!$D$8</f>
        <v>1191.716320391361</v>
      </c>
      <c r="I1181" s="16">
        <f t="shared" si="41"/>
        <v>-4837.7724026287297</v>
      </c>
      <c r="M1181" s="19"/>
      <c r="N1181" s="19"/>
      <c r="O1181" s="19"/>
      <c r="P1181" s="19"/>
    </row>
    <row r="1182" spans="1:16" x14ac:dyDescent="0.25">
      <c r="A1182" s="91">
        <v>1833</v>
      </c>
      <c r="B1182" s="15">
        <v>2010</v>
      </c>
      <c r="C1182" s="1" t="s">
        <v>120</v>
      </c>
      <c r="D1182" s="1" t="s">
        <v>216</v>
      </c>
      <c r="E1182" s="15" t="s">
        <v>217</v>
      </c>
      <c r="F1182" s="1" t="s">
        <v>104</v>
      </c>
      <c r="G1182" s="16">
        <v>-318081</v>
      </c>
      <c r="H1182" s="93">
        <f>'Emission Rates Net-by-Count'!$D$8</f>
        <v>1191.716320391361</v>
      </c>
      <c r="I1182" s="16">
        <f t="shared" si="41"/>
        <v>-189531.15945320224</v>
      </c>
      <c r="M1182" s="19"/>
      <c r="N1182" s="19"/>
      <c r="O1182" s="19"/>
      <c r="P1182" s="19"/>
    </row>
    <row r="1183" spans="1:16" x14ac:dyDescent="0.25">
      <c r="A1183" s="91">
        <v>1834</v>
      </c>
      <c r="B1183" s="15">
        <v>2010</v>
      </c>
      <c r="C1183" s="1" t="s">
        <v>120</v>
      </c>
      <c r="D1183" s="1" t="s">
        <v>216</v>
      </c>
      <c r="E1183" s="15" t="s">
        <v>217</v>
      </c>
      <c r="F1183" s="1" t="s">
        <v>167</v>
      </c>
      <c r="G1183" s="16">
        <v>-9650</v>
      </c>
      <c r="H1183" s="93">
        <f>'Emission Rates Net-by-Count'!$D$8</f>
        <v>1191.716320391361</v>
      </c>
      <c r="I1183" s="16">
        <f t="shared" ref="I1183:I1184" si="42">(G1183*H1183)/2000</f>
        <v>-5750.0312458883172</v>
      </c>
      <c r="M1183" s="19"/>
      <c r="N1183" s="19"/>
      <c r="O1183" s="19"/>
      <c r="P1183" s="19"/>
    </row>
    <row r="1184" spans="1:16" x14ac:dyDescent="0.25">
      <c r="A1184" s="91">
        <v>1835</v>
      </c>
      <c r="B1184" s="15">
        <v>2010</v>
      </c>
      <c r="C1184" s="1" t="s">
        <v>120</v>
      </c>
      <c r="D1184" s="1" t="s">
        <v>216</v>
      </c>
      <c r="E1184" s="15" t="s">
        <v>217</v>
      </c>
      <c r="F1184" s="1" t="s">
        <v>106</v>
      </c>
      <c r="G1184" s="16">
        <v>-5147</v>
      </c>
      <c r="H1184" s="93">
        <f>'Emission Rates Net-by-Count'!$D$8</f>
        <v>1191.716320391361</v>
      </c>
      <c r="I1184" s="16">
        <f t="shared" si="42"/>
        <v>-3066.8819505271672</v>
      </c>
      <c r="M1184" s="19"/>
      <c r="N1184" s="19"/>
      <c r="O1184" s="19"/>
      <c r="P1184" s="19"/>
    </row>
    <row r="1185" spans="1:17" x14ac:dyDescent="0.25">
      <c r="A1185" s="91">
        <v>1882</v>
      </c>
      <c r="B1185" s="15">
        <v>2011</v>
      </c>
      <c r="C1185" s="1" t="s">
        <v>0</v>
      </c>
      <c r="D1185" s="1" t="s">
        <v>215</v>
      </c>
      <c r="E1185" s="15" t="s">
        <v>125</v>
      </c>
      <c r="F1185" s="1" t="s">
        <v>1</v>
      </c>
      <c r="G1185" s="16">
        <v>50340.805</v>
      </c>
      <c r="H1185" s="92">
        <v>0</v>
      </c>
      <c r="I1185" s="92">
        <f>(H1185*G1185)/2000</f>
        <v>0</v>
      </c>
      <c r="J1185" s="92"/>
      <c r="K1185" s="17" t="s">
        <v>223</v>
      </c>
      <c r="M1185" s="19"/>
      <c r="N1185" s="19"/>
      <c r="O1185" s="19"/>
      <c r="P1185" s="19"/>
    </row>
    <row r="1186" spans="1:17" x14ac:dyDescent="0.25">
      <c r="A1186" s="91">
        <v>1883</v>
      </c>
      <c r="B1186" s="15">
        <v>2011</v>
      </c>
      <c r="C1186" s="1" t="s">
        <v>0</v>
      </c>
      <c r="D1186" s="1" t="s">
        <v>215</v>
      </c>
      <c r="E1186" s="15" t="s">
        <v>125</v>
      </c>
      <c r="F1186" s="1" t="s">
        <v>2</v>
      </c>
      <c r="G1186" s="16">
        <v>332792.353</v>
      </c>
      <c r="H1186" s="92">
        <v>0</v>
      </c>
      <c r="I1186" s="92">
        <f>(H1186*G1186)/2000</f>
        <v>0</v>
      </c>
      <c r="J1186" s="92"/>
      <c r="K1186" s="17" t="s">
        <v>223</v>
      </c>
      <c r="M1186" s="19"/>
      <c r="N1186" s="19"/>
      <c r="O1186" s="19"/>
      <c r="P1186" s="19"/>
    </row>
    <row r="1187" spans="1:17" x14ac:dyDescent="0.25">
      <c r="A1187" s="91">
        <v>1884</v>
      </c>
      <c r="B1187" s="15">
        <v>2011</v>
      </c>
      <c r="C1187" s="1" t="s">
        <v>0</v>
      </c>
      <c r="D1187" s="1" t="s">
        <v>215</v>
      </c>
      <c r="E1187" s="15" t="s">
        <v>125</v>
      </c>
      <c r="F1187" s="1" t="s">
        <v>4</v>
      </c>
      <c r="G1187" s="16">
        <v>-290.36</v>
      </c>
      <c r="H1187" s="92">
        <v>0</v>
      </c>
      <c r="I1187" s="92">
        <f>(H1187*G1187)/2000</f>
        <v>0</v>
      </c>
      <c r="J1187" s="92"/>
      <c r="K1187" s="17" t="s">
        <v>223</v>
      </c>
      <c r="M1187" s="19"/>
      <c r="N1187" s="19"/>
      <c r="O1187" s="19"/>
      <c r="P1187" s="19"/>
    </row>
    <row r="1188" spans="1:17" x14ac:dyDescent="0.25">
      <c r="A1188" s="91">
        <v>1885</v>
      </c>
      <c r="B1188" s="15">
        <v>2011</v>
      </c>
      <c r="C1188" s="1" t="s">
        <v>0</v>
      </c>
      <c r="D1188" s="1" t="s">
        <v>215</v>
      </c>
      <c r="E1188" s="15" t="s">
        <v>125</v>
      </c>
      <c r="F1188" s="1" t="s">
        <v>5</v>
      </c>
      <c r="G1188" s="16">
        <v>-174.56</v>
      </c>
      <c r="H1188" s="92">
        <v>0</v>
      </c>
      <c r="I1188" s="92">
        <f>(H1188*G1188)/2000</f>
        <v>0</v>
      </c>
      <c r="J1188" s="92"/>
      <c r="K1188" s="17" t="s">
        <v>223</v>
      </c>
      <c r="M1188" s="19"/>
      <c r="N1188" s="19"/>
      <c r="O1188" s="19"/>
      <c r="P1188" s="19"/>
    </row>
    <row r="1189" spans="1:17" x14ac:dyDescent="0.25">
      <c r="A1189" s="91">
        <v>1887</v>
      </c>
      <c r="B1189" s="15">
        <v>2011</v>
      </c>
      <c r="C1189" s="1" t="s">
        <v>0</v>
      </c>
      <c r="D1189" s="1" t="s">
        <v>215</v>
      </c>
      <c r="E1189" s="15" t="s">
        <v>125</v>
      </c>
      <c r="F1189" s="1" t="s">
        <v>6</v>
      </c>
      <c r="G1189" s="16">
        <v>301309.36599999998</v>
      </c>
      <c r="H1189" s="92">
        <v>0</v>
      </c>
      <c r="I1189" s="92">
        <f>(H1189*G1189)/2000</f>
        <v>0</v>
      </c>
      <c r="J1189" s="92"/>
      <c r="K1189" s="17" t="s">
        <v>223</v>
      </c>
      <c r="M1189" s="19"/>
      <c r="N1189" s="19"/>
      <c r="O1189" s="19"/>
      <c r="P1189" s="19"/>
    </row>
    <row r="1190" spans="1:17" x14ac:dyDescent="0.25">
      <c r="A1190" s="91">
        <v>1889</v>
      </c>
      <c r="B1190" s="15">
        <v>2011</v>
      </c>
      <c r="C1190" s="1" t="s">
        <v>7</v>
      </c>
      <c r="D1190" s="1" t="s">
        <v>215</v>
      </c>
      <c r="E1190" s="15" t="s">
        <v>122</v>
      </c>
      <c r="F1190" s="1" t="s">
        <v>8</v>
      </c>
      <c r="G1190" s="16">
        <v>1897910</v>
      </c>
      <c r="H1190" s="16">
        <f t="shared" ref="H1190:H1200" si="43">(I1190*2000)/G1190</f>
        <v>2327.0605860279479</v>
      </c>
      <c r="I1190" s="16">
        <v>2208275.7784141512</v>
      </c>
      <c r="M1190" s="19"/>
      <c r="N1190" s="19"/>
      <c r="O1190" s="19"/>
      <c r="P1190" s="19"/>
      <c r="Q1190" s="15" t="s">
        <v>270</v>
      </c>
    </row>
    <row r="1191" spans="1:17" x14ac:dyDescent="0.25">
      <c r="A1191" s="91">
        <v>1890</v>
      </c>
      <c r="B1191" s="15">
        <v>2011</v>
      </c>
      <c r="C1191" s="1" t="s">
        <v>7</v>
      </c>
      <c r="D1191" s="1" t="s">
        <v>215</v>
      </c>
      <c r="E1191" s="15" t="s">
        <v>122</v>
      </c>
      <c r="F1191" s="1" t="s">
        <v>9</v>
      </c>
      <c r="G1191" s="16">
        <v>2312673</v>
      </c>
      <c r="H1191" s="16">
        <f t="shared" si="43"/>
        <v>2379.5191963705229</v>
      </c>
      <c r="I1191" s="16">
        <v>2751524.8992139031</v>
      </c>
      <c r="M1191" s="19"/>
      <c r="N1191" s="19"/>
      <c r="O1191" s="19"/>
      <c r="P1191" s="19"/>
      <c r="Q1191" s="15" t="s">
        <v>270</v>
      </c>
    </row>
    <row r="1192" spans="1:17" x14ac:dyDescent="0.25">
      <c r="A1192" s="91">
        <v>1891</v>
      </c>
      <c r="B1192" s="15">
        <v>2011</v>
      </c>
      <c r="C1192" s="1" t="s">
        <v>7</v>
      </c>
      <c r="D1192" s="1" t="s">
        <v>215</v>
      </c>
      <c r="E1192" s="15" t="s">
        <v>123</v>
      </c>
      <c r="F1192" s="1" t="s">
        <v>10</v>
      </c>
      <c r="G1192" s="16">
        <v>88887.6</v>
      </c>
      <c r="H1192" s="16">
        <f t="shared" si="43"/>
        <v>1094.7936280114202</v>
      </c>
      <c r="I1192" s="16">
        <f t="shared" ref="I1192:I1200" si="44">J1192*1.102311</f>
        <v>48656.789044613957</v>
      </c>
      <c r="J1192" s="16">
        <v>44140.708969259998</v>
      </c>
      <c r="M1192" s="19"/>
      <c r="N1192" s="19"/>
      <c r="O1192" s="19"/>
      <c r="P1192" s="19"/>
      <c r="Q1192" s="15" t="s">
        <v>270</v>
      </c>
    </row>
    <row r="1193" spans="1:17" x14ac:dyDescent="0.25">
      <c r="A1193" s="91">
        <v>1892</v>
      </c>
      <c r="B1193" s="15">
        <v>2011</v>
      </c>
      <c r="C1193" s="1" t="s">
        <v>7</v>
      </c>
      <c r="D1193" s="1" t="s">
        <v>215</v>
      </c>
      <c r="E1193" s="15" t="s">
        <v>123</v>
      </c>
      <c r="F1193" s="1" t="s">
        <v>13</v>
      </c>
      <c r="G1193" s="16">
        <v>135217.96400000001</v>
      </c>
      <c r="H1193" s="16">
        <f t="shared" si="43"/>
        <v>868.10920406721675</v>
      </c>
      <c r="I1193" s="16">
        <f t="shared" si="44"/>
        <v>58691.979551814788</v>
      </c>
      <c r="J1193" s="16">
        <v>53244.483228249366</v>
      </c>
      <c r="M1193" s="19"/>
      <c r="N1193" s="19"/>
      <c r="O1193" s="19"/>
      <c r="P1193" s="19"/>
      <c r="Q1193" s="15" t="s">
        <v>270</v>
      </c>
    </row>
    <row r="1194" spans="1:17" x14ac:dyDescent="0.25">
      <c r="A1194" s="91">
        <v>1893</v>
      </c>
      <c r="B1194" s="15">
        <v>2011</v>
      </c>
      <c r="C1194" s="1" t="s">
        <v>7</v>
      </c>
      <c r="D1194" s="1" t="s">
        <v>215</v>
      </c>
      <c r="E1194" s="15" t="s">
        <v>123</v>
      </c>
      <c r="F1194" s="1" t="s">
        <v>144</v>
      </c>
      <c r="G1194" s="16">
        <v>609012.73499999999</v>
      </c>
      <c r="H1194" s="16">
        <f t="shared" si="43"/>
        <v>794.73030162961243</v>
      </c>
      <c r="I1194" s="16">
        <f t="shared" si="44"/>
        <v>242000.43729141259</v>
      </c>
      <c r="J1194" s="16">
        <v>219539.16570859999</v>
      </c>
      <c r="M1194" s="19"/>
      <c r="N1194" s="19"/>
      <c r="O1194" s="19"/>
      <c r="P1194" s="19"/>
      <c r="Q1194" s="15" t="s">
        <v>270</v>
      </c>
    </row>
    <row r="1195" spans="1:17" x14ac:dyDescent="0.25">
      <c r="A1195" s="91">
        <v>1894</v>
      </c>
      <c r="B1195" s="15">
        <v>2011</v>
      </c>
      <c r="C1195" s="1" t="s">
        <v>7</v>
      </c>
      <c r="D1195" s="1" t="s">
        <v>215</v>
      </c>
      <c r="E1195" s="15" t="s">
        <v>123</v>
      </c>
      <c r="F1195" s="1" t="s">
        <v>156</v>
      </c>
      <c r="G1195" s="16">
        <v>702080.6</v>
      </c>
      <c r="H1195" s="16">
        <f t="shared" si="43"/>
        <v>870.8206822191604</v>
      </c>
      <c r="I1195" s="16">
        <f t="shared" si="44"/>
        <v>305693.15353241871</v>
      </c>
      <c r="J1195" s="16">
        <v>277320.24222965998</v>
      </c>
      <c r="M1195" s="19"/>
      <c r="N1195" s="19"/>
      <c r="O1195" s="19"/>
      <c r="P1195" s="19"/>
      <c r="Q1195" s="15" t="s">
        <v>270</v>
      </c>
    </row>
    <row r="1196" spans="1:17" x14ac:dyDescent="0.25">
      <c r="A1196" s="91">
        <v>1895</v>
      </c>
      <c r="B1196" s="15">
        <v>2011</v>
      </c>
      <c r="C1196" s="1" t="s">
        <v>7</v>
      </c>
      <c r="D1196" s="1" t="s">
        <v>215</v>
      </c>
      <c r="E1196" s="15" t="s">
        <v>123</v>
      </c>
      <c r="F1196" s="1" t="s">
        <v>155</v>
      </c>
      <c r="G1196" s="16">
        <v>178397.424</v>
      </c>
      <c r="H1196" s="16">
        <f t="shared" si="43"/>
        <v>1016.0404659069227</v>
      </c>
      <c r="I1196" s="16">
        <f t="shared" si="44"/>
        <v>90629.500898777405</v>
      </c>
      <c r="J1196" s="16">
        <v>82217.723400000003</v>
      </c>
      <c r="M1196" s="19"/>
      <c r="N1196" s="19"/>
      <c r="O1196" s="19"/>
      <c r="P1196" s="19"/>
      <c r="Q1196" s="15" t="s">
        <v>270</v>
      </c>
    </row>
    <row r="1197" spans="1:17" x14ac:dyDescent="0.25">
      <c r="A1197" s="91">
        <v>1898</v>
      </c>
      <c r="B1197" s="15">
        <v>2011</v>
      </c>
      <c r="C1197" s="1" t="s">
        <v>11</v>
      </c>
      <c r="D1197" s="1" t="s">
        <v>215</v>
      </c>
      <c r="E1197" s="15" t="s">
        <v>124</v>
      </c>
      <c r="F1197" s="1" t="s">
        <v>12</v>
      </c>
      <c r="G1197" s="16">
        <v>273.13</v>
      </c>
      <c r="H1197" s="16">
        <f t="shared" si="43"/>
        <v>1834.7460975699516</v>
      </c>
      <c r="I1197" s="16">
        <f t="shared" si="44"/>
        <v>250.56210081464044</v>
      </c>
      <c r="J1197" s="16">
        <v>227.30617839669605</v>
      </c>
      <c r="M1197" s="19"/>
      <c r="N1197" s="19"/>
      <c r="O1197" s="19"/>
      <c r="P1197" s="19"/>
      <c r="Q1197" s="15" t="s">
        <v>270</v>
      </c>
    </row>
    <row r="1198" spans="1:17" x14ac:dyDescent="0.25">
      <c r="A1198" s="91">
        <v>1901</v>
      </c>
      <c r="B1198" s="15">
        <v>2011</v>
      </c>
      <c r="C1198" s="1" t="s">
        <v>11</v>
      </c>
      <c r="D1198" s="1" t="s">
        <v>215</v>
      </c>
      <c r="E1198" s="15" t="s">
        <v>123</v>
      </c>
      <c r="F1198" s="1" t="s">
        <v>14</v>
      </c>
      <c r="G1198" s="16">
        <v>27939.9</v>
      </c>
      <c r="H1198" s="16">
        <f t="shared" si="43"/>
        <v>1632.4948746619955</v>
      </c>
      <c r="I1198" s="16">
        <f t="shared" si="44"/>
        <v>22805.871774284344</v>
      </c>
      <c r="J1198" s="16">
        <v>20689.14469172887</v>
      </c>
      <c r="M1198" s="19"/>
      <c r="N1198" s="19"/>
      <c r="O1198" s="19"/>
      <c r="P1198" s="19"/>
      <c r="Q1198" s="15" t="s">
        <v>270</v>
      </c>
    </row>
    <row r="1199" spans="1:17" x14ac:dyDescent="0.25">
      <c r="A1199" s="91">
        <v>1902</v>
      </c>
      <c r="B1199" s="15">
        <v>2011</v>
      </c>
      <c r="C1199" s="1" t="s">
        <v>11</v>
      </c>
      <c r="D1199" s="1" t="s">
        <v>215</v>
      </c>
      <c r="E1199" s="15" t="s">
        <v>123</v>
      </c>
      <c r="F1199" s="1" t="s">
        <v>15</v>
      </c>
      <c r="G1199" s="16">
        <v>48850.400000000001</v>
      </c>
      <c r="H1199" s="16">
        <f t="shared" si="43"/>
        <v>1231.573102374178</v>
      </c>
      <c r="I1199" s="16">
        <f t="shared" si="44"/>
        <v>30081.419340109773</v>
      </c>
      <c r="J1199" s="16">
        <v>27289.412280299999</v>
      </c>
      <c r="M1199" s="19"/>
      <c r="N1199" s="19"/>
      <c r="O1199" s="19"/>
      <c r="P1199" s="19"/>
      <c r="Q1199" s="15" t="s">
        <v>270</v>
      </c>
    </row>
    <row r="1200" spans="1:17" x14ac:dyDescent="0.25">
      <c r="A1200" s="91">
        <v>1903</v>
      </c>
      <c r="B1200" s="15">
        <v>2011</v>
      </c>
      <c r="C1200" s="1" t="s">
        <v>11</v>
      </c>
      <c r="D1200" s="1" t="s">
        <v>215</v>
      </c>
      <c r="E1200" s="15" t="s">
        <v>123</v>
      </c>
      <c r="F1200" s="1" t="s">
        <v>16</v>
      </c>
      <c r="G1200" s="16">
        <v>9975.6</v>
      </c>
      <c r="H1200" s="16">
        <f t="shared" si="43"/>
        <v>12617.057120113494</v>
      </c>
      <c r="I1200" s="16">
        <f t="shared" si="44"/>
        <v>62931.357503702078</v>
      </c>
      <c r="J1200" s="16">
        <v>57090.383298091081</v>
      </c>
      <c r="M1200" s="19"/>
      <c r="N1200" s="19"/>
      <c r="O1200" s="19"/>
      <c r="P1200" s="19"/>
      <c r="Q1200" s="15" t="s">
        <v>270</v>
      </c>
    </row>
    <row r="1201" spans="1:17" x14ac:dyDescent="0.25">
      <c r="A1201" s="91">
        <v>1905</v>
      </c>
      <c r="B1201" s="15">
        <v>2011</v>
      </c>
      <c r="C1201" s="1" t="s">
        <v>11</v>
      </c>
      <c r="D1201" s="1" t="s">
        <v>215</v>
      </c>
      <c r="E1201" s="15" t="s">
        <v>125</v>
      </c>
      <c r="F1201" s="1" t="s">
        <v>17</v>
      </c>
      <c r="G1201" s="16">
        <v>433218.60800000001</v>
      </c>
      <c r="H1201" s="92">
        <v>0</v>
      </c>
      <c r="I1201" s="92">
        <f>(H1201*G1201)/2000</f>
        <v>0</v>
      </c>
      <c r="J1201" s="92"/>
      <c r="K1201" s="17" t="s">
        <v>229</v>
      </c>
      <c r="M1201" s="19"/>
      <c r="N1201" s="19"/>
      <c r="O1201" s="19"/>
      <c r="P1201" s="19"/>
    </row>
    <row r="1202" spans="1:17" x14ac:dyDescent="0.25">
      <c r="A1202" s="91">
        <v>1909</v>
      </c>
      <c r="B1202" s="15">
        <v>2011</v>
      </c>
      <c r="C1202" s="1" t="s">
        <v>11</v>
      </c>
      <c r="D1202" s="1" t="s">
        <v>215</v>
      </c>
      <c r="E1202" s="15" t="s">
        <v>123</v>
      </c>
      <c r="F1202" s="1" t="s">
        <v>18</v>
      </c>
      <c r="G1202" s="16">
        <v>22501</v>
      </c>
      <c r="H1202" s="16">
        <f>(I1202*2000)/G1202</f>
        <v>1900.7042839872613</v>
      </c>
      <c r="I1202" s="16">
        <f>J1202*1.102311</f>
        <v>21383.873546998682</v>
      </c>
      <c r="J1202" s="16">
        <v>19399.129235758948</v>
      </c>
      <c r="M1202" s="19"/>
      <c r="N1202" s="19"/>
      <c r="O1202" s="19"/>
      <c r="P1202" s="19"/>
      <c r="Q1202" s="15" t="s">
        <v>270</v>
      </c>
    </row>
    <row r="1203" spans="1:17" x14ac:dyDescent="0.25">
      <c r="A1203" s="91">
        <v>1910</v>
      </c>
      <c r="B1203" s="15">
        <v>2011</v>
      </c>
      <c r="C1203" s="1" t="s">
        <v>11</v>
      </c>
      <c r="D1203" s="1" t="s">
        <v>215</v>
      </c>
      <c r="E1203" s="15" t="s">
        <v>125</v>
      </c>
      <c r="F1203" s="1" t="s">
        <v>126</v>
      </c>
      <c r="G1203" s="16">
        <v>730658.80599999998</v>
      </c>
      <c r="H1203" s="92">
        <v>0</v>
      </c>
      <c r="I1203" s="92">
        <f>(H1203*G1203)/2000</f>
        <v>0</v>
      </c>
      <c r="J1203" s="92"/>
      <c r="K1203" s="17" t="s">
        <v>229</v>
      </c>
      <c r="M1203" s="19"/>
      <c r="N1203" s="19"/>
      <c r="O1203" s="19"/>
      <c r="P1203" s="19"/>
    </row>
    <row r="1204" spans="1:17" x14ac:dyDescent="0.25">
      <c r="A1204" s="91">
        <v>1912</v>
      </c>
      <c r="B1204" s="15">
        <v>2011</v>
      </c>
      <c r="C1204" s="1" t="s">
        <v>19</v>
      </c>
      <c r="D1204" s="1" t="s">
        <v>219</v>
      </c>
      <c r="E1204" s="15" t="s">
        <v>125</v>
      </c>
      <c r="F1204" s="1" t="s">
        <v>175</v>
      </c>
      <c r="G1204" s="16">
        <v>105.014</v>
      </c>
      <c r="H1204" s="92">
        <v>0</v>
      </c>
      <c r="I1204" s="92">
        <f>(H1204*G1204)/2000</f>
        <v>0</v>
      </c>
      <c r="J1204" s="92"/>
      <c r="K1204" s="17" t="s">
        <v>229</v>
      </c>
      <c r="M1204" s="19"/>
      <c r="N1204" s="19"/>
      <c r="O1204" s="19"/>
      <c r="P1204" s="19"/>
    </row>
    <row r="1205" spans="1:17" x14ac:dyDescent="0.25">
      <c r="A1205" s="91">
        <v>1913</v>
      </c>
      <c r="B1205" s="15">
        <v>2011</v>
      </c>
      <c r="C1205" s="1" t="s">
        <v>19</v>
      </c>
      <c r="D1205" s="1" t="s">
        <v>219</v>
      </c>
      <c r="E1205" s="15" t="s">
        <v>217</v>
      </c>
      <c r="F1205" s="1" t="s">
        <v>127</v>
      </c>
      <c r="G1205" s="16">
        <v>109875</v>
      </c>
      <c r="H1205" s="93">
        <f>'Emission Rates Net-by-Count'!$D$9</f>
        <v>904.65944483592443</v>
      </c>
      <c r="I1205" s="16">
        <f>(G1205*H1205)/2000</f>
        <v>49699.728250673601</v>
      </c>
      <c r="K1205" s="17" t="s">
        <v>249</v>
      </c>
      <c r="M1205" s="19"/>
      <c r="N1205" s="19"/>
      <c r="O1205" s="19"/>
      <c r="P1205" s="19"/>
    </row>
    <row r="1206" spans="1:17" x14ac:dyDescent="0.25">
      <c r="A1206" s="91">
        <v>1914</v>
      </c>
      <c r="B1206" s="15">
        <v>2011</v>
      </c>
      <c r="C1206" s="1" t="s">
        <v>19</v>
      </c>
      <c r="D1206" s="1" t="s">
        <v>219</v>
      </c>
      <c r="E1206" s="15" t="s">
        <v>217</v>
      </c>
      <c r="F1206" s="1" t="s">
        <v>20</v>
      </c>
      <c r="G1206" s="16">
        <v>22073.61</v>
      </c>
      <c r="H1206" s="93">
        <f>'Emission Rates Net-by-Count'!$D$9</f>
        <v>904.65944483592443</v>
      </c>
      <c r="I1206" s="16">
        <f>(G1206*H1206)/2000</f>
        <v>9984.549884062355</v>
      </c>
      <c r="M1206" s="19"/>
      <c r="N1206" s="19"/>
      <c r="O1206" s="19"/>
      <c r="P1206" s="19"/>
    </row>
    <row r="1207" spans="1:17" x14ac:dyDescent="0.25">
      <c r="A1207" s="91">
        <v>1915</v>
      </c>
      <c r="B1207" s="15">
        <v>2011</v>
      </c>
      <c r="C1207" s="1" t="s">
        <v>19</v>
      </c>
      <c r="D1207" s="1" t="s">
        <v>219</v>
      </c>
      <c r="E1207" s="15" t="s">
        <v>125</v>
      </c>
      <c r="F1207" s="1" t="s">
        <v>176</v>
      </c>
      <c r="G1207" s="16">
        <v>9716.4599999999991</v>
      </c>
      <c r="H1207" s="92">
        <v>0</v>
      </c>
      <c r="I1207" s="92">
        <f>(H1207*G1207)/2000</f>
        <v>0</v>
      </c>
      <c r="J1207" s="92"/>
      <c r="K1207" s="17" t="s">
        <v>223</v>
      </c>
      <c r="M1207" s="19"/>
      <c r="N1207" s="19"/>
      <c r="O1207" s="19"/>
      <c r="P1207" s="19"/>
    </row>
    <row r="1208" spans="1:17" x14ac:dyDescent="0.25">
      <c r="A1208" s="91">
        <v>1916</v>
      </c>
      <c r="B1208" s="15">
        <v>2011</v>
      </c>
      <c r="C1208" s="1" t="s">
        <v>19</v>
      </c>
      <c r="D1208" s="1" t="s">
        <v>219</v>
      </c>
      <c r="E1208" s="15" t="s">
        <v>230</v>
      </c>
      <c r="F1208" s="1" t="s">
        <v>51</v>
      </c>
      <c r="G1208" s="16">
        <v>-509390</v>
      </c>
      <c r="H1208" s="92">
        <v>0</v>
      </c>
      <c r="I1208" s="92">
        <f>(H1208*G1208)/2000</f>
        <v>0</v>
      </c>
      <c r="J1208" s="92"/>
      <c r="K1208" s="17" t="s">
        <v>231</v>
      </c>
      <c r="M1208" s="19"/>
      <c r="N1208" s="19"/>
      <c r="O1208" s="19"/>
      <c r="P1208" s="19"/>
    </row>
    <row r="1209" spans="1:17" x14ac:dyDescent="0.25">
      <c r="A1209" s="91">
        <v>1917</v>
      </c>
      <c r="B1209" s="15">
        <v>2011</v>
      </c>
      <c r="C1209" s="1" t="s">
        <v>19</v>
      </c>
      <c r="D1209" s="1" t="s">
        <v>219</v>
      </c>
      <c r="E1209" s="15" t="s">
        <v>125</v>
      </c>
      <c r="F1209" s="1" t="s">
        <v>21</v>
      </c>
      <c r="G1209" s="16">
        <v>7000</v>
      </c>
      <c r="H1209" s="92">
        <v>0</v>
      </c>
      <c r="I1209" s="92">
        <f>(H1209*G1209)/2000</f>
        <v>0</v>
      </c>
      <c r="J1209" s="92"/>
      <c r="K1209" s="17" t="s">
        <v>235</v>
      </c>
      <c r="M1209" s="19"/>
      <c r="N1209" s="19"/>
      <c r="O1209" s="19"/>
      <c r="P1209" s="19"/>
    </row>
    <row r="1210" spans="1:17" x14ac:dyDescent="0.25">
      <c r="A1210" s="91">
        <v>1918</v>
      </c>
      <c r="B1210" s="15">
        <v>2011</v>
      </c>
      <c r="C1210" s="1" t="s">
        <v>19</v>
      </c>
      <c r="D1210" s="1" t="s">
        <v>219</v>
      </c>
      <c r="E1210" s="15" t="s">
        <v>217</v>
      </c>
      <c r="F1210" s="1" t="s">
        <v>22</v>
      </c>
      <c r="G1210" s="16">
        <v>413808</v>
      </c>
      <c r="H1210" s="93">
        <f>'Emission Rates Net-by-Count'!$D$9</f>
        <v>904.65944483592443</v>
      </c>
      <c r="I1210" s="16">
        <f>(G1210*H1210)/2000</f>
        <v>187177.6577743321</v>
      </c>
      <c r="J1210" s="92"/>
      <c r="K1210" s="17" t="s">
        <v>236</v>
      </c>
      <c r="M1210" s="19"/>
      <c r="N1210" s="19"/>
      <c r="O1210" s="19"/>
      <c r="P1210" s="19"/>
    </row>
    <row r="1211" spans="1:17" x14ac:dyDescent="0.25">
      <c r="A1211" s="91">
        <v>1919</v>
      </c>
      <c r="B1211" s="15">
        <v>2011</v>
      </c>
      <c r="C1211" s="1" t="s">
        <v>19</v>
      </c>
      <c r="D1211" s="1" t="s">
        <v>219</v>
      </c>
      <c r="E1211" s="15" t="s">
        <v>125</v>
      </c>
      <c r="F1211" s="1" t="s">
        <v>177</v>
      </c>
      <c r="G1211" s="16">
        <v>129926</v>
      </c>
      <c r="H1211" s="92">
        <v>0</v>
      </c>
      <c r="I1211" s="92">
        <f t="shared" ref="I1211:I1218" si="45">(H1211*G1211)/2000</f>
        <v>0</v>
      </c>
      <c r="J1211" s="92"/>
      <c r="K1211" s="17" t="s">
        <v>223</v>
      </c>
      <c r="M1211" s="19"/>
      <c r="N1211" s="19"/>
      <c r="O1211" s="19"/>
      <c r="P1211" s="19"/>
    </row>
    <row r="1212" spans="1:17" x14ac:dyDescent="0.25">
      <c r="A1212" s="91">
        <v>1921</v>
      </c>
      <c r="B1212" s="15">
        <v>2011</v>
      </c>
      <c r="C1212" s="1" t="s">
        <v>19</v>
      </c>
      <c r="D1212" s="1" t="s">
        <v>219</v>
      </c>
      <c r="E1212" s="15" t="s">
        <v>125</v>
      </c>
      <c r="F1212" s="1" t="s">
        <v>23</v>
      </c>
      <c r="G1212" s="16">
        <v>1647786</v>
      </c>
      <c r="H1212" s="92">
        <v>0</v>
      </c>
      <c r="I1212" s="92">
        <f t="shared" si="45"/>
        <v>0</v>
      </c>
      <c r="J1212" s="92"/>
      <c r="K1212" s="17" t="s">
        <v>223</v>
      </c>
      <c r="M1212" s="19"/>
      <c r="N1212" s="19"/>
      <c r="O1212" s="19"/>
      <c r="P1212" s="19"/>
    </row>
    <row r="1213" spans="1:17" x14ac:dyDescent="0.25">
      <c r="A1213" s="91">
        <v>1922</v>
      </c>
      <c r="B1213" s="15">
        <v>2011</v>
      </c>
      <c r="C1213" s="1" t="s">
        <v>19</v>
      </c>
      <c r="D1213" s="1" t="s">
        <v>219</v>
      </c>
      <c r="E1213" s="15" t="s">
        <v>125</v>
      </c>
      <c r="F1213" s="1" t="s">
        <v>24</v>
      </c>
      <c r="G1213" s="16">
        <v>2517798</v>
      </c>
      <c r="H1213" s="92">
        <v>0</v>
      </c>
      <c r="I1213" s="92">
        <f t="shared" si="45"/>
        <v>0</v>
      </c>
      <c r="J1213" s="92"/>
      <c r="K1213" s="17" t="s">
        <v>223</v>
      </c>
      <c r="M1213" s="19"/>
      <c r="N1213" s="19"/>
      <c r="O1213" s="19"/>
      <c r="P1213" s="19"/>
    </row>
    <row r="1214" spans="1:17" x14ac:dyDescent="0.25">
      <c r="A1214" s="91">
        <v>1923</v>
      </c>
      <c r="B1214" s="15">
        <v>2011</v>
      </c>
      <c r="C1214" s="1" t="s">
        <v>19</v>
      </c>
      <c r="D1214" s="1" t="s">
        <v>219</v>
      </c>
      <c r="E1214" s="15" t="s">
        <v>125</v>
      </c>
      <c r="F1214" s="1" t="s">
        <v>25</v>
      </c>
      <c r="G1214" s="16">
        <v>1061183</v>
      </c>
      <c r="H1214" s="92">
        <v>0</v>
      </c>
      <c r="I1214" s="92">
        <f t="shared" si="45"/>
        <v>0</v>
      </c>
      <c r="J1214" s="92"/>
      <c r="K1214" s="17" t="s">
        <v>223</v>
      </c>
      <c r="M1214" s="19"/>
      <c r="N1214" s="19"/>
      <c r="O1214" s="19"/>
      <c r="P1214" s="19"/>
    </row>
    <row r="1215" spans="1:17" x14ac:dyDescent="0.25">
      <c r="A1215" s="91">
        <v>1924</v>
      </c>
      <c r="B1215" s="15">
        <v>2011</v>
      </c>
      <c r="C1215" s="1" t="s">
        <v>19</v>
      </c>
      <c r="D1215" s="1" t="s">
        <v>219</v>
      </c>
      <c r="E1215" s="15" t="s">
        <v>125</v>
      </c>
      <c r="F1215" s="1" t="s">
        <v>169</v>
      </c>
      <c r="G1215" s="16">
        <v>3412.36</v>
      </c>
      <c r="H1215" s="92">
        <v>0</v>
      </c>
      <c r="I1215" s="92">
        <f t="shared" si="45"/>
        <v>0</v>
      </c>
      <c r="J1215" s="92"/>
      <c r="K1215" s="17" t="s">
        <v>232</v>
      </c>
      <c r="M1215" s="19"/>
      <c r="N1215" s="19"/>
      <c r="O1215" s="19"/>
      <c r="P1215" s="19"/>
    </row>
    <row r="1216" spans="1:17" x14ac:dyDescent="0.25">
      <c r="A1216" s="91">
        <v>1925</v>
      </c>
      <c r="B1216" s="15">
        <v>2011</v>
      </c>
      <c r="C1216" s="1" t="s">
        <v>19</v>
      </c>
      <c r="D1216" s="1" t="s">
        <v>219</v>
      </c>
      <c r="E1216" s="15" t="s">
        <v>125</v>
      </c>
      <c r="F1216" s="1" t="s">
        <v>161</v>
      </c>
      <c r="G1216" s="16">
        <v>4903.5690000000004</v>
      </c>
      <c r="H1216" s="92">
        <v>0</v>
      </c>
      <c r="I1216" s="92">
        <f t="shared" si="45"/>
        <v>0</v>
      </c>
      <c r="J1216" s="92"/>
      <c r="K1216" s="17" t="s">
        <v>232</v>
      </c>
      <c r="M1216" s="19"/>
      <c r="N1216" s="19"/>
      <c r="O1216" s="19"/>
      <c r="P1216" s="19"/>
    </row>
    <row r="1217" spans="1:16" x14ac:dyDescent="0.25">
      <c r="A1217" s="91">
        <v>1926</v>
      </c>
      <c r="B1217" s="15">
        <v>2011</v>
      </c>
      <c r="C1217" s="1" t="s">
        <v>19</v>
      </c>
      <c r="D1217" s="1" t="s">
        <v>219</v>
      </c>
      <c r="E1217" s="15" t="s">
        <v>125</v>
      </c>
      <c r="F1217" s="1" t="s">
        <v>162</v>
      </c>
      <c r="G1217" s="16">
        <v>253731</v>
      </c>
      <c r="H1217" s="92">
        <v>0</v>
      </c>
      <c r="I1217" s="92">
        <f t="shared" si="45"/>
        <v>0</v>
      </c>
      <c r="J1217" s="92"/>
      <c r="K1217" s="17" t="s">
        <v>223</v>
      </c>
      <c r="M1217" s="19"/>
      <c r="N1217" s="19"/>
      <c r="O1217" s="19"/>
      <c r="P1217" s="19"/>
    </row>
    <row r="1218" spans="1:16" x14ac:dyDescent="0.25">
      <c r="A1218" s="91">
        <v>1927</v>
      </c>
      <c r="B1218" s="15">
        <v>2011</v>
      </c>
      <c r="C1218" s="1" t="s">
        <v>19</v>
      </c>
      <c r="D1218" s="1" t="s">
        <v>219</v>
      </c>
      <c r="E1218" s="15" t="s">
        <v>125</v>
      </c>
      <c r="F1218" s="1" t="s">
        <v>178</v>
      </c>
      <c r="G1218" s="16">
        <v>15.23</v>
      </c>
      <c r="H1218" s="92">
        <v>0</v>
      </c>
      <c r="I1218" s="92">
        <f t="shared" si="45"/>
        <v>0</v>
      </c>
      <c r="J1218" s="92"/>
      <c r="K1218" s="17" t="s">
        <v>221</v>
      </c>
      <c r="M1218" s="19"/>
      <c r="N1218" s="19"/>
      <c r="O1218" s="19"/>
      <c r="P1218" s="19"/>
    </row>
    <row r="1219" spans="1:16" x14ac:dyDescent="0.25">
      <c r="A1219" s="91">
        <v>1928</v>
      </c>
      <c r="B1219" s="15">
        <v>2011</v>
      </c>
      <c r="C1219" s="1" t="s">
        <v>19</v>
      </c>
      <c r="D1219" s="1" t="s">
        <v>219</v>
      </c>
      <c r="E1219" s="15" t="s">
        <v>217</v>
      </c>
      <c r="F1219" s="1" t="s">
        <v>133</v>
      </c>
      <c r="G1219" s="16">
        <v>385873</v>
      </c>
      <c r="H1219" s="93">
        <f>'Emission Rates Net-by-Count'!$D$9</f>
        <v>904.65944483592443</v>
      </c>
      <c r="I1219" s="16">
        <f>(G1219*H1219)/2000</f>
        <v>174541.82697858635</v>
      </c>
      <c r="M1219" s="19"/>
      <c r="N1219" s="19"/>
      <c r="O1219" s="19"/>
      <c r="P1219" s="19"/>
    </row>
    <row r="1220" spans="1:16" x14ac:dyDescent="0.25">
      <c r="A1220" s="91">
        <v>1929</v>
      </c>
      <c r="B1220" s="15">
        <v>2011</v>
      </c>
      <c r="C1220" s="1" t="s">
        <v>19</v>
      </c>
      <c r="D1220" s="1" t="s">
        <v>219</v>
      </c>
      <c r="E1220" s="15" t="s">
        <v>125</v>
      </c>
      <c r="F1220" s="1" t="s">
        <v>145</v>
      </c>
      <c r="G1220" s="16">
        <v>132950</v>
      </c>
      <c r="H1220" s="92">
        <v>0</v>
      </c>
      <c r="I1220" s="92">
        <f>(H1220*G1220)/2000</f>
        <v>0</v>
      </c>
      <c r="J1220" s="92"/>
      <c r="K1220" s="17" t="s">
        <v>229</v>
      </c>
      <c r="M1220" s="19"/>
      <c r="N1220" s="19"/>
      <c r="O1220" s="19"/>
      <c r="P1220" s="19"/>
    </row>
    <row r="1221" spans="1:16" x14ac:dyDescent="0.25">
      <c r="A1221" s="91">
        <v>1930</v>
      </c>
      <c r="B1221" s="15">
        <v>2011</v>
      </c>
      <c r="C1221" s="1" t="s">
        <v>19</v>
      </c>
      <c r="D1221" s="1" t="s">
        <v>219</v>
      </c>
      <c r="E1221" s="15" t="s">
        <v>125</v>
      </c>
      <c r="F1221" s="1" t="s">
        <v>179</v>
      </c>
      <c r="G1221" s="16">
        <v>85.938000000000002</v>
      </c>
      <c r="H1221" s="92">
        <v>0</v>
      </c>
      <c r="I1221" s="92">
        <f>(H1221*G1221)/2000</f>
        <v>0</v>
      </c>
      <c r="J1221" s="92"/>
      <c r="K1221" s="17" t="s">
        <v>229</v>
      </c>
      <c r="M1221" s="19"/>
      <c r="N1221" s="19"/>
      <c r="O1221" s="19"/>
      <c r="P1221" s="19"/>
    </row>
    <row r="1222" spans="1:16" x14ac:dyDescent="0.25">
      <c r="A1222" s="91">
        <v>1931</v>
      </c>
      <c r="B1222" s="15">
        <v>2011</v>
      </c>
      <c r="C1222" s="1" t="s">
        <v>19</v>
      </c>
      <c r="D1222" s="1" t="s">
        <v>219</v>
      </c>
      <c r="E1222" s="15" t="s">
        <v>217</v>
      </c>
      <c r="F1222" s="1" t="s">
        <v>88</v>
      </c>
      <c r="G1222" s="16">
        <v>180000</v>
      </c>
      <c r="H1222" s="93">
        <f>'Emission Rates Net-by-Count'!$D$9</f>
        <v>904.65944483592443</v>
      </c>
      <c r="I1222" s="16">
        <f>(G1222*H1222)/2000</f>
        <v>81419.350035233205</v>
      </c>
      <c r="M1222" s="19"/>
      <c r="N1222" s="19"/>
      <c r="O1222" s="19"/>
      <c r="P1222" s="19"/>
    </row>
    <row r="1223" spans="1:16" x14ac:dyDescent="0.25">
      <c r="A1223" s="91">
        <v>1932</v>
      </c>
      <c r="B1223" s="15">
        <v>2011</v>
      </c>
      <c r="C1223" s="1" t="s">
        <v>19</v>
      </c>
      <c r="D1223" s="1" t="s">
        <v>219</v>
      </c>
      <c r="E1223" s="15" t="s">
        <v>125</v>
      </c>
      <c r="F1223" s="1" t="s">
        <v>163</v>
      </c>
      <c r="G1223" s="16">
        <v>3315</v>
      </c>
      <c r="H1223" s="92">
        <v>0</v>
      </c>
      <c r="I1223" s="92">
        <f>(H1223*G1223)/2000</f>
        <v>0</v>
      </c>
      <c r="J1223" s="92"/>
      <c r="K1223" s="17" t="s">
        <v>232</v>
      </c>
      <c r="M1223" s="19"/>
      <c r="N1223" s="19"/>
      <c r="O1223" s="19"/>
      <c r="P1223" s="19"/>
    </row>
    <row r="1224" spans="1:16" x14ac:dyDescent="0.25">
      <c r="A1224" s="91">
        <v>1933</v>
      </c>
      <c r="B1224" s="15">
        <v>2011</v>
      </c>
      <c r="C1224" s="1" t="s">
        <v>19</v>
      </c>
      <c r="D1224" s="1" t="s">
        <v>219</v>
      </c>
      <c r="E1224" s="15" t="s">
        <v>217</v>
      </c>
      <c r="F1224" s="1" t="s">
        <v>96</v>
      </c>
      <c r="G1224" s="16">
        <v>161925</v>
      </c>
      <c r="H1224" s="93">
        <f>'Emission Rates Net-by-Count'!$D$9</f>
        <v>904.65944483592443</v>
      </c>
      <c r="I1224" s="16">
        <f>(G1224*H1224)/2000</f>
        <v>73243.490302528531</v>
      </c>
      <c r="M1224" s="19"/>
      <c r="N1224" s="19"/>
      <c r="O1224" s="19"/>
      <c r="P1224" s="19"/>
    </row>
    <row r="1225" spans="1:16" x14ac:dyDescent="0.25">
      <c r="A1225" s="91">
        <v>1934</v>
      </c>
      <c r="B1225" s="15">
        <v>2011</v>
      </c>
      <c r="C1225" s="1" t="s">
        <v>19</v>
      </c>
      <c r="D1225" s="1" t="s">
        <v>219</v>
      </c>
      <c r="E1225" s="15" t="s">
        <v>217</v>
      </c>
      <c r="F1225" s="1" t="s">
        <v>97</v>
      </c>
      <c r="G1225" s="16">
        <v>437989</v>
      </c>
      <c r="H1225" s="93">
        <f>'Emission Rates Net-by-Count'!$D$9</f>
        <v>904.65944483592443</v>
      </c>
      <c r="I1225" s="16">
        <f>(G1225*H1225)/2000</f>
        <v>198115.44279212086</v>
      </c>
      <c r="M1225" s="19"/>
      <c r="N1225" s="19"/>
      <c r="O1225" s="19"/>
      <c r="P1225" s="19"/>
    </row>
    <row r="1226" spans="1:16" x14ac:dyDescent="0.25">
      <c r="A1226" s="91">
        <v>1935</v>
      </c>
      <c r="B1226" s="15">
        <v>2011</v>
      </c>
      <c r="C1226" s="1" t="s">
        <v>19</v>
      </c>
      <c r="D1226" s="1" t="s">
        <v>219</v>
      </c>
      <c r="E1226" s="15" t="s">
        <v>125</v>
      </c>
      <c r="F1226" s="1" t="s">
        <v>3</v>
      </c>
      <c r="G1226" s="16">
        <v>5017.3999999999996</v>
      </c>
      <c r="H1226" s="92">
        <v>0</v>
      </c>
      <c r="I1226" s="92">
        <f t="shared" ref="I1226:I1232" si="46">(H1226*G1226)/2000</f>
        <v>0</v>
      </c>
      <c r="J1226" s="92"/>
      <c r="K1226" s="17" t="s">
        <v>223</v>
      </c>
      <c r="M1226" s="19"/>
      <c r="N1226" s="19"/>
      <c r="O1226" s="19"/>
      <c r="P1226" s="19"/>
    </row>
    <row r="1227" spans="1:16" x14ac:dyDescent="0.25">
      <c r="A1227" s="91">
        <v>1936</v>
      </c>
      <c r="B1227" s="15">
        <v>2011</v>
      </c>
      <c r="C1227" s="1" t="s">
        <v>19</v>
      </c>
      <c r="D1227" s="1" t="s">
        <v>219</v>
      </c>
      <c r="E1227" s="15" t="s">
        <v>125</v>
      </c>
      <c r="F1227" s="1" t="s">
        <v>180</v>
      </c>
      <c r="G1227" s="16">
        <v>169.59399999999999</v>
      </c>
      <c r="H1227" s="92">
        <v>0</v>
      </c>
      <c r="I1227" s="92">
        <f t="shared" si="46"/>
        <v>0</v>
      </c>
      <c r="J1227" s="92"/>
      <c r="K1227" s="17" t="s">
        <v>223</v>
      </c>
      <c r="M1227" s="19"/>
      <c r="N1227" s="19"/>
      <c r="O1227" s="19"/>
      <c r="P1227" s="19"/>
    </row>
    <row r="1228" spans="1:16" x14ac:dyDescent="0.25">
      <c r="A1228" s="91">
        <v>1937</v>
      </c>
      <c r="B1228" s="15">
        <v>2011</v>
      </c>
      <c r="C1228" s="1" t="s">
        <v>19</v>
      </c>
      <c r="D1228" s="1" t="s">
        <v>219</v>
      </c>
      <c r="E1228" s="15" t="s">
        <v>125</v>
      </c>
      <c r="F1228" s="1" t="s">
        <v>181</v>
      </c>
      <c r="G1228" s="16">
        <v>749.88199999999995</v>
      </c>
      <c r="H1228" s="92">
        <v>0</v>
      </c>
      <c r="I1228" s="92">
        <f t="shared" si="46"/>
        <v>0</v>
      </c>
      <c r="J1228" s="92"/>
      <c r="K1228" s="17" t="s">
        <v>232</v>
      </c>
      <c r="M1228" s="19"/>
      <c r="N1228" s="19"/>
      <c r="O1228" s="19"/>
      <c r="P1228" s="19"/>
    </row>
    <row r="1229" spans="1:16" x14ac:dyDescent="0.25">
      <c r="A1229" s="91">
        <v>1938</v>
      </c>
      <c r="B1229" s="15">
        <v>2011</v>
      </c>
      <c r="C1229" s="1" t="s">
        <v>19</v>
      </c>
      <c r="D1229" s="1" t="s">
        <v>219</v>
      </c>
      <c r="E1229" s="15" t="s">
        <v>125</v>
      </c>
      <c r="F1229" s="1" t="s">
        <v>30</v>
      </c>
      <c r="G1229" s="16">
        <v>3919</v>
      </c>
      <c r="H1229" s="92">
        <v>0</v>
      </c>
      <c r="I1229" s="92">
        <f t="shared" si="46"/>
        <v>0</v>
      </c>
      <c r="J1229" s="92"/>
      <c r="K1229" s="17" t="s">
        <v>232</v>
      </c>
      <c r="M1229" s="19"/>
      <c r="N1229" s="19"/>
      <c r="O1229" s="19"/>
      <c r="P1229" s="19"/>
    </row>
    <row r="1230" spans="1:16" x14ac:dyDescent="0.25">
      <c r="A1230" s="91">
        <v>1939</v>
      </c>
      <c r="B1230" s="15">
        <v>2011</v>
      </c>
      <c r="C1230" s="1" t="s">
        <v>19</v>
      </c>
      <c r="D1230" s="1" t="s">
        <v>219</v>
      </c>
      <c r="E1230" s="15" t="s">
        <v>125</v>
      </c>
      <c r="F1230" s="1" t="s">
        <v>31</v>
      </c>
      <c r="G1230" s="16">
        <v>38437</v>
      </c>
      <c r="H1230" s="92">
        <v>0</v>
      </c>
      <c r="I1230" s="92">
        <f t="shared" si="46"/>
        <v>0</v>
      </c>
      <c r="J1230" s="92"/>
      <c r="K1230" s="17" t="s">
        <v>223</v>
      </c>
      <c r="M1230" s="19"/>
      <c r="N1230" s="19"/>
      <c r="O1230" s="19"/>
      <c r="P1230" s="19"/>
    </row>
    <row r="1231" spans="1:16" x14ac:dyDescent="0.25">
      <c r="A1231" s="91">
        <v>1941</v>
      </c>
      <c r="B1231" s="15">
        <v>2011</v>
      </c>
      <c r="C1231" s="1" t="s">
        <v>32</v>
      </c>
      <c r="D1231" s="1" t="s">
        <v>219</v>
      </c>
      <c r="E1231" s="15" t="s">
        <v>125</v>
      </c>
      <c r="F1231" s="1" t="s">
        <v>33</v>
      </c>
      <c r="G1231" s="16">
        <v>1180.2</v>
      </c>
      <c r="H1231" s="92">
        <v>0</v>
      </c>
      <c r="I1231" s="92">
        <f t="shared" si="46"/>
        <v>0</v>
      </c>
      <c r="J1231" s="92"/>
      <c r="K1231" s="17" t="s">
        <v>223</v>
      </c>
      <c r="M1231" s="19"/>
      <c r="N1231" s="19"/>
      <c r="O1231" s="19"/>
      <c r="P1231" s="19"/>
    </row>
    <row r="1232" spans="1:16" x14ac:dyDescent="0.25">
      <c r="A1232" s="91">
        <v>1942</v>
      </c>
      <c r="B1232" s="15">
        <v>2011</v>
      </c>
      <c r="C1232" s="1" t="s">
        <v>32</v>
      </c>
      <c r="D1232" s="1" t="s">
        <v>219</v>
      </c>
      <c r="E1232" s="15" t="s">
        <v>125</v>
      </c>
      <c r="F1232" s="1" t="s">
        <v>34</v>
      </c>
      <c r="G1232" s="16">
        <v>41094.68</v>
      </c>
      <c r="H1232" s="92">
        <v>0</v>
      </c>
      <c r="I1232" s="92">
        <f t="shared" si="46"/>
        <v>0</v>
      </c>
      <c r="J1232" s="92"/>
      <c r="K1232" s="17" t="s">
        <v>223</v>
      </c>
      <c r="M1232" s="19"/>
      <c r="N1232" s="19"/>
      <c r="O1232" s="19"/>
      <c r="P1232" s="19"/>
    </row>
    <row r="1233" spans="1:17" x14ac:dyDescent="0.25">
      <c r="A1233" s="91">
        <v>1944</v>
      </c>
      <c r="B1233" s="15">
        <v>2011</v>
      </c>
      <c r="C1233" s="1" t="s">
        <v>32</v>
      </c>
      <c r="D1233" s="1" t="s">
        <v>219</v>
      </c>
      <c r="E1233" s="15" t="s">
        <v>123</v>
      </c>
      <c r="F1233" s="1" t="s">
        <v>254</v>
      </c>
      <c r="G1233" s="16">
        <v>769775.10599999991</v>
      </c>
      <c r="H1233" s="92">
        <f>P1233</f>
        <v>712.22460121237009</v>
      </c>
      <c r="I1233" s="92">
        <f>(+G1233*H1233)/2000</f>
        <v>274126.38394702994</v>
      </c>
      <c r="J1233" s="92"/>
      <c r="K1233" s="17" t="s">
        <v>224</v>
      </c>
      <c r="L1233" s="18">
        <v>5.8439999999999999E-2</v>
      </c>
      <c r="M1233" s="15">
        <v>6646674</v>
      </c>
      <c r="N1233" s="19">
        <f>(M1233*L1233)</f>
        <v>388431.62855999998</v>
      </c>
      <c r="O1233" s="15">
        <v>1090756</v>
      </c>
      <c r="P1233" s="19">
        <f>(N1233*2000)/O1233</f>
        <v>712.22460121237009</v>
      </c>
      <c r="Q1233" s="15" t="s">
        <v>255</v>
      </c>
    </row>
    <row r="1234" spans="1:17" x14ac:dyDescent="0.25">
      <c r="A1234" s="91">
        <v>1945</v>
      </c>
      <c r="B1234" s="15">
        <v>2011</v>
      </c>
      <c r="C1234" s="1" t="s">
        <v>32</v>
      </c>
      <c r="D1234" s="1" t="s">
        <v>219</v>
      </c>
      <c r="E1234" s="15" t="s">
        <v>125</v>
      </c>
      <c r="F1234" s="1" t="s">
        <v>35</v>
      </c>
      <c r="G1234" s="16">
        <v>24528.506000000001</v>
      </c>
      <c r="H1234" s="92">
        <v>0</v>
      </c>
      <c r="I1234" s="92">
        <f>(H1234*G1234)/2000</f>
        <v>0</v>
      </c>
      <c r="J1234" s="92"/>
      <c r="K1234" s="17" t="s">
        <v>223</v>
      </c>
      <c r="M1234" s="19"/>
      <c r="N1234" s="19"/>
      <c r="O1234" s="19"/>
      <c r="P1234" s="19"/>
    </row>
    <row r="1235" spans="1:17" x14ac:dyDescent="0.25">
      <c r="A1235" s="91">
        <v>1946</v>
      </c>
      <c r="B1235" s="15">
        <v>2011</v>
      </c>
      <c r="C1235" s="1" t="s">
        <v>32</v>
      </c>
      <c r="D1235" s="1" t="s">
        <v>219</v>
      </c>
      <c r="E1235" s="15" t="s">
        <v>225</v>
      </c>
      <c r="F1235" s="1" t="s">
        <v>36</v>
      </c>
      <c r="G1235" s="16">
        <v>2962.03</v>
      </c>
      <c r="H1235" s="92">
        <f>P1235</f>
        <v>1037.0038632651913</v>
      </c>
      <c r="I1235" s="92">
        <f>(+G1235*H1235)/2000</f>
        <v>1535.8182765536974</v>
      </c>
      <c r="J1235" s="92"/>
      <c r="K1235" s="17" t="s">
        <v>225</v>
      </c>
      <c r="L1235" s="18">
        <v>0.10448</v>
      </c>
      <c r="M1235" s="19">
        <v>176245</v>
      </c>
      <c r="N1235" s="19">
        <f>(M1235*L1235)</f>
        <v>18414.077600000001</v>
      </c>
      <c r="O1235" s="15">
        <v>35514</v>
      </c>
      <c r="P1235" s="19">
        <f>(N1235*2000)/O1235</f>
        <v>1037.0038632651913</v>
      </c>
      <c r="Q1235" s="15" t="s">
        <v>255</v>
      </c>
    </row>
    <row r="1236" spans="1:17" x14ac:dyDescent="0.25">
      <c r="A1236" s="91">
        <v>1947</v>
      </c>
      <c r="B1236" s="15">
        <v>2011</v>
      </c>
      <c r="C1236" s="1" t="s">
        <v>32</v>
      </c>
      <c r="D1236" s="1" t="s">
        <v>219</v>
      </c>
      <c r="E1236" s="15" t="s">
        <v>227</v>
      </c>
      <c r="F1236" s="1" t="s">
        <v>38</v>
      </c>
      <c r="G1236" s="16">
        <v>143386</v>
      </c>
      <c r="H1236" s="92">
        <f>P1236</f>
        <v>4486.4813195427632</v>
      </c>
      <c r="I1236" s="92">
        <f>(+G1236*H1236)/2000</f>
        <v>321649.30524197931</v>
      </c>
      <c r="J1236" s="92"/>
      <c r="K1236" s="17" t="s">
        <v>228</v>
      </c>
      <c r="L1236" s="18">
        <v>0.11289</v>
      </c>
      <c r="M1236" s="19">
        <v>2849168</v>
      </c>
      <c r="N1236" s="19">
        <f>(M1236*L1236)</f>
        <v>321642.57552000001</v>
      </c>
      <c r="O1236" s="15">
        <v>143383</v>
      </c>
      <c r="P1236" s="19">
        <f>(N1236*2000)/O1236</f>
        <v>4486.4813195427632</v>
      </c>
      <c r="Q1236" s="15" t="s">
        <v>255</v>
      </c>
    </row>
    <row r="1237" spans="1:17" x14ac:dyDescent="0.25">
      <c r="A1237" s="91">
        <v>1948</v>
      </c>
      <c r="B1237" s="15">
        <v>2011</v>
      </c>
      <c r="C1237" s="1" t="s">
        <v>32</v>
      </c>
      <c r="D1237" s="1" t="s">
        <v>219</v>
      </c>
      <c r="E1237" s="15" t="s">
        <v>125</v>
      </c>
      <c r="F1237" s="1" t="s">
        <v>40</v>
      </c>
      <c r="G1237" s="16">
        <v>1153.68</v>
      </c>
      <c r="H1237" s="92">
        <v>0</v>
      </c>
      <c r="I1237" s="92">
        <f>(H1237*G1237)/2000</f>
        <v>0</v>
      </c>
      <c r="J1237" s="92"/>
      <c r="K1237" s="17" t="s">
        <v>223</v>
      </c>
      <c r="M1237" s="19"/>
      <c r="N1237" s="19"/>
      <c r="O1237" s="19"/>
      <c r="P1237" s="19"/>
    </row>
    <row r="1238" spans="1:17" x14ac:dyDescent="0.25">
      <c r="A1238" s="91">
        <v>1949</v>
      </c>
      <c r="B1238" s="15">
        <v>2011</v>
      </c>
      <c r="C1238" s="1" t="s">
        <v>32</v>
      </c>
      <c r="D1238" s="1" t="s">
        <v>219</v>
      </c>
      <c r="E1238" s="15" t="s">
        <v>123</v>
      </c>
      <c r="F1238" s="1" t="s">
        <v>41</v>
      </c>
      <c r="G1238" s="16">
        <v>81307.08</v>
      </c>
      <c r="H1238" s="92">
        <f>P1238</f>
        <v>775.68707973541314</v>
      </c>
      <c r="I1238" s="92">
        <f>(+G1238*H1238)/2000</f>
        <v>31534.425723506807</v>
      </c>
      <c r="J1238" s="92"/>
      <c r="K1238" s="17" t="s">
        <v>224</v>
      </c>
      <c r="L1238" s="18">
        <v>5.8439999999999999E-2</v>
      </c>
      <c r="M1238" s="15">
        <v>683259</v>
      </c>
      <c r="N1238" s="19">
        <f>(M1238*L1238)</f>
        <v>39929.655959999996</v>
      </c>
      <c r="O1238" s="15">
        <v>102953</v>
      </c>
      <c r="P1238" s="19">
        <f>(N1238*2000)/O1238</f>
        <v>775.68707973541314</v>
      </c>
      <c r="Q1238" s="15" t="s">
        <v>255</v>
      </c>
    </row>
    <row r="1239" spans="1:17" x14ac:dyDescent="0.25">
      <c r="A1239" s="91">
        <v>1950</v>
      </c>
      <c r="B1239" s="15">
        <v>2011</v>
      </c>
      <c r="C1239" s="1" t="s">
        <v>32</v>
      </c>
      <c r="D1239" s="1" t="s">
        <v>219</v>
      </c>
      <c r="E1239" s="15" t="s">
        <v>125</v>
      </c>
      <c r="F1239" s="1" t="s">
        <v>42</v>
      </c>
      <c r="G1239" s="16">
        <v>90259.6</v>
      </c>
      <c r="H1239" s="92">
        <v>0</v>
      </c>
      <c r="I1239" s="92">
        <f>(H1239*G1239)/2000</f>
        <v>0</v>
      </c>
      <c r="J1239" s="92"/>
      <c r="K1239" s="17" t="s">
        <v>223</v>
      </c>
      <c r="M1239" s="19"/>
      <c r="N1239" s="19"/>
      <c r="O1239" s="19"/>
      <c r="P1239" s="19"/>
    </row>
    <row r="1240" spans="1:17" x14ac:dyDescent="0.25">
      <c r="A1240" s="91">
        <v>1951</v>
      </c>
      <c r="B1240" s="15">
        <v>2011</v>
      </c>
      <c r="C1240" s="1" t="s">
        <v>32</v>
      </c>
      <c r="D1240" s="1" t="s">
        <v>219</v>
      </c>
      <c r="E1240" s="15" t="s">
        <v>125</v>
      </c>
      <c r="F1240" s="1" t="s">
        <v>43</v>
      </c>
      <c r="G1240" s="16">
        <v>15834</v>
      </c>
      <c r="H1240" s="92">
        <v>0</v>
      </c>
      <c r="I1240" s="92">
        <f>(H1240*G1240)/2000</f>
        <v>0</v>
      </c>
      <c r="J1240" s="92"/>
      <c r="K1240" s="17" t="s">
        <v>223</v>
      </c>
      <c r="M1240" s="19"/>
      <c r="N1240" s="19"/>
      <c r="O1240" s="19"/>
      <c r="P1240" s="19"/>
    </row>
    <row r="1241" spans="1:17" x14ac:dyDescent="0.25">
      <c r="A1241" s="91">
        <v>1953</v>
      </c>
      <c r="B1241" s="15">
        <v>2011</v>
      </c>
      <c r="C1241" s="1" t="s">
        <v>44</v>
      </c>
      <c r="D1241" s="1" t="s">
        <v>216</v>
      </c>
      <c r="E1241" s="15" t="s">
        <v>217</v>
      </c>
      <c r="F1241" s="1" t="s">
        <v>47</v>
      </c>
      <c r="G1241" s="16">
        <v>117376.28</v>
      </c>
      <c r="H1241" s="93">
        <f>'Emission Rates Net-by-Count'!$D$9</f>
        <v>904.65944483592443</v>
      </c>
      <c r="I1241" s="16">
        <f t="shared" ref="I1241:I1272" si="47">(G1241*H1241)/2000</f>
        <v>53092.78015085301</v>
      </c>
      <c r="M1241" s="19"/>
      <c r="N1241" s="19"/>
      <c r="O1241" s="19"/>
      <c r="P1241" s="19"/>
    </row>
    <row r="1242" spans="1:17" x14ac:dyDescent="0.25">
      <c r="A1242" s="91">
        <v>1955</v>
      </c>
      <c r="B1242" s="15">
        <v>2011</v>
      </c>
      <c r="C1242" s="1" t="s">
        <v>44</v>
      </c>
      <c r="D1242" s="1" t="s">
        <v>216</v>
      </c>
      <c r="E1242" s="15" t="s">
        <v>217</v>
      </c>
      <c r="F1242" s="1" t="s">
        <v>127</v>
      </c>
      <c r="G1242" s="16">
        <v>27750</v>
      </c>
      <c r="H1242" s="93">
        <f>'Emission Rates Net-by-Count'!$D$9</f>
        <v>904.65944483592443</v>
      </c>
      <c r="I1242" s="16">
        <f t="shared" si="47"/>
        <v>12552.149797098453</v>
      </c>
      <c r="M1242" s="19"/>
      <c r="N1242" s="19"/>
      <c r="O1242" s="19"/>
      <c r="P1242" s="19"/>
    </row>
    <row r="1243" spans="1:17" x14ac:dyDescent="0.25">
      <c r="A1243" s="91">
        <v>1956</v>
      </c>
      <c r="B1243" s="15">
        <v>2011</v>
      </c>
      <c r="C1243" s="1" t="s">
        <v>44</v>
      </c>
      <c r="D1243" s="1" t="s">
        <v>216</v>
      </c>
      <c r="E1243" s="15" t="s">
        <v>217</v>
      </c>
      <c r="F1243" s="1" t="s">
        <v>50</v>
      </c>
      <c r="G1243" s="16">
        <v>3515</v>
      </c>
      <c r="H1243" s="93">
        <f>'Emission Rates Net-by-Count'!$D$9</f>
        <v>904.65944483592443</v>
      </c>
      <c r="I1243" s="16">
        <f t="shared" si="47"/>
        <v>1589.9389742991373</v>
      </c>
      <c r="M1243" s="19"/>
      <c r="N1243" s="19"/>
      <c r="O1243" s="19"/>
      <c r="P1243" s="19"/>
    </row>
    <row r="1244" spans="1:17" x14ac:dyDescent="0.25">
      <c r="A1244" s="91">
        <v>1957</v>
      </c>
      <c r="B1244" s="15">
        <v>2011</v>
      </c>
      <c r="C1244" s="1" t="s">
        <v>44</v>
      </c>
      <c r="D1244" s="1" t="s">
        <v>216</v>
      </c>
      <c r="E1244" s="15" t="s">
        <v>217</v>
      </c>
      <c r="F1244" s="1" t="s">
        <v>170</v>
      </c>
      <c r="G1244" s="16">
        <v>119000</v>
      </c>
      <c r="H1244" s="93">
        <f>'Emission Rates Net-by-Count'!$D$9</f>
        <v>904.65944483592443</v>
      </c>
      <c r="I1244" s="16">
        <f t="shared" si="47"/>
        <v>53827.236967737503</v>
      </c>
      <c r="M1244" s="19"/>
      <c r="N1244" s="19"/>
      <c r="O1244" s="19"/>
      <c r="P1244" s="19"/>
    </row>
    <row r="1245" spans="1:17" x14ac:dyDescent="0.25">
      <c r="A1245" s="91">
        <v>1958</v>
      </c>
      <c r="B1245" s="15">
        <v>2011</v>
      </c>
      <c r="C1245" s="1" t="s">
        <v>44</v>
      </c>
      <c r="D1245" s="1" t="s">
        <v>216</v>
      </c>
      <c r="E1245" s="15" t="s">
        <v>217</v>
      </c>
      <c r="F1245" s="1" t="s">
        <v>51</v>
      </c>
      <c r="G1245" s="16">
        <v>-3113284</v>
      </c>
      <c r="H1245" s="93">
        <f>'Emission Rates Net-by-Count'!$D$9</f>
        <v>904.65944483592443</v>
      </c>
      <c r="I1245" s="16">
        <f t="shared" si="47"/>
        <v>-1408230.8875282831</v>
      </c>
      <c r="M1245" s="19"/>
      <c r="N1245" s="19"/>
      <c r="O1245" s="19"/>
      <c r="P1245" s="19"/>
    </row>
    <row r="1246" spans="1:17" x14ac:dyDescent="0.25">
      <c r="A1246" s="91">
        <v>1959</v>
      </c>
      <c r="B1246" s="15">
        <v>2011</v>
      </c>
      <c r="C1246" s="1" t="s">
        <v>44</v>
      </c>
      <c r="D1246" s="1" t="s">
        <v>216</v>
      </c>
      <c r="E1246" s="15" t="s">
        <v>217</v>
      </c>
      <c r="F1246" s="1" t="s">
        <v>52</v>
      </c>
      <c r="G1246" s="16">
        <v>345552</v>
      </c>
      <c r="H1246" s="93">
        <f>'Emission Rates Net-by-Count'!$D$9</f>
        <v>904.65944483592443</v>
      </c>
      <c r="I1246" s="16">
        <f t="shared" si="47"/>
        <v>156303.44024097169</v>
      </c>
      <c r="M1246" s="19"/>
      <c r="N1246" s="19"/>
      <c r="O1246" s="19"/>
      <c r="P1246" s="19"/>
    </row>
    <row r="1247" spans="1:17" x14ac:dyDescent="0.25">
      <c r="A1247" s="91">
        <v>1960</v>
      </c>
      <c r="B1247" s="15">
        <v>2011</v>
      </c>
      <c r="C1247" s="1" t="s">
        <v>44</v>
      </c>
      <c r="D1247" s="1" t="s">
        <v>216</v>
      </c>
      <c r="E1247" s="15" t="s">
        <v>217</v>
      </c>
      <c r="F1247" s="1" t="s">
        <v>21</v>
      </c>
      <c r="G1247" s="16">
        <v>382105</v>
      </c>
      <c r="H1247" s="93">
        <f>'Emission Rates Net-by-Count'!$D$9</f>
        <v>904.65944483592443</v>
      </c>
      <c r="I1247" s="16">
        <f t="shared" si="47"/>
        <v>172837.44858451546</v>
      </c>
      <c r="M1247" s="19"/>
      <c r="N1247" s="19"/>
      <c r="O1247" s="19"/>
      <c r="P1247" s="19"/>
    </row>
    <row r="1248" spans="1:17" x14ac:dyDescent="0.25">
      <c r="A1248" s="91">
        <v>1961</v>
      </c>
      <c r="B1248" s="15">
        <v>2011</v>
      </c>
      <c r="C1248" s="1" t="s">
        <v>44</v>
      </c>
      <c r="D1248" s="1" t="s">
        <v>216</v>
      </c>
      <c r="E1248" s="15" t="s">
        <v>217</v>
      </c>
      <c r="F1248" s="1" t="s">
        <v>143</v>
      </c>
      <c r="G1248" s="16">
        <v>9</v>
      </c>
      <c r="H1248" s="93">
        <f>'Emission Rates Net-by-Count'!$D$9</f>
        <v>904.65944483592443</v>
      </c>
      <c r="I1248" s="16">
        <f t="shared" si="47"/>
        <v>4.0709675017616602</v>
      </c>
      <c r="M1248" s="19"/>
      <c r="N1248" s="19"/>
      <c r="O1248" s="19"/>
      <c r="P1248" s="19"/>
    </row>
    <row r="1249" spans="1:16" x14ac:dyDescent="0.25">
      <c r="A1249" s="91">
        <v>1963</v>
      </c>
      <c r="B1249" s="15">
        <v>2011</v>
      </c>
      <c r="C1249" s="1" t="s">
        <v>44</v>
      </c>
      <c r="D1249" s="1" t="s">
        <v>216</v>
      </c>
      <c r="E1249" s="15" t="s">
        <v>217</v>
      </c>
      <c r="F1249" s="1" t="s">
        <v>53</v>
      </c>
      <c r="G1249" s="16">
        <v>2000</v>
      </c>
      <c r="H1249" s="93">
        <f>'Emission Rates Net-by-Count'!$D$9</f>
        <v>904.65944483592443</v>
      </c>
      <c r="I1249" s="16">
        <f t="shared" si="47"/>
        <v>904.65944483592443</v>
      </c>
      <c r="M1249" s="19"/>
      <c r="N1249" s="19"/>
      <c r="O1249" s="19"/>
      <c r="P1249" s="19"/>
    </row>
    <row r="1250" spans="1:16" x14ac:dyDescent="0.25">
      <c r="A1250" s="91">
        <v>1964</v>
      </c>
      <c r="B1250" s="15">
        <v>2011</v>
      </c>
      <c r="C1250" s="1" t="s">
        <v>44</v>
      </c>
      <c r="D1250" s="1" t="s">
        <v>216</v>
      </c>
      <c r="E1250" s="15" t="s">
        <v>217</v>
      </c>
      <c r="F1250" s="1" t="s">
        <v>56</v>
      </c>
      <c r="G1250" s="16">
        <v>318865</v>
      </c>
      <c r="H1250" s="93">
        <f>'Emission Rates Net-by-Count'!$D$9</f>
        <v>904.65944483592443</v>
      </c>
      <c r="I1250" s="16">
        <f t="shared" si="47"/>
        <v>144232.11693880352</v>
      </c>
      <c r="M1250" s="19"/>
      <c r="N1250" s="19"/>
      <c r="O1250" s="19"/>
      <c r="P1250" s="19"/>
    </row>
    <row r="1251" spans="1:16" x14ac:dyDescent="0.25">
      <c r="A1251" s="91">
        <v>1965</v>
      </c>
      <c r="B1251" s="15">
        <v>2011</v>
      </c>
      <c r="C1251" s="1" t="s">
        <v>44</v>
      </c>
      <c r="D1251" s="1" t="s">
        <v>216</v>
      </c>
      <c r="E1251" s="15" t="s">
        <v>217</v>
      </c>
      <c r="F1251" s="1" t="s">
        <v>57</v>
      </c>
      <c r="G1251" s="16">
        <v>8620</v>
      </c>
      <c r="H1251" s="93">
        <f>'Emission Rates Net-by-Count'!$D$9</f>
        <v>904.65944483592443</v>
      </c>
      <c r="I1251" s="16">
        <f t="shared" si="47"/>
        <v>3899.0822072428346</v>
      </c>
      <c r="M1251" s="19"/>
      <c r="N1251" s="19"/>
      <c r="O1251" s="19"/>
      <c r="P1251" s="19"/>
    </row>
    <row r="1252" spans="1:16" x14ac:dyDescent="0.25">
      <c r="A1252" s="91">
        <v>1967</v>
      </c>
      <c r="B1252" s="15">
        <v>2011</v>
      </c>
      <c r="C1252" s="1" t="s">
        <v>44</v>
      </c>
      <c r="D1252" s="1" t="s">
        <v>216</v>
      </c>
      <c r="E1252" s="15" t="s">
        <v>217</v>
      </c>
      <c r="F1252" s="1" t="s">
        <v>58</v>
      </c>
      <c r="G1252" s="16">
        <v>1028188</v>
      </c>
      <c r="H1252" s="93">
        <f>'Emission Rates Net-by-Count'!$D$9</f>
        <v>904.65944483592443</v>
      </c>
      <c r="I1252" s="16">
        <f t="shared" si="47"/>
        <v>465079.99263347971</v>
      </c>
      <c r="M1252" s="19"/>
      <c r="N1252" s="19"/>
      <c r="O1252" s="19"/>
      <c r="P1252" s="19"/>
    </row>
    <row r="1253" spans="1:16" x14ac:dyDescent="0.25">
      <c r="A1253" s="91">
        <v>1968</v>
      </c>
      <c r="B1253" s="15">
        <v>2011</v>
      </c>
      <c r="C1253" s="1" t="s">
        <v>44</v>
      </c>
      <c r="D1253" s="1" t="s">
        <v>216</v>
      </c>
      <c r="E1253" s="15" t="s">
        <v>217</v>
      </c>
      <c r="F1253" s="1" t="s">
        <v>182</v>
      </c>
      <c r="G1253" s="16">
        <v>8570</v>
      </c>
      <c r="H1253" s="93">
        <f>'Emission Rates Net-by-Count'!$D$9</f>
        <v>904.65944483592443</v>
      </c>
      <c r="I1253" s="16">
        <f t="shared" si="47"/>
        <v>3876.465721121936</v>
      </c>
      <c r="M1253" s="19"/>
      <c r="N1253" s="19"/>
      <c r="O1253" s="19"/>
      <c r="P1253" s="19"/>
    </row>
    <row r="1254" spans="1:16" x14ac:dyDescent="0.25">
      <c r="A1254" s="91">
        <v>1969</v>
      </c>
      <c r="B1254" s="15">
        <v>2011</v>
      </c>
      <c r="C1254" s="1" t="s">
        <v>44</v>
      </c>
      <c r="D1254" s="1" t="s">
        <v>216</v>
      </c>
      <c r="E1254" s="15" t="s">
        <v>217</v>
      </c>
      <c r="F1254" s="1" t="s">
        <v>59</v>
      </c>
      <c r="G1254" s="16">
        <v>15878</v>
      </c>
      <c r="H1254" s="93">
        <f>'Emission Rates Net-by-Count'!$D$9</f>
        <v>904.65944483592443</v>
      </c>
      <c r="I1254" s="16">
        <f t="shared" si="47"/>
        <v>7182.0913325524043</v>
      </c>
      <c r="M1254" s="19"/>
      <c r="N1254" s="19"/>
      <c r="O1254" s="19"/>
      <c r="P1254" s="19"/>
    </row>
    <row r="1255" spans="1:16" x14ac:dyDescent="0.25">
      <c r="A1255" s="91">
        <v>1971</v>
      </c>
      <c r="B1255" s="15">
        <v>2011</v>
      </c>
      <c r="C1255" s="1" t="s">
        <v>44</v>
      </c>
      <c r="D1255" s="1" t="s">
        <v>216</v>
      </c>
      <c r="E1255" s="15" t="s">
        <v>217</v>
      </c>
      <c r="F1255" s="1" t="s">
        <v>61</v>
      </c>
      <c r="G1255" s="16">
        <v>298689</v>
      </c>
      <c r="H1255" s="93">
        <f>'Emission Rates Net-by-Count'!$D$9</f>
        <v>904.65944483592443</v>
      </c>
      <c r="I1255" s="16">
        <f t="shared" si="47"/>
        <v>135105.91245929874</v>
      </c>
      <c r="M1255" s="19"/>
      <c r="N1255" s="19"/>
      <c r="O1255" s="19"/>
      <c r="P1255" s="19"/>
    </row>
    <row r="1256" spans="1:16" x14ac:dyDescent="0.25">
      <c r="A1256" s="91">
        <v>1972</v>
      </c>
      <c r="B1256" s="15">
        <v>2011</v>
      </c>
      <c r="C1256" s="1" t="s">
        <v>44</v>
      </c>
      <c r="D1256" s="1" t="s">
        <v>216</v>
      </c>
      <c r="E1256" s="15" t="s">
        <v>217</v>
      </c>
      <c r="F1256" s="1" t="s">
        <v>146</v>
      </c>
      <c r="G1256" s="16">
        <v>5848</v>
      </c>
      <c r="H1256" s="93">
        <f>'Emission Rates Net-by-Count'!$D$9</f>
        <v>904.65944483592443</v>
      </c>
      <c r="I1256" s="16">
        <f t="shared" si="47"/>
        <v>2645.2242167002428</v>
      </c>
      <c r="M1256" s="19"/>
      <c r="N1256" s="19"/>
      <c r="O1256" s="19"/>
      <c r="P1256" s="19"/>
    </row>
    <row r="1257" spans="1:16" x14ac:dyDescent="0.25">
      <c r="A1257" s="91">
        <v>1973</v>
      </c>
      <c r="B1257" s="15">
        <v>2011</v>
      </c>
      <c r="C1257" s="1" t="s">
        <v>44</v>
      </c>
      <c r="D1257" s="1" t="s">
        <v>216</v>
      </c>
      <c r="E1257" s="15" t="s">
        <v>217</v>
      </c>
      <c r="F1257" s="1" t="s">
        <v>131</v>
      </c>
      <c r="G1257" s="16">
        <v>197398</v>
      </c>
      <c r="H1257" s="93">
        <f>'Emission Rates Net-by-Count'!$D$9</f>
        <v>904.65944483592443</v>
      </c>
      <c r="I1257" s="16">
        <f t="shared" si="47"/>
        <v>89288.982545860898</v>
      </c>
      <c r="M1257" s="19"/>
      <c r="N1257" s="19"/>
      <c r="O1257" s="19"/>
      <c r="P1257" s="19"/>
    </row>
    <row r="1258" spans="1:16" x14ac:dyDescent="0.25">
      <c r="A1258" s="91">
        <v>1975</v>
      </c>
      <c r="B1258" s="15">
        <v>2011</v>
      </c>
      <c r="C1258" s="1" t="s">
        <v>44</v>
      </c>
      <c r="D1258" s="1" t="s">
        <v>216</v>
      </c>
      <c r="E1258" s="15" t="s">
        <v>217</v>
      </c>
      <c r="F1258" s="1" t="s">
        <v>62</v>
      </c>
      <c r="G1258" s="16">
        <v>277494</v>
      </c>
      <c r="H1258" s="93">
        <f>'Emission Rates Net-by-Count'!$D$9</f>
        <v>904.65944483592443</v>
      </c>
      <c r="I1258" s="16">
        <f t="shared" si="47"/>
        <v>125518.78399265</v>
      </c>
      <c r="M1258" s="19"/>
      <c r="N1258" s="19"/>
      <c r="O1258" s="19"/>
      <c r="P1258" s="19"/>
    </row>
    <row r="1259" spans="1:16" x14ac:dyDescent="0.25">
      <c r="A1259" s="91">
        <v>1977</v>
      </c>
      <c r="B1259" s="15">
        <v>2011</v>
      </c>
      <c r="C1259" s="1" t="s">
        <v>44</v>
      </c>
      <c r="D1259" s="1" t="s">
        <v>216</v>
      </c>
      <c r="E1259" s="15" t="s">
        <v>217</v>
      </c>
      <c r="F1259" s="1" t="s">
        <v>165</v>
      </c>
      <c r="G1259" s="16">
        <v>585729</v>
      </c>
      <c r="H1259" s="93">
        <f>'Emission Rates Net-by-Count'!$D$9</f>
        <v>904.65944483592443</v>
      </c>
      <c r="I1259" s="16">
        <f t="shared" si="47"/>
        <v>264942.63598215056</v>
      </c>
      <c r="M1259" s="19"/>
      <c r="N1259" s="19"/>
      <c r="O1259" s="19"/>
      <c r="P1259" s="19"/>
    </row>
    <row r="1260" spans="1:16" x14ac:dyDescent="0.25">
      <c r="A1260" s="91">
        <v>1978</v>
      </c>
      <c r="B1260" s="15">
        <v>2011</v>
      </c>
      <c r="C1260" s="1" t="s">
        <v>44</v>
      </c>
      <c r="D1260" s="1" t="s">
        <v>216</v>
      </c>
      <c r="E1260" s="15" t="s">
        <v>217</v>
      </c>
      <c r="F1260" s="1" t="s">
        <v>65</v>
      </c>
      <c r="G1260" s="16">
        <v>63900</v>
      </c>
      <c r="H1260" s="93">
        <f>'Emission Rates Net-by-Count'!$D$9</f>
        <v>904.65944483592443</v>
      </c>
      <c r="I1260" s="16">
        <f t="shared" si="47"/>
        <v>28903.869262507786</v>
      </c>
      <c r="M1260" s="19"/>
      <c r="N1260" s="19"/>
      <c r="O1260" s="19"/>
      <c r="P1260" s="19"/>
    </row>
    <row r="1261" spans="1:16" x14ac:dyDescent="0.25">
      <c r="A1261" s="91">
        <v>1979</v>
      </c>
      <c r="B1261" s="15">
        <v>2011</v>
      </c>
      <c r="C1261" s="1" t="s">
        <v>44</v>
      </c>
      <c r="D1261" s="1" t="s">
        <v>216</v>
      </c>
      <c r="E1261" s="15" t="s">
        <v>217</v>
      </c>
      <c r="F1261" s="1" t="s">
        <v>184</v>
      </c>
      <c r="G1261" s="16">
        <v>10000</v>
      </c>
      <c r="H1261" s="93">
        <f>'Emission Rates Net-by-Count'!$D$9</f>
        <v>904.65944483592443</v>
      </c>
      <c r="I1261" s="16">
        <f t="shared" si="47"/>
        <v>4523.2972241796215</v>
      </c>
      <c r="M1261" s="19"/>
      <c r="N1261" s="19"/>
      <c r="O1261" s="19"/>
      <c r="P1261" s="19"/>
    </row>
    <row r="1262" spans="1:16" x14ac:dyDescent="0.25">
      <c r="A1262" s="91">
        <v>1980</v>
      </c>
      <c r="B1262" s="15">
        <v>2011</v>
      </c>
      <c r="C1262" s="1" t="s">
        <v>44</v>
      </c>
      <c r="D1262" s="1" t="s">
        <v>216</v>
      </c>
      <c r="E1262" s="15" t="s">
        <v>217</v>
      </c>
      <c r="F1262" s="1" t="s">
        <v>67</v>
      </c>
      <c r="G1262" s="16">
        <v>57335</v>
      </c>
      <c r="H1262" s="93">
        <f>'Emission Rates Net-by-Count'!$D$9</f>
        <v>904.65944483592443</v>
      </c>
      <c r="I1262" s="16">
        <f t="shared" si="47"/>
        <v>25934.324634833865</v>
      </c>
      <c r="M1262" s="19"/>
      <c r="N1262" s="19"/>
      <c r="O1262" s="19"/>
      <c r="P1262" s="19"/>
    </row>
    <row r="1263" spans="1:16" x14ac:dyDescent="0.25">
      <c r="A1263" s="91">
        <v>1981</v>
      </c>
      <c r="B1263" s="15">
        <v>2011</v>
      </c>
      <c r="C1263" s="1" t="s">
        <v>44</v>
      </c>
      <c r="D1263" s="1" t="s">
        <v>216</v>
      </c>
      <c r="E1263" s="15" t="s">
        <v>217</v>
      </c>
      <c r="F1263" s="1" t="s">
        <v>121</v>
      </c>
      <c r="G1263" s="16">
        <v>20800</v>
      </c>
      <c r="H1263" s="93">
        <f>'Emission Rates Net-by-Count'!$D$9</f>
        <v>904.65944483592443</v>
      </c>
      <c r="I1263" s="16">
        <f t="shared" si="47"/>
        <v>9408.4582262936146</v>
      </c>
      <c r="M1263" s="19"/>
      <c r="N1263" s="19"/>
      <c r="O1263" s="19"/>
      <c r="P1263" s="19"/>
    </row>
    <row r="1264" spans="1:16" x14ac:dyDescent="0.25">
      <c r="A1264" s="91">
        <v>1982</v>
      </c>
      <c r="B1264" s="15">
        <v>2011</v>
      </c>
      <c r="C1264" s="1" t="s">
        <v>44</v>
      </c>
      <c r="D1264" s="1" t="s">
        <v>216</v>
      </c>
      <c r="E1264" s="15" t="s">
        <v>217</v>
      </c>
      <c r="F1264" s="1" t="s">
        <v>69</v>
      </c>
      <c r="G1264" s="16">
        <v>587403</v>
      </c>
      <c r="H1264" s="93">
        <f>'Emission Rates Net-by-Count'!$D$9</f>
        <v>904.65944483592443</v>
      </c>
      <c r="I1264" s="16">
        <f t="shared" si="47"/>
        <v>265699.83593747829</v>
      </c>
      <c r="M1264" s="19"/>
      <c r="N1264" s="19"/>
      <c r="O1264" s="19"/>
      <c r="P1264" s="19"/>
    </row>
    <row r="1265" spans="1:16" x14ac:dyDescent="0.25">
      <c r="A1265" s="91">
        <v>1983</v>
      </c>
      <c r="B1265" s="15">
        <v>2011</v>
      </c>
      <c r="C1265" s="1" t="s">
        <v>44</v>
      </c>
      <c r="D1265" s="1" t="s">
        <v>216</v>
      </c>
      <c r="E1265" s="15" t="s">
        <v>217</v>
      </c>
      <c r="F1265" s="1" t="s">
        <v>71</v>
      </c>
      <c r="G1265" s="16">
        <v>73320</v>
      </c>
      <c r="H1265" s="93">
        <f>'Emission Rates Net-by-Count'!$D$9</f>
        <v>904.65944483592443</v>
      </c>
      <c r="I1265" s="16">
        <f t="shared" si="47"/>
        <v>33164.815247684986</v>
      </c>
      <c r="M1265" s="19"/>
      <c r="N1265" s="19"/>
      <c r="O1265" s="19"/>
      <c r="P1265" s="19"/>
    </row>
    <row r="1266" spans="1:16" x14ac:dyDescent="0.25">
      <c r="A1266" s="91">
        <v>1984</v>
      </c>
      <c r="B1266" s="15">
        <v>2011</v>
      </c>
      <c r="C1266" s="1" t="s">
        <v>44</v>
      </c>
      <c r="D1266" s="1" t="s">
        <v>216</v>
      </c>
      <c r="E1266" s="15" t="s">
        <v>217</v>
      </c>
      <c r="F1266" s="1" t="s">
        <v>72</v>
      </c>
      <c r="G1266" s="16">
        <v>400</v>
      </c>
      <c r="H1266" s="93">
        <f>'Emission Rates Net-by-Count'!$D$9</f>
        <v>904.65944483592443</v>
      </c>
      <c r="I1266" s="16">
        <f t="shared" si="47"/>
        <v>180.93188896718488</v>
      </c>
      <c r="M1266" s="19"/>
      <c r="N1266" s="19"/>
      <c r="O1266" s="19"/>
      <c r="P1266" s="19"/>
    </row>
    <row r="1267" spans="1:16" x14ac:dyDescent="0.25">
      <c r="A1267" s="91">
        <v>1987</v>
      </c>
      <c r="B1267" s="15">
        <v>2011</v>
      </c>
      <c r="C1267" s="1" t="s">
        <v>44</v>
      </c>
      <c r="D1267" s="1" t="s">
        <v>216</v>
      </c>
      <c r="E1267" s="15" t="s">
        <v>217</v>
      </c>
      <c r="F1267" s="1" t="s">
        <v>133</v>
      </c>
      <c r="G1267" s="16">
        <v>1148676</v>
      </c>
      <c r="H1267" s="93">
        <f>'Emission Rates Net-by-Count'!$D$9</f>
        <v>904.65944483592443</v>
      </c>
      <c r="I1267" s="16">
        <f t="shared" si="47"/>
        <v>519580.29622817517</v>
      </c>
      <c r="M1267" s="19"/>
      <c r="N1267" s="19"/>
      <c r="O1267" s="19"/>
      <c r="P1267" s="19"/>
    </row>
    <row r="1268" spans="1:16" x14ac:dyDescent="0.25">
      <c r="A1268" s="91">
        <v>1990</v>
      </c>
      <c r="B1268" s="15">
        <v>2011</v>
      </c>
      <c r="C1268" s="1" t="s">
        <v>44</v>
      </c>
      <c r="D1268" s="1" t="s">
        <v>216</v>
      </c>
      <c r="E1268" s="15" t="s">
        <v>217</v>
      </c>
      <c r="F1268" s="1" t="s">
        <v>76</v>
      </c>
      <c r="G1268" s="16">
        <v>350800</v>
      </c>
      <c r="H1268" s="93">
        <f>'Emission Rates Net-by-Count'!$D$9</f>
        <v>904.65944483592443</v>
      </c>
      <c r="I1268" s="16">
        <f t="shared" si="47"/>
        <v>158677.26662422114</v>
      </c>
      <c r="M1268" s="19"/>
      <c r="N1268" s="19"/>
      <c r="O1268" s="19"/>
      <c r="P1268" s="19"/>
    </row>
    <row r="1269" spans="1:16" x14ac:dyDescent="0.25">
      <c r="A1269" s="91">
        <v>1991</v>
      </c>
      <c r="B1269" s="15">
        <v>2011</v>
      </c>
      <c r="C1269" s="1" t="s">
        <v>44</v>
      </c>
      <c r="D1269" s="1" t="s">
        <v>216</v>
      </c>
      <c r="E1269" s="15" t="s">
        <v>217</v>
      </c>
      <c r="F1269" s="1" t="s">
        <v>78</v>
      </c>
      <c r="G1269" s="16">
        <v>1335550</v>
      </c>
      <c r="H1269" s="93">
        <f>'Emission Rates Net-by-Count'!$D$9</f>
        <v>904.65944483592443</v>
      </c>
      <c r="I1269" s="16">
        <f t="shared" si="47"/>
        <v>604108.96077530948</v>
      </c>
      <c r="M1269" s="19"/>
      <c r="N1269" s="19"/>
      <c r="O1269" s="19"/>
      <c r="P1269" s="19"/>
    </row>
    <row r="1270" spans="1:16" x14ac:dyDescent="0.25">
      <c r="A1270" s="91">
        <v>1993</v>
      </c>
      <c r="B1270" s="15">
        <v>2011</v>
      </c>
      <c r="C1270" s="1" t="s">
        <v>44</v>
      </c>
      <c r="D1270" s="1" t="s">
        <v>216</v>
      </c>
      <c r="E1270" s="15" t="s">
        <v>217</v>
      </c>
      <c r="F1270" s="1" t="s">
        <v>173</v>
      </c>
      <c r="G1270" s="16">
        <v>30168</v>
      </c>
      <c r="H1270" s="93">
        <f>'Emission Rates Net-by-Count'!$D$9</f>
        <v>904.65944483592443</v>
      </c>
      <c r="I1270" s="16">
        <f t="shared" si="47"/>
        <v>13645.883065905085</v>
      </c>
      <c r="M1270" s="19"/>
      <c r="N1270" s="19"/>
      <c r="O1270" s="19"/>
      <c r="P1270" s="19"/>
    </row>
    <row r="1271" spans="1:16" x14ac:dyDescent="0.25">
      <c r="A1271" s="91">
        <v>1994</v>
      </c>
      <c r="B1271" s="15">
        <v>2011</v>
      </c>
      <c r="C1271" s="1" t="s">
        <v>44</v>
      </c>
      <c r="D1271" s="1" t="s">
        <v>216</v>
      </c>
      <c r="E1271" s="15" t="s">
        <v>217</v>
      </c>
      <c r="F1271" s="1" t="s">
        <v>80</v>
      </c>
      <c r="G1271" s="16">
        <v>10800</v>
      </c>
      <c r="H1271" s="93">
        <f>'Emission Rates Net-by-Count'!$D$9</f>
        <v>904.65944483592443</v>
      </c>
      <c r="I1271" s="16">
        <f t="shared" si="47"/>
        <v>4885.1610021139923</v>
      </c>
      <c r="M1271" s="19"/>
      <c r="N1271" s="19"/>
      <c r="O1271" s="19"/>
      <c r="P1271" s="19"/>
    </row>
    <row r="1272" spans="1:16" x14ac:dyDescent="0.25">
      <c r="A1272" s="91">
        <v>1995</v>
      </c>
      <c r="B1272" s="15">
        <v>2011</v>
      </c>
      <c r="C1272" s="1" t="s">
        <v>44</v>
      </c>
      <c r="D1272" s="1" t="s">
        <v>216</v>
      </c>
      <c r="E1272" s="15" t="s">
        <v>217</v>
      </c>
      <c r="F1272" s="1" t="s">
        <v>185</v>
      </c>
      <c r="G1272" s="16">
        <v>3200</v>
      </c>
      <c r="H1272" s="93">
        <f>'Emission Rates Net-by-Count'!$D$9</f>
        <v>904.65944483592443</v>
      </c>
      <c r="I1272" s="16">
        <f t="shared" si="47"/>
        <v>1447.455111737479</v>
      </c>
      <c r="M1272" s="19"/>
      <c r="N1272" s="19"/>
      <c r="O1272" s="19"/>
      <c r="P1272" s="19"/>
    </row>
    <row r="1273" spans="1:16" x14ac:dyDescent="0.25">
      <c r="A1273" s="91">
        <v>1997</v>
      </c>
      <c r="B1273" s="15">
        <v>2011</v>
      </c>
      <c r="C1273" s="1" t="s">
        <v>44</v>
      </c>
      <c r="D1273" s="1" t="s">
        <v>216</v>
      </c>
      <c r="E1273" s="15" t="s">
        <v>217</v>
      </c>
      <c r="F1273" s="1" t="s">
        <v>81</v>
      </c>
      <c r="G1273" s="16">
        <v>430</v>
      </c>
      <c r="H1273" s="93">
        <f>'Emission Rates Net-by-Count'!$D$9</f>
        <v>904.65944483592443</v>
      </c>
      <c r="I1273" s="16">
        <f t="shared" ref="I1273:I1304" si="48">(G1273*H1273)/2000</f>
        <v>194.50178063972376</v>
      </c>
      <c r="M1273" s="19"/>
      <c r="N1273" s="19"/>
      <c r="O1273" s="19"/>
      <c r="P1273" s="19"/>
    </row>
    <row r="1274" spans="1:16" x14ac:dyDescent="0.25">
      <c r="A1274" s="91">
        <v>1998</v>
      </c>
      <c r="B1274" s="15">
        <v>2011</v>
      </c>
      <c r="C1274" s="1" t="s">
        <v>44</v>
      </c>
      <c r="D1274" s="1" t="s">
        <v>216</v>
      </c>
      <c r="E1274" s="15" t="s">
        <v>217</v>
      </c>
      <c r="F1274" s="1" t="s">
        <v>82</v>
      </c>
      <c r="G1274" s="16">
        <v>6224</v>
      </c>
      <c r="H1274" s="93">
        <f>'Emission Rates Net-by-Count'!$D$9</f>
        <v>904.65944483592443</v>
      </c>
      <c r="I1274" s="16">
        <f t="shared" si="48"/>
        <v>2815.3001923293969</v>
      </c>
      <c r="M1274" s="19"/>
      <c r="N1274" s="19"/>
      <c r="O1274" s="19"/>
      <c r="P1274" s="19"/>
    </row>
    <row r="1275" spans="1:16" x14ac:dyDescent="0.25">
      <c r="A1275" s="91">
        <v>1999</v>
      </c>
      <c r="B1275" s="15">
        <v>2011</v>
      </c>
      <c r="C1275" s="1" t="s">
        <v>44</v>
      </c>
      <c r="D1275" s="1" t="s">
        <v>216</v>
      </c>
      <c r="E1275" s="15" t="s">
        <v>217</v>
      </c>
      <c r="F1275" s="1" t="s">
        <v>83</v>
      </c>
      <c r="G1275" s="16">
        <v>4945</v>
      </c>
      <c r="H1275" s="93">
        <f>'Emission Rates Net-by-Count'!$D$9</f>
        <v>904.65944483592443</v>
      </c>
      <c r="I1275" s="16">
        <f t="shared" si="48"/>
        <v>2236.770477356823</v>
      </c>
      <c r="M1275" s="19"/>
      <c r="N1275" s="19"/>
      <c r="O1275" s="19"/>
      <c r="P1275" s="19"/>
    </row>
    <row r="1276" spans="1:16" x14ac:dyDescent="0.25">
      <c r="A1276" s="91">
        <v>2000</v>
      </c>
      <c r="B1276" s="15">
        <v>2011</v>
      </c>
      <c r="C1276" s="1" t="s">
        <v>44</v>
      </c>
      <c r="D1276" s="1" t="s">
        <v>216</v>
      </c>
      <c r="E1276" s="15" t="s">
        <v>217</v>
      </c>
      <c r="F1276" s="1" t="s">
        <v>84</v>
      </c>
      <c r="G1276" s="16">
        <v>337472</v>
      </c>
      <c r="H1276" s="93">
        <f>'Emission Rates Net-by-Count'!$D$9</f>
        <v>904.65944483592443</v>
      </c>
      <c r="I1276" s="16">
        <f t="shared" si="48"/>
        <v>152648.61608383455</v>
      </c>
      <c r="M1276" s="19"/>
      <c r="N1276" s="19"/>
      <c r="O1276" s="19"/>
      <c r="P1276" s="19"/>
    </row>
    <row r="1277" spans="1:16" x14ac:dyDescent="0.25">
      <c r="A1277" s="91">
        <v>2001</v>
      </c>
      <c r="B1277" s="15">
        <v>2011</v>
      </c>
      <c r="C1277" s="1" t="s">
        <v>44</v>
      </c>
      <c r="D1277" s="1" t="s">
        <v>216</v>
      </c>
      <c r="E1277" s="15" t="s">
        <v>217</v>
      </c>
      <c r="F1277" s="1" t="s">
        <v>149</v>
      </c>
      <c r="G1277" s="16">
        <v>1952</v>
      </c>
      <c r="H1277" s="93">
        <f>'Emission Rates Net-by-Count'!$D$9</f>
        <v>904.65944483592443</v>
      </c>
      <c r="I1277" s="16">
        <f t="shared" si="48"/>
        <v>882.94761815986226</v>
      </c>
      <c r="M1277" s="19"/>
      <c r="N1277" s="19"/>
      <c r="O1277" s="19"/>
      <c r="P1277" s="19"/>
    </row>
    <row r="1278" spans="1:16" x14ac:dyDescent="0.25">
      <c r="A1278" s="91">
        <v>2002</v>
      </c>
      <c r="B1278" s="15">
        <v>2011</v>
      </c>
      <c r="C1278" s="1" t="s">
        <v>44</v>
      </c>
      <c r="D1278" s="1" t="s">
        <v>216</v>
      </c>
      <c r="E1278" s="15" t="s">
        <v>217</v>
      </c>
      <c r="F1278" s="1" t="s">
        <v>85</v>
      </c>
      <c r="G1278" s="16">
        <v>78506</v>
      </c>
      <c r="H1278" s="93">
        <f>'Emission Rates Net-by-Count'!$D$9</f>
        <v>904.65944483592443</v>
      </c>
      <c r="I1278" s="16">
        <f t="shared" si="48"/>
        <v>35510.597188144544</v>
      </c>
      <c r="M1278" s="19"/>
      <c r="N1278" s="19"/>
      <c r="O1278" s="19"/>
      <c r="P1278" s="19"/>
    </row>
    <row r="1279" spans="1:16" x14ac:dyDescent="0.25">
      <c r="A1279" s="91">
        <v>2003</v>
      </c>
      <c r="B1279" s="15">
        <v>2011</v>
      </c>
      <c r="C1279" s="1" t="s">
        <v>44</v>
      </c>
      <c r="D1279" s="1" t="s">
        <v>216</v>
      </c>
      <c r="E1279" s="15" t="s">
        <v>217</v>
      </c>
      <c r="F1279" s="1" t="s">
        <v>138</v>
      </c>
      <c r="G1279" s="16">
        <v>104400</v>
      </c>
      <c r="H1279" s="93">
        <f>'Emission Rates Net-by-Count'!$D$9</f>
        <v>904.65944483592443</v>
      </c>
      <c r="I1279" s="16">
        <f t="shared" si="48"/>
        <v>47223.22302043526</v>
      </c>
      <c r="M1279" s="19"/>
      <c r="N1279" s="19"/>
      <c r="O1279" s="19"/>
      <c r="P1279" s="19"/>
    </row>
    <row r="1280" spans="1:16" x14ac:dyDescent="0.25">
      <c r="A1280" s="91">
        <v>2004</v>
      </c>
      <c r="B1280" s="15">
        <v>2011</v>
      </c>
      <c r="C1280" s="1" t="s">
        <v>44</v>
      </c>
      <c r="D1280" s="1" t="s">
        <v>216</v>
      </c>
      <c r="E1280" s="15" t="s">
        <v>217</v>
      </c>
      <c r="F1280" s="1" t="s">
        <v>87</v>
      </c>
      <c r="G1280" s="16">
        <v>41895</v>
      </c>
      <c r="H1280" s="93">
        <f>'Emission Rates Net-by-Count'!$D$9</f>
        <v>904.65944483592443</v>
      </c>
      <c r="I1280" s="16">
        <f t="shared" si="48"/>
        <v>18950.353720700528</v>
      </c>
      <c r="M1280" s="19"/>
      <c r="N1280" s="19"/>
      <c r="O1280" s="19"/>
      <c r="P1280" s="19"/>
    </row>
    <row r="1281" spans="1:16" x14ac:dyDescent="0.25">
      <c r="A1281" s="91">
        <v>2005</v>
      </c>
      <c r="B1281" s="15">
        <v>2011</v>
      </c>
      <c r="C1281" s="1" t="s">
        <v>44</v>
      </c>
      <c r="D1281" s="1" t="s">
        <v>216</v>
      </c>
      <c r="E1281" s="15" t="s">
        <v>217</v>
      </c>
      <c r="F1281" s="1" t="s">
        <v>88</v>
      </c>
      <c r="G1281" s="16">
        <v>168076</v>
      </c>
      <c r="H1281" s="93">
        <f>'Emission Rates Net-by-Count'!$D$9</f>
        <v>904.65944483592443</v>
      </c>
      <c r="I1281" s="16">
        <f t="shared" si="48"/>
        <v>76025.770425121416</v>
      </c>
      <c r="M1281" s="19"/>
      <c r="N1281" s="19"/>
      <c r="O1281" s="19"/>
      <c r="P1281" s="19"/>
    </row>
    <row r="1282" spans="1:16" x14ac:dyDescent="0.25">
      <c r="A1282" s="91">
        <v>2006</v>
      </c>
      <c r="B1282" s="15">
        <v>2011</v>
      </c>
      <c r="C1282" s="1" t="s">
        <v>44</v>
      </c>
      <c r="D1282" s="1" t="s">
        <v>216</v>
      </c>
      <c r="E1282" s="15" t="s">
        <v>217</v>
      </c>
      <c r="F1282" s="1" t="s">
        <v>90</v>
      </c>
      <c r="G1282" s="16">
        <v>800</v>
      </c>
      <c r="H1282" s="93">
        <f>'Emission Rates Net-by-Count'!$D$9</f>
        <v>904.65944483592443</v>
      </c>
      <c r="I1282" s="16">
        <f t="shared" si="48"/>
        <v>361.86377793436975</v>
      </c>
      <c r="M1282" s="19"/>
      <c r="N1282" s="19"/>
      <c r="O1282" s="19"/>
      <c r="P1282" s="19"/>
    </row>
    <row r="1283" spans="1:16" x14ac:dyDescent="0.25">
      <c r="A1283" s="91">
        <v>2007</v>
      </c>
      <c r="B1283" s="15">
        <v>2011</v>
      </c>
      <c r="C1283" s="1" t="s">
        <v>44</v>
      </c>
      <c r="D1283" s="1" t="s">
        <v>216</v>
      </c>
      <c r="E1283" s="15" t="s">
        <v>217</v>
      </c>
      <c r="F1283" s="1" t="s">
        <v>91</v>
      </c>
      <c r="G1283" s="16">
        <v>48216</v>
      </c>
      <c r="H1283" s="93">
        <f>'Emission Rates Net-by-Count'!$D$9</f>
        <v>904.65944483592443</v>
      </c>
      <c r="I1283" s="16">
        <f t="shared" si="48"/>
        <v>21809.529896104465</v>
      </c>
      <c r="M1283" s="19"/>
      <c r="N1283" s="19"/>
      <c r="O1283" s="19"/>
      <c r="P1283" s="19"/>
    </row>
    <row r="1284" spans="1:16" x14ac:dyDescent="0.25">
      <c r="A1284" s="91">
        <v>2009</v>
      </c>
      <c r="B1284" s="15">
        <v>2011</v>
      </c>
      <c r="C1284" s="1" t="s">
        <v>44</v>
      </c>
      <c r="D1284" s="1" t="s">
        <v>216</v>
      </c>
      <c r="E1284" s="15" t="s">
        <v>217</v>
      </c>
      <c r="F1284" s="1" t="s">
        <v>93</v>
      </c>
      <c r="G1284" s="16">
        <v>5763</v>
      </c>
      <c r="H1284" s="93">
        <f>'Emission Rates Net-by-Count'!$D$9</f>
        <v>904.65944483592443</v>
      </c>
      <c r="I1284" s="16">
        <f t="shared" si="48"/>
        <v>2606.7761902947159</v>
      </c>
      <c r="M1284" s="19"/>
      <c r="N1284" s="19"/>
      <c r="O1284" s="19"/>
      <c r="P1284" s="19"/>
    </row>
    <row r="1285" spans="1:16" x14ac:dyDescent="0.25">
      <c r="A1285" s="91">
        <v>2010</v>
      </c>
      <c r="B1285" s="15">
        <v>2011</v>
      </c>
      <c r="C1285" s="1" t="s">
        <v>44</v>
      </c>
      <c r="D1285" s="1" t="s">
        <v>216</v>
      </c>
      <c r="E1285" s="15" t="s">
        <v>217</v>
      </c>
      <c r="F1285" s="1" t="s">
        <v>94</v>
      </c>
      <c r="G1285" s="16">
        <v>556</v>
      </c>
      <c r="H1285" s="93">
        <f>'Emission Rates Net-by-Count'!$D$9</f>
        <v>904.65944483592443</v>
      </c>
      <c r="I1285" s="16">
        <f t="shared" si="48"/>
        <v>251.495325664387</v>
      </c>
      <c r="M1285" s="19"/>
      <c r="N1285" s="19"/>
      <c r="O1285" s="19"/>
      <c r="P1285" s="19"/>
    </row>
    <row r="1286" spans="1:16" x14ac:dyDescent="0.25">
      <c r="A1286" s="91">
        <v>2011</v>
      </c>
      <c r="B1286" s="15">
        <v>2011</v>
      </c>
      <c r="C1286" s="1" t="s">
        <v>44</v>
      </c>
      <c r="D1286" s="1" t="s">
        <v>216</v>
      </c>
      <c r="E1286" s="15" t="s">
        <v>217</v>
      </c>
      <c r="F1286" s="1" t="s">
        <v>95</v>
      </c>
      <c r="G1286" s="16">
        <v>251794</v>
      </c>
      <c r="H1286" s="93">
        <f>'Emission Rates Net-by-Count'!$D$9</f>
        <v>904.65944483592443</v>
      </c>
      <c r="I1286" s="16">
        <f t="shared" si="48"/>
        <v>113893.91012650839</v>
      </c>
      <c r="M1286" s="19"/>
      <c r="N1286" s="19"/>
      <c r="O1286" s="19"/>
      <c r="P1286" s="19"/>
    </row>
    <row r="1287" spans="1:16" x14ac:dyDescent="0.25">
      <c r="A1287" s="91">
        <v>2012</v>
      </c>
      <c r="B1287" s="15">
        <v>2011</v>
      </c>
      <c r="C1287" s="1" t="s">
        <v>44</v>
      </c>
      <c r="D1287" s="1" t="s">
        <v>216</v>
      </c>
      <c r="E1287" s="15" t="s">
        <v>217</v>
      </c>
      <c r="F1287" s="1" t="s">
        <v>96</v>
      </c>
      <c r="G1287" s="16">
        <v>77538</v>
      </c>
      <c r="H1287" s="93">
        <f>'Emission Rates Net-by-Count'!$D$9</f>
        <v>904.65944483592443</v>
      </c>
      <c r="I1287" s="16">
        <f t="shared" si="48"/>
        <v>35072.742016843949</v>
      </c>
      <c r="M1287" s="19"/>
      <c r="N1287" s="19"/>
      <c r="O1287" s="19"/>
      <c r="P1287" s="19"/>
    </row>
    <row r="1288" spans="1:16" x14ac:dyDescent="0.25">
      <c r="A1288" s="91">
        <v>2013</v>
      </c>
      <c r="B1288" s="15">
        <v>2011</v>
      </c>
      <c r="C1288" s="1" t="s">
        <v>44</v>
      </c>
      <c r="D1288" s="1" t="s">
        <v>216</v>
      </c>
      <c r="E1288" s="15" t="s">
        <v>217</v>
      </c>
      <c r="F1288" s="1" t="s">
        <v>97</v>
      </c>
      <c r="G1288" s="16">
        <v>484678</v>
      </c>
      <c r="H1288" s="93">
        <f>'Emission Rates Net-by-Count'!$D$9</f>
        <v>904.65944483592443</v>
      </c>
      <c r="I1288" s="16">
        <f t="shared" si="48"/>
        <v>219234.26520209308</v>
      </c>
      <c r="M1288" s="19"/>
      <c r="N1288" s="19"/>
      <c r="O1288" s="19"/>
      <c r="P1288" s="19"/>
    </row>
    <row r="1289" spans="1:16" x14ac:dyDescent="0.25">
      <c r="A1289" s="91">
        <v>2015</v>
      </c>
      <c r="B1289" s="15">
        <v>2011</v>
      </c>
      <c r="C1289" s="1" t="s">
        <v>44</v>
      </c>
      <c r="D1289" s="1" t="s">
        <v>216</v>
      </c>
      <c r="E1289" s="15" t="s">
        <v>217</v>
      </c>
      <c r="F1289" s="1" t="s">
        <v>98</v>
      </c>
      <c r="G1289" s="16">
        <v>125</v>
      </c>
      <c r="H1289" s="93">
        <f>'Emission Rates Net-by-Count'!$D$9</f>
        <v>904.65944483592443</v>
      </c>
      <c r="I1289" s="16">
        <f t="shared" si="48"/>
        <v>56.541215302245277</v>
      </c>
      <c r="M1289" s="19"/>
      <c r="N1289" s="19"/>
      <c r="O1289" s="19"/>
      <c r="P1289" s="19"/>
    </row>
    <row r="1290" spans="1:16" x14ac:dyDescent="0.25">
      <c r="A1290" s="91">
        <v>2016</v>
      </c>
      <c r="B1290" s="15">
        <v>2011</v>
      </c>
      <c r="C1290" s="1" t="s">
        <v>44</v>
      </c>
      <c r="D1290" s="1" t="s">
        <v>216</v>
      </c>
      <c r="E1290" s="15" t="s">
        <v>217</v>
      </c>
      <c r="F1290" s="1" t="s">
        <v>100</v>
      </c>
      <c r="G1290" s="16">
        <v>43003</v>
      </c>
      <c r="H1290" s="93">
        <f>'Emission Rates Net-by-Count'!$D$9</f>
        <v>904.65944483592443</v>
      </c>
      <c r="I1290" s="16">
        <f t="shared" si="48"/>
        <v>19451.535053139633</v>
      </c>
      <c r="M1290" s="19"/>
      <c r="N1290" s="19"/>
      <c r="O1290" s="19"/>
      <c r="P1290" s="19"/>
    </row>
    <row r="1291" spans="1:16" x14ac:dyDescent="0.25">
      <c r="A1291" s="91">
        <v>2017</v>
      </c>
      <c r="B1291" s="15">
        <v>2011</v>
      </c>
      <c r="C1291" s="1" t="s">
        <v>44</v>
      </c>
      <c r="D1291" s="1" t="s">
        <v>216</v>
      </c>
      <c r="E1291" s="15" t="s">
        <v>217</v>
      </c>
      <c r="F1291" s="1" t="s">
        <v>101</v>
      </c>
      <c r="G1291" s="16">
        <v>14057</v>
      </c>
      <c r="H1291" s="93">
        <f>'Emission Rates Net-by-Count'!$D$9</f>
        <v>904.65944483592443</v>
      </c>
      <c r="I1291" s="16">
        <f t="shared" si="48"/>
        <v>6358.3989080292949</v>
      </c>
      <c r="M1291" s="19"/>
      <c r="N1291" s="19"/>
      <c r="O1291" s="19"/>
      <c r="P1291" s="19"/>
    </row>
    <row r="1292" spans="1:16" x14ac:dyDescent="0.25">
      <c r="A1292" s="91">
        <v>2018</v>
      </c>
      <c r="B1292" s="15">
        <v>2011</v>
      </c>
      <c r="C1292" s="1" t="s">
        <v>44</v>
      </c>
      <c r="D1292" s="1" t="s">
        <v>216</v>
      </c>
      <c r="E1292" s="15" t="s">
        <v>217</v>
      </c>
      <c r="F1292" s="1" t="s">
        <v>103</v>
      </c>
      <c r="G1292" s="16">
        <v>108837</v>
      </c>
      <c r="H1292" s="93">
        <f>'Emission Rates Net-by-Count'!$D$9</f>
        <v>904.65944483592443</v>
      </c>
      <c r="I1292" s="16">
        <f t="shared" si="48"/>
        <v>49230.209998803759</v>
      </c>
      <c r="M1292" s="19"/>
      <c r="N1292" s="19"/>
      <c r="O1292" s="19"/>
      <c r="P1292" s="19"/>
    </row>
    <row r="1293" spans="1:16" x14ac:dyDescent="0.25">
      <c r="A1293" s="91">
        <v>2019</v>
      </c>
      <c r="B1293" s="15">
        <v>2011</v>
      </c>
      <c r="C1293" s="1" t="s">
        <v>44</v>
      </c>
      <c r="D1293" s="1" t="s">
        <v>216</v>
      </c>
      <c r="E1293" s="15" t="s">
        <v>217</v>
      </c>
      <c r="F1293" s="1" t="s">
        <v>152</v>
      </c>
      <c r="G1293" s="16">
        <v>122522</v>
      </c>
      <c r="H1293" s="93">
        <f>'Emission Rates Net-by-Count'!$D$9</f>
        <v>904.65944483592443</v>
      </c>
      <c r="I1293" s="16">
        <f t="shared" si="48"/>
        <v>55420.342250093563</v>
      </c>
      <c r="M1293" s="19"/>
      <c r="N1293" s="19"/>
      <c r="O1293" s="19"/>
      <c r="P1293" s="19"/>
    </row>
    <row r="1294" spans="1:16" x14ac:dyDescent="0.25">
      <c r="A1294" s="91">
        <v>2020</v>
      </c>
      <c r="B1294" s="15">
        <v>2011</v>
      </c>
      <c r="C1294" s="1" t="s">
        <v>44</v>
      </c>
      <c r="D1294" s="1" t="s">
        <v>216</v>
      </c>
      <c r="E1294" s="15" t="s">
        <v>217</v>
      </c>
      <c r="F1294" s="1" t="s">
        <v>41</v>
      </c>
      <c r="G1294" s="16">
        <v>202</v>
      </c>
      <c r="H1294" s="93">
        <f>'Emission Rates Net-by-Count'!$D$9</f>
        <v>904.65944483592443</v>
      </c>
      <c r="I1294" s="16">
        <f t="shared" si="48"/>
        <v>91.370603928428366</v>
      </c>
      <c r="M1294" s="19"/>
      <c r="N1294" s="19"/>
      <c r="O1294" s="19"/>
      <c r="P1294" s="19"/>
    </row>
    <row r="1295" spans="1:16" x14ac:dyDescent="0.25">
      <c r="A1295" s="91">
        <v>2021</v>
      </c>
      <c r="B1295" s="15">
        <v>2011</v>
      </c>
      <c r="C1295" s="1" t="s">
        <v>44</v>
      </c>
      <c r="D1295" s="1" t="s">
        <v>216</v>
      </c>
      <c r="E1295" s="15" t="s">
        <v>217</v>
      </c>
      <c r="F1295" s="1" t="s">
        <v>186</v>
      </c>
      <c r="G1295" s="16">
        <v>400</v>
      </c>
      <c r="H1295" s="93">
        <f>'Emission Rates Net-by-Count'!$D$9</f>
        <v>904.65944483592443</v>
      </c>
      <c r="I1295" s="16">
        <f t="shared" si="48"/>
        <v>180.93188896718488</v>
      </c>
      <c r="M1295" s="19"/>
      <c r="N1295" s="19"/>
      <c r="O1295" s="19"/>
      <c r="P1295" s="19"/>
    </row>
    <row r="1296" spans="1:16" x14ac:dyDescent="0.25">
      <c r="A1296" s="91">
        <v>2022</v>
      </c>
      <c r="B1296" s="15">
        <v>2011</v>
      </c>
      <c r="C1296" s="1" t="s">
        <v>44</v>
      </c>
      <c r="D1296" s="1" t="s">
        <v>216</v>
      </c>
      <c r="E1296" s="15" t="s">
        <v>217</v>
      </c>
      <c r="F1296" s="1" t="s">
        <v>153</v>
      </c>
      <c r="G1296" s="16">
        <v>55496</v>
      </c>
      <c r="H1296" s="93">
        <f>'Emission Rates Net-by-Count'!$D$9</f>
        <v>904.65944483592443</v>
      </c>
      <c r="I1296" s="16">
        <f t="shared" si="48"/>
        <v>25102.490275307231</v>
      </c>
      <c r="M1296" s="19"/>
      <c r="N1296" s="19"/>
      <c r="O1296" s="19"/>
      <c r="P1296" s="19"/>
    </row>
    <row r="1297" spans="1:16" x14ac:dyDescent="0.25">
      <c r="A1297" s="91">
        <v>2023</v>
      </c>
      <c r="B1297" s="15">
        <v>2011</v>
      </c>
      <c r="C1297" s="1" t="s">
        <v>44</v>
      </c>
      <c r="D1297" s="1" t="s">
        <v>216</v>
      </c>
      <c r="E1297" s="15" t="s">
        <v>217</v>
      </c>
      <c r="F1297" s="1" t="s">
        <v>104</v>
      </c>
      <c r="G1297" s="16">
        <v>2238117</v>
      </c>
      <c r="H1297" s="93">
        <f>'Emission Rates Net-by-Count'!$D$9</f>
        <v>904.65944483592443</v>
      </c>
      <c r="I1297" s="16">
        <f t="shared" si="48"/>
        <v>1012366.8413489223</v>
      </c>
      <c r="M1297" s="19"/>
      <c r="N1297" s="19"/>
      <c r="O1297" s="19"/>
      <c r="P1297" s="19"/>
    </row>
    <row r="1298" spans="1:16" x14ac:dyDescent="0.25">
      <c r="A1298" s="91">
        <v>2024</v>
      </c>
      <c r="B1298" s="15">
        <v>2011</v>
      </c>
      <c r="C1298" s="1" t="s">
        <v>44</v>
      </c>
      <c r="D1298" s="1" t="s">
        <v>216</v>
      </c>
      <c r="E1298" s="15" t="s">
        <v>217</v>
      </c>
      <c r="F1298" s="1" t="s">
        <v>106</v>
      </c>
      <c r="G1298" s="16">
        <v>37399</v>
      </c>
      <c r="H1298" s="93">
        <f>'Emission Rates Net-by-Count'!$D$9</f>
        <v>904.65944483592443</v>
      </c>
      <c r="I1298" s="16">
        <f t="shared" si="48"/>
        <v>16916.679288709369</v>
      </c>
      <c r="M1298" s="19"/>
      <c r="N1298" s="19"/>
      <c r="O1298" s="19"/>
      <c r="P1298" s="19"/>
    </row>
    <row r="1299" spans="1:16" x14ac:dyDescent="0.25">
      <c r="A1299" s="91">
        <v>2025</v>
      </c>
      <c r="B1299" s="15">
        <v>2011</v>
      </c>
      <c r="C1299" s="1" t="s">
        <v>44</v>
      </c>
      <c r="D1299" s="1" t="s">
        <v>216</v>
      </c>
      <c r="E1299" s="15" t="s">
        <v>217</v>
      </c>
      <c r="F1299" s="1" t="s">
        <v>108</v>
      </c>
      <c r="G1299" s="16">
        <v>1669</v>
      </c>
      <c r="H1299" s="93">
        <f>'Emission Rates Net-by-Count'!$D$9</f>
        <v>904.65944483592443</v>
      </c>
      <c r="I1299" s="16">
        <f t="shared" si="48"/>
        <v>754.93830671557885</v>
      </c>
      <c r="M1299" s="19"/>
      <c r="N1299" s="19"/>
      <c r="O1299" s="19"/>
      <c r="P1299" s="19"/>
    </row>
    <row r="1300" spans="1:16" x14ac:dyDescent="0.25">
      <c r="A1300" s="91">
        <v>2027</v>
      </c>
      <c r="B1300" s="15">
        <v>2011</v>
      </c>
      <c r="C1300" s="1" t="s">
        <v>109</v>
      </c>
      <c r="D1300" s="1" t="s">
        <v>216</v>
      </c>
      <c r="E1300" s="15" t="s">
        <v>217</v>
      </c>
      <c r="F1300" s="1" t="s">
        <v>110</v>
      </c>
      <c r="G1300" s="16">
        <v>3049</v>
      </c>
      <c r="H1300" s="93">
        <f>'Emission Rates Net-by-Count'!$D$9</f>
        <v>904.65944483592443</v>
      </c>
      <c r="I1300" s="16">
        <f t="shared" si="48"/>
        <v>1379.1533236523669</v>
      </c>
      <c r="M1300" s="19"/>
      <c r="N1300" s="19"/>
      <c r="O1300" s="19"/>
      <c r="P1300" s="19"/>
    </row>
    <row r="1301" spans="1:16" x14ac:dyDescent="0.25">
      <c r="A1301" s="91">
        <v>2028</v>
      </c>
      <c r="B1301" s="15">
        <v>2011</v>
      </c>
      <c r="C1301" s="1" t="s">
        <v>109</v>
      </c>
      <c r="D1301" s="1" t="s">
        <v>216</v>
      </c>
      <c r="E1301" s="15" t="s">
        <v>217</v>
      </c>
      <c r="F1301" s="1" t="s">
        <v>21</v>
      </c>
      <c r="G1301" s="16">
        <v>45405</v>
      </c>
      <c r="H1301" s="93">
        <f>'Emission Rates Net-by-Count'!$D$9</f>
        <v>904.65944483592443</v>
      </c>
      <c r="I1301" s="16">
        <f t="shared" si="48"/>
        <v>20538.031046387576</v>
      </c>
      <c r="M1301" s="19"/>
      <c r="N1301" s="19"/>
      <c r="O1301" s="19"/>
      <c r="P1301" s="19"/>
    </row>
    <row r="1302" spans="1:16" x14ac:dyDescent="0.25">
      <c r="A1302" s="91">
        <v>2029</v>
      </c>
      <c r="B1302" s="15">
        <v>2011</v>
      </c>
      <c r="C1302" s="1" t="s">
        <v>109</v>
      </c>
      <c r="D1302" s="1" t="s">
        <v>216</v>
      </c>
      <c r="E1302" s="15" t="s">
        <v>217</v>
      </c>
      <c r="F1302" s="1" t="s">
        <v>111</v>
      </c>
      <c r="G1302" s="16">
        <v>413092</v>
      </c>
      <c r="H1302" s="93">
        <f>'Emission Rates Net-by-Count'!$D$9</f>
        <v>904.65944483592443</v>
      </c>
      <c r="I1302" s="16">
        <f t="shared" si="48"/>
        <v>186853.78969308085</v>
      </c>
      <c r="M1302" s="19"/>
      <c r="N1302" s="19"/>
      <c r="O1302" s="19"/>
      <c r="P1302" s="19"/>
    </row>
    <row r="1303" spans="1:16" x14ac:dyDescent="0.25">
      <c r="A1303" s="91">
        <v>2031</v>
      </c>
      <c r="B1303" s="15">
        <v>2011</v>
      </c>
      <c r="C1303" s="1" t="s">
        <v>113</v>
      </c>
      <c r="D1303" s="1" t="s">
        <v>216</v>
      </c>
      <c r="E1303" s="15" t="s">
        <v>217</v>
      </c>
      <c r="F1303" s="1" t="s">
        <v>110</v>
      </c>
      <c r="G1303" s="16">
        <v>-6556</v>
      </c>
      <c r="H1303" s="93">
        <f>'Emission Rates Net-by-Count'!$D$9</f>
        <v>904.65944483592443</v>
      </c>
      <c r="I1303" s="16">
        <f t="shared" si="48"/>
        <v>-2965.4736601721602</v>
      </c>
      <c r="M1303" s="19"/>
      <c r="N1303" s="19"/>
      <c r="O1303" s="19"/>
      <c r="P1303" s="19"/>
    </row>
    <row r="1304" spans="1:16" x14ac:dyDescent="0.25">
      <c r="A1304" s="91">
        <v>2032</v>
      </c>
      <c r="B1304" s="15">
        <v>2011</v>
      </c>
      <c r="C1304" s="1" t="s">
        <v>113</v>
      </c>
      <c r="D1304" s="1" t="s">
        <v>216</v>
      </c>
      <c r="E1304" s="15" t="s">
        <v>217</v>
      </c>
      <c r="F1304" s="1" t="s">
        <v>21</v>
      </c>
      <c r="G1304" s="16">
        <v>-46691</v>
      </c>
      <c r="H1304" s="93">
        <f>'Emission Rates Net-by-Count'!$D$9</f>
        <v>904.65944483592443</v>
      </c>
      <c r="I1304" s="16">
        <f t="shared" si="48"/>
        <v>-21119.727069417073</v>
      </c>
      <c r="M1304" s="19"/>
      <c r="N1304" s="19"/>
      <c r="O1304" s="19"/>
      <c r="P1304" s="19"/>
    </row>
    <row r="1305" spans="1:16" x14ac:dyDescent="0.25">
      <c r="A1305" s="91">
        <v>2033</v>
      </c>
      <c r="B1305" s="15">
        <v>2011</v>
      </c>
      <c r="C1305" s="1" t="s">
        <v>113</v>
      </c>
      <c r="D1305" s="1" t="s">
        <v>216</v>
      </c>
      <c r="E1305" s="15" t="s">
        <v>217</v>
      </c>
      <c r="F1305" s="1" t="s">
        <v>114</v>
      </c>
      <c r="G1305" s="16">
        <v>34040.392</v>
      </c>
      <c r="H1305" s="93">
        <f>'Emission Rates Net-by-Count'!$D$9</f>
        <v>904.65944483592443</v>
      </c>
      <c r="I1305" s="16">
        <f t="shared" ref="I1305:I1336" si="49">(G1305*H1305)/2000</f>
        <v>15397.481064358622</v>
      </c>
      <c r="M1305" s="19"/>
      <c r="N1305" s="19"/>
      <c r="O1305" s="19"/>
      <c r="P1305" s="19"/>
    </row>
    <row r="1306" spans="1:16" x14ac:dyDescent="0.25">
      <c r="A1306" s="91">
        <v>2034</v>
      </c>
      <c r="B1306" s="15">
        <v>2011</v>
      </c>
      <c r="C1306" s="1" t="s">
        <v>113</v>
      </c>
      <c r="D1306" s="1" t="s">
        <v>216</v>
      </c>
      <c r="E1306" s="15" t="s">
        <v>217</v>
      </c>
      <c r="F1306" s="1" t="s">
        <v>111</v>
      </c>
      <c r="G1306" s="16">
        <v>-413000</v>
      </c>
      <c r="H1306" s="93">
        <f>'Emission Rates Net-by-Count'!$D$9</f>
        <v>904.65944483592443</v>
      </c>
      <c r="I1306" s="16">
        <f t="shared" si="49"/>
        <v>-186812.17535861841</v>
      </c>
      <c r="M1306" s="19"/>
      <c r="N1306" s="19"/>
      <c r="O1306" s="19"/>
      <c r="P1306" s="19"/>
    </row>
    <row r="1307" spans="1:16" x14ac:dyDescent="0.25">
      <c r="A1307" s="91">
        <v>2091</v>
      </c>
      <c r="B1307" s="15">
        <v>2011</v>
      </c>
      <c r="C1307" s="1" t="s">
        <v>120</v>
      </c>
      <c r="D1307" s="1" t="s">
        <v>216</v>
      </c>
      <c r="E1307" s="15" t="s">
        <v>217</v>
      </c>
      <c r="F1307" s="1" t="s">
        <v>47</v>
      </c>
      <c r="G1307" s="16">
        <v>-30733</v>
      </c>
      <c r="H1307" s="93">
        <f>'Emission Rates Net-by-Count'!$D$9</f>
        <v>904.65944483592443</v>
      </c>
      <c r="I1307" s="16">
        <f t="shared" si="49"/>
        <v>-13901.449359071232</v>
      </c>
      <c r="M1307" s="19"/>
      <c r="N1307" s="19"/>
      <c r="O1307" s="19"/>
      <c r="P1307" s="19"/>
    </row>
    <row r="1308" spans="1:16" x14ac:dyDescent="0.25">
      <c r="A1308" s="91">
        <v>2092</v>
      </c>
      <c r="B1308" s="15">
        <v>2011</v>
      </c>
      <c r="C1308" s="1" t="s">
        <v>120</v>
      </c>
      <c r="D1308" s="1" t="s">
        <v>216</v>
      </c>
      <c r="E1308" s="15" t="s">
        <v>217</v>
      </c>
      <c r="F1308" s="1" t="s">
        <v>127</v>
      </c>
      <c r="G1308" s="16">
        <v>-29465</v>
      </c>
      <c r="H1308" s="93">
        <f>'Emission Rates Net-by-Count'!$D$9</f>
        <v>904.65944483592443</v>
      </c>
      <c r="I1308" s="16">
        <f t="shared" si="49"/>
        <v>-13327.895271045256</v>
      </c>
      <c r="M1308" s="19"/>
      <c r="N1308" s="19"/>
      <c r="O1308" s="19"/>
      <c r="P1308" s="19"/>
    </row>
    <row r="1309" spans="1:16" x14ac:dyDescent="0.25">
      <c r="A1309" s="91">
        <v>2093</v>
      </c>
      <c r="B1309" s="15">
        <v>2011</v>
      </c>
      <c r="C1309" s="1" t="s">
        <v>120</v>
      </c>
      <c r="D1309" s="1" t="s">
        <v>216</v>
      </c>
      <c r="E1309" s="15" t="s">
        <v>217</v>
      </c>
      <c r="F1309" s="1" t="s">
        <v>50</v>
      </c>
      <c r="G1309" s="16">
        <v>-2654</v>
      </c>
      <c r="H1309" s="93">
        <f>'Emission Rates Net-by-Count'!$D$9</f>
        <v>904.65944483592443</v>
      </c>
      <c r="I1309" s="16">
        <f t="shared" si="49"/>
        <v>-1200.4830832972718</v>
      </c>
      <c r="M1309" s="19"/>
      <c r="N1309" s="19"/>
      <c r="O1309" s="19"/>
      <c r="P1309" s="19"/>
    </row>
    <row r="1310" spans="1:16" x14ac:dyDescent="0.25">
      <c r="A1310" s="91">
        <v>2094</v>
      </c>
      <c r="B1310" s="15">
        <v>2011</v>
      </c>
      <c r="C1310" s="1" t="s">
        <v>120</v>
      </c>
      <c r="D1310" s="1" t="s">
        <v>216</v>
      </c>
      <c r="E1310" s="15" t="s">
        <v>217</v>
      </c>
      <c r="F1310" s="1" t="s">
        <v>170</v>
      </c>
      <c r="G1310" s="16">
        <v>-20616</v>
      </c>
      <c r="H1310" s="93">
        <f>'Emission Rates Net-by-Count'!$D$9</f>
        <v>904.65944483592443</v>
      </c>
      <c r="I1310" s="16">
        <f t="shared" si="49"/>
        <v>-9325.2295573687079</v>
      </c>
      <c r="M1310" s="19"/>
      <c r="N1310" s="19"/>
      <c r="O1310" s="19"/>
      <c r="P1310" s="19"/>
    </row>
    <row r="1311" spans="1:16" x14ac:dyDescent="0.25">
      <c r="A1311" s="91">
        <v>2095</v>
      </c>
      <c r="B1311" s="15">
        <v>2011</v>
      </c>
      <c r="C1311" s="1" t="s">
        <v>120</v>
      </c>
      <c r="D1311" s="1" t="s">
        <v>216</v>
      </c>
      <c r="E1311" s="15" t="s">
        <v>217</v>
      </c>
      <c r="F1311" s="1" t="s">
        <v>51</v>
      </c>
      <c r="G1311" s="16">
        <v>3622674</v>
      </c>
      <c r="H1311" s="93">
        <f>'Emission Rates Net-by-Count'!$D$9</f>
        <v>904.65944483592443</v>
      </c>
      <c r="I1311" s="16">
        <f t="shared" si="49"/>
        <v>1638643.1248307689</v>
      </c>
      <c r="K1311" s="17" t="s">
        <v>244</v>
      </c>
      <c r="M1311" s="19"/>
      <c r="N1311" s="19"/>
      <c r="O1311" s="19"/>
      <c r="P1311" s="19"/>
    </row>
    <row r="1312" spans="1:16" x14ac:dyDescent="0.25">
      <c r="A1312" s="91">
        <v>2096</v>
      </c>
      <c r="B1312" s="15">
        <v>2011</v>
      </c>
      <c r="C1312" s="1" t="s">
        <v>120</v>
      </c>
      <c r="D1312" s="1" t="s">
        <v>216</v>
      </c>
      <c r="E1312" s="15" t="s">
        <v>217</v>
      </c>
      <c r="F1312" s="1" t="s">
        <v>52</v>
      </c>
      <c r="G1312" s="16">
        <v>-148410</v>
      </c>
      <c r="H1312" s="93">
        <f>'Emission Rates Net-by-Count'!$D$9</f>
        <v>904.65944483592443</v>
      </c>
      <c r="I1312" s="16">
        <f t="shared" si="49"/>
        <v>-67130.254104049774</v>
      </c>
      <c r="M1312" s="19"/>
      <c r="N1312" s="19"/>
      <c r="O1312" s="19"/>
      <c r="P1312" s="19"/>
    </row>
    <row r="1313" spans="1:16" x14ac:dyDescent="0.25">
      <c r="A1313" s="91">
        <v>2097</v>
      </c>
      <c r="B1313" s="15">
        <v>2011</v>
      </c>
      <c r="C1313" s="1" t="s">
        <v>120</v>
      </c>
      <c r="D1313" s="1" t="s">
        <v>216</v>
      </c>
      <c r="E1313" s="15" t="s">
        <v>217</v>
      </c>
      <c r="F1313" s="1" t="s">
        <v>21</v>
      </c>
      <c r="G1313" s="16">
        <v>-84760</v>
      </c>
      <c r="H1313" s="93">
        <f>'Emission Rates Net-by-Count'!$D$9</f>
        <v>904.65944483592443</v>
      </c>
      <c r="I1313" s="16">
        <f t="shared" si="49"/>
        <v>-38339.467272146481</v>
      </c>
      <c r="M1313" s="19"/>
      <c r="N1313" s="19"/>
      <c r="O1313" s="19"/>
      <c r="P1313" s="19"/>
    </row>
    <row r="1314" spans="1:16" x14ac:dyDescent="0.25">
      <c r="A1314" s="91">
        <v>2098</v>
      </c>
      <c r="B1314" s="15">
        <v>2011</v>
      </c>
      <c r="C1314" s="1" t="s">
        <v>120</v>
      </c>
      <c r="D1314" s="1" t="s">
        <v>216</v>
      </c>
      <c r="E1314" s="15" t="s">
        <v>217</v>
      </c>
      <c r="F1314" s="1" t="s">
        <v>143</v>
      </c>
      <c r="G1314" s="16">
        <v>-1</v>
      </c>
      <c r="H1314" s="93">
        <f>'Emission Rates Net-by-Count'!$D$9</f>
        <v>904.65944483592443</v>
      </c>
      <c r="I1314" s="16">
        <f t="shared" si="49"/>
        <v>-0.45232972241796221</v>
      </c>
      <c r="M1314" s="19"/>
      <c r="N1314" s="19"/>
      <c r="O1314" s="19"/>
      <c r="P1314" s="19"/>
    </row>
    <row r="1315" spans="1:16" x14ac:dyDescent="0.25">
      <c r="A1315" s="91">
        <v>2099</v>
      </c>
      <c r="B1315" s="15">
        <v>2011</v>
      </c>
      <c r="C1315" s="1" t="s">
        <v>120</v>
      </c>
      <c r="D1315" s="1" t="s">
        <v>216</v>
      </c>
      <c r="E1315" s="15" t="s">
        <v>217</v>
      </c>
      <c r="F1315" s="1" t="s">
        <v>53</v>
      </c>
      <c r="G1315" s="16">
        <v>-800</v>
      </c>
      <c r="H1315" s="93">
        <f>'Emission Rates Net-by-Count'!$D$9</f>
        <v>904.65944483592443</v>
      </c>
      <c r="I1315" s="16">
        <f t="shared" si="49"/>
        <v>-361.86377793436975</v>
      </c>
      <c r="M1315" s="19"/>
      <c r="N1315" s="19"/>
      <c r="O1315" s="19"/>
      <c r="P1315" s="19"/>
    </row>
    <row r="1316" spans="1:16" x14ac:dyDescent="0.25">
      <c r="A1316" s="91">
        <v>2100</v>
      </c>
      <c r="B1316" s="15">
        <v>2011</v>
      </c>
      <c r="C1316" s="1" t="s">
        <v>120</v>
      </c>
      <c r="D1316" s="1" t="s">
        <v>216</v>
      </c>
      <c r="E1316" s="15" t="s">
        <v>217</v>
      </c>
      <c r="F1316" s="1" t="s">
        <v>56</v>
      </c>
      <c r="G1316" s="16">
        <v>-141861</v>
      </c>
      <c r="H1316" s="93">
        <f>'Emission Rates Net-by-Count'!$D$9</f>
        <v>904.65944483592443</v>
      </c>
      <c r="I1316" s="16">
        <f t="shared" si="49"/>
        <v>-64167.946751934534</v>
      </c>
      <c r="M1316" s="19"/>
      <c r="N1316" s="19"/>
      <c r="O1316" s="19"/>
      <c r="P1316" s="19"/>
    </row>
    <row r="1317" spans="1:16" x14ac:dyDescent="0.25">
      <c r="A1317" s="91">
        <v>2101</v>
      </c>
      <c r="B1317" s="15">
        <v>2011</v>
      </c>
      <c r="C1317" s="1" t="s">
        <v>120</v>
      </c>
      <c r="D1317" s="1" t="s">
        <v>216</v>
      </c>
      <c r="E1317" s="15" t="s">
        <v>217</v>
      </c>
      <c r="F1317" s="1" t="s">
        <v>57</v>
      </c>
      <c r="G1317" s="16">
        <v>-1600</v>
      </c>
      <c r="H1317" s="93">
        <f>'Emission Rates Net-by-Count'!$D$9</f>
        <v>904.65944483592443</v>
      </c>
      <c r="I1317" s="16">
        <f t="shared" si="49"/>
        <v>-723.7275558687395</v>
      </c>
      <c r="M1317" s="19"/>
      <c r="N1317" s="19"/>
      <c r="O1317" s="19"/>
      <c r="P1317" s="19"/>
    </row>
    <row r="1318" spans="1:16" x14ac:dyDescent="0.25">
      <c r="A1318" s="91">
        <v>2102</v>
      </c>
      <c r="B1318" s="15">
        <v>2011</v>
      </c>
      <c r="C1318" s="1" t="s">
        <v>120</v>
      </c>
      <c r="D1318" s="1" t="s">
        <v>216</v>
      </c>
      <c r="E1318" s="15" t="s">
        <v>217</v>
      </c>
      <c r="F1318" s="1" t="s">
        <v>58</v>
      </c>
      <c r="G1318" s="16">
        <v>-167241</v>
      </c>
      <c r="H1318" s="93">
        <f>'Emission Rates Net-by-Count'!$D$9</f>
        <v>904.65944483592443</v>
      </c>
      <c r="I1318" s="16">
        <f t="shared" si="49"/>
        <v>-75648.075106902426</v>
      </c>
      <c r="M1318" s="19"/>
      <c r="N1318" s="19"/>
      <c r="O1318" s="19"/>
      <c r="P1318" s="19"/>
    </row>
    <row r="1319" spans="1:16" x14ac:dyDescent="0.25">
      <c r="A1319" s="91">
        <v>2103</v>
      </c>
      <c r="B1319" s="15">
        <v>2011</v>
      </c>
      <c r="C1319" s="1" t="s">
        <v>120</v>
      </c>
      <c r="D1319" s="1" t="s">
        <v>216</v>
      </c>
      <c r="E1319" s="15" t="s">
        <v>217</v>
      </c>
      <c r="F1319" s="1" t="s">
        <v>182</v>
      </c>
      <c r="G1319" s="16">
        <v>-6320</v>
      </c>
      <c r="H1319" s="93">
        <f>'Emission Rates Net-by-Count'!$D$9</f>
        <v>904.65944483592443</v>
      </c>
      <c r="I1319" s="16">
        <f t="shared" si="49"/>
        <v>-2858.7238456815212</v>
      </c>
      <c r="M1319" s="19"/>
      <c r="N1319" s="19"/>
      <c r="O1319" s="19"/>
      <c r="P1319" s="19"/>
    </row>
    <row r="1320" spans="1:16" x14ac:dyDescent="0.25">
      <c r="A1320" s="91">
        <v>2104</v>
      </c>
      <c r="B1320" s="15">
        <v>2011</v>
      </c>
      <c r="C1320" s="1" t="s">
        <v>120</v>
      </c>
      <c r="D1320" s="1" t="s">
        <v>216</v>
      </c>
      <c r="E1320" s="15" t="s">
        <v>217</v>
      </c>
      <c r="F1320" s="1" t="s">
        <v>59</v>
      </c>
      <c r="G1320" s="16">
        <v>-8952</v>
      </c>
      <c r="H1320" s="93">
        <f>'Emission Rates Net-by-Count'!$D$9</f>
        <v>904.65944483592443</v>
      </c>
      <c r="I1320" s="16">
        <f t="shared" si="49"/>
        <v>-4049.2556750855979</v>
      </c>
      <c r="M1320" s="19"/>
      <c r="N1320" s="19"/>
      <c r="O1320" s="19"/>
      <c r="P1320" s="19"/>
    </row>
    <row r="1321" spans="1:16" x14ac:dyDescent="0.25">
      <c r="A1321" s="91">
        <v>2105</v>
      </c>
      <c r="B1321" s="15">
        <v>2011</v>
      </c>
      <c r="C1321" s="1" t="s">
        <v>120</v>
      </c>
      <c r="D1321" s="1" t="s">
        <v>216</v>
      </c>
      <c r="E1321" s="15" t="s">
        <v>217</v>
      </c>
      <c r="F1321" s="1" t="s">
        <v>60</v>
      </c>
      <c r="G1321" s="16">
        <v>-40</v>
      </c>
      <c r="H1321" s="93">
        <f>'Emission Rates Net-by-Count'!$D$9</f>
        <v>904.65944483592443</v>
      </c>
      <c r="I1321" s="16">
        <f t="shared" si="49"/>
        <v>-18.093188896718491</v>
      </c>
      <c r="M1321" s="19"/>
      <c r="N1321" s="19"/>
      <c r="O1321" s="19"/>
      <c r="P1321" s="19"/>
    </row>
    <row r="1322" spans="1:16" x14ac:dyDescent="0.25">
      <c r="A1322" s="91">
        <v>2106</v>
      </c>
      <c r="B1322" s="15">
        <v>2011</v>
      </c>
      <c r="C1322" s="1" t="s">
        <v>120</v>
      </c>
      <c r="D1322" s="1" t="s">
        <v>216</v>
      </c>
      <c r="E1322" s="15" t="s">
        <v>217</v>
      </c>
      <c r="F1322" s="1" t="s">
        <v>61</v>
      </c>
      <c r="G1322" s="16">
        <v>-50578</v>
      </c>
      <c r="H1322" s="93">
        <f>'Emission Rates Net-by-Count'!$D$9</f>
        <v>904.65944483592443</v>
      </c>
      <c r="I1322" s="16">
        <f t="shared" si="49"/>
        <v>-22877.932700455691</v>
      </c>
      <c r="M1322" s="19"/>
      <c r="N1322" s="19"/>
      <c r="O1322" s="19"/>
      <c r="P1322" s="19"/>
    </row>
    <row r="1323" spans="1:16" x14ac:dyDescent="0.25">
      <c r="A1323" s="91">
        <v>2107</v>
      </c>
      <c r="B1323" s="15">
        <v>2011</v>
      </c>
      <c r="C1323" s="1" t="s">
        <v>120</v>
      </c>
      <c r="D1323" s="1" t="s">
        <v>216</v>
      </c>
      <c r="E1323" s="15" t="s">
        <v>217</v>
      </c>
      <c r="F1323" s="1" t="s">
        <v>146</v>
      </c>
      <c r="G1323" s="16">
        <v>-9659</v>
      </c>
      <c r="H1323" s="93">
        <f>'Emission Rates Net-by-Count'!$D$9</f>
        <v>904.65944483592443</v>
      </c>
      <c r="I1323" s="16">
        <f t="shared" si="49"/>
        <v>-4369.0527888350971</v>
      </c>
      <c r="M1323" s="19"/>
      <c r="N1323" s="19"/>
      <c r="O1323" s="19"/>
      <c r="P1323" s="19"/>
    </row>
    <row r="1324" spans="1:16" x14ac:dyDescent="0.25">
      <c r="A1324" s="91">
        <v>2108</v>
      </c>
      <c r="B1324" s="15">
        <v>2011</v>
      </c>
      <c r="C1324" s="1" t="s">
        <v>120</v>
      </c>
      <c r="D1324" s="1" t="s">
        <v>216</v>
      </c>
      <c r="E1324" s="15" t="s">
        <v>217</v>
      </c>
      <c r="F1324" s="1" t="s">
        <v>131</v>
      </c>
      <c r="G1324" s="16">
        <v>-73077</v>
      </c>
      <c r="H1324" s="93">
        <f>'Emission Rates Net-by-Count'!$D$9</f>
        <v>904.65944483592443</v>
      </c>
      <c r="I1324" s="16">
        <f t="shared" si="49"/>
        <v>-33054.899125137425</v>
      </c>
      <c r="M1324" s="19"/>
      <c r="N1324" s="19"/>
      <c r="O1324" s="19"/>
      <c r="P1324" s="19"/>
    </row>
    <row r="1325" spans="1:16" x14ac:dyDescent="0.25">
      <c r="A1325" s="91">
        <v>2109</v>
      </c>
      <c r="B1325" s="15">
        <v>2011</v>
      </c>
      <c r="C1325" s="1" t="s">
        <v>120</v>
      </c>
      <c r="D1325" s="1" t="s">
        <v>216</v>
      </c>
      <c r="E1325" s="15" t="s">
        <v>217</v>
      </c>
      <c r="F1325" s="1" t="s">
        <v>62</v>
      </c>
      <c r="G1325" s="16">
        <v>-1531</v>
      </c>
      <c r="H1325" s="93">
        <f>'Emission Rates Net-by-Count'!$D$9</f>
        <v>904.65944483592443</v>
      </c>
      <c r="I1325" s="16">
        <f t="shared" si="49"/>
        <v>-692.51680502190015</v>
      </c>
      <c r="M1325" s="19"/>
      <c r="N1325" s="19"/>
      <c r="O1325" s="19"/>
      <c r="P1325" s="19"/>
    </row>
    <row r="1326" spans="1:16" x14ac:dyDescent="0.25">
      <c r="A1326" s="91">
        <v>2110</v>
      </c>
      <c r="B1326" s="15">
        <v>2011</v>
      </c>
      <c r="C1326" s="1" t="s">
        <v>120</v>
      </c>
      <c r="D1326" s="1" t="s">
        <v>216</v>
      </c>
      <c r="E1326" s="15" t="s">
        <v>217</v>
      </c>
      <c r="F1326" s="1" t="s">
        <v>165</v>
      </c>
      <c r="G1326" s="16">
        <v>-95429</v>
      </c>
      <c r="H1326" s="93">
        <f>'Emission Rates Net-by-Count'!$D$9</f>
        <v>904.65944483592443</v>
      </c>
      <c r="I1326" s="16">
        <f t="shared" si="49"/>
        <v>-43165.373080623714</v>
      </c>
      <c r="M1326" s="19"/>
      <c r="N1326" s="19"/>
      <c r="O1326" s="19"/>
      <c r="P1326" s="19"/>
    </row>
    <row r="1327" spans="1:16" x14ac:dyDescent="0.25">
      <c r="A1327" s="91">
        <v>2111</v>
      </c>
      <c r="B1327" s="15">
        <v>2011</v>
      </c>
      <c r="C1327" s="1" t="s">
        <v>120</v>
      </c>
      <c r="D1327" s="1" t="s">
        <v>216</v>
      </c>
      <c r="E1327" s="15" t="s">
        <v>217</v>
      </c>
      <c r="F1327" s="1" t="s">
        <v>63</v>
      </c>
      <c r="G1327" s="16">
        <v>567</v>
      </c>
      <c r="H1327" s="93">
        <f>'Emission Rates Net-by-Count'!$D$9</f>
        <v>904.65944483592443</v>
      </c>
      <c r="I1327" s="16">
        <f t="shared" si="49"/>
        <v>256.47095261098457</v>
      </c>
      <c r="M1327" s="19"/>
      <c r="N1327" s="19"/>
      <c r="O1327" s="19"/>
      <c r="P1327" s="19"/>
    </row>
    <row r="1328" spans="1:16" x14ac:dyDescent="0.25">
      <c r="A1328" s="91">
        <v>2112</v>
      </c>
      <c r="B1328" s="15">
        <v>2011</v>
      </c>
      <c r="C1328" s="1" t="s">
        <v>120</v>
      </c>
      <c r="D1328" s="1" t="s">
        <v>216</v>
      </c>
      <c r="E1328" s="15" t="s">
        <v>217</v>
      </c>
      <c r="F1328" s="1" t="s">
        <v>65</v>
      </c>
      <c r="G1328" s="16">
        <v>-33425</v>
      </c>
      <c r="H1328" s="93">
        <f>'Emission Rates Net-by-Count'!$D$9</f>
        <v>904.65944483592443</v>
      </c>
      <c r="I1328" s="16">
        <f t="shared" si="49"/>
        <v>-15119.120971820388</v>
      </c>
      <c r="M1328" s="19"/>
      <c r="N1328" s="19"/>
      <c r="O1328" s="19"/>
      <c r="P1328" s="19"/>
    </row>
    <row r="1329" spans="1:16" x14ac:dyDescent="0.25">
      <c r="A1329" s="91">
        <v>2113</v>
      </c>
      <c r="B1329" s="15">
        <v>2011</v>
      </c>
      <c r="C1329" s="1" t="s">
        <v>120</v>
      </c>
      <c r="D1329" s="1" t="s">
        <v>216</v>
      </c>
      <c r="E1329" s="15" t="s">
        <v>217</v>
      </c>
      <c r="F1329" s="1" t="s">
        <v>184</v>
      </c>
      <c r="G1329" s="16">
        <v>-15200</v>
      </c>
      <c r="H1329" s="93">
        <f>'Emission Rates Net-by-Count'!$D$9</f>
        <v>904.65944483592443</v>
      </c>
      <c r="I1329" s="16">
        <f t="shared" si="49"/>
        <v>-6875.4117807530256</v>
      </c>
      <c r="M1329" s="19"/>
      <c r="N1329" s="19"/>
      <c r="O1329" s="19"/>
      <c r="P1329" s="19"/>
    </row>
    <row r="1330" spans="1:16" x14ac:dyDescent="0.25">
      <c r="A1330" s="91">
        <v>2114</v>
      </c>
      <c r="B1330" s="15">
        <v>2011</v>
      </c>
      <c r="C1330" s="1" t="s">
        <v>120</v>
      </c>
      <c r="D1330" s="1" t="s">
        <v>216</v>
      </c>
      <c r="E1330" s="15" t="s">
        <v>217</v>
      </c>
      <c r="F1330" s="1" t="s">
        <v>67</v>
      </c>
      <c r="G1330" s="16">
        <v>-27856</v>
      </c>
      <c r="H1330" s="93">
        <f>'Emission Rates Net-by-Count'!$D$9</f>
        <v>904.65944483592443</v>
      </c>
      <c r="I1330" s="16">
        <f t="shared" si="49"/>
        <v>-12600.096747674756</v>
      </c>
      <c r="M1330" s="19"/>
      <c r="N1330" s="19"/>
      <c r="O1330" s="19"/>
      <c r="P1330" s="19"/>
    </row>
    <row r="1331" spans="1:16" x14ac:dyDescent="0.25">
      <c r="A1331" s="91">
        <v>2115</v>
      </c>
      <c r="B1331" s="15">
        <v>2011</v>
      </c>
      <c r="C1331" s="1" t="s">
        <v>120</v>
      </c>
      <c r="D1331" s="1" t="s">
        <v>216</v>
      </c>
      <c r="E1331" s="15" t="s">
        <v>217</v>
      </c>
      <c r="F1331" s="1" t="s">
        <v>69</v>
      </c>
      <c r="G1331" s="16">
        <v>-428020</v>
      </c>
      <c r="H1331" s="93">
        <f>'Emission Rates Net-by-Count'!$D$9</f>
        <v>904.65944483592443</v>
      </c>
      <c r="I1331" s="16">
        <f t="shared" si="49"/>
        <v>-193606.16778933618</v>
      </c>
      <c r="M1331" s="19"/>
      <c r="N1331" s="19"/>
      <c r="O1331" s="19"/>
      <c r="P1331" s="19"/>
    </row>
    <row r="1332" spans="1:16" x14ac:dyDescent="0.25">
      <c r="A1332" s="91">
        <v>2116</v>
      </c>
      <c r="B1332" s="15">
        <v>2011</v>
      </c>
      <c r="C1332" s="1" t="s">
        <v>120</v>
      </c>
      <c r="D1332" s="1" t="s">
        <v>216</v>
      </c>
      <c r="E1332" s="15" t="s">
        <v>217</v>
      </c>
      <c r="F1332" s="1" t="s">
        <v>71</v>
      </c>
      <c r="G1332" s="16">
        <v>-24625</v>
      </c>
      <c r="H1332" s="93">
        <f>'Emission Rates Net-by-Count'!$D$9</f>
        <v>904.65944483592443</v>
      </c>
      <c r="I1332" s="16">
        <f t="shared" si="49"/>
        <v>-11138.61941454232</v>
      </c>
      <c r="M1332" s="19"/>
      <c r="N1332" s="19"/>
      <c r="O1332" s="19"/>
      <c r="P1332" s="19"/>
    </row>
    <row r="1333" spans="1:16" x14ac:dyDescent="0.25">
      <c r="A1333" s="91">
        <v>2117</v>
      </c>
      <c r="B1333" s="15">
        <v>2011</v>
      </c>
      <c r="C1333" s="1" t="s">
        <v>120</v>
      </c>
      <c r="D1333" s="1" t="s">
        <v>216</v>
      </c>
      <c r="E1333" s="15" t="s">
        <v>217</v>
      </c>
      <c r="F1333" s="1" t="s">
        <v>72</v>
      </c>
      <c r="G1333" s="16">
        <v>-21600</v>
      </c>
      <c r="H1333" s="93">
        <f>'Emission Rates Net-by-Count'!$D$9</f>
        <v>904.65944483592443</v>
      </c>
      <c r="I1333" s="16">
        <f t="shared" si="49"/>
        <v>-9770.3220042279845</v>
      </c>
      <c r="M1333" s="19"/>
      <c r="N1333" s="19"/>
      <c r="O1333" s="19"/>
      <c r="P1333" s="19"/>
    </row>
    <row r="1334" spans="1:16" x14ac:dyDescent="0.25">
      <c r="A1334" s="91">
        <v>2118</v>
      </c>
      <c r="B1334" s="15">
        <v>2011</v>
      </c>
      <c r="C1334" s="1" t="s">
        <v>120</v>
      </c>
      <c r="D1334" s="1" t="s">
        <v>216</v>
      </c>
      <c r="E1334" s="15" t="s">
        <v>217</v>
      </c>
      <c r="F1334" s="1" t="s">
        <v>133</v>
      </c>
      <c r="G1334" s="16">
        <v>-47261</v>
      </c>
      <c r="H1334" s="93">
        <f>'Emission Rates Net-by-Count'!$D$9</f>
        <v>904.65944483592443</v>
      </c>
      <c r="I1334" s="16">
        <f t="shared" si="49"/>
        <v>-21377.555011195313</v>
      </c>
      <c r="M1334" s="19"/>
      <c r="N1334" s="19"/>
      <c r="O1334" s="19"/>
      <c r="P1334" s="19"/>
    </row>
    <row r="1335" spans="1:16" x14ac:dyDescent="0.25">
      <c r="A1335" s="91">
        <v>2119</v>
      </c>
      <c r="B1335" s="15">
        <v>2011</v>
      </c>
      <c r="C1335" s="1" t="s">
        <v>120</v>
      </c>
      <c r="D1335" s="1" t="s">
        <v>216</v>
      </c>
      <c r="E1335" s="15" t="s">
        <v>217</v>
      </c>
      <c r="F1335" s="1" t="s">
        <v>74</v>
      </c>
      <c r="G1335" s="16">
        <v>-1150</v>
      </c>
      <c r="H1335" s="93">
        <f>'Emission Rates Net-by-Count'!$D$9</f>
        <v>904.65944483592443</v>
      </c>
      <c r="I1335" s="16">
        <f t="shared" si="49"/>
        <v>-520.17918078065657</v>
      </c>
      <c r="M1335" s="19"/>
      <c r="N1335" s="19"/>
      <c r="O1335" s="19"/>
      <c r="P1335" s="19"/>
    </row>
    <row r="1336" spans="1:16" x14ac:dyDescent="0.25">
      <c r="A1336" s="91">
        <v>2120</v>
      </c>
      <c r="B1336" s="15">
        <v>2011</v>
      </c>
      <c r="C1336" s="1" t="s">
        <v>120</v>
      </c>
      <c r="D1336" s="1" t="s">
        <v>216</v>
      </c>
      <c r="E1336" s="15" t="s">
        <v>217</v>
      </c>
      <c r="F1336" s="1" t="s">
        <v>76</v>
      </c>
      <c r="G1336" s="16">
        <v>-18800</v>
      </c>
      <c r="H1336" s="93">
        <f>'Emission Rates Net-by-Count'!$D$9</f>
        <v>904.65944483592443</v>
      </c>
      <c r="I1336" s="16">
        <f t="shared" si="49"/>
        <v>-8503.79878145769</v>
      </c>
      <c r="M1336" s="19"/>
      <c r="N1336" s="19"/>
      <c r="O1336" s="19"/>
      <c r="P1336" s="19"/>
    </row>
    <row r="1337" spans="1:16" x14ac:dyDescent="0.25">
      <c r="A1337" s="91">
        <v>2121</v>
      </c>
      <c r="B1337" s="15">
        <v>2011</v>
      </c>
      <c r="C1337" s="1" t="s">
        <v>120</v>
      </c>
      <c r="D1337" s="1" t="s">
        <v>216</v>
      </c>
      <c r="E1337" s="15" t="s">
        <v>217</v>
      </c>
      <c r="F1337" s="1" t="s">
        <v>78</v>
      </c>
      <c r="G1337" s="16">
        <v>-586129</v>
      </c>
      <c r="H1337" s="93">
        <f>'Emission Rates Net-by-Count'!$D$9</f>
        <v>904.65944483592443</v>
      </c>
      <c r="I1337" s="16">
        <f t="shared" ref="I1337:I1368" si="50">(G1337*H1337)/2000</f>
        <v>-265123.56787111779</v>
      </c>
      <c r="M1337" s="19"/>
      <c r="N1337" s="19"/>
      <c r="O1337" s="19"/>
      <c r="P1337" s="19"/>
    </row>
    <row r="1338" spans="1:16" x14ac:dyDescent="0.25">
      <c r="A1338" s="91">
        <v>2122</v>
      </c>
      <c r="B1338" s="15">
        <v>2011</v>
      </c>
      <c r="C1338" s="1" t="s">
        <v>120</v>
      </c>
      <c r="D1338" s="1" t="s">
        <v>216</v>
      </c>
      <c r="E1338" s="15" t="s">
        <v>217</v>
      </c>
      <c r="F1338" s="1" t="s">
        <v>79</v>
      </c>
      <c r="G1338" s="16">
        <v>-482</v>
      </c>
      <c r="H1338" s="93">
        <f>'Emission Rates Net-by-Count'!$D$9</f>
        <v>904.65944483592443</v>
      </c>
      <c r="I1338" s="16">
        <f t="shared" si="50"/>
        <v>-218.02292620545779</v>
      </c>
      <c r="M1338" s="19"/>
      <c r="N1338" s="19"/>
      <c r="O1338" s="19"/>
      <c r="P1338" s="19"/>
    </row>
    <row r="1339" spans="1:16" x14ac:dyDescent="0.25">
      <c r="A1339" s="91">
        <v>2123</v>
      </c>
      <c r="B1339" s="15">
        <v>2011</v>
      </c>
      <c r="C1339" s="1" t="s">
        <v>120</v>
      </c>
      <c r="D1339" s="1" t="s">
        <v>216</v>
      </c>
      <c r="E1339" s="15" t="s">
        <v>217</v>
      </c>
      <c r="F1339" s="1" t="s">
        <v>168</v>
      </c>
      <c r="G1339" s="16">
        <v>-30</v>
      </c>
      <c r="H1339" s="93">
        <f>'Emission Rates Net-by-Count'!$D$9</f>
        <v>904.65944483592443</v>
      </c>
      <c r="I1339" s="16">
        <f t="shared" si="50"/>
        <v>-13.569891672538866</v>
      </c>
      <c r="M1339" s="19"/>
      <c r="N1339" s="19"/>
      <c r="O1339" s="19"/>
      <c r="P1339" s="19"/>
    </row>
    <row r="1340" spans="1:16" x14ac:dyDescent="0.25">
      <c r="A1340" s="91">
        <v>2124</v>
      </c>
      <c r="B1340" s="15">
        <v>2011</v>
      </c>
      <c r="C1340" s="1" t="s">
        <v>120</v>
      </c>
      <c r="D1340" s="1" t="s">
        <v>216</v>
      </c>
      <c r="E1340" s="15" t="s">
        <v>217</v>
      </c>
      <c r="F1340" s="1" t="s">
        <v>173</v>
      </c>
      <c r="G1340" s="16">
        <v>-9250</v>
      </c>
      <c r="H1340" s="93">
        <f>'Emission Rates Net-by-Count'!$D$9</f>
        <v>904.65944483592443</v>
      </c>
      <c r="I1340" s="16">
        <f t="shared" si="50"/>
        <v>-4184.0499323661506</v>
      </c>
      <c r="M1340" s="19"/>
      <c r="N1340" s="19"/>
      <c r="O1340" s="19"/>
      <c r="P1340" s="19"/>
    </row>
    <row r="1341" spans="1:16" x14ac:dyDescent="0.25">
      <c r="A1341" s="91">
        <v>2125</v>
      </c>
      <c r="B1341" s="15">
        <v>2011</v>
      </c>
      <c r="C1341" s="1" t="s">
        <v>120</v>
      </c>
      <c r="D1341" s="1" t="s">
        <v>216</v>
      </c>
      <c r="E1341" s="15" t="s">
        <v>217</v>
      </c>
      <c r="F1341" s="1" t="s">
        <v>80</v>
      </c>
      <c r="G1341" s="16">
        <v>-800</v>
      </c>
      <c r="H1341" s="93">
        <f>'Emission Rates Net-by-Count'!$D$9</f>
        <v>904.65944483592443</v>
      </c>
      <c r="I1341" s="16">
        <f t="shared" si="50"/>
        <v>-361.86377793436975</v>
      </c>
      <c r="M1341" s="19"/>
      <c r="N1341" s="19"/>
      <c r="O1341" s="19"/>
      <c r="P1341" s="19"/>
    </row>
    <row r="1342" spans="1:16" x14ac:dyDescent="0.25">
      <c r="A1342" s="91">
        <v>2126</v>
      </c>
      <c r="B1342" s="15">
        <v>2011</v>
      </c>
      <c r="C1342" s="1" t="s">
        <v>120</v>
      </c>
      <c r="D1342" s="1" t="s">
        <v>216</v>
      </c>
      <c r="E1342" s="15" t="s">
        <v>217</v>
      </c>
      <c r="F1342" s="1" t="s">
        <v>185</v>
      </c>
      <c r="G1342" s="16">
        <v>-3388</v>
      </c>
      <c r="H1342" s="93">
        <f>'Emission Rates Net-by-Count'!$D$9</f>
        <v>904.65944483592443</v>
      </c>
      <c r="I1342" s="16">
        <f t="shared" si="50"/>
        <v>-1532.493099552056</v>
      </c>
      <c r="M1342" s="19"/>
      <c r="N1342" s="19"/>
      <c r="O1342" s="19"/>
      <c r="P1342" s="19"/>
    </row>
    <row r="1343" spans="1:16" x14ac:dyDescent="0.25">
      <c r="A1343" s="91">
        <v>2127</v>
      </c>
      <c r="B1343" s="15">
        <v>2011</v>
      </c>
      <c r="C1343" s="1" t="s">
        <v>120</v>
      </c>
      <c r="D1343" s="1" t="s">
        <v>216</v>
      </c>
      <c r="E1343" s="15" t="s">
        <v>217</v>
      </c>
      <c r="F1343" s="1" t="s">
        <v>81</v>
      </c>
      <c r="G1343" s="16">
        <v>-7683</v>
      </c>
      <c r="H1343" s="93">
        <f>'Emission Rates Net-by-Count'!$D$9</f>
        <v>904.65944483592443</v>
      </c>
      <c r="I1343" s="16">
        <f t="shared" si="50"/>
        <v>-3475.2492573372037</v>
      </c>
      <c r="M1343" s="19"/>
      <c r="N1343" s="19"/>
      <c r="O1343" s="19"/>
      <c r="P1343" s="19"/>
    </row>
    <row r="1344" spans="1:16" x14ac:dyDescent="0.25">
      <c r="A1344" s="91">
        <v>2128</v>
      </c>
      <c r="B1344" s="15">
        <v>2011</v>
      </c>
      <c r="C1344" s="1" t="s">
        <v>120</v>
      </c>
      <c r="D1344" s="1" t="s">
        <v>216</v>
      </c>
      <c r="E1344" s="15" t="s">
        <v>217</v>
      </c>
      <c r="F1344" s="1" t="s">
        <v>82</v>
      </c>
      <c r="G1344" s="16">
        <v>-56370</v>
      </c>
      <c r="H1344" s="93">
        <f>'Emission Rates Net-by-Count'!$D$9</f>
        <v>904.65944483592443</v>
      </c>
      <c r="I1344" s="16">
        <f t="shared" si="50"/>
        <v>-25497.82645270053</v>
      </c>
      <c r="M1344" s="19"/>
      <c r="N1344" s="19"/>
      <c r="O1344" s="19"/>
      <c r="P1344" s="19"/>
    </row>
    <row r="1345" spans="1:16" x14ac:dyDescent="0.25">
      <c r="A1345" s="91">
        <v>2129</v>
      </c>
      <c r="B1345" s="15">
        <v>2011</v>
      </c>
      <c r="C1345" s="1" t="s">
        <v>120</v>
      </c>
      <c r="D1345" s="1" t="s">
        <v>216</v>
      </c>
      <c r="E1345" s="15" t="s">
        <v>217</v>
      </c>
      <c r="F1345" s="1" t="s">
        <v>83</v>
      </c>
      <c r="G1345" s="16">
        <v>-855</v>
      </c>
      <c r="H1345" s="93">
        <f>'Emission Rates Net-by-Count'!$D$9</f>
        <v>904.65944483592443</v>
      </c>
      <c r="I1345" s="16">
        <f t="shared" si="50"/>
        <v>-386.74191266735772</v>
      </c>
      <c r="M1345" s="19"/>
      <c r="N1345" s="19"/>
      <c r="O1345" s="19"/>
      <c r="P1345" s="19"/>
    </row>
    <row r="1346" spans="1:16" x14ac:dyDescent="0.25">
      <c r="A1346" s="91">
        <v>2130</v>
      </c>
      <c r="B1346" s="15">
        <v>2011</v>
      </c>
      <c r="C1346" s="1" t="s">
        <v>120</v>
      </c>
      <c r="D1346" s="1" t="s">
        <v>216</v>
      </c>
      <c r="E1346" s="15" t="s">
        <v>217</v>
      </c>
      <c r="F1346" s="1" t="s">
        <v>84</v>
      </c>
      <c r="G1346" s="16">
        <v>-1655</v>
      </c>
      <c r="H1346" s="93">
        <f>'Emission Rates Net-by-Count'!$D$9</f>
        <v>904.65944483592443</v>
      </c>
      <c r="I1346" s="16">
        <f t="shared" si="50"/>
        <v>-748.60569060172747</v>
      </c>
      <c r="M1346" s="19"/>
      <c r="N1346" s="19"/>
      <c r="O1346" s="19"/>
      <c r="P1346" s="19"/>
    </row>
    <row r="1347" spans="1:16" x14ac:dyDescent="0.25">
      <c r="A1347" s="91">
        <v>2131</v>
      </c>
      <c r="B1347" s="15">
        <v>2011</v>
      </c>
      <c r="C1347" s="1" t="s">
        <v>120</v>
      </c>
      <c r="D1347" s="1" t="s">
        <v>216</v>
      </c>
      <c r="E1347" s="15" t="s">
        <v>217</v>
      </c>
      <c r="F1347" s="1" t="s">
        <v>149</v>
      </c>
      <c r="G1347" s="16">
        <v>-57339</v>
      </c>
      <c r="H1347" s="93">
        <f>'Emission Rates Net-by-Count'!$D$9</f>
        <v>904.65944483592443</v>
      </c>
      <c r="I1347" s="16">
        <f t="shared" si="50"/>
        <v>-25936.133953723536</v>
      </c>
      <c r="M1347" s="19"/>
      <c r="N1347" s="19"/>
      <c r="O1347" s="19"/>
      <c r="P1347" s="19"/>
    </row>
    <row r="1348" spans="1:16" x14ac:dyDescent="0.25">
      <c r="A1348" s="91">
        <v>2132</v>
      </c>
      <c r="B1348" s="15">
        <v>2011</v>
      </c>
      <c r="C1348" s="1" t="s">
        <v>120</v>
      </c>
      <c r="D1348" s="1" t="s">
        <v>216</v>
      </c>
      <c r="E1348" s="15" t="s">
        <v>217</v>
      </c>
      <c r="F1348" s="1" t="s">
        <v>85</v>
      </c>
      <c r="G1348" s="16">
        <v>-246935</v>
      </c>
      <c r="H1348" s="93">
        <f>'Emission Rates Net-by-Count'!$D$9</f>
        <v>904.65944483592443</v>
      </c>
      <c r="I1348" s="16">
        <f t="shared" si="50"/>
        <v>-111696.0400052795</v>
      </c>
      <c r="M1348" s="19"/>
      <c r="N1348" s="19"/>
      <c r="O1348" s="19"/>
      <c r="P1348" s="19"/>
    </row>
    <row r="1349" spans="1:16" x14ac:dyDescent="0.25">
      <c r="A1349" s="91">
        <v>2133</v>
      </c>
      <c r="B1349" s="15">
        <v>2011</v>
      </c>
      <c r="C1349" s="1" t="s">
        <v>120</v>
      </c>
      <c r="D1349" s="1" t="s">
        <v>216</v>
      </c>
      <c r="E1349" s="15" t="s">
        <v>217</v>
      </c>
      <c r="F1349" s="1" t="s">
        <v>138</v>
      </c>
      <c r="G1349" s="16">
        <v>-790398</v>
      </c>
      <c r="H1349" s="93">
        <f>'Emission Rates Net-by-Count'!$D$9</f>
        <v>904.65944483592443</v>
      </c>
      <c r="I1349" s="16">
        <f t="shared" si="50"/>
        <v>-357520.50793971255</v>
      </c>
      <c r="M1349" s="19"/>
      <c r="N1349" s="19"/>
      <c r="O1349" s="19"/>
      <c r="P1349" s="19"/>
    </row>
    <row r="1350" spans="1:16" x14ac:dyDescent="0.25">
      <c r="A1350" s="91">
        <v>2134</v>
      </c>
      <c r="B1350" s="15">
        <v>2011</v>
      </c>
      <c r="C1350" s="1" t="s">
        <v>120</v>
      </c>
      <c r="D1350" s="1" t="s">
        <v>216</v>
      </c>
      <c r="E1350" s="15" t="s">
        <v>217</v>
      </c>
      <c r="F1350" s="1" t="s">
        <v>87</v>
      </c>
      <c r="G1350" s="16">
        <v>-251716</v>
      </c>
      <c r="H1350" s="93">
        <f>'Emission Rates Net-by-Count'!$D$9</f>
        <v>904.65944483592443</v>
      </c>
      <c r="I1350" s="16">
        <f t="shared" si="50"/>
        <v>-113858.62840815978</v>
      </c>
      <c r="M1350" s="19"/>
      <c r="N1350" s="19"/>
      <c r="O1350" s="19"/>
      <c r="P1350" s="19"/>
    </row>
    <row r="1351" spans="1:16" x14ac:dyDescent="0.25">
      <c r="A1351" s="91">
        <v>2135</v>
      </c>
      <c r="B1351" s="15">
        <v>2011</v>
      </c>
      <c r="C1351" s="1" t="s">
        <v>120</v>
      </c>
      <c r="D1351" s="1" t="s">
        <v>216</v>
      </c>
      <c r="E1351" s="15" t="s">
        <v>217</v>
      </c>
      <c r="F1351" s="1" t="s">
        <v>88</v>
      </c>
      <c r="G1351" s="16">
        <v>-294366</v>
      </c>
      <c r="H1351" s="93">
        <f>'Emission Rates Net-by-Count'!$D$9</f>
        <v>904.65944483592443</v>
      </c>
      <c r="I1351" s="16">
        <f t="shared" si="50"/>
        <v>-133150.49106928587</v>
      </c>
      <c r="M1351" s="19"/>
      <c r="N1351" s="19"/>
      <c r="O1351" s="19"/>
      <c r="P1351" s="19"/>
    </row>
    <row r="1352" spans="1:16" x14ac:dyDescent="0.25">
      <c r="A1352" s="91">
        <v>2136</v>
      </c>
      <c r="B1352" s="15">
        <v>2011</v>
      </c>
      <c r="C1352" s="1" t="s">
        <v>120</v>
      </c>
      <c r="D1352" s="1" t="s">
        <v>216</v>
      </c>
      <c r="E1352" s="15" t="s">
        <v>217</v>
      </c>
      <c r="F1352" s="1" t="s">
        <v>90</v>
      </c>
      <c r="G1352" s="16">
        <v>-1600</v>
      </c>
      <c r="H1352" s="93">
        <f>'Emission Rates Net-by-Count'!$D$9</f>
        <v>904.65944483592443</v>
      </c>
      <c r="I1352" s="16">
        <f t="shared" si="50"/>
        <v>-723.7275558687395</v>
      </c>
      <c r="M1352" s="19"/>
      <c r="N1352" s="19"/>
      <c r="O1352" s="19"/>
      <c r="P1352" s="19"/>
    </row>
    <row r="1353" spans="1:16" x14ac:dyDescent="0.25">
      <c r="A1353" s="91">
        <v>2137</v>
      </c>
      <c r="B1353" s="15">
        <v>2011</v>
      </c>
      <c r="C1353" s="1" t="s">
        <v>120</v>
      </c>
      <c r="D1353" s="1" t="s">
        <v>216</v>
      </c>
      <c r="E1353" s="15" t="s">
        <v>217</v>
      </c>
      <c r="F1353" s="1" t="s">
        <v>91</v>
      </c>
      <c r="G1353" s="16">
        <v>-69776</v>
      </c>
      <c r="H1353" s="93">
        <f>'Emission Rates Net-by-Count'!$D$9</f>
        <v>904.65944483592443</v>
      </c>
      <c r="I1353" s="16">
        <f t="shared" si="50"/>
        <v>-31561.75871143573</v>
      </c>
      <c r="M1353" s="19"/>
      <c r="N1353" s="19"/>
      <c r="O1353" s="19"/>
      <c r="P1353" s="19"/>
    </row>
    <row r="1354" spans="1:16" x14ac:dyDescent="0.25">
      <c r="A1354" s="91">
        <v>2138</v>
      </c>
      <c r="B1354" s="15">
        <v>2011</v>
      </c>
      <c r="C1354" s="1" t="s">
        <v>120</v>
      </c>
      <c r="D1354" s="1" t="s">
        <v>216</v>
      </c>
      <c r="E1354" s="15" t="s">
        <v>217</v>
      </c>
      <c r="F1354" s="1" t="s">
        <v>92</v>
      </c>
      <c r="G1354" s="16">
        <v>-69</v>
      </c>
      <c r="H1354" s="93">
        <f>'Emission Rates Net-by-Count'!$D$9</f>
        <v>904.65944483592443</v>
      </c>
      <c r="I1354" s="16">
        <f t="shared" si="50"/>
        <v>-31.210750846839392</v>
      </c>
      <c r="M1354" s="19"/>
      <c r="N1354" s="19"/>
      <c r="O1354" s="19"/>
      <c r="P1354" s="19"/>
    </row>
    <row r="1355" spans="1:16" x14ac:dyDescent="0.25">
      <c r="A1355" s="91">
        <v>2139</v>
      </c>
      <c r="B1355" s="15">
        <v>2011</v>
      </c>
      <c r="C1355" s="1" t="s">
        <v>120</v>
      </c>
      <c r="D1355" s="1" t="s">
        <v>216</v>
      </c>
      <c r="E1355" s="15" t="s">
        <v>217</v>
      </c>
      <c r="F1355" s="1" t="s">
        <v>93</v>
      </c>
      <c r="G1355" s="16">
        <v>-28531</v>
      </c>
      <c r="H1355" s="93">
        <f>'Emission Rates Net-by-Count'!$D$9</f>
        <v>904.65944483592443</v>
      </c>
      <c r="I1355" s="16">
        <f t="shared" si="50"/>
        <v>-12905.419310306881</v>
      </c>
      <c r="M1355" s="19"/>
      <c r="N1355" s="19"/>
      <c r="O1355" s="19"/>
      <c r="P1355" s="19"/>
    </row>
    <row r="1356" spans="1:16" x14ac:dyDescent="0.25">
      <c r="A1356" s="91">
        <v>2140</v>
      </c>
      <c r="B1356" s="15">
        <v>2011</v>
      </c>
      <c r="C1356" s="1" t="s">
        <v>120</v>
      </c>
      <c r="D1356" s="1" t="s">
        <v>216</v>
      </c>
      <c r="E1356" s="15" t="s">
        <v>217</v>
      </c>
      <c r="F1356" s="1" t="s">
        <v>94</v>
      </c>
      <c r="G1356" s="16">
        <v>-22412</v>
      </c>
      <c r="H1356" s="93">
        <f>'Emission Rates Net-by-Count'!$D$9</f>
        <v>904.65944483592443</v>
      </c>
      <c r="I1356" s="16">
        <f t="shared" si="50"/>
        <v>-10137.613738831369</v>
      </c>
      <c r="M1356" s="19"/>
      <c r="N1356" s="19"/>
      <c r="O1356" s="19"/>
      <c r="P1356" s="19"/>
    </row>
    <row r="1357" spans="1:16" x14ac:dyDescent="0.25">
      <c r="A1357" s="91">
        <v>2141</v>
      </c>
      <c r="B1357" s="15">
        <v>2011</v>
      </c>
      <c r="C1357" s="1" t="s">
        <v>120</v>
      </c>
      <c r="D1357" s="1" t="s">
        <v>216</v>
      </c>
      <c r="E1357" s="15" t="s">
        <v>217</v>
      </c>
      <c r="F1357" s="1" t="s">
        <v>95</v>
      </c>
      <c r="G1357" s="16">
        <v>-23444</v>
      </c>
      <c r="H1357" s="93">
        <f>'Emission Rates Net-by-Count'!$D$9</f>
        <v>904.65944483592443</v>
      </c>
      <c r="I1357" s="16">
        <f t="shared" si="50"/>
        <v>-10604.418012366707</v>
      </c>
      <c r="M1357" s="19"/>
      <c r="N1357" s="19"/>
      <c r="O1357" s="19"/>
      <c r="P1357" s="19"/>
    </row>
    <row r="1358" spans="1:16" x14ac:dyDescent="0.25">
      <c r="A1358" s="91">
        <v>2142</v>
      </c>
      <c r="B1358" s="15">
        <v>2011</v>
      </c>
      <c r="C1358" s="1" t="s">
        <v>120</v>
      </c>
      <c r="D1358" s="1" t="s">
        <v>216</v>
      </c>
      <c r="E1358" s="15" t="s">
        <v>217</v>
      </c>
      <c r="F1358" s="1" t="s">
        <v>97</v>
      </c>
      <c r="G1358" s="16">
        <v>-457267</v>
      </c>
      <c r="H1358" s="93">
        <f>'Emission Rates Net-by-Count'!$D$9</f>
        <v>904.65944483592443</v>
      </c>
      <c r="I1358" s="16">
        <f t="shared" si="50"/>
        <v>-206835.45518089432</v>
      </c>
      <c r="M1358" s="19"/>
      <c r="N1358" s="19"/>
      <c r="O1358" s="19"/>
      <c r="P1358" s="19"/>
    </row>
    <row r="1359" spans="1:16" x14ac:dyDescent="0.25">
      <c r="A1359" s="91">
        <v>2143</v>
      </c>
      <c r="B1359" s="15">
        <v>2011</v>
      </c>
      <c r="C1359" s="1" t="s">
        <v>120</v>
      </c>
      <c r="D1359" s="1" t="s">
        <v>216</v>
      </c>
      <c r="E1359" s="15" t="s">
        <v>217</v>
      </c>
      <c r="F1359" s="1" t="s">
        <v>98</v>
      </c>
      <c r="G1359" s="16">
        <v>-14123</v>
      </c>
      <c r="H1359" s="93">
        <f>'Emission Rates Net-by-Count'!$D$9</f>
        <v>904.65944483592443</v>
      </c>
      <c r="I1359" s="16">
        <f t="shared" si="50"/>
        <v>-6388.2526697088806</v>
      </c>
      <c r="M1359" s="19"/>
      <c r="N1359" s="19"/>
      <c r="O1359" s="19"/>
      <c r="P1359" s="19"/>
    </row>
    <row r="1360" spans="1:16" x14ac:dyDescent="0.25">
      <c r="A1360" s="91">
        <v>2144</v>
      </c>
      <c r="B1360" s="15">
        <v>2011</v>
      </c>
      <c r="C1360" s="1" t="s">
        <v>120</v>
      </c>
      <c r="D1360" s="1" t="s">
        <v>216</v>
      </c>
      <c r="E1360" s="15" t="s">
        <v>217</v>
      </c>
      <c r="F1360" s="1" t="s">
        <v>100</v>
      </c>
      <c r="G1360" s="16">
        <v>-9938</v>
      </c>
      <c r="H1360" s="93">
        <f>'Emission Rates Net-by-Count'!$D$9</f>
        <v>904.65944483592443</v>
      </c>
      <c r="I1360" s="16">
        <f t="shared" si="50"/>
        <v>-4495.2527813897086</v>
      </c>
      <c r="M1360" s="19"/>
      <c r="N1360" s="19"/>
      <c r="O1360" s="19"/>
      <c r="P1360" s="19"/>
    </row>
    <row r="1361" spans="1:17" x14ac:dyDescent="0.25">
      <c r="A1361" s="91">
        <v>2145</v>
      </c>
      <c r="B1361" s="15">
        <v>2011</v>
      </c>
      <c r="C1361" s="1" t="s">
        <v>120</v>
      </c>
      <c r="D1361" s="1" t="s">
        <v>216</v>
      </c>
      <c r="E1361" s="15" t="s">
        <v>217</v>
      </c>
      <c r="F1361" s="1" t="s">
        <v>101</v>
      </c>
      <c r="G1361" s="16">
        <v>-526126</v>
      </c>
      <c r="H1361" s="93">
        <f>'Emission Rates Net-by-Count'!$D$9</f>
        <v>904.65944483592443</v>
      </c>
      <c r="I1361" s="16">
        <f t="shared" si="50"/>
        <v>-237982.42753687277</v>
      </c>
      <c r="M1361" s="19"/>
      <c r="N1361" s="19"/>
      <c r="O1361" s="19"/>
      <c r="P1361" s="19"/>
    </row>
    <row r="1362" spans="1:17" x14ac:dyDescent="0.25">
      <c r="A1362" s="91">
        <v>2146</v>
      </c>
      <c r="B1362" s="15">
        <v>2011</v>
      </c>
      <c r="C1362" s="1" t="s">
        <v>120</v>
      </c>
      <c r="D1362" s="1" t="s">
        <v>216</v>
      </c>
      <c r="E1362" s="15" t="s">
        <v>217</v>
      </c>
      <c r="F1362" s="1" t="s">
        <v>103</v>
      </c>
      <c r="G1362" s="16">
        <v>-19779</v>
      </c>
      <c r="H1362" s="93">
        <f>'Emission Rates Net-by-Count'!$D$9</f>
        <v>904.65944483592443</v>
      </c>
      <c r="I1362" s="16">
        <f t="shared" si="50"/>
        <v>-8946.6295797048751</v>
      </c>
      <c r="M1362" s="19"/>
      <c r="N1362" s="19"/>
      <c r="O1362" s="19"/>
      <c r="P1362" s="19"/>
    </row>
    <row r="1363" spans="1:17" x14ac:dyDescent="0.25">
      <c r="A1363" s="91">
        <v>2147</v>
      </c>
      <c r="B1363" s="15">
        <v>2011</v>
      </c>
      <c r="C1363" s="1" t="s">
        <v>120</v>
      </c>
      <c r="D1363" s="1" t="s">
        <v>216</v>
      </c>
      <c r="E1363" s="15" t="s">
        <v>217</v>
      </c>
      <c r="F1363" s="1" t="s">
        <v>152</v>
      </c>
      <c r="G1363" s="16">
        <v>-185885</v>
      </c>
      <c r="H1363" s="93">
        <f>'Emission Rates Net-by-Count'!$D$9</f>
        <v>904.65944483592443</v>
      </c>
      <c r="I1363" s="16">
        <f t="shared" si="50"/>
        <v>-84081.31045166291</v>
      </c>
      <c r="M1363" s="19"/>
      <c r="N1363" s="19"/>
      <c r="O1363" s="19"/>
      <c r="P1363" s="19"/>
    </row>
    <row r="1364" spans="1:17" x14ac:dyDescent="0.25">
      <c r="A1364" s="91">
        <v>2148</v>
      </c>
      <c r="B1364" s="15">
        <v>2011</v>
      </c>
      <c r="C1364" s="1" t="s">
        <v>120</v>
      </c>
      <c r="D1364" s="1" t="s">
        <v>216</v>
      </c>
      <c r="E1364" s="15" t="s">
        <v>217</v>
      </c>
      <c r="F1364" s="1" t="s">
        <v>186</v>
      </c>
      <c r="G1364" s="16">
        <v>-3600</v>
      </c>
      <c r="H1364" s="93">
        <f>'Emission Rates Net-by-Count'!$D$9</f>
        <v>904.65944483592443</v>
      </c>
      <c r="I1364" s="16">
        <f t="shared" si="50"/>
        <v>-1628.3870007046639</v>
      </c>
      <c r="M1364" s="19"/>
      <c r="N1364" s="19"/>
      <c r="O1364" s="19"/>
      <c r="P1364" s="19"/>
    </row>
    <row r="1365" spans="1:17" x14ac:dyDescent="0.25">
      <c r="A1365" s="91">
        <v>2149</v>
      </c>
      <c r="B1365" s="15">
        <v>2011</v>
      </c>
      <c r="C1365" s="1" t="s">
        <v>120</v>
      </c>
      <c r="D1365" s="1" t="s">
        <v>216</v>
      </c>
      <c r="E1365" s="15" t="s">
        <v>217</v>
      </c>
      <c r="F1365" s="1" t="s">
        <v>153</v>
      </c>
      <c r="G1365" s="16">
        <v>-19100</v>
      </c>
      <c r="H1365" s="93">
        <f>'Emission Rates Net-by-Count'!$D$9</f>
        <v>904.65944483592443</v>
      </c>
      <c r="I1365" s="16">
        <f t="shared" si="50"/>
        <v>-8639.4976981830787</v>
      </c>
      <c r="M1365" s="19"/>
      <c r="N1365" s="19"/>
      <c r="O1365" s="19"/>
      <c r="P1365" s="19"/>
    </row>
    <row r="1366" spans="1:17" x14ac:dyDescent="0.25">
      <c r="A1366" s="91">
        <v>2150</v>
      </c>
      <c r="B1366" s="15">
        <v>2011</v>
      </c>
      <c r="C1366" s="1" t="s">
        <v>120</v>
      </c>
      <c r="D1366" s="1" t="s">
        <v>216</v>
      </c>
      <c r="E1366" s="15" t="s">
        <v>217</v>
      </c>
      <c r="F1366" s="1" t="s">
        <v>104</v>
      </c>
      <c r="G1366" s="16">
        <v>-212919</v>
      </c>
      <c r="H1366" s="93">
        <f>'Emission Rates Net-by-Count'!$D$9</f>
        <v>904.65944483592443</v>
      </c>
      <c r="I1366" s="16">
        <f t="shared" si="50"/>
        <v>-96309.592167510098</v>
      </c>
      <c r="M1366" s="19"/>
      <c r="N1366" s="19"/>
      <c r="O1366" s="19"/>
      <c r="P1366" s="19"/>
    </row>
    <row r="1367" spans="1:17" x14ac:dyDescent="0.25">
      <c r="A1367" s="91">
        <v>2151</v>
      </c>
      <c r="B1367" s="15">
        <v>2011</v>
      </c>
      <c r="C1367" s="1" t="s">
        <v>120</v>
      </c>
      <c r="D1367" s="1" t="s">
        <v>216</v>
      </c>
      <c r="E1367" s="15" t="s">
        <v>217</v>
      </c>
      <c r="F1367" s="1" t="s">
        <v>167</v>
      </c>
      <c r="G1367" s="16">
        <v>-14806</v>
      </c>
      <c r="H1367" s="93">
        <f>'Emission Rates Net-by-Count'!$D$9</f>
        <v>904.65944483592443</v>
      </c>
      <c r="I1367" s="16">
        <f t="shared" si="50"/>
        <v>-6697.193870120348</v>
      </c>
      <c r="M1367" s="19"/>
      <c r="N1367" s="19"/>
      <c r="O1367" s="19"/>
      <c r="P1367" s="19"/>
    </row>
    <row r="1368" spans="1:17" x14ac:dyDescent="0.25">
      <c r="A1368" s="91">
        <v>2152</v>
      </c>
      <c r="B1368" s="15">
        <v>2011</v>
      </c>
      <c r="C1368" s="1" t="s">
        <v>120</v>
      </c>
      <c r="D1368" s="1" t="s">
        <v>216</v>
      </c>
      <c r="E1368" s="15" t="s">
        <v>217</v>
      </c>
      <c r="F1368" s="1" t="s">
        <v>106</v>
      </c>
      <c r="G1368" s="16">
        <v>-24869</v>
      </c>
      <c r="H1368" s="93">
        <f>'Emission Rates Net-by-Count'!$D$9</f>
        <v>904.65944483592443</v>
      </c>
      <c r="I1368" s="16">
        <f t="shared" si="50"/>
        <v>-11248.987866812302</v>
      </c>
      <c r="M1368" s="19"/>
      <c r="N1368" s="19"/>
      <c r="O1368" s="19"/>
      <c r="P1368" s="19"/>
    </row>
    <row r="1369" spans="1:17" x14ac:dyDescent="0.25">
      <c r="A1369" s="91">
        <v>2153</v>
      </c>
      <c r="B1369" s="15">
        <v>2011</v>
      </c>
      <c r="C1369" s="1" t="s">
        <v>120</v>
      </c>
      <c r="D1369" s="1" t="s">
        <v>216</v>
      </c>
      <c r="E1369" s="15" t="s">
        <v>217</v>
      </c>
      <c r="F1369" s="1" t="s">
        <v>108</v>
      </c>
      <c r="G1369" s="16">
        <v>-1265</v>
      </c>
      <c r="H1369" s="93">
        <f>'Emission Rates Net-by-Count'!$D$9</f>
        <v>904.65944483592443</v>
      </c>
      <c r="I1369" s="16">
        <f t="shared" ref="I1369" si="51">(G1369*H1369)/2000</f>
        <v>-572.19709885872226</v>
      </c>
      <c r="M1369" s="19"/>
      <c r="N1369" s="19"/>
      <c r="O1369" s="19"/>
      <c r="P1369" s="19"/>
    </row>
    <row r="1370" spans="1:17" x14ac:dyDescent="0.25">
      <c r="A1370" s="91">
        <v>2209</v>
      </c>
      <c r="B1370" s="15">
        <v>2012</v>
      </c>
      <c r="C1370" s="1" t="s">
        <v>0</v>
      </c>
      <c r="D1370" s="1" t="s">
        <v>215</v>
      </c>
      <c r="E1370" s="15" t="s">
        <v>125</v>
      </c>
      <c r="F1370" s="1" t="s">
        <v>1</v>
      </c>
      <c r="G1370" s="16">
        <v>49582.500999999997</v>
      </c>
      <c r="H1370" s="92">
        <v>0</v>
      </c>
      <c r="I1370" s="92">
        <f>(H1370*G1370)/2000</f>
        <v>0</v>
      </c>
      <c r="J1370" s="92"/>
      <c r="K1370" s="17" t="s">
        <v>223</v>
      </c>
      <c r="M1370" s="19"/>
      <c r="N1370" s="19"/>
      <c r="O1370" s="19"/>
      <c r="P1370" s="19"/>
    </row>
    <row r="1371" spans="1:17" x14ac:dyDescent="0.25">
      <c r="A1371" s="91">
        <v>2210</v>
      </c>
      <c r="B1371" s="15">
        <v>2012</v>
      </c>
      <c r="C1371" s="1" t="s">
        <v>0</v>
      </c>
      <c r="D1371" s="1" t="s">
        <v>215</v>
      </c>
      <c r="E1371" s="15" t="s">
        <v>125</v>
      </c>
      <c r="F1371" s="1" t="s">
        <v>2</v>
      </c>
      <c r="G1371" s="16">
        <v>349273.41600000003</v>
      </c>
      <c r="H1371" s="92">
        <v>0</v>
      </c>
      <c r="I1371" s="92">
        <f>(H1371*G1371)/2000</f>
        <v>0</v>
      </c>
      <c r="J1371" s="92"/>
      <c r="K1371" s="17" t="s">
        <v>223</v>
      </c>
      <c r="M1371" s="19"/>
      <c r="N1371" s="19"/>
      <c r="O1371" s="19"/>
      <c r="P1371" s="19"/>
    </row>
    <row r="1372" spans="1:17" x14ac:dyDescent="0.25">
      <c r="A1372" s="91">
        <v>2211</v>
      </c>
      <c r="B1372" s="15">
        <v>2012</v>
      </c>
      <c r="C1372" s="1" t="s">
        <v>0</v>
      </c>
      <c r="D1372" s="1" t="s">
        <v>215</v>
      </c>
      <c r="E1372" s="15" t="s">
        <v>125</v>
      </c>
      <c r="F1372" s="1" t="s">
        <v>4</v>
      </c>
      <c r="G1372" s="16">
        <v>-1203.3699999999999</v>
      </c>
      <c r="H1372" s="92">
        <v>0</v>
      </c>
      <c r="I1372" s="92">
        <f>(H1372*G1372)/2000</f>
        <v>0</v>
      </c>
      <c r="J1372" s="92"/>
      <c r="K1372" s="17" t="s">
        <v>223</v>
      </c>
      <c r="M1372" s="19"/>
      <c r="N1372" s="19"/>
      <c r="O1372" s="19"/>
      <c r="P1372" s="19"/>
    </row>
    <row r="1373" spans="1:17" x14ac:dyDescent="0.25">
      <c r="A1373" s="91">
        <v>2212</v>
      </c>
      <c r="B1373" s="15">
        <v>2012</v>
      </c>
      <c r="C1373" s="1" t="s">
        <v>0</v>
      </c>
      <c r="D1373" s="1" t="s">
        <v>215</v>
      </c>
      <c r="E1373" s="15" t="s">
        <v>125</v>
      </c>
      <c r="F1373" s="1" t="s">
        <v>5</v>
      </c>
      <c r="G1373" s="16">
        <v>-636.02</v>
      </c>
      <c r="H1373" s="92">
        <v>0</v>
      </c>
      <c r="I1373" s="92">
        <f>(H1373*G1373)/2000</f>
        <v>0</v>
      </c>
      <c r="J1373" s="92"/>
      <c r="K1373" s="17" t="s">
        <v>223</v>
      </c>
      <c r="M1373" s="19"/>
      <c r="N1373" s="19"/>
      <c r="O1373" s="19"/>
      <c r="P1373" s="19"/>
    </row>
    <row r="1374" spans="1:17" x14ac:dyDescent="0.25">
      <c r="A1374" s="91">
        <v>2214</v>
      </c>
      <c r="B1374" s="15">
        <v>2012</v>
      </c>
      <c r="C1374" s="1" t="s">
        <v>0</v>
      </c>
      <c r="D1374" s="1" t="s">
        <v>215</v>
      </c>
      <c r="E1374" s="15" t="s">
        <v>125</v>
      </c>
      <c r="F1374" s="1" t="s">
        <v>6</v>
      </c>
      <c r="G1374" s="16">
        <v>349723.13699999999</v>
      </c>
      <c r="H1374" s="92">
        <v>0</v>
      </c>
      <c r="I1374" s="92">
        <f>(H1374*G1374)/2000</f>
        <v>0</v>
      </c>
      <c r="J1374" s="92"/>
      <c r="K1374" s="17" t="s">
        <v>223</v>
      </c>
      <c r="M1374" s="19"/>
      <c r="N1374" s="19"/>
      <c r="O1374" s="19"/>
      <c r="P1374" s="19"/>
    </row>
    <row r="1375" spans="1:17" x14ac:dyDescent="0.25">
      <c r="A1375" s="91">
        <v>2217</v>
      </c>
      <c r="B1375" s="15">
        <v>2012</v>
      </c>
      <c r="C1375" s="1" t="s">
        <v>7</v>
      </c>
      <c r="D1375" s="1" t="s">
        <v>215</v>
      </c>
      <c r="E1375" s="15" t="s">
        <v>122</v>
      </c>
      <c r="F1375" s="1" t="s">
        <v>8</v>
      </c>
      <c r="G1375" s="16">
        <v>1424335.0120000001</v>
      </c>
      <c r="H1375" s="16">
        <f>(I1375*2000)/G1375</f>
        <v>2349.8257362489862</v>
      </c>
      <c r="I1375" s="16">
        <v>1673469.5341190542</v>
      </c>
      <c r="M1375" s="19"/>
      <c r="N1375" s="19"/>
      <c r="O1375" s="19"/>
      <c r="P1375" s="19"/>
      <c r="Q1375" s="15" t="s">
        <v>260</v>
      </c>
    </row>
    <row r="1376" spans="1:17" x14ac:dyDescent="0.25">
      <c r="A1376" s="91">
        <v>2218</v>
      </c>
      <c r="B1376" s="15">
        <v>2012</v>
      </c>
      <c r="C1376" s="1" t="s">
        <v>7</v>
      </c>
      <c r="D1376" s="1" t="s">
        <v>215</v>
      </c>
      <c r="E1376" s="15" t="s">
        <v>122</v>
      </c>
      <c r="F1376" s="1" t="s">
        <v>9</v>
      </c>
      <c r="G1376" s="16">
        <v>2385189</v>
      </c>
      <c r="H1376" s="16">
        <f>(I1376*2000)/G1376</f>
        <v>2393.7645012833036</v>
      </c>
      <c r="I1376" s="16">
        <v>2854790.3785257111</v>
      </c>
      <c r="M1376" s="19"/>
      <c r="N1376" s="19"/>
      <c r="O1376" s="19"/>
      <c r="P1376" s="19"/>
      <c r="Q1376" s="15" t="s">
        <v>260</v>
      </c>
    </row>
    <row r="1377" spans="1:17" x14ac:dyDescent="0.25">
      <c r="A1377" s="91">
        <v>2219</v>
      </c>
      <c r="B1377" s="15">
        <v>2012</v>
      </c>
      <c r="C1377" s="1" t="s">
        <v>7</v>
      </c>
      <c r="D1377" s="1" t="s">
        <v>216</v>
      </c>
      <c r="E1377" s="15" t="s">
        <v>217</v>
      </c>
      <c r="F1377" s="1" t="s">
        <v>187</v>
      </c>
      <c r="G1377" s="16">
        <v>-52.36</v>
      </c>
      <c r="H1377" s="93">
        <f>'Emission Rates Net-by-Count'!$D$10</f>
        <v>903.13346574503635</v>
      </c>
      <c r="I1377" s="16">
        <f>(G1377*H1377)/2000</f>
        <v>-23.644034133205054</v>
      </c>
      <c r="M1377" s="19"/>
      <c r="N1377" s="19"/>
      <c r="O1377" s="19"/>
      <c r="P1377" s="19"/>
    </row>
    <row r="1378" spans="1:17" x14ac:dyDescent="0.25">
      <c r="A1378" s="91">
        <v>2220</v>
      </c>
      <c r="B1378" s="15">
        <v>2012</v>
      </c>
      <c r="C1378" s="1" t="s">
        <v>7</v>
      </c>
      <c r="D1378" s="1" t="s">
        <v>215</v>
      </c>
      <c r="E1378" s="15" t="s">
        <v>123</v>
      </c>
      <c r="F1378" s="1" t="s">
        <v>10</v>
      </c>
      <c r="G1378" s="16">
        <v>108457.06999999999</v>
      </c>
      <c r="H1378" s="16">
        <f t="shared" ref="H1378:H1384" si="52">(I1378*2000)/G1378</f>
        <v>1049.4122071397105</v>
      </c>
      <c r="I1378" s="16">
        <f t="shared" ref="I1378:I1384" si="53">J1378*1.102311</f>
        <v>56908.086604303033</v>
      </c>
      <c r="J1378" s="16">
        <v>51626.162312</v>
      </c>
      <c r="M1378" s="19"/>
      <c r="N1378" s="19"/>
      <c r="O1378" s="19"/>
      <c r="P1378" s="19"/>
      <c r="Q1378" s="15" t="s">
        <v>261</v>
      </c>
    </row>
    <row r="1379" spans="1:17" x14ac:dyDescent="0.25">
      <c r="A1379" s="91">
        <v>2221</v>
      </c>
      <c r="B1379" s="15">
        <v>2012</v>
      </c>
      <c r="C1379" s="1" t="s">
        <v>7</v>
      </c>
      <c r="D1379" s="1" t="s">
        <v>215</v>
      </c>
      <c r="E1379" s="15" t="s">
        <v>123</v>
      </c>
      <c r="F1379" s="1" t="s">
        <v>188</v>
      </c>
      <c r="G1379" s="16">
        <v>1607.07</v>
      </c>
      <c r="H1379" s="16">
        <f t="shared" si="52"/>
        <v>19630.897386131426</v>
      </c>
      <c r="I1379" s="16">
        <f t="shared" si="53"/>
        <v>15774.113131165115</v>
      </c>
      <c r="J1379" s="16">
        <v>14310.038755999998</v>
      </c>
      <c r="M1379" s="19"/>
      <c r="N1379" s="19"/>
      <c r="O1379" s="19"/>
      <c r="P1379" s="19"/>
      <c r="Q1379" s="15" t="s">
        <v>261</v>
      </c>
    </row>
    <row r="1380" spans="1:17" x14ac:dyDescent="0.25">
      <c r="A1380" s="91">
        <v>2222</v>
      </c>
      <c r="B1380" s="15">
        <v>2012</v>
      </c>
      <c r="C1380" s="1" t="s">
        <v>7</v>
      </c>
      <c r="D1380" s="1" t="s">
        <v>215</v>
      </c>
      <c r="E1380" s="15" t="s">
        <v>123</v>
      </c>
      <c r="F1380" s="1" t="s">
        <v>13</v>
      </c>
      <c r="G1380" s="16">
        <v>175177.486</v>
      </c>
      <c r="H1380" s="16">
        <f t="shared" si="52"/>
        <v>1749.2870770111949</v>
      </c>
      <c r="I1380" s="16">
        <f t="shared" si="53"/>
        <v>153217.85622155474</v>
      </c>
      <c r="J1380" s="16">
        <v>138996.94026600002</v>
      </c>
      <c r="M1380" s="19"/>
      <c r="N1380" s="19"/>
      <c r="O1380" s="19"/>
      <c r="P1380" s="19"/>
      <c r="Q1380" s="15" t="s">
        <v>261</v>
      </c>
    </row>
    <row r="1381" spans="1:17" x14ac:dyDescent="0.25">
      <c r="A1381" s="91">
        <v>2223</v>
      </c>
      <c r="B1381" s="15">
        <v>2012</v>
      </c>
      <c r="C1381" s="1" t="s">
        <v>7</v>
      </c>
      <c r="D1381" s="1" t="s">
        <v>215</v>
      </c>
      <c r="E1381" s="15" t="s">
        <v>123</v>
      </c>
      <c r="F1381" s="1" t="s">
        <v>144</v>
      </c>
      <c r="G1381" s="16">
        <v>909496.56500000006</v>
      </c>
      <c r="H1381" s="16">
        <f t="shared" si="52"/>
        <v>788.66119728262413</v>
      </c>
      <c r="I1381" s="16">
        <f t="shared" si="53"/>
        <v>358642.32493866701</v>
      </c>
      <c r="J1381" s="16">
        <v>325354.93607399997</v>
      </c>
      <c r="M1381" s="19"/>
      <c r="N1381" s="19"/>
      <c r="O1381" s="19"/>
      <c r="P1381" s="19"/>
      <c r="Q1381" s="15" t="s">
        <v>261</v>
      </c>
    </row>
    <row r="1382" spans="1:17" x14ac:dyDescent="0.25">
      <c r="A1382" s="91">
        <v>2224</v>
      </c>
      <c r="B1382" s="15">
        <v>2012</v>
      </c>
      <c r="C1382" s="1" t="s">
        <v>7</v>
      </c>
      <c r="D1382" s="1" t="s">
        <v>215</v>
      </c>
      <c r="E1382" s="15" t="s">
        <v>123</v>
      </c>
      <c r="F1382" s="1" t="s">
        <v>156</v>
      </c>
      <c r="G1382" s="16">
        <v>1098069.3709999998</v>
      </c>
      <c r="H1382" s="16">
        <f t="shared" si="52"/>
        <v>870.20470928410623</v>
      </c>
      <c r="I1382" s="16">
        <f t="shared" si="53"/>
        <v>477772.5688824181</v>
      </c>
      <c r="J1382" s="16">
        <v>433428.10593600001</v>
      </c>
      <c r="M1382" s="19"/>
      <c r="N1382" s="19"/>
      <c r="O1382" s="19"/>
      <c r="P1382" s="19"/>
      <c r="Q1382" s="15" t="s">
        <v>261</v>
      </c>
    </row>
    <row r="1383" spans="1:17" x14ac:dyDescent="0.25">
      <c r="A1383" s="91">
        <v>2225</v>
      </c>
      <c r="B1383" s="15">
        <v>2012</v>
      </c>
      <c r="C1383" s="1" t="s">
        <v>7</v>
      </c>
      <c r="D1383" s="1" t="s">
        <v>215</v>
      </c>
      <c r="E1383" s="15" t="s">
        <v>123</v>
      </c>
      <c r="F1383" s="1" t="s">
        <v>155</v>
      </c>
      <c r="G1383" s="16">
        <v>223749.87400000001</v>
      </c>
      <c r="H1383" s="16">
        <f t="shared" si="52"/>
        <v>1049.718162234019</v>
      </c>
      <c r="I1383" s="16">
        <f t="shared" si="53"/>
        <v>117437.15326768665</v>
      </c>
      <c r="J1383" s="16">
        <v>106537.223404</v>
      </c>
      <c r="M1383" s="19"/>
      <c r="N1383" s="19"/>
      <c r="O1383" s="19"/>
      <c r="P1383" s="19"/>
      <c r="Q1383" s="15" t="s">
        <v>261</v>
      </c>
    </row>
    <row r="1384" spans="1:17" x14ac:dyDescent="0.25">
      <c r="A1384" s="91">
        <v>2228</v>
      </c>
      <c r="B1384" s="15">
        <v>2012</v>
      </c>
      <c r="C1384" s="1" t="s">
        <v>11</v>
      </c>
      <c r="D1384" s="1" t="s">
        <v>215</v>
      </c>
      <c r="E1384" s="15" t="s">
        <v>124</v>
      </c>
      <c r="F1384" s="1" t="s">
        <v>12</v>
      </c>
      <c r="G1384" s="16">
        <v>298.26</v>
      </c>
      <c r="H1384" s="16">
        <f t="shared" si="52"/>
        <v>72576.7303584982</v>
      </c>
      <c r="I1384" s="16">
        <f t="shared" si="53"/>
        <v>10823.367798362837</v>
      </c>
      <c r="J1384" s="16">
        <v>9818.7968716295454</v>
      </c>
      <c r="M1384" s="19"/>
      <c r="N1384" s="19"/>
      <c r="O1384" s="19"/>
      <c r="P1384" s="19"/>
      <c r="Q1384" s="15" t="s">
        <v>261</v>
      </c>
    </row>
    <row r="1385" spans="1:17" x14ac:dyDescent="0.25">
      <c r="A1385" s="91">
        <v>2229</v>
      </c>
      <c r="B1385" s="15">
        <v>2012</v>
      </c>
      <c r="C1385" s="1" t="s">
        <v>11</v>
      </c>
      <c r="D1385" s="1" t="s">
        <v>216</v>
      </c>
      <c r="E1385" s="15" t="s">
        <v>217</v>
      </c>
      <c r="F1385" s="1" t="s">
        <v>187</v>
      </c>
      <c r="G1385" s="16">
        <v>-101.64</v>
      </c>
      <c r="H1385" s="93">
        <f>'Emission Rates Net-by-Count'!$D$10</f>
        <v>903.13346574503635</v>
      </c>
      <c r="I1385" s="16">
        <f>(G1385*H1385)/2000</f>
        <v>-45.897242729162748</v>
      </c>
      <c r="M1385" s="19"/>
      <c r="N1385" s="19"/>
      <c r="O1385" s="19"/>
      <c r="P1385" s="19"/>
    </row>
    <row r="1386" spans="1:17" x14ac:dyDescent="0.25">
      <c r="A1386" s="91">
        <v>2233</v>
      </c>
      <c r="B1386" s="15">
        <v>2012</v>
      </c>
      <c r="C1386" s="1" t="s">
        <v>11</v>
      </c>
      <c r="D1386" s="1" t="s">
        <v>215</v>
      </c>
      <c r="E1386" s="15" t="s">
        <v>123</v>
      </c>
      <c r="F1386" s="1" t="s">
        <v>14</v>
      </c>
      <c r="G1386" s="16">
        <v>17192.718000000001</v>
      </c>
      <c r="H1386" s="16">
        <f>(I1386*2000)/G1386</f>
        <v>14670.939396443593</v>
      </c>
      <c r="I1386" s="16">
        <f>J1386*1.102311</f>
        <v>126116.66191907245</v>
      </c>
      <c r="J1386" s="16">
        <v>114411.1434241992</v>
      </c>
      <c r="M1386" s="19"/>
      <c r="N1386" s="19"/>
      <c r="O1386" s="19"/>
      <c r="P1386" s="19"/>
      <c r="Q1386" s="15" t="s">
        <v>261</v>
      </c>
    </row>
    <row r="1387" spans="1:17" x14ac:dyDescent="0.25">
      <c r="A1387" s="91">
        <v>2234</v>
      </c>
      <c r="B1387" s="15">
        <v>2012</v>
      </c>
      <c r="C1387" s="1" t="s">
        <v>11</v>
      </c>
      <c r="D1387" s="1" t="s">
        <v>215</v>
      </c>
      <c r="E1387" s="15" t="s">
        <v>123</v>
      </c>
      <c r="F1387" s="1" t="s">
        <v>15</v>
      </c>
      <c r="G1387" s="16">
        <v>25360</v>
      </c>
      <c r="H1387" s="16">
        <f>(I1387*2000)/G1387</f>
        <v>1266.8699948920128</v>
      </c>
      <c r="I1387" s="16">
        <f>J1387*1.102311</f>
        <v>16063.91153523072</v>
      </c>
      <c r="J1387" s="16">
        <v>14572.93952</v>
      </c>
      <c r="M1387" s="19"/>
      <c r="N1387" s="19"/>
      <c r="O1387" s="19"/>
      <c r="P1387" s="19"/>
      <c r="Q1387" s="15" t="s">
        <v>261</v>
      </c>
    </row>
    <row r="1388" spans="1:17" x14ac:dyDescent="0.25">
      <c r="A1388" s="91">
        <v>2235</v>
      </c>
      <c r="B1388" s="15">
        <v>2012</v>
      </c>
      <c r="C1388" s="1" t="s">
        <v>11</v>
      </c>
      <c r="D1388" s="1" t="s">
        <v>215</v>
      </c>
      <c r="E1388" s="15" t="s">
        <v>123</v>
      </c>
      <c r="F1388" s="1" t="s">
        <v>16</v>
      </c>
      <c r="G1388" s="16">
        <v>31650.31</v>
      </c>
      <c r="H1388" s="16">
        <f>(I1388*2000)/G1388</f>
        <v>2994.5387814226269</v>
      </c>
      <c r="I1388" s="16">
        <f>J1388*1.102311</f>
        <v>47389.040369524198</v>
      </c>
      <c r="J1388" s="16">
        <v>42990.626392664315</v>
      </c>
      <c r="M1388" s="19"/>
      <c r="N1388" s="19"/>
      <c r="O1388" s="19"/>
      <c r="P1388" s="19"/>
      <c r="Q1388" s="15" t="s">
        <v>261</v>
      </c>
    </row>
    <row r="1389" spans="1:17" x14ac:dyDescent="0.25">
      <c r="A1389" s="91">
        <v>2237</v>
      </c>
      <c r="B1389" s="15">
        <v>2012</v>
      </c>
      <c r="C1389" s="1" t="s">
        <v>11</v>
      </c>
      <c r="D1389" s="1" t="s">
        <v>215</v>
      </c>
      <c r="E1389" s="15" t="s">
        <v>125</v>
      </c>
      <c r="F1389" s="1" t="s">
        <v>17</v>
      </c>
      <c r="G1389" s="16">
        <v>430639.962</v>
      </c>
      <c r="H1389" s="92">
        <v>0</v>
      </c>
      <c r="I1389" s="92">
        <f>(H1389*G1389)/2000</f>
        <v>0</v>
      </c>
      <c r="J1389" s="92"/>
      <c r="K1389" s="17" t="s">
        <v>229</v>
      </c>
      <c r="M1389" s="19"/>
      <c r="N1389" s="19"/>
      <c r="O1389" s="19"/>
      <c r="P1389" s="19"/>
    </row>
    <row r="1390" spans="1:17" x14ac:dyDescent="0.25">
      <c r="A1390" s="91">
        <v>2238</v>
      </c>
      <c r="B1390" s="15">
        <v>2012</v>
      </c>
      <c r="C1390" s="1" t="s">
        <v>11</v>
      </c>
      <c r="D1390" s="1" t="s">
        <v>215</v>
      </c>
      <c r="E1390" s="15" t="s">
        <v>125</v>
      </c>
      <c r="F1390" s="1" t="s">
        <v>189</v>
      </c>
      <c r="G1390" s="16">
        <v>714783.17700000003</v>
      </c>
      <c r="H1390" s="92">
        <v>0</v>
      </c>
      <c r="I1390" s="92">
        <f>(H1390*G1390)/2000</f>
        <v>0</v>
      </c>
      <c r="J1390" s="92"/>
      <c r="K1390" s="17" t="s">
        <v>229</v>
      </c>
      <c r="M1390" s="19"/>
      <c r="N1390" s="19"/>
      <c r="O1390" s="19"/>
      <c r="P1390" s="19"/>
    </row>
    <row r="1391" spans="1:17" x14ac:dyDescent="0.25">
      <c r="A1391" s="91">
        <v>2245</v>
      </c>
      <c r="B1391" s="15">
        <v>2012</v>
      </c>
      <c r="C1391" s="1" t="s">
        <v>11</v>
      </c>
      <c r="D1391" s="1" t="s">
        <v>215</v>
      </c>
      <c r="E1391" s="15" t="s">
        <v>123</v>
      </c>
      <c r="F1391" s="1" t="s">
        <v>18</v>
      </c>
      <c r="G1391" s="16">
        <v>29277.7</v>
      </c>
      <c r="H1391" s="16">
        <f>(I1391*2000)/G1391</f>
        <v>5720.0200830619897</v>
      </c>
      <c r="I1391" s="16">
        <f>J1391*1.102311</f>
        <v>83734.515992932007</v>
      </c>
      <c r="J1391" s="16">
        <v>75962.696546557185</v>
      </c>
      <c r="M1391" s="19"/>
      <c r="N1391" s="19"/>
      <c r="O1391" s="19"/>
      <c r="P1391" s="19"/>
      <c r="Q1391" s="15" t="s">
        <v>261</v>
      </c>
    </row>
    <row r="1392" spans="1:17" x14ac:dyDescent="0.25">
      <c r="A1392" s="91">
        <v>2246</v>
      </c>
      <c r="B1392" s="15">
        <v>2012</v>
      </c>
      <c r="C1392" s="1" t="s">
        <v>11</v>
      </c>
      <c r="D1392" s="1" t="s">
        <v>215</v>
      </c>
      <c r="E1392" s="15" t="s">
        <v>125</v>
      </c>
      <c r="F1392" s="1" t="s">
        <v>126</v>
      </c>
      <c r="G1392" s="16">
        <v>677389.93</v>
      </c>
      <c r="H1392" s="92">
        <v>0</v>
      </c>
      <c r="I1392" s="92">
        <f>(H1392*G1392)/2000</f>
        <v>0</v>
      </c>
      <c r="J1392" s="92"/>
      <c r="K1392" s="17" t="s">
        <v>229</v>
      </c>
      <c r="M1392" s="19"/>
      <c r="N1392" s="19"/>
      <c r="O1392" s="19"/>
      <c r="P1392" s="19"/>
    </row>
    <row r="1393" spans="1:16" x14ac:dyDescent="0.25">
      <c r="A1393" s="91">
        <v>2248</v>
      </c>
      <c r="B1393" s="15">
        <v>2012</v>
      </c>
      <c r="C1393" s="1" t="s">
        <v>19</v>
      </c>
      <c r="D1393" s="1" t="s">
        <v>219</v>
      </c>
      <c r="E1393" s="15" t="s">
        <v>125</v>
      </c>
      <c r="F1393" s="1" t="s">
        <v>175</v>
      </c>
      <c r="G1393" s="16">
        <v>190.13800000000001</v>
      </c>
      <c r="H1393" s="92">
        <v>0</v>
      </c>
      <c r="I1393" s="92">
        <f>(H1393*G1393)/2000</f>
        <v>0</v>
      </c>
      <c r="J1393" s="92"/>
      <c r="K1393" s="17" t="s">
        <v>229</v>
      </c>
      <c r="M1393" s="19"/>
      <c r="N1393" s="19"/>
      <c r="O1393" s="19"/>
      <c r="P1393" s="19"/>
    </row>
    <row r="1394" spans="1:16" x14ac:dyDescent="0.25">
      <c r="A1394" s="91">
        <v>2249</v>
      </c>
      <c r="B1394" s="15">
        <v>2012</v>
      </c>
      <c r="C1394" s="1" t="s">
        <v>19</v>
      </c>
      <c r="D1394" s="1" t="s">
        <v>219</v>
      </c>
      <c r="E1394" s="15" t="s">
        <v>217</v>
      </c>
      <c r="F1394" s="1" t="s">
        <v>127</v>
      </c>
      <c r="G1394" s="16">
        <v>217875</v>
      </c>
      <c r="H1394" s="93">
        <f>'Emission Rates Net-by-Count'!$D$10</f>
        <v>903.13346574503635</v>
      </c>
      <c r="I1394" s="16">
        <f>(G1394*H1394)/2000</f>
        <v>98385.101924599905</v>
      </c>
      <c r="K1394" s="17" t="s">
        <v>249</v>
      </c>
      <c r="M1394" s="19"/>
      <c r="N1394" s="19"/>
      <c r="O1394" s="19"/>
      <c r="P1394" s="19"/>
    </row>
    <row r="1395" spans="1:16" x14ac:dyDescent="0.25">
      <c r="A1395" s="91">
        <v>2250</v>
      </c>
      <c r="B1395" s="15">
        <v>2012</v>
      </c>
      <c r="C1395" s="1" t="s">
        <v>19</v>
      </c>
      <c r="D1395" s="1" t="s">
        <v>219</v>
      </c>
      <c r="E1395" s="15" t="s">
        <v>217</v>
      </c>
      <c r="F1395" s="1" t="s">
        <v>20</v>
      </c>
      <c r="G1395" s="16">
        <v>21416.769</v>
      </c>
      <c r="H1395" s="93">
        <f>'Emission Rates Net-by-Count'!$D$10</f>
        <v>903.13346574503635</v>
      </c>
      <c r="I1395" s="16">
        <f>(G1395*H1395)/2000</f>
        <v>9671.1004060154282</v>
      </c>
      <c r="M1395" s="19"/>
      <c r="N1395" s="19"/>
      <c r="O1395" s="19"/>
      <c r="P1395" s="19"/>
    </row>
    <row r="1396" spans="1:16" x14ac:dyDescent="0.25">
      <c r="A1396" s="91">
        <v>2251</v>
      </c>
      <c r="B1396" s="15">
        <v>2012</v>
      </c>
      <c r="C1396" s="1" t="s">
        <v>19</v>
      </c>
      <c r="D1396" s="1" t="s">
        <v>219</v>
      </c>
      <c r="E1396" s="15" t="s">
        <v>125</v>
      </c>
      <c r="F1396" s="1" t="s">
        <v>176</v>
      </c>
      <c r="G1396" s="16">
        <v>11481.12</v>
      </c>
      <c r="H1396" s="92">
        <v>0</v>
      </c>
      <c r="I1396" s="92">
        <f>(H1396*G1396)/2000</f>
        <v>0</v>
      </c>
      <c r="J1396" s="92"/>
      <c r="K1396" s="17" t="s">
        <v>223</v>
      </c>
      <c r="M1396" s="19"/>
      <c r="N1396" s="19"/>
      <c r="O1396" s="19"/>
      <c r="P1396" s="19"/>
    </row>
    <row r="1397" spans="1:16" x14ac:dyDescent="0.25">
      <c r="A1397" s="91">
        <v>2252</v>
      </c>
      <c r="B1397" s="15">
        <v>2012</v>
      </c>
      <c r="C1397" s="1" t="s">
        <v>19</v>
      </c>
      <c r="D1397" s="1" t="s">
        <v>219</v>
      </c>
      <c r="E1397" s="15" t="s">
        <v>230</v>
      </c>
      <c r="F1397" s="1" t="s">
        <v>51</v>
      </c>
      <c r="G1397" s="16">
        <v>-449210</v>
      </c>
      <c r="H1397" s="92">
        <v>0</v>
      </c>
      <c r="I1397" s="92">
        <f>(H1397*G1397)/2000</f>
        <v>0</v>
      </c>
      <c r="J1397" s="92"/>
      <c r="K1397" s="17" t="s">
        <v>231</v>
      </c>
      <c r="M1397" s="19"/>
      <c r="N1397" s="19"/>
      <c r="O1397" s="19"/>
      <c r="P1397" s="19"/>
    </row>
    <row r="1398" spans="1:16" x14ac:dyDescent="0.25">
      <c r="A1398" s="91">
        <v>2253</v>
      </c>
      <c r="B1398" s="15">
        <v>2012</v>
      </c>
      <c r="C1398" s="1" t="s">
        <v>19</v>
      </c>
      <c r="D1398" s="1" t="s">
        <v>219</v>
      </c>
      <c r="E1398" s="15" t="s">
        <v>125</v>
      </c>
      <c r="F1398" s="1" t="s">
        <v>21</v>
      </c>
      <c r="G1398" s="16">
        <v>6832</v>
      </c>
      <c r="H1398" s="92">
        <v>0</v>
      </c>
      <c r="I1398" s="92">
        <f>(H1398*G1398)/2000</f>
        <v>0</v>
      </c>
      <c r="J1398" s="92"/>
      <c r="K1398" s="17" t="s">
        <v>235</v>
      </c>
      <c r="M1398" s="19"/>
      <c r="N1398" s="19"/>
      <c r="O1398" s="19"/>
      <c r="P1398" s="19"/>
    </row>
    <row r="1399" spans="1:16" x14ac:dyDescent="0.25">
      <c r="A1399" s="91">
        <v>2254</v>
      </c>
      <c r="B1399" s="15">
        <v>2012</v>
      </c>
      <c r="C1399" s="1" t="s">
        <v>19</v>
      </c>
      <c r="D1399" s="1" t="s">
        <v>219</v>
      </c>
      <c r="E1399" s="15" t="s">
        <v>217</v>
      </c>
      <c r="F1399" s="1" t="s">
        <v>22</v>
      </c>
      <c r="G1399" s="16">
        <v>400153</v>
      </c>
      <c r="H1399" s="93">
        <f>'Emission Rates Net-by-Count'!$D$10</f>
        <v>903.13346574503635</v>
      </c>
      <c r="I1399" s="16">
        <f>(G1399*H1399)/2000</f>
        <v>180695.78285913676</v>
      </c>
      <c r="J1399" s="92"/>
      <c r="K1399" s="17" t="s">
        <v>236</v>
      </c>
      <c r="M1399" s="19"/>
      <c r="N1399" s="19"/>
      <c r="O1399" s="19"/>
      <c r="P1399" s="19"/>
    </row>
    <row r="1400" spans="1:16" x14ac:dyDescent="0.25">
      <c r="A1400" s="91">
        <v>2255</v>
      </c>
      <c r="B1400" s="15">
        <v>2012</v>
      </c>
      <c r="C1400" s="1" t="s">
        <v>19</v>
      </c>
      <c r="D1400" s="1" t="s">
        <v>219</v>
      </c>
      <c r="E1400" s="15" t="s">
        <v>125</v>
      </c>
      <c r="F1400" s="1" t="s">
        <v>190</v>
      </c>
      <c r="G1400" s="16">
        <v>3.48</v>
      </c>
      <c r="H1400" s="92">
        <v>0</v>
      </c>
      <c r="I1400" s="92">
        <f t="shared" ref="I1400:I1409" si="54">(H1400*G1400)/2000</f>
        <v>0</v>
      </c>
      <c r="J1400" s="92"/>
      <c r="K1400" s="17" t="s">
        <v>221</v>
      </c>
      <c r="M1400" s="19"/>
      <c r="N1400" s="19"/>
      <c r="O1400" s="19"/>
      <c r="P1400" s="19"/>
    </row>
    <row r="1401" spans="1:16" x14ac:dyDescent="0.25">
      <c r="A1401" s="91">
        <v>2256</v>
      </c>
      <c r="B1401" s="15">
        <v>2012</v>
      </c>
      <c r="C1401" s="1" t="s">
        <v>19</v>
      </c>
      <c r="D1401" s="1" t="s">
        <v>219</v>
      </c>
      <c r="E1401" s="15" t="s">
        <v>125</v>
      </c>
      <c r="F1401" s="1" t="s">
        <v>177</v>
      </c>
      <c r="G1401" s="16">
        <v>2300840</v>
      </c>
      <c r="H1401" s="92">
        <v>0</v>
      </c>
      <c r="I1401" s="92">
        <f t="shared" si="54"/>
        <v>0</v>
      </c>
      <c r="J1401" s="92"/>
      <c r="K1401" s="17" t="s">
        <v>223</v>
      </c>
      <c r="M1401" s="19"/>
      <c r="N1401" s="19"/>
      <c r="O1401" s="19"/>
      <c r="P1401" s="19"/>
    </row>
    <row r="1402" spans="1:16" x14ac:dyDescent="0.25">
      <c r="A1402" s="91">
        <v>2258</v>
      </c>
      <c r="B1402" s="15">
        <v>2012</v>
      </c>
      <c r="C1402" s="1" t="s">
        <v>19</v>
      </c>
      <c r="D1402" s="1" t="s">
        <v>219</v>
      </c>
      <c r="E1402" s="15" t="s">
        <v>125</v>
      </c>
      <c r="F1402" s="1" t="s">
        <v>23</v>
      </c>
      <c r="G1402" s="16">
        <v>716417</v>
      </c>
      <c r="H1402" s="92">
        <v>0</v>
      </c>
      <c r="I1402" s="92">
        <f t="shared" si="54"/>
        <v>0</v>
      </c>
      <c r="J1402" s="92"/>
      <c r="K1402" s="17" t="s">
        <v>223</v>
      </c>
      <c r="M1402" s="19"/>
      <c r="N1402" s="19"/>
      <c r="O1402" s="19"/>
      <c r="P1402" s="19"/>
    </row>
    <row r="1403" spans="1:16" x14ac:dyDescent="0.25">
      <c r="A1403" s="91">
        <v>2259</v>
      </c>
      <c r="B1403" s="15">
        <v>2012</v>
      </c>
      <c r="C1403" s="1" t="s">
        <v>19</v>
      </c>
      <c r="D1403" s="1" t="s">
        <v>219</v>
      </c>
      <c r="E1403" s="15" t="s">
        <v>125</v>
      </c>
      <c r="F1403" s="1" t="s">
        <v>24</v>
      </c>
      <c r="G1403" s="16">
        <v>-80276</v>
      </c>
      <c r="H1403" s="92">
        <v>0</v>
      </c>
      <c r="I1403" s="92">
        <f t="shared" si="54"/>
        <v>0</v>
      </c>
      <c r="J1403" s="92"/>
      <c r="K1403" s="17" t="s">
        <v>223</v>
      </c>
      <c r="M1403" s="19"/>
      <c r="N1403" s="19"/>
      <c r="O1403" s="19"/>
      <c r="P1403" s="19"/>
    </row>
    <row r="1404" spans="1:16" x14ac:dyDescent="0.25">
      <c r="A1404" s="91">
        <v>2260</v>
      </c>
      <c r="B1404" s="15">
        <v>2012</v>
      </c>
      <c r="C1404" s="1" t="s">
        <v>19</v>
      </c>
      <c r="D1404" s="1" t="s">
        <v>219</v>
      </c>
      <c r="E1404" s="15" t="s">
        <v>125</v>
      </c>
      <c r="F1404" s="1" t="s">
        <v>25</v>
      </c>
      <c r="G1404" s="16">
        <v>979910</v>
      </c>
      <c r="H1404" s="92">
        <v>0</v>
      </c>
      <c r="I1404" s="92">
        <f t="shared" si="54"/>
        <v>0</v>
      </c>
      <c r="J1404" s="92"/>
      <c r="K1404" s="17" t="s">
        <v>223</v>
      </c>
      <c r="M1404" s="19"/>
      <c r="N1404" s="19"/>
      <c r="O1404" s="19"/>
      <c r="P1404" s="19"/>
    </row>
    <row r="1405" spans="1:16" x14ac:dyDescent="0.25">
      <c r="A1405" s="91">
        <v>2261</v>
      </c>
      <c r="B1405" s="15">
        <v>2012</v>
      </c>
      <c r="C1405" s="1" t="s">
        <v>19</v>
      </c>
      <c r="D1405" s="1" t="s">
        <v>219</v>
      </c>
      <c r="E1405" s="15" t="s">
        <v>125</v>
      </c>
      <c r="F1405" s="1" t="s">
        <v>191</v>
      </c>
      <c r="G1405" s="16">
        <v>1390.963</v>
      </c>
      <c r="H1405" s="92">
        <v>0</v>
      </c>
      <c r="I1405" s="92">
        <f t="shared" si="54"/>
        <v>0</v>
      </c>
      <c r="J1405" s="92"/>
      <c r="K1405" s="17" t="s">
        <v>232</v>
      </c>
      <c r="M1405" s="19"/>
      <c r="N1405" s="19"/>
      <c r="O1405" s="19"/>
      <c r="P1405" s="19"/>
    </row>
    <row r="1406" spans="1:16" x14ac:dyDescent="0.25">
      <c r="A1406" s="91">
        <v>2262</v>
      </c>
      <c r="B1406" s="15">
        <v>2012</v>
      </c>
      <c r="C1406" s="1" t="s">
        <v>19</v>
      </c>
      <c r="D1406" s="1" t="s">
        <v>219</v>
      </c>
      <c r="E1406" s="15" t="s">
        <v>125</v>
      </c>
      <c r="F1406" s="1" t="s">
        <v>169</v>
      </c>
      <c r="G1406" s="16">
        <v>4187.8609999999999</v>
      </c>
      <c r="H1406" s="92">
        <v>0</v>
      </c>
      <c r="I1406" s="92">
        <f t="shared" si="54"/>
        <v>0</v>
      </c>
      <c r="J1406" s="92"/>
      <c r="K1406" s="17" t="s">
        <v>232</v>
      </c>
      <c r="M1406" s="19"/>
      <c r="N1406" s="19"/>
      <c r="O1406" s="19"/>
      <c r="P1406" s="19"/>
    </row>
    <row r="1407" spans="1:16" x14ac:dyDescent="0.25">
      <c r="A1407" s="91">
        <v>2263</v>
      </c>
      <c r="B1407" s="15">
        <v>2012</v>
      </c>
      <c r="C1407" s="1" t="s">
        <v>19</v>
      </c>
      <c r="D1407" s="1" t="s">
        <v>219</v>
      </c>
      <c r="E1407" s="15" t="s">
        <v>125</v>
      </c>
      <c r="F1407" s="1" t="s">
        <v>161</v>
      </c>
      <c r="G1407" s="16">
        <v>5803.0730000000003</v>
      </c>
      <c r="H1407" s="92">
        <v>0</v>
      </c>
      <c r="I1407" s="92">
        <f t="shared" si="54"/>
        <v>0</v>
      </c>
      <c r="J1407" s="92"/>
      <c r="K1407" s="17" t="s">
        <v>232</v>
      </c>
      <c r="M1407" s="19"/>
      <c r="N1407" s="19"/>
      <c r="O1407" s="19"/>
      <c r="P1407" s="19"/>
    </row>
    <row r="1408" spans="1:16" x14ac:dyDescent="0.25">
      <c r="A1408" s="91">
        <v>2264</v>
      </c>
      <c r="B1408" s="15">
        <v>2012</v>
      </c>
      <c r="C1408" s="1" t="s">
        <v>19</v>
      </c>
      <c r="D1408" s="1" t="s">
        <v>219</v>
      </c>
      <c r="E1408" s="15" t="s">
        <v>125</v>
      </c>
      <c r="F1408" s="1" t="s">
        <v>162</v>
      </c>
      <c r="G1408" s="16">
        <v>75568</v>
      </c>
      <c r="H1408" s="92">
        <v>0</v>
      </c>
      <c r="I1408" s="92">
        <f t="shared" si="54"/>
        <v>0</v>
      </c>
      <c r="J1408" s="92"/>
      <c r="K1408" s="17" t="s">
        <v>223</v>
      </c>
      <c r="M1408" s="19"/>
      <c r="N1408" s="19"/>
      <c r="O1408" s="19"/>
      <c r="P1408" s="19"/>
    </row>
    <row r="1409" spans="1:17" x14ac:dyDescent="0.25">
      <c r="A1409" s="91">
        <v>2265</v>
      </c>
      <c r="B1409" s="15">
        <v>2012</v>
      </c>
      <c r="C1409" s="1" t="s">
        <v>19</v>
      </c>
      <c r="D1409" s="1" t="s">
        <v>219</v>
      </c>
      <c r="E1409" s="15" t="s">
        <v>125</v>
      </c>
      <c r="F1409" s="1" t="s">
        <v>178</v>
      </c>
      <c r="G1409" s="16">
        <v>57.93</v>
      </c>
      <c r="H1409" s="92">
        <v>0</v>
      </c>
      <c r="I1409" s="92">
        <f t="shared" si="54"/>
        <v>0</v>
      </c>
      <c r="J1409" s="92"/>
      <c r="K1409" s="17" t="s">
        <v>221</v>
      </c>
      <c r="M1409" s="19"/>
      <c r="N1409" s="19"/>
      <c r="O1409" s="19"/>
      <c r="P1409" s="19"/>
    </row>
    <row r="1410" spans="1:17" x14ac:dyDescent="0.25">
      <c r="A1410" s="91">
        <v>2266</v>
      </c>
      <c r="B1410" s="15">
        <v>2012</v>
      </c>
      <c r="C1410" s="1" t="s">
        <v>19</v>
      </c>
      <c r="D1410" s="1" t="s">
        <v>219</v>
      </c>
      <c r="E1410" s="15" t="s">
        <v>217</v>
      </c>
      <c r="F1410" s="1" t="s">
        <v>133</v>
      </c>
      <c r="G1410" s="16">
        <v>549589</v>
      </c>
      <c r="H1410" s="93">
        <f>'Emission Rates Net-by-Count'!$D$10</f>
        <v>903.13346574503635</v>
      </c>
      <c r="I1410" s="16">
        <f>(G1410*H1410)/2000</f>
        <v>248176.10915267438</v>
      </c>
      <c r="M1410" s="19"/>
      <c r="N1410" s="19"/>
      <c r="O1410" s="19"/>
      <c r="P1410" s="19"/>
    </row>
    <row r="1411" spans="1:17" x14ac:dyDescent="0.25">
      <c r="A1411" s="91">
        <v>2267</v>
      </c>
      <c r="B1411" s="15">
        <v>2012</v>
      </c>
      <c r="C1411" s="1" t="s">
        <v>19</v>
      </c>
      <c r="D1411" s="1" t="s">
        <v>219</v>
      </c>
      <c r="E1411" s="15" t="s">
        <v>123</v>
      </c>
      <c r="F1411" s="1" t="s">
        <v>192</v>
      </c>
      <c r="G1411" s="16">
        <v>500</v>
      </c>
      <c r="H1411" s="92">
        <f>P1411</f>
        <v>801.87985943021681</v>
      </c>
      <c r="I1411" s="92">
        <f>(+G1411*H1411)/2000</f>
        <v>200.4699648575542</v>
      </c>
      <c r="J1411" s="92"/>
      <c r="K1411" s="17" t="s">
        <v>224</v>
      </c>
      <c r="L1411" s="18">
        <v>5.8439999999999999E-2</v>
      </c>
      <c r="M1411" s="19">
        <v>15377933</v>
      </c>
      <c r="N1411" s="19">
        <f>(M1411*L1411)</f>
        <v>898686.40451999998</v>
      </c>
      <c r="O1411" s="19">
        <v>2241449</v>
      </c>
      <c r="P1411" s="19">
        <f>(N1411*2000)/O1411</f>
        <v>801.87985943021681</v>
      </c>
      <c r="Q1411" s="15" t="s">
        <v>255</v>
      </c>
    </row>
    <row r="1412" spans="1:17" x14ac:dyDescent="0.25">
      <c r="A1412" s="91">
        <v>2268</v>
      </c>
      <c r="B1412" s="15">
        <v>2012</v>
      </c>
      <c r="C1412" s="1" t="s">
        <v>19</v>
      </c>
      <c r="D1412" s="1" t="s">
        <v>219</v>
      </c>
      <c r="E1412" s="15" t="s">
        <v>125</v>
      </c>
      <c r="F1412" s="1" t="s">
        <v>145</v>
      </c>
      <c r="G1412" s="16">
        <v>124794</v>
      </c>
      <c r="H1412" s="92">
        <v>0</v>
      </c>
      <c r="I1412" s="92">
        <f>(H1412*G1412)/2000</f>
        <v>0</v>
      </c>
      <c r="J1412" s="92"/>
      <c r="K1412" s="17" t="s">
        <v>229</v>
      </c>
      <c r="M1412" s="19"/>
      <c r="N1412" s="19"/>
      <c r="O1412" s="19"/>
      <c r="P1412" s="19"/>
    </row>
    <row r="1413" spans="1:17" x14ac:dyDescent="0.25">
      <c r="A1413" s="91">
        <v>2269</v>
      </c>
      <c r="B1413" s="15">
        <v>2012</v>
      </c>
      <c r="C1413" s="1" t="s">
        <v>19</v>
      </c>
      <c r="D1413" s="1" t="s">
        <v>219</v>
      </c>
      <c r="E1413" s="15" t="s">
        <v>125</v>
      </c>
      <c r="F1413" s="1" t="s">
        <v>179</v>
      </c>
      <c r="G1413" s="16">
        <v>134.72900000000001</v>
      </c>
      <c r="H1413" s="92">
        <v>0</v>
      </c>
      <c r="I1413" s="92">
        <f>(H1413*G1413)/2000</f>
        <v>0</v>
      </c>
      <c r="J1413" s="92"/>
      <c r="K1413" s="17" t="s">
        <v>229</v>
      </c>
      <c r="M1413" s="19"/>
      <c r="N1413" s="19"/>
      <c r="O1413" s="19"/>
      <c r="P1413" s="19"/>
    </row>
    <row r="1414" spans="1:17" x14ac:dyDescent="0.25">
      <c r="A1414" s="91">
        <v>2270</v>
      </c>
      <c r="B1414" s="15">
        <v>2012</v>
      </c>
      <c r="C1414" s="1" t="s">
        <v>19</v>
      </c>
      <c r="D1414" s="1" t="s">
        <v>219</v>
      </c>
      <c r="E1414" s="15" t="s">
        <v>217</v>
      </c>
      <c r="F1414" s="1" t="s">
        <v>88</v>
      </c>
      <c r="G1414" s="16">
        <v>120000</v>
      </c>
      <c r="H1414" s="93">
        <f>'Emission Rates Net-by-Count'!$D$10</f>
        <v>903.13346574503635</v>
      </c>
      <c r="I1414" s="16">
        <f>(G1414*H1414)/2000</f>
        <v>54188.007944702178</v>
      </c>
      <c r="M1414" s="19"/>
      <c r="N1414" s="19"/>
      <c r="O1414" s="19"/>
      <c r="P1414" s="19"/>
    </row>
    <row r="1415" spans="1:17" x14ac:dyDescent="0.25">
      <c r="A1415" s="91">
        <v>2271</v>
      </c>
      <c r="B1415" s="15">
        <v>2012</v>
      </c>
      <c r="C1415" s="1" t="s">
        <v>19</v>
      </c>
      <c r="D1415" s="1" t="s">
        <v>219</v>
      </c>
      <c r="E1415" s="15" t="s">
        <v>125</v>
      </c>
      <c r="F1415" s="1" t="s">
        <v>163</v>
      </c>
      <c r="G1415" s="16">
        <v>3402</v>
      </c>
      <c r="H1415" s="92">
        <v>0</v>
      </c>
      <c r="I1415" s="92">
        <f>(H1415*G1415)/2000</f>
        <v>0</v>
      </c>
      <c r="J1415" s="92"/>
      <c r="K1415" s="17" t="s">
        <v>232</v>
      </c>
      <c r="M1415" s="19"/>
      <c r="N1415" s="19"/>
      <c r="O1415" s="19"/>
      <c r="P1415" s="19"/>
    </row>
    <row r="1416" spans="1:17" x14ac:dyDescent="0.25">
      <c r="A1416" s="91">
        <v>2272</v>
      </c>
      <c r="B1416" s="15">
        <v>2012</v>
      </c>
      <c r="C1416" s="1" t="s">
        <v>19</v>
      </c>
      <c r="D1416" s="1" t="s">
        <v>219</v>
      </c>
      <c r="E1416" s="15" t="s">
        <v>125</v>
      </c>
      <c r="F1416" s="1" t="s">
        <v>193</v>
      </c>
      <c r="G1416" s="16">
        <v>58.277000000000001</v>
      </c>
      <c r="H1416" s="92">
        <v>0</v>
      </c>
      <c r="I1416" s="92">
        <f>(H1416*G1416)/2000</f>
        <v>0</v>
      </c>
      <c r="J1416" s="92"/>
      <c r="K1416" s="17" t="s">
        <v>232</v>
      </c>
      <c r="M1416" s="19"/>
      <c r="N1416" s="19"/>
      <c r="O1416" s="19"/>
      <c r="P1416" s="19"/>
    </row>
    <row r="1417" spans="1:17" x14ac:dyDescent="0.25">
      <c r="A1417" s="91">
        <v>2273</v>
      </c>
      <c r="B1417" s="15">
        <v>2012</v>
      </c>
      <c r="C1417" s="1" t="s">
        <v>19</v>
      </c>
      <c r="D1417" s="1" t="s">
        <v>219</v>
      </c>
      <c r="E1417" s="15" t="s">
        <v>217</v>
      </c>
      <c r="F1417" s="1" t="s">
        <v>97</v>
      </c>
      <c r="G1417" s="16">
        <v>439124</v>
      </c>
      <c r="H1417" s="93">
        <f>'Emission Rates Net-by-Count'!$D$10</f>
        <v>903.13346574503635</v>
      </c>
      <c r="I1417" s="16">
        <f>(G1417*H1417)/2000</f>
        <v>198293.79000591167</v>
      </c>
      <c r="M1417" s="19"/>
      <c r="N1417" s="19"/>
      <c r="O1417" s="19"/>
      <c r="P1417" s="19"/>
    </row>
    <row r="1418" spans="1:17" x14ac:dyDescent="0.25">
      <c r="A1418" s="91">
        <v>2274</v>
      </c>
      <c r="B1418" s="15">
        <v>2012</v>
      </c>
      <c r="C1418" s="1" t="s">
        <v>19</v>
      </c>
      <c r="D1418" s="1" t="s">
        <v>219</v>
      </c>
      <c r="E1418" s="15" t="s">
        <v>125</v>
      </c>
      <c r="F1418" s="1" t="s">
        <v>3</v>
      </c>
      <c r="G1418" s="16">
        <v>6421.8</v>
      </c>
      <c r="H1418" s="92">
        <v>0</v>
      </c>
      <c r="I1418" s="92">
        <f t="shared" ref="I1418:I1428" si="55">(H1418*G1418)/2000</f>
        <v>0</v>
      </c>
      <c r="J1418" s="92"/>
      <c r="K1418" s="17" t="s">
        <v>223</v>
      </c>
      <c r="M1418" s="19"/>
      <c r="N1418" s="19"/>
      <c r="O1418" s="19"/>
      <c r="P1418" s="19"/>
    </row>
    <row r="1419" spans="1:17" x14ac:dyDescent="0.25">
      <c r="A1419" s="91">
        <v>2275</v>
      </c>
      <c r="B1419" s="15">
        <v>2012</v>
      </c>
      <c r="C1419" s="1" t="s">
        <v>19</v>
      </c>
      <c r="D1419" s="1" t="s">
        <v>219</v>
      </c>
      <c r="E1419" s="15" t="s">
        <v>125</v>
      </c>
      <c r="F1419" s="1" t="s">
        <v>180</v>
      </c>
      <c r="G1419" s="16">
        <v>215.179</v>
      </c>
      <c r="H1419" s="92">
        <v>0</v>
      </c>
      <c r="I1419" s="92">
        <f t="shared" si="55"/>
        <v>0</v>
      </c>
      <c r="J1419" s="92"/>
      <c r="K1419" s="17" t="s">
        <v>223</v>
      </c>
      <c r="M1419" s="19"/>
      <c r="N1419" s="19"/>
      <c r="O1419" s="19"/>
      <c r="P1419" s="19"/>
    </row>
    <row r="1420" spans="1:17" x14ac:dyDescent="0.25">
      <c r="A1420" s="91">
        <v>2276</v>
      </c>
      <c r="B1420" s="15">
        <v>2012</v>
      </c>
      <c r="C1420" s="1" t="s">
        <v>19</v>
      </c>
      <c r="D1420" s="1" t="s">
        <v>219</v>
      </c>
      <c r="E1420" s="15" t="s">
        <v>125</v>
      </c>
      <c r="F1420" s="1" t="s">
        <v>194</v>
      </c>
      <c r="G1420" s="16">
        <v>29.4</v>
      </c>
      <c r="H1420" s="92">
        <v>0</v>
      </c>
      <c r="I1420" s="92">
        <f t="shared" si="55"/>
        <v>0</v>
      </c>
      <c r="J1420" s="92"/>
      <c r="K1420" s="17" t="s">
        <v>229</v>
      </c>
      <c r="M1420" s="19"/>
      <c r="N1420" s="19"/>
      <c r="O1420" s="19"/>
      <c r="P1420" s="19"/>
    </row>
    <row r="1421" spans="1:17" x14ac:dyDescent="0.25">
      <c r="A1421" s="91">
        <v>2278</v>
      </c>
      <c r="B1421" s="15">
        <v>2012</v>
      </c>
      <c r="C1421" s="1" t="s">
        <v>19</v>
      </c>
      <c r="D1421" s="1" t="s">
        <v>219</v>
      </c>
      <c r="E1421" s="15" t="s">
        <v>125</v>
      </c>
      <c r="F1421" s="1" t="s">
        <v>181</v>
      </c>
      <c r="G1421" s="16">
        <v>2762.123</v>
      </c>
      <c r="H1421" s="92">
        <v>0</v>
      </c>
      <c r="I1421" s="92">
        <f t="shared" si="55"/>
        <v>0</v>
      </c>
      <c r="J1421" s="92"/>
      <c r="K1421" s="17" t="s">
        <v>232</v>
      </c>
      <c r="M1421" s="19"/>
      <c r="N1421" s="19"/>
      <c r="O1421" s="19"/>
      <c r="P1421" s="19"/>
    </row>
    <row r="1422" spans="1:17" x14ac:dyDescent="0.25">
      <c r="A1422" s="91">
        <v>2279</v>
      </c>
      <c r="B1422" s="15">
        <v>2012</v>
      </c>
      <c r="C1422" s="1" t="s">
        <v>19</v>
      </c>
      <c r="D1422" s="1" t="s">
        <v>219</v>
      </c>
      <c r="E1422" s="15" t="s">
        <v>125</v>
      </c>
      <c r="F1422" s="1" t="s">
        <v>30</v>
      </c>
      <c r="G1422" s="16">
        <v>3538.12</v>
      </c>
      <c r="H1422" s="92">
        <v>0</v>
      </c>
      <c r="I1422" s="92">
        <f t="shared" si="55"/>
        <v>0</v>
      </c>
      <c r="J1422" s="92"/>
      <c r="K1422" s="17" t="s">
        <v>232</v>
      </c>
      <c r="M1422" s="19"/>
      <c r="N1422" s="19"/>
      <c r="O1422" s="19"/>
      <c r="P1422" s="19"/>
    </row>
    <row r="1423" spans="1:17" x14ac:dyDescent="0.25">
      <c r="A1423" s="91">
        <v>2280</v>
      </c>
      <c r="B1423" s="15">
        <v>2012</v>
      </c>
      <c r="C1423" s="1" t="s">
        <v>19</v>
      </c>
      <c r="D1423" s="1" t="s">
        <v>219</v>
      </c>
      <c r="E1423" s="15" t="s">
        <v>125</v>
      </c>
      <c r="F1423" s="1" t="s">
        <v>31</v>
      </c>
      <c r="G1423" s="16">
        <v>38227</v>
      </c>
      <c r="H1423" s="92">
        <v>0</v>
      </c>
      <c r="I1423" s="92">
        <f t="shared" si="55"/>
        <v>0</v>
      </c>
      <c r="J1423" s="92"/>
      <c r="K1423" s="17" t="s">
        <v>223</v>
      </c>
      <c r="M1423" s="19"/>
      <c r="N1423" s="19"/>
      <c r="O1423" s="19"/>
      <c r="P1423" s="19"/>
    </row>
    <row r="1424" spans="1:17" x14ac:dyDescent="0.25">
      <c r="A1424" s="91">
        <v>2282</v>
      </c>
      <c r="B1424" s="15">
        <v>2012</v>
      </c>
      <c r="C1424" s="1" t="s">
        <v>32</v>
      </c>
      <c r="D1424" s="1" t="s">
        <v>219</v>
      </c>
      <c r="E1424" s="15" t="s">
        <v>125</v>
      </c>
      <c r="F1424" s="1" t="s">
        <v>195</v>
      </c>
      <c r="G1424" s="16">
        <v>2787.3119999999999</v>
      </c>
      <c r="H1424" s="92">
        <v>0</v>
      </c>
      <c r="I1424" s="92">
        <f t="shared" si="55"/>
        <v>0</v>
      </c>
      <c r="J1424" s="92"/>
      <c r="K1424" s="17" t="s">
        <v>226</v>
      </c>
      <c r="M1424" s="19"/>
      <c r="N1424" s="19"/>
      <c r="O1424" s="19"/>
      <c r="P1424" s="19"/>
    </row>
    <row r="1425" spans="1:17" x14ac:dyDescent="0.25">
      <c r="A1425" s="91">
        <v>2283</v>
      </c>
      <c r="B1425" s="15">
        <v>2012</v>
      </c>
      <c r="C1425" s="1" t="s">
        <v>32</v>
      </c>
      <c r="D1425" s="1" t="s">
        <v>219</v>
      </c>
      <c r="E1425" s="15" t="s">
        <v>125</v>
      </c>
      <c r="F1425" s="1" t="s">
        <v>33</v>
      </c>
      <c r="G1425" s="16">
        <v>1243.96</v>
      </c>
      <c r="H1425" s="92">
        <v>0</v>
      </c>
      <c r="I1425" s="92">
        <f t="shared" si="55"/>
        <v>0</v>
      </c>
      <c r="J1425" s="92"/>
      <c r="K1425" s="17" t="s">
        <v>223</v>
      </c>
      <c r="M1425" s="19"/>
      <c r="N1425" s="19"/>
      <c r="O1425" s="19"/>
      <c r="P1425" s="19"/>
    </row>
    <row r="1426" spans="1:17" x14ac:dyDescent="0.25">
      <c r="A1426" s="91">
        <v>2284</v>
      </c>
      <c r="B1426" s="15">
        <v>2012</v>
      </c>
      <c r="C1426" s="1" t="s">
        <v>32</v>
      </c>
      <c r="D1426" s="1" t="s">
        <v>219</v>
      </c>
      <c r="E1426" s="15" t="s">
        <v>125</v>
      </c>
      <c r="F1426" s="1" t="s">
        <v>34</v>
      </c>
      <c r="G1426" s="16">
        <v>42519.24</v>
      </c>
      <c r="H1426" s="92">
        <v>0</v>
      </c>
      <c r="I1426" s="92">
        <f t="shared" si="55"/>
        <v>0</v>
      </c>
      <c r="J1426" s="92"/>
      <c r="K1426" s="17" t="s">
        <v>223</v>
      </c>
      <c r="M1426" s="19"/>
      <c r="N1426" s="19"/>
      <c r="O1426" s="19"/>
      <c r="P1426" s="19"/>
    </row>
    <row r="1427" spans="1:17" x14ac:dyDescent="0.25">
      <c r="A1427" s="91">
        <v>2285</v>
      </c>
      <c r="B1427" s="15">
        <v>2012</v>
      </c>
      <c r="C1427" s="1" t="s">
        <v>32</v>
      </c>
      <c r="D1427" s="1" t="s">
        <v>219</v>
      </c>
      <c r="E1427" s="15" t="s">
        <v>125</v>
      </c>
      <c r="F1427" s="1" t="s">
        <v>196</v>
      </c>
      <c r="G1427" s="16">
        <v>95.68</v>
      </c>
      <c r="H1427" s="92">
        <v>0</v>
      </c>
      <c r="I1427" s="92">
        <f t="shared" si="55"/>
        <v>0</v>
      </c>
      <c r="J1427" s="92"/>
      <c r="K1427" s="17" t="s">
        <v>221</v>
      </c>
      <c r="M1427" s="19"/>
      <c r="N1427" s="19"/>
      <c r="O1427" s="19"/>
      <c r="P1427" s="19"/>
    </row>
    <row r="1428" spans="1:17" x14ac:dyDescent="0.25">
      <c r="A1428" s="91">
        <v>2288</v>
      </c>
      <c r="B1428" s="15">
        <v>2012</v>
      </c>
      <c r="C1428" s="1" t="s">
        <v>32</v>
      </c>
      <c r="D1428" s="1" t="s">
        <v>219</v>
      </c>
      <c r="E1428" s="15" t="s">
        <v>125</v>
      </c>
      <c r="F1428" s="1" t="s">
        <v>35</v>
      </c>
      <c r="G1428" s="16">
        <v>25294.784</v>
      </c>
      <c r="H1428" s="92">
        <v>0</v>
      </c>
      <c r="I1428" s="92">
        <f t="shared" si="55"/>
        <v>0</v>
      </c>
      <c r="J1428" s="92"/>
      <c r="K1428" s="17" t="s">
        <v>223</v>
      </c>
      <c r="M1428" s="19"/>
      <c r="N1428" s="19"/>
      <c r="O1428" s="19"/>
      <c r="P1428" s="19"/>
    </row>
    <row r="1429" spans="1:17" x14ac:dyDescent="0.25">
      <c r="A1429" s="91">
        <v>2289</v>
      </c>
      <c r="B1429" s="15">
        <v>2012</v>
      </c>
      <c r="C1429" s="1" t="s">
        <v>32</v>
      </c>
      <c r="D1429" s="1" t="s">
        <v>219</v>
      </c>
      <c r="E1429" s="15" t="s">
        <v>225</v>
      </c>
      <c r="F1429" s="1" t="s">
        <v>36</v>
      </c>
      <c r="G1429" s="16">
        <v>1475.0070000000001</v>
      </c>
      <c r="H1429" s="92">
        <f>P1429</f>
        <v>988.65799650043755</v>
      </c>
      <c r="I1429" s="92">
        <f>(+G1429*H1429)/2000</f>
        <v>729.13873272206047</v>
      </c>
      <c r="J1429" s="92"/>
      <c r="K1429" s="17" t="s">
        <v>225</v>
      </c>
      <c r="L1429" s="18">
        <v>0.10448</v>
      </c>
      <c r="M1429" s="19">
        <v>173053</v>
      </c>
      <c r="N1429" s="19">
        <f>(M1429*L1429)</f>
        <v>18080.577440000001</v>
      </c>
      <c r="O1429" s="19">
        <v>36576</v>
      </c>
      <c r="P1429" s="19">
        <f>(N1429*2000)/O1429</f>
        <v>988.65799650043755</v>
      </c>
      <c r="Q1429" s="15" t="s">
        <v>255</v>
      </c>
    </row>
    <row r="1430" spans="1:17" x14ac:dyDescent="0.25">
      <c r="A1430" s="91">
        <v>2290</v>
      </c>
      <c r="B1430" s="15">
        <v>2012</v>
      </c>
      <c r="C1430" s="1" t="s">
        <v>32</v>
      </c>
      <c r="D1430" s="1" t="s">
        <v>219</v>
      </c>
      <c r="E1430" s="15" t="s">
        <v>125</v>
      </c>
      <c r="F1430" s="1" t="s">
        <v>40</v>
      </c>
      <c r="G1430" s="16">
        <v>1478.24</v>
      </c>
      <c r="H1430" s="92">
        <v>0</v>
      </c>
      <c r="I1430" s="92">
        <f>(H1430*G1430)/2000</f>
        <v>0</v>
      </c>
      <c r="J1430" s="92"/>
      <c r="K1430" s="17" t="s">
        <v>223</v>
      </c>
      <c r="M1430" s="19"/>
      <c r="N1430" s="19"/>
      <c r="O1430" s="19"/>
      <c r="P1430" s="19"/>
    </row>
    <row r="1431" spans="1:17" x14ac:dyDescent="0.25">
      <c r="A1431" s="91">
        <v>2292</v>
      </c>
      <c r="B1431" s="15">
        <v>2012</v>
      </c>
      <c r="C1431" s="1" t="s">
        <v>32</v>
      </c>
      <c r="D1431" s="1" t="s">
        <v>219</v>
      </c>
      <c r="E1431" s="15" t="s">
        <v>125</v>
      </c>
      <c r="F1431" s="1" t="s">
        <v>42</v>
      </c>
      <c r="G1431" s="16">
        <v>95827.199999999997</v>
      </c>
      <c r="H1431" s="92">
        <v>0</v>
      </c>
      <c r="I1431" s="92">
        <f>(H1431*G1431)/2000</f>
        <v>0</v>
      </c>
      <c r="J1431" s="92"/>
      <c r="K1431" s="17" t="s">
        <v>223</v>
      </c>
      <c r="M1431" s="19"/>
      <c r="N1431" s="19"/>
      <c r="O1431" s="19"/>
      <c r="P1431" s="19"/>
    </row>
    <row r="1432" spans="1:17" x14ac:dyDescent="0.25">
      <c r="A1432" s="91">
        <v>2293</v>
      </c>
      <c r="B1432" s="15">
        <v>2012</v>
      </c>
      <c r="C1432" s="1" t="s">
        <v>32</v>
      </c>
      <c r="D1432" s="1" t="s">
        <v>219</v>
      </c>
      <c r="E1432" s="15" t="s">
        <v>125</v>
      </c>
      <c r="F1432" s="1" t="s">
        <v>43</v>
      </c>
      <c r="G1432" s="16">
        <v>17113.599999999999</v>
      </c>
      <c r="H1432" s="92">
        <v>0</v>
      </c>
      <c r="I1432" s="92">
        <f>(H1432*G1432)/2000</f>
        <v>0</v>
      </c>
      <c r="J1432" s="92"/>
      <c r="K1432" s="17" t="s">
        <v>223</v>
      </c>
      <c r="M1432" s="19"/>
      <c r="N1432" s="19"/>
      <c r="O1432" s="19"/>
      <c r="P1432" s="19"/>
    </row>
    <row r="1433" spans="1:17" x14ac:dyDescent="0.25">
      <c r="A1433" s="91">
        <v>2295</v>
      </c>
      <c r="B1433" s="15">
        <v>2012</v>
      </c>
      <c r="C1433" s="1" t="s">
        <v>44</v>
      </c>
      <c r="D1433" s="1" t="s">
        <v>216</v>
      </c>
      <c r="E1433" s="15" t="s">
        <v>217</v>
      </c>
      <c r="F1433" s="1" t="s">
        <v>47</v>
      </c>
      <c r="G1433" s="16">
        <v>126962.18</v>
      </c>
      <c r="H1433" s="93">
        <f>'Emission Rates Net-by-Count'!$D$10</f>
        <v>903.13346574503635</v>
      </c>
      <c r="I1433" s="16">
        <f t="shared" ref="I1433:I1464" si="56">(G1433*H1433)/2000</f>
        <v>57331.896820972572</v>
      </c>
      <c r="M1433" s="19"/>
      <c r="N1433" s="19"/>
      <c r="O1433" s="19"/>
      <c r="P1433" s="19"/>
    </row>
    <row r="1434" spans="1:17" x14ac:dyDescent="0.25">
      <c r="A1434" s="91">
        <v>2297</v>
      </c>
      <c r="B1434" s="15">
        <v>2012</v>
      </c>
      <c r="C1434" s="1" t="s">
        <v>44</v>
      </c>
      <c r="D1434" s="1" t="s">
        <v>216</v>
      </c>
      <c r="E1434" s="15" t="s">
        <v>217</v>
      </c>
      <c r="F1434" s="1" t="s">
        <v>127</v>
      </c>
      <c r="G1434" s="16">
        <v>22000</v>
      </c>
      <c r="H1434" s="93">
        <f>'Emission Rates Net-by-Count'!$D$10</f>
        <v>903.13346574503635</v>
      </c>
      <c r="I1434" s="16">
        <f t="shared" si="56"/>
        <v>9934.4681231954</v>
      </c>
      <c r="M1434" s="19"/>
      <c r="N1434" s="19"/>
      <c r="O1434" s="19"/>
      <c r="P1434" s="19"/>
    </row>
    <row r="1435" spans="1:17" x14ac:dyDescent="0.25">
      <c r="A1435" s="91">
        <v>2298</v>
      </c>
      <c r="B1435" s="15">
        <v>2012</v>
      </c>
      <c r="C1435" s="1" t="s">
        <v>44</v>
      </c>
      <c r="D1435" s="1" t="s">
        <v>216</v>
      </c>
      <c r="E1435" s="15" t="s">
        <v>217</v>
      </c>
      <c r="F1435" s="1" t="s">
        <v>50</v>
      </c>
      <c r="G1435" s="16">
        <v>1600</v>
      </c>
      <c r="H1435" s="93">
        <f>'Emission Rates Net-by-Count'!$D$10</f>
        <v>903.13346574503635</v>
      </c>
      <c r="I1435" s="16">
        <f t="shared" si="56"/>
        <v>722.50677259602912</v>
      </c>
      <c r="M1435" s="19"/>
      <c r="N1435" s="19"/>
      <c r="O1435" s="19"/>
      <c r="P1435" s="19"/>
    </row>
    <row r="1436" spans="1:17" x14ac:dyDescent="0.25">
      <c r="A1436" s="91">
        <v>2299</v>
      </c>
      <c r="B1436" s="15">
        <v>2012</v>
      </c>
      <c r="C1436" s="1" t="s">
        <v>44</v>
      </c>
      <c r="D1436" s="1" t="s">
        <v>216</v>
      </c>
      <c r="E1436" s="15" t="s">
        <v>217</v>
      </c>
      <c r="F1436" s="1" t="s">
        <v>51</v>
      </c>
      <c r="G1436" s="16">
        <v>-2428057</v>
      </c>
      <c r="H1436" s="93">
        <f>'Emission Rates Net-by-Count'!$D$10</f>
        <v>903.13346574503635</v>
      </c>
      <c r="I1436" s="16">
        <f t="shared" si="56"/>
        <v>-1096429.7667182479</v>
      </c>
      <c r="M1436" s="19"/>
      <c r="N1436" s="19"/>
      <c r="O1436" s="19"/>
      <c r="P1436" s="19"/>
    </row>
    <row r="1437" spans="1:17" x14ac:dyDescent="0.25">
      <c r="A1437" s="91">
        <v>2300</v>
      </c>
      <c r="B1437" s="15">
        <v>2012</v>
      </c>
      <c r="C1437" s="1" t="s">
        <v>44</v>
      </c>
      <c r="D1437" s="1" t="s">
        <v>216</v>
      </c>
      <c r="E1437" s="15" t="s">
        <v>217</v>
      </c>
      <c r="F1437" s="1" t="s">
        <v>52</v>
      </c>
      <c r="G1437" s="16">
        <v>1236010</v>
      </c>
      <c r="H1437" s="93">
        <f>'Emission Rates Net-by-Count'!$D$10</f>
        <v>903.13346574503635</v>
      </c>
      <c r="I1437" s="16">
        <f t="shared" si="56"/>
        <v>558140.99749776116</v>
      </c>
      <c r="M1437" s="19"/>
      <c r="N1437" s="19"/>
      <c r="O1437" s="19"/>
      <c r="P1437" s="19"/>
    </row>
    <row r="1438" spans="1:17" x14ac:dyDescent="0.25">
      <c r="A1438" s="91">
        <v>2301</v>
      </c>
      <c r="B1438" s="15">
        <v>2012</v>
      </c>
      <c r="C1438" s="1" t="s">
        <v>44</v>
      </c>
      <c r="D1438" s="1" t="s">
        <v>216</v>
      </c>
      <c r="E1438" s="15" t="s">
        <v>217</v>
      </c>
      <c r="F1438" s="1" t="s">
        <v>21</v>
      </c>
      <c r="G1438" s="16">
        <v>384112.7</v>
      </c>
      <c r="H1438" s="93">
        <f>'Emission Rates Net-by-Count'!$D$10</f>
        <v>903.13346574503635</v>
      </c>
      <c r="I1438" s="16">
        <f t="shared" si="56"/>
        <v>173452.51699384171</v>
      </c>
      <c r="M1438" s="19"/>
      <c r="N1438" s="19"/>
      <c r="O1438" s="19"/>
      <c r="P1438" s="19"/>
    </row>
    <row r="1439" spans="1:17" x14ac:dyDescent="0.25">
      <c r="A1439" s="91">
        <v>2303</v>
      </c>
      <c r="B1439" s="15">
        <v>2012</v>
      </c>
      <c r="C1439" s="1" t="s">
        <v>44</v>
      </c>
      <c r="D1439" s="1" t="s">
        <v>216</v>
      </c>
      <c r="E1439" s="15" t="s">
        <v>217</v>
      </c>
      <c r="F1439" s="1" t="s">
        <v>197</v>
      </c>
      <c r="G1439" s="16">
        <v>1200</v>
      </c>
      <c r="H1439" s="93">
        <f>'Emission Rates Net-by-Count'!$D$10</f>
        <v>903.13346574503635</v>
      </c>
      <c r="I1439" s="16">
        <f t="shared" si="56"/>
        <v>541.88007944702179</v>
      </c>
      <c r="M1439" s="19"/>
      <c r="N1439" s="19"/>
      <c r="O1439" s="19"/>
      <c r="P1439" s="19"/>
    </row>
    <row r="1440" spans="1:17" x14ac:dyDescent="0.25">
      <c r="A1440" s="91">
        <v>2305</v>
      </c>
      <c r="B1440" s="15">
        <v>2012</v>
      </c>
      <c r="C1440" s="1" t="s">
        <v>44</v>
      </c>
      <c r="D1440" s="1" t="s">
        <v>216</v>
      </c>
      <c r="E1440" s="15" t="s">
        <v>217</v>
      </c>
      <c r="F1440" s="1" t="s">
        <v>55</v>
      </c>
      <c r="G1440" s="16">
        <v>467588</v>
      </c>
      <c r="H1440" s="93">
        <f>'Emission Rates Net-by-Count'!$D$10</f>
        <v>903.13346574503635</v>
      </c>
      <c r="I1440" s="16">
        <f t="shared" si="56"/>
        <v>211147.18549039503</v>
      </c>
      <c r="M1440" s="19"/>
      <c r="N1440" s="19"/>
      <c r="O1440" s="19"/>
      <c r="P1440" s="19"/>
    </row>
    <row r="1441" spans="1:16" x14ac:dyDescent="0.25">
      <c r="A1441" s="91">
        <v>2306</v>
      </c>
      <c r="B1441" s="15">
        <v>2012</v>
      </c>
      <c r="C1441" s="1" t="s">
        <v>44</v>
      </c>
      <c r="D1441" s="1" t="s">
        <v>216</v>
      </c>
      <c r="E1441" s="15" t="s">
        <v>217</v>
      </c>
      <c r="F1441" s="1" t="s">
        <v>56</v>
      </c>
      <c r="G1441" s="16">
        <v>252059</v>
      </c>
      <c r="H1441" s="93">
        <f>'Emission Rates Net-by-Count'!$D$10</f>
        <v>903.13346574503635</v>
      </c>
      <c r="I1441" s="16">
        <f t="shared" si="56"/>
        <v>113821.45912111407</v>
      </c>
      <c r="M1441" s="19"/>
      <c r="N1441" s="19"/>
      <c r="O1441" s="19"/>
      <c r="P1441" s="19"/>
    </row>
    <row r="1442" spans="1:16" x14ac:dyDescent="0.25">
      <c r="A1442" s="91">
        <v>2307</v>
      </c>
      <c r="B1442" s="15">
        <v>2012</v>
      </c>
      <c r="C1442" s="1" t="s">
        <v>44</v>
      </c>
      <c r="D1442" s="1" t="s">
        <v>216</v>
      </c>
      <c r="E1442" s="15" t="s">
        <v>217</v>
      </c>
      <c r="F1442" s="1" t="s">
        <v>57</v>
      </c>
      <c r="G1442" s="16">
        <v>124383</v>
      </c>
      <c r="H1442" s="93">
        <f>'Emission Rates Net-by-Count'!$D$10</f>
        <v>903.13346574503635</v>
      </c>
      <c r="I1442" s="16">
        <f t="shared" si="56"/>
        <v>56167.224934882426</v>
      </c>
      <c r="M1442" s="19"/>
      <c r="N1442" s="19"/>
      <c r="O1442" s="19"/>
      <c r="P1442" s="19"/>
    </row>
    <row r="1443" spans="1:16" x14ac:dyDescent="0.25">
      <c r="A1443" s="91">
        <v>2309</v>
      </c>
      <c r="B1443" s="15">
        <v>2012</v>
      </c>
      <c r="C1443" s="1" t="s">
        <v>44</v>
      </c>
      <c r="D1443" s="1" t="s">
        <v>216</v>
      </c>
      <c r="E1443" s="15" t="s">
        <v>217</v>
      </c>
      <c r="F1443" s="1" t="s">
        <v>58</v>
      </c>
      <c r="G1443" s="16">
        <v>1014046</v>
      </c>
      <c r="H1443" s="93">
        <f>'Emission Rates Net-by-Count'!$D$10</f>
        <v>903.13346574503635</v>
      </c>
      <c r="I1443" s="16">
        <f t="shared" si="56"/>
        <v>457909.43920244556</v>
      </c>
      <c r="M1443" s="19"/>
      <c r="N1443" s="19"/>
      <c r="O1443" s="19"/>
      <c r="P1443" s="19"/>
    </row>
    <row r="1444" spans="1:16" x14ac:dyDescent="0.25">
      <c r="A1444" s="91">
        <v>2310</v>
      </c>
      <c r="B1444" s="15">
        <v>2012</v>
      </c>
      <c r="C1444" s="1" t="s">
        <v>44</v>
      </c>
      <c r="D1444" s="1" t="s">
        <v>216</v>
      </c>
      <c r="E1444" s="15" t="s">
        <v>217</v>
      </c>
      <c r="F1444" s="1" t="s">
        <v>182</v>
      </c>
      <c r="G1444" s="16">
        <v>26743</v>
      </c>
      <c r="H1444" s="93">
        <f>'Emission Rates Net-by-Count'!$D$10</f>
        <v>903.13346574503635</v>
      </c>
      <c r="I1444" s="16">
        <f t="shared" si="56"/>
        <v>12076.249137209754</v>
      </c>
      <c r="M1444" s="19"/>
      <c r="N1444" s="19"/>
      <c r="O1444" s="19"/>
      <c r="P1444" s="19"/>
    </row>
    <row r="1445" spans="1:16" x14ac:dyDescent="0.25">
      <c r="A1445" s="91">
        <v>2311</v>
      </c>
      <c r="B1445" s="15">
        <v>2012</v>
      </c>
      <c r="C1445" s="1" t="s">
        <v>44</v>
      </c>
      <c r="D1445" s="1" t="s">
        <v>216</v>
      </c>
      <c r="E1445" s="15" t="s">
        <v>217</v>
      </c>
      <c r="F1445" s="1" t="s">
        <v>59</v>
      </c>
      <c r="G1445" s="16">
        <v>11019</v>
      </c>
      <c r="H1445" s="93">
        <f>'Emission Rates Net-by-Count'!$D$10</f>
        <v>903.13346574503635</v>
      </c>
      <c r="I1445" s="16">
        <f t="shared" si="56"/>
        <v>4975.813829522278</v>
      </c>
      <c r="M1445" s="19"/>
      <c r="N1445" s="19"/>
      <c r="O1445" s="19"/>
      <c r="P1445" s="19"/>
    </row>
    <row r="1446" spans="1:16" x14ac:dyDescent="0.25">
      <c r="A1446" s="91">
        <v>2313</v>
      </c>
      <c r="B1446" s="15">
        <v>2012</v>
      </c>
      <c r="C1446" s="1" t="s">
        <v>44</v>
      </c>
      <c r="D1446" s="1" t="s">
        <v>216</v>
      </c>
      <c r="E1446" s="15" t="s">
        <v>217</v>
      </c>
      <c r="F1446" s="1" t="s">
        <v>61</v>
      </c>
      <c r="G1446" s="16">
        <v>65386</v>
      </c>
      <c r="H1446" s="93">
        <f>'Emission Rates Net-by-Count'!$D$10</f>
        <v>903.13346574503635</v>
      </c>
      <c r="I1446" s="16">
        <f t="shared" si="56"/>
        <v>29526.142395602474</v>
      </c>
      <c r="M1446" s="19"/>
      <c r="N1446" s="19"/>
      <c r="O1446" s="19"/>
      <c r="P1446" s="19"/>
    </row>
    <row r="1447" spans="1:16" x14ac:dyDescent="0.25">
      <c r="A1447" s="91">
        <v>2314</v>
      </c>
      <c r="B1447" s="15">
        <v>2012</v>
      </c>
      <c r="C1447" s="1" t="s">
        <v>44</v>
      </c>
      <c r="D1447" s="1" t="s">
        <v>216</v>
      </c>
      <c r="E1447" s="15" t="s">
        <v>217</v>
      </c>
      <c r="F1447" s="1" t="s">
        <v>146</v>
      </c>
      <c r="G1447" s="16">
        <v>1133</v>
      </c>
      <c r="H1447" s="93">
        <f>'Emission Rates Net-by-Count'!$D$10</f>
        <v>903.13346574503635</v>
      </c>
      <c r="I1447" s="16">
        <f t="shared" si="56"/>
        <v>511.6251083445631</v>
      </c>
      <c r="M1447" s="19"/>
      <c r="N1447" s="19"/>
      <c r="O1447" s="19"/>
      <c r="P1447" s="19"/>
    </row>
    <row r="1448" spans="1:16" x14ac:dyDescent="0.25">
      <c r="A1448" s="91">
        <v>2315</v>
      </c>
      <c r="B1448" s="15">
        <v>2012</v>
      </c>
      <c r="C1448" s="1" t="s">
        <v>44</v>
      </c>
      <c r="D1448" s="1" t="s">
        <v>216</v>
      </c>
      <c r="E1448" s="15" t="s">
        <v>217</v>
      </c>
      <c r="F1448" s="1" t="s">
        <v>131</v>
      </c>
      <c r="G1448" s="16">
        <v>502043</v>
      </c>
      <c r="H1448" s="93">
        <f>'Emission Rates Net-by-Count'!$D$10</f>
        <v>903.13346574503635</v>
      </c>
      <c r="I1448" s="16">
        <f t="shared" si="56"/>
        <v>226705.91727151762</v>
      </c>
      <c r="M1448" s="19"/>
      <c r="N1448" s="19"/>
      <c r="O1448" s="19"/>
      <c r="P1448" s="19"/>
    </row>
    <row r="1449" spans="1:16" x14ac:dyDescent="0.25">
      <c r="A1449" s="91">
        <v>2317</v>
      </c>
      <c r="B1449" s="15">
        <v>2012</v>
      </c>
      <c r="C1449" s="1" t="s">
        <v>44</v>
      </c>
      <c r="D1449" s="1" t="s">
        <v>216</v>
      </c>
      <c r="E1449" s="15" t="s">
        <v>217</v>
      </c>
      <c r="F1449" s="1" t="s">
        <v>62</v>
      </c>
      <c r="G1449" s="16">
        <v>336342</v>
      </c>
      <c r="H1449" s="93">
        <f>'Emission Rates Net-by-Count'!$D$10</f>
        <v>903.13346574503635</v>
      </c>
      <c r="I1449" s="16">
        <f t="shared" si="56"/>
        <v>151880.8580678085</v>
      </c>
      <c r="M1449" s="19"/>
      <c r="N1449" s="19"/>
      <c r="O1449" s="19"/>
      <c r="P1449" s="19"/>
    </row>
    <row r="1450" spans="1:16" x14ac:dyDescent="0.25">
      <c r="A1450" s="91">
        <v>2319</v>
      </c>
      <c r="B1450" s="15">
        <v>2012</v>
      </c>
      <c r="C1450" s="1" t="s">
        <v>44</v>
      </c>
      <c r="D1450" s="1" t="s">
        <v>216</v>
      </c>
      <c r="E1450" s="15" t="s">
        <v>217</v>
      </c>
      <c r="F1450" s="1" t="s">
        <v>165</v>
      </c>
      <c r="G1450" s="16">
        <v>222630</v>
      </c>
      <c r="H1450" s="93">
        <f>'Emission Rates Net-by-Count'!$D$10</f>
        <v>903.13346574503635</v>
      </c>
      <c r="I1450" s="16">
        <f t="shared" si="56"/>
        <v>100532.30173940872</v>
      </c>
      <c r="M1450" s="19"/>
      <c r="N1450" s="19"/>
      <c r="O1450" s="19"/>
      <c r="P1450" s="19"/>
    </row>
    <row r="1451" spans="1:16" x14ac:dyDescent="0.25">
      <c r="A1451" s="91">
        <v>2320</v>
      </c>
      <c r="B1451" s="15">
        <v>2012</v>
      </c>
      <c r="C1451" s="1" t="s">
        <v>44</v>
      </c>
      <c r="D1451" s="1" t="s">
        <v>216</v>
      </c>
      <c r="E1451" s="15" t="s">
        <v>217</v>
      </c>
      <c r="F1451" s="1" t="s">
        <v>63</v>
      </c>
      <c r="G1451" s="16">
        <v>75</v>
      </c>
      <c r="H1451" s="93">
        <f>'Emission Rates Net-by-Count'!$D$10</f>
        <v>903.13346574503635</v>
      </c>
      <c r="I1451" s="16">
        <f t="shared" si="56"/>
        <v>33.867504965438862</v>
      </c>
      <c r="M1451" s="19"/>
      <c r="N1451" s="19"/>
      <c r="O1451" s="19"/>
      <c r="P1451" s="19"/>
    </row>
    <row r="1452" spans="1:16" x14ac:dyDescent="0.25">
      <c r="A1452" s="91">
        <v>2321</v>
      </c>
      <c r="B1452" s="15">
        <v>2012</v>
      </c>
      <c r="C1452" s="1" t="s">
        <v>44</v>
      </c>
      <c r="D1452" s="1" t="s">
        <v>216</v>
      </c>
      <c r="E1452" s="15" t="s">
        <v>217</v>
      </c>
      <c r="F1452" s="1" t="s">
        <v>65</v>
      </c>
      <c r="G1452" s="16">
        <v>42962</v>
      </c>
      <c r="H1452" s="93">
        <f>'Emission Rates Net-by-Count'!$D$10</f>
        <v>903.13346574503635</v>
      </c>
      <c r="I1452" s="16">
        <f t="shared" si="56"/>
        <v>19400.209977669128</v>
      </c>
      <c r="M1452" s="19"/>
      <c r="N1452" s="19"/>
      <c r="O1452" s="19"/>
      <c r="P1452" s="19"/>
    </row>
    <row r="1453" spans="1:16" x14ac:dyDescent="0.25">
      <c r="A1453" s="91">
        <v>2322</v>
      </c>
      <c r="B1453" s="15">
        <v>2012</v>
      </c>
      <c r="C1453" s="1" t="s">
        <v>44</v>
      </c>
      <c r="D1453" s="1" t="s">
        <v>216</v>
      </c>
      <c r="E1453" s="15" t="s">
        <v>217</v>
      </c>
      <c r="F1453" s="1" t="s">
        <v>67</v>
      </c>
      <c r="G1453" s="16">
        <v>36506</v>
      </c>
      <c r="H1453" s="93">
        <f>'Emission Rates Net-by-Count'!$D$10</f>
        <v>903.13346574503635</v>
      </c>
      <c r="I1453" s="16">
        <f t="shared" si="56"/>
        <v>16484.895150244149</v>
      </c>
      <c r="M1453" s="19"/>
      <c r="N1453" s="19"/>
      <c r="O1453" s="19"/>
      <c r="P1453" s="19"/>
    </row>
    <row r="1454" spans="1:16" x14ac:dyDescent="0.25">
      <c r="A1454" s="91">
        <v>2323</v>
      </c>
      <c r="B1454" s="15">
        <v>2012</v>
      </c>
      <c r="C1454" s="1" t="s">
        <v>44</v>
      </c>
      <c r="D1454" s="1" t="s">
        <v>216</v>
      </c>
      <c r="E1454" s="15" t="s">
        <v>217</v>
      </c>
      <c r="F1454" s="1" t="s">
        <v>69</v>
      </c>
      <c r="G1454" s="16">
        <v>561582</v>
      </c>
      <c r="H1454" s="93">
        <f>'Emission Rates Net-by-Count'!$D$10</f>
        <v>903.13346574503635</v>
      </c>
      <c r="I1454" s="16">
        <f t="shared" si="56"/>
        <v>253591.7489800145</v>
      </c>
      <c r="M1454" s="19"/>
      <c r="N1454" s="19"/>
      <c r="O1454" s="19"/>
      <c r="P1454" s="19"/>
    </row>
    <row r="1455" spans="1:16" x14ac:dyDescent="0.25">
      <c r="A1455" s="91">
        <v>2324</v>
      </c>
      <c r="B1455" s="15">
        <v>2012</v>
      </c>
      <c r="C1455" s="1" t="s">
        <v>44</v>
      </c>
      <c r="D1455" s="1" t="s">
        <v>216</v>
      </c>
      <c r="E1455" s="15" t="s">
        <v>217</v>
      </c>
      <c r="F1455" s="1" t="s">
        <v>70</v>
      </c>
      <c r="G1455" s="16">
        <v>25</v>
      </c>
      <c r="H1455" s="93">
        <f>'Emission Rates Net-by-Count'!$D$10</f>
        <v>903.13346574503635</v>
      </c>
      <c r="I1455" s="16">
        <f t="shared" si="56"/>
        <v>11.289168321812955</v>
      </c>
      <c r="M1455" s="19"/>
      <c r="N1455" s="19"/>
      <c r="O1455" s="19"/>
      <c r="P1455" s="19"/>
    </row>
    <row r="1456" spans="1:16" x14ac:dyDescent="0.25">
      <c r="A1456" s="91">
        <v>2325</v>
      </c>
      <c r="B1456" s="15">
        <v>2012</v>
      </c>
      <c r="C1456" s="1" t="s">
        <v>44</v>
      </c>
      <c r="D1456" s="1" t="s">
        <v>216</v>
      </c>
      <c r="E1456" s="15" t="s">
        <v>217</v>
      </c>
      <c r="F1456" s="1" t="s">
        <v>71</v>
      </c>
      <c r="G1456" s="16">
        <v>10082</v>
      </c>
      <c r="H1456" s="93">
        <f>'Emission Rates Net-by-Count'!$D$10</f>
        <v>903.13346574503635</v>
      </c>
      <c r="I1456" s="16">
        <f t="shared" si="56"/>
        <v>4552.6958008207275</v>
      </c>
      <c r="M1456" s="19"/>
      <c r="N1456" s="19"/>
      <c r="O1456" s="19"/>
      <c r="P1456" s="19"/>
    </row>
    <row r="1457" spans="1:16" x14ac:dyDescent="0.25">
      <c r="A1457" s="91">
        <v>2326</v>
      </c>
      <c r="B1457" s="15">
        <v>2012</v>
      </c>
      <c r="C1457" s="1" t="s">
        <v>44</v>
      </c>
      <c r="D1457" s="1" t="s">
        <v>216</v>
      </c>
      <c r="E1457" s="15" t="s">
        <v>217</v>
      </c>
      <c r="F1457" s="1" t="s">
        <v>72</v>
      </c>
      <c r="G1457" s="16">
        <v>2400</v>
      </c>
      <c r="H1457" s="93">
        <f>'Emission Rates Net-by-Count'!$D$10</f>
        <v>903.13346574503635</v>
      </c>
      <c r="I1457" s="16">
        <f t="shared" si="56"/>
        <v>1083.7601588940436</v>
      </c>
      <c r="M1457" s="19"/>
      <c r="N1457" s="19"/>
      <c r="O1457" s="19"/>
      <c r="P1457" s="19"/>
    </row>
    <row r="1458" spans="1:16" x14ac:dyDescent="0.25">
      <c r="A1458" s="91">
        <v>2329</v>
      </c>
      <c r="B1458" s="15">
        <v>2012</v>
      </c>
      <c r="C1458" s="1" t="s">
        <v>44</v>
      </c>
      <c r="D1458" s="1" t="s">
        <v>216</v>
      </c>
      <c r="E1458" s="15" t="s">
        <v>217</v>
      </c>
      <c r="F1458" s="1" t="s">
        <v>133</v>
      </c>
      <c r="G1458" s="16">
        <v>1278611</v>
      </c>
      <c r="H1458" s="93">
        <f>'Emission Rates Net-by-Count'!$D$10</f>
        <v>903.13346574503635</v>
      </c>
      <c r="I1458" s="16">
        <f t="shared" si="56"/>
        <v>577378.19188486342</v>
      </c>
      <c r="M1458" s="19"/>
      <c r="N1458" s="19"/>
      <c r="O1458" s="19"/>
      <c r="P1458" s="19"/>
    </row>
    <row r="1459" spans="1:16" x14ac:dyDescent="0.25">
      <c r="A1459" s="91">
        <v>2331</v>
      </c>
      <c r="B1459" s="15">
        <v>2012</v>
      </c>
      <c r="C1459" s="1" t="s">
        <v>44</v>
      </c>
      <c r="D1459" s="1" t="s">
        <v>216</v>
      </c>
      <c r="E1459" s="15" t="s">
        <v>217</v>
      </c>
      <c r="F1459" s="1" t="s">
        <v>76</v>
      </c>
      <c r="G1459" s="16">
        <v>269356</v>
      </c>
      <c r="H1459" s="93">
        <f>'Emission Rates Net-by-Count'!$D$10</f>
        <v>903.13346574503635</v>
      </c>
      <c r="I1459" s="16">
        <f t="shared" si="56"/>
        <v>121632.20889960999</v>
      </c>
      <c r="M1459" s="19"/>
      <c r="N1459" s="19"/>
      <c r="O1459" s="19"/>
      <c r="P1459" s="19"/>
    </row>
    <row r="1460" spans="1:16" x14ac:dyDescent="0.25">
      <c r="A1460" s="91">
        <v>2332</v>
      </c>
      <c r="B1460" s="15">
        <v>2012</v>
      </c>
      <c r="C1460" s="1" t="s">
        <v>44</v>
      </c>
      <c r="D1460" s="1" t="s">
        <v>216</v>
      </c>
      <c r="E1460" s="15" t="s">
        <v>217</v>
      </c>
      <c r="F1460" s="1" t="s">
        <v>78</v>
      </c>
      <c r="G1460" s="16">
        <v>1078306</v>
      </c>
      <c r="H1460" s="93">
        <f>'Emission Rates Net-by-Count'!$D$10</f>
        <v>903.13346574503635</v>
      </c>
      <c r="I1460" s="16">
        <f t="shared" si="56"/>
        <v>486927.1174568336</v>
      </c>
      <c r="M1460" s="19"/>
      <c r="N1460" s="19"/>
      <c r="O1460" s="19"/>
      <c r="P1460" s="19"/>
    </row>
    <row r="1461" spans="1:16" x14ac:dyDescent="0.25">
      <c r="A1461" s="91">
        <v>2334</v>
      </c>
      <c r="B1461" s="15">
        <v>2012</v>
      </c>
      <c r="C1461" s="1" t="s">
        <v>44</v>
      </c>
      <c r="D1461" s="1" t="s">
        <v>216</v>
      </c>
      <c r="E1461" s="15" t="s">
        <v>217</v>
      </c>
      <c r="F1461" s="1" t="s">
        <v>168</v>
      </c>
      <c r="G1461" s="16">
        <v>448</v>
      </c>
      <c r="H1461" s="93">
        <f>'Emission Rates Net-by-Count'!$D$10</f>
        <v>903.13346574503635</v>
      </c>
      <c r="I1461" s="16">
        <f t="shared" si="56"/>
        <v>202.30189632688814</v>
      </c>
      <c r="M1461" s="19"/>
      <c r="N1461" s="19"/>
      <c r="O1461" s="19"/>
      <c r="P1461" s="19"/>
    </row>
    <row r="1462" spans="1:16" x14ac:dyDescent="0.25">
      <c r="A1462" s="91">
        <v>2335</v>
      </c>
      <c r="B1462" s="15">
        <v>2012</v>
      </c>
      <c r="C1462" s="1" t="s">
        <v>44</v>
      </c>
      <c r="D1462" s="1" t="s">
        <v>216</v>
      </c>
      <c r="E1462" s="15" t="s">
        <v>217</v>
      </c>
      <c r="F1462" s="1" t="s">
        <v>173</v>
      </c>
      <c r="G1462" s="16">
        <v>113935</v>
      </c>
      <c r="H1462" s="93">
        <f>'Emission Rates Net-by-Count'!$D$10</f>
        <v>903.13346574503635</v>
      </c>
      <c r="I1462" s="16">
        <f t="shared" si="56"/>
        <v>51449.255709830359</v>
      </c>
      <c r="M1462" s="19"/>
      <c r="N1462" s="19"/>
      <c r="O1462" s="19"/>
      <c r="P1462" s="19"/>
    </row>
    <row r="1463" spans="1:16" x14ac:dyDescent="0.25">
      <c r="A1463" s="91">
        <v>2336</v>
      </c>
      <c r="B1463" s="15">
        <v>2012</v>
      </c>
      <c r="C1463" s="1" t="s">
        <v>44</v>
      </c>
      <c r="D1463" s="1" t="s">
        <v>216</v>
      </c>
      <c r="E1463" s="15" t="s">
        <v>217</v>
      </c>
      <c r="F1463" s="1" t="s">
        <v>80</v>
      </c>
      <c r="G1463" s="16">
        <v>800</v>
      </c>
      <c r="H1463" s="93">
        <f>'Emission Rates Net-by-Count'!$D$10</f>
        <v>903.13346574503635</v>
      </c>
      <c r="I1463" s="16">
        <f t="shared" si="56"/>
        <v>361.25338629801456</v>
      </c>
      <c r="M1463" s="19"/>
      <c r="N1463" s="19"/>
      <c r="O1463" s="19"/>
      <c r="P1463" s="19"/>
    </row>
    <row r="1464" spans="1:16" x14ac:dyDescent="0.25">
      <c r="A1464" s="91">
        <v>2337</v>
      </c>
      <c r="B1464" s="15">
        <v>2012</v>
      </c>
      <c r="C1464" s="1" t="s">
        <v>44</v>
      </c>
      <c r="D1464" s="1" t="s">
        <v>216</v>
      </c>
      <c r="E1464" s="15" t="s">
        <v>217</v>
      </c>
      <c r="F1464" s="1" t="s">
        <v>185</v>
      </c>
      <c r="G1464" s="16">
        <v>800</v>
      </c>
      <c r="H1464" s="93">
        <f>'Emission Rates Net-by-Count'!$D$10</f>
        <v>903.13346574503635</v>
      </c>
      <c r="I1464" s="16">
        <f t="shared" si="56"/>
        <v>361.25338629801456</v>
      </c>
      <c r="M1464" s="19"/>
      <c r="N1464" s="19"/>
      <c r="O1464" s="19"/>
      <c r="P1464" s="19"/>
    </row>
    <row r="1465" spans="1:16" x14ac:dyDescent="0.25">
      <c r="A1465" s="91">
        <v>2339</v>
      </c>
      <c r="B1465" s="15">
        <v>2012</v>
      </c>
      <c r="C1465" s="1" t="s">
        <v>44</v>
      </c>
      <c r="D1465" s="1" t="s">
        <v>216</v>
      </c>
      <c r="E1465" s="15" t="s">
        <v>217</v>
      </c>
      <c r="F1465" s="1" t="s">
        <v>81</v>
      </c>
      <c r="G1465" s="16">
        <v>4</v>
      </c>
      <c r="H1465" s="93">
        <f>'Emission Rates Net-by-Count'!$D$10</f>
        <v>903.13346574503635</v>
      </c>
      <c r="I1465" s="16">
        <f t="shared" ref="I1465:I1496" si="57">(G1465*H1465)/2000</f>
        <v>1.8062669314900728</v>
      </c>
      <c r="M1465" s="19"/>
      <c r="N1465" s="19"/>
      <c r="O1465" s="19"/>
      <c r="P1465" s="19"/>
    </row>
    <row r="1466" spans="1:16" x14ac:dyDescent="0.25">
      <c r="A1466" s="91">
        <v>2340</v>
      </c>
      <c r="B1466" s="15">
        <v>2012</v>
      </c>
      <c r="C1466" s="1" t="s">
        <v>44</v>
      </c>
      <c r="D1466" s="1" t="s">
        <v>216</v>
      </c>
      <c r="E1466" s="15" t="s">
        <v>217</v>
      </c>
      <c r="F1466" s="1" t="s">
        <v>82</v>
      </c>
      <c r="G1466" s="16">
        <v>3418</v>
      </c>
      <c r="H1466" s="93">
        <f>'Emission Rates Net-by-Count'!$D$10</f>
        <v>903.13346574503635</v>
      </c>
      <c r="I1466" s="16">
        <f t="shared" si="57"/>
        <v>1543.4550929582672</v>
      </c>
      <c r="M1466" s="19"/>
      <c r="N1466" s="19"/>
      <c r="O1466" s="19"/>
      <c r="P1466" s="19"/>
    </row>
    <row r="1467" spans="1:16" x14ac:dyDescent="0.25">
      <c r="A1467" s="91">
        <v>2341</v>
      </c>
      <c r="B1467" s="15">
        <v>2012</v>
      </c>
      <c r="C1467" s="1" t="s">
        <v>44</v>
      </c>
      <c r="D1467" s="1" t="s">
        <v>216</v>
      </c>
      <c r="E1467" s="15" t="s">
        <v>217</v>
      </c>
      <c r="F1467" s="1" t="s">
        <v>83</v>
      </c>
      <c r="G1467" s="16">
        <v>1487</v>
      </c>
      <c r="H1467" s="93">
        <f>'Emission Rates Net-by-Count'!$D$10</f>
        <v>903.13346574503635</v>
      </c>
      <c r="I1467" s="16">
        <f t="shared" si="57"/>
        <v>671.47973178143445</v>
      </c>
      <c r="M1467" s="19"/>
      <c r="N1467" s="19"/>
      <c r="O1467" s="19"/>
      <c r="P1467" s="19"/>
    </row>
    <row r="1468" spans="1:16" x14ac:dyDescent="0.25">
      <c r="A1468" s="91">
        <v>2342</v>
      </c>
      <c r="B1468" s="15">
        <v>2012</v>
      </c>
      <c r="C1468" s="1" t="s">
        <v>44</v>
      </c>
      <c r="D1468" s="1" t="s">
        <v>216</v>
      </c>
      <c r="E1468" s="15" t="s">
        <v>217</v>
      </c>
      <c r="F1468" s="1" t="s">
        <v>149</v>
      </c>
      <c r="G1468" s="16">
        <v>1179</v>
      </c>
      <c r="H1468" s="93">
        <f>'Emission Rates Net-by-Count'!$D$10</f>
        <v>903.13346574503635</v>
      </c>
      <c r="I1468" s="16">
        <f t="shared" si="57"/>
        <v>532.39717805669886</v>
      </c>
      <c r="M1468" s="19"/>
      <c r="N1468" s="19"/>
      <c r="O1468" s="19"/>
      <c r="P1468" s="19"/>
    </row>
    <row r="1469" spans="1:16" x14ac:dyDescent="0.25">
      <c r="A1469" s="91">
        <v>2343</v>
      </c>
      <c r="B1469" s="15">
        <v>2012</v>
      </c>
      <c r="C1469" s="1" t="s">
        <v>44</v>
      </c>
      <c r="D1469" s="1" t="s">
        <v>216</v>
      </c>
      <c r="E1469" s="15" t="s">
        <v>217</v>
      </c>
      <c r="F1469" s="1" t="s">
        <v>85</v>
      </c>
      <c r="G1469" s="16">
        <v>76562</v>
      </c>
      <c r="H1469" s="93">
        <f>'Emission Rates Net-by-Count'!$D$10</f>
        <v>903.13346574503635</v>
      </c>
      <c r="I1469" s="16">
        <f t="shared" si="57"/>
        <v>34572.852202185735</v>
      </c>
      <c r="M1469" s="19"/>
      <c r="N1469" s="19"/>
      <c r="O1469" s="19"/>
      <c r="P1469" s="19"/>
    </row>
    <row r="1470" spans="1:16" x14ac:dyDescent="0.25">
      <c r="A1470" s="91">
        <v>2344</v>
      </c>
      <c r="B1470" s="15">
        <v>2012</v>
      </c>
      <c r="C1470" s="1" t="s">
        <v>44</v>
      </c>
      <c r="D1470" s="1" t="s">
        <v>216</v>
      </c>
      <c r="E1470" s="15" t="s">
        <v>217</v>
      </c>
      <c r="F1470" s="1" t="s">
        <v>138</v>
      </c>
      <c r="G1470" s="16">
        <v>70000</v>
      </c>
      <c r="H1470" s="93">
        <f>'Emission Rates Net-by-Count'!$D$10</f>
        <v>903.13346574503635</v>
      </c>
      <c r="I1470" s="16">
        <f t="shared" si="57"/>
        <v>31609.671301076272</v>
      </c>
      <c r="M1470" s="19"/>
      <c r="N1470" s="19"/>
      <c r="O1470" s="19"/>
      <c r="P1470" s="19"/>
    </row>
    <row r="1471" spans="1:16" x14ac:dyDescent="0.25">
      <c r="A1471" s="91">
        <v>2345</v>
      </c>
      <c r="B1471" s="15">
        <v>2012</v>
      </c>
      <c r="C1471" s="1" t="s">
        <v>44</v>
      </c>
      <c r="D1471" s="1" t="s">
        <v>216</v>
      </c>
      <c r="E1471" s="15" t="s">
        <v>217</v>
      </c>
      <c r="F1471" s="1" t="s">
        <v>87</v>
      </c>
      <c r="G1471" s="16">
        <v>24419</v>
      </c>
      <c r="H1471" s="93">
        <f>'Emission Rates Net-by-Count'!$D$10</f>
        <v>903.13346574503635</v>
      </c>
      <c r="I1471" s="16">
        <f t="shared" si="57"/>
        <v>11026.80805001402</v>
      </c>
      <c r="M1471" s="19"/>
      <c r="N1471" s="19"/>
      <c r="O1471" s="19"/>
      <c r="P1471" s="19"/>
    </row>
    <row r="1472" spans="1:16" x14ac:dyDescent="0.25">
      <c r="A1472" s="91">
        <v>2346</v>
      </c>
      <c r="B1472" s="15">
        <v>2012</v>
      </c>
      <c r="C1472" s="1" t="s">
        <v>44</v>
      </c>
      <c r="D1472" s="1" t="s">
        <v>216</v>
      </c>
      <c r="E1472" s="15" t="s">
        <v>217</v>
      </c>
      <c r="F1472" s="1" t="s">
        <v>88</v>
      </c>
      <c r="G1472" s="16">
        <v>231003</v>
      </c>
      <c r="H1472" s="93">
        <f>'Emission Rates Net-by-Count'!$D$10</f>
        <v>903.13346574503635</v>
      </c>
      <c r="I1472" s="16">
        <f t="shared" si="57"/>
        <v>104313.26999375032</v>
      </c>
      <c r="M1472" s="19"/>
      <c r="N1472" s="19"/>
      <c r="O1472" s="19"/>
      <c r="P1472" s="19"/>
    </row>
    <row r="1473" spans="1:16" x14ac:dyDescent="0.25">
      <c r="A1473" s="91">
        <v>2347</v>
      </c>
      <c r="B1473" s="15">
        <v>2012</v>
      </c>
      <c r="C1473" s="1" t="s">
        <v>44</v>
      </c>
      <c r="D1473" s="1" t="s">
        <v>216</v>
      </c>
      <c r="E1473" s="15" t="s">
        <v>217</v>
      </c>
      <c r="F1473" s="1" t="s">
        <v>91</v>
      </c>
      <c r="G1473" s="16">
        <v>23628</v>
      </c>
      <c r="H1473" s="93">
        <f>'Emission Rates Net-by-Count'!$D$10</f>
        <v>903.13346574503635</v>
      </c>
      <c r="I1473" s="16">
        <f t="shared" si="57"/>
        <v>10669.618764311859</v>
      </c>
      <c r="M1473" s="19"/>
      <c r="N1473" s="19"/>
      <c r="O1473" s="19"/>
      <c r="P1473" s="19"/>
    </row>
    <row r="1474" spans="1:16" x14ac:dyDescent="0.25">
      <c r="A1474" s="91">
        <v>2349</v>
      </c>
      <c r="B1474" s="15">
        <v>2012</v>
      </c>
      <c r="C1474" s="1" t="s">
        <v>44</v>
      </c>
      <c r="D1474" s="1" t="s">
        <v>216</v>
      </c>
      <c r="E1474" s="15" t="s">
        <v>217</v>
      </c>
      <c r="F1474" s="1" t="s">
        <v>93</v>
      </c>
      <c r="G1474" s="16">
        <v>3654</v>
      </c>
      <c r="H1474" s="93">
        <f>'Emission Rates Net-by-Count'!$D$10</f>
        <v>903.13346574503635</v>
      </c>
      <c r="I1474" s="16">
        <f t="shared" si="57"/>
        <v>1650.0248419161815</v>
      </c>
      <c r="M1474" s="19"/>
      <c r="N1474" s="19"/>
      <c r="O1474" s="19"/>
      <c r="P1474" s="19"/>
    </row>
    <row r="1475" spans="1:16" x14ac:dyDescent="0.25">
      <c r="A1475" s="91">
        <v>2350</v>
      </c>
      <c r="B1475" s="15">
        <v>2012</v>
      </c>
      <c r="C1475" s="1" t="s">
        <v>44</v>
      </c>
      <c r="D1475" s="1" t="s">
        <v>216</v>
      </c>
      <c r="E1475" s="15" t="s">
        <v>217</v>
      </c>
      <c r="F1475" s="1" t="s">
        <v>94</v>
      </c>
      <c r="G1475" s="16">
        <v>451</v>
      </c>
      <c r="H1475" s="93">
        <f>'Emission Rates Net-by-Count'!$D$10</f>
        <v>903.13346574503635</v>
      </c>
      <c r="I1475" s="16">
        <f t="shared" si="57"/>
        <v>203.65659652550571</v>
      </c>
      <c r="M1475" s="19"/>
      <c r="N1475" s="19"/>
      <c r="O1475" s="19"/>
      <c r="P1475" s="19"/>
    </row>
    <row r="1476" spans="1:16" x14ac:dyDescent="0.25">
      <c r="A1476" s="91">
        <v>2351</v>
      </c>
      <c r="B1476" s="15">
        <v>2012</v>
      </c>
      <c r="C1476" s="1" t="s">
        <v>44</v>
      </c>
      <c r="D1476" s="1" t="s">
        <v>216</v>
      </c>
      <c r="E1476" s="15" t="s">
        <v>217</v>
      </c>
      <c r="F1476" s="1" t="s">
        <v>95</v>
      </c>
      <c r="G1476" s="16">
        <v>246052</v>
      </c>
      <c r="H1476" s="93">
        <f>'Emission Rates Net-by-Count'!$D$10</f>
        <v>903.13346574503635</v>
      </c>
      <c r="I1476" s="16">
        <f t="shared" si="57"/>
        <v>111108.89775674885</v>
      </c>
      <c r="M1476" s="19"/>
      <c r="N1476" s="19"/>
      <c r="O1476" s="19"/>
      <c r="P1476" s="19"/>
    </row>
    <row r="1477" spans="1:16" x14ac:dyDescent="0.25">
      <c r="A1477" s="91">
        <v>2352</v>
      </c>
      <c r="B1477" s="15">
        <v>2012</v>
      </c>
      <c r="C1477" s="1" t="s">
        <v>44</v>
      </c>
      <c r="D1477" s="1" t="s">
        <v>216</v>
      </c>
      <c r="E1477" s="15" t="s">
        <v>217</v>
      </c>
      <c r="F1477" s="1" t="s">
        <v>97</v>
      </c>
      <c r="G1477" s="16">
        <v>182238</v>
      </c>
      <c r="H1477" s="93">
        <f>'Emission Rates Net-by-Count'!$D$10</f>
        <v>903.13346574503635</v>
      </c>
      <c r="I1477" s="16">
        <f t="shared" si="57"/>
        <v>82292.618265221972</v>
      </c>
      <c r="M1477" s="19"/>
      <c r="N1477" s="19"/>
      <c r="O1477" s="19"/>
      <c r="P1477" s="19"/>
    </row>
    <row r="1478" spans="1:16" x14ac:dyDescent="0.25">
      <c r="A1478" s="91">
        <v>2354</v>
      </c>
      <c r="B1478" s="15">
        <v>2012</v>
      </c>
      <c r="C1478" s="1" t="s">
        <v>44</v>
      </c>
      <c r="D1478" s="1" t="s">
        <v>216</v>
      </c>
      <c r="E1478" s="15" t="s">
        <v>217</v>
      </c>
      <c r="F1478" s="1" t="s">
        <v>100</v>
      </c>
      <c r="G1478" s="16">
        <v>176041</v>
      </c>
      <c r="H1478" s="93">
        <f>'Emission Rates Net-by-Count'!$D$10</f>
        <v>903.13346574503635</v>
      </c>
      <c r="I1478" s="16">
        <f t="shared" si="57"/>
        <v>79494.259221610977</v>
      </c>
      <c r="M1478" s="19"/>
      <c r="N1478" s="19"/>
      <c r="O1478" s="19"/>
      <c r="P1478" s="19"/>
    </row>
    <row r="1479" spans="1:16" x14ac:dyDescent="0.25">
      <c r="A1479" s="91">
        <v>2355</v>
      </c>
      <c r="B1479" s="15">
        <v>2012</v>
      </c>
      <c r="C1479" s="1" t="s">
        <v>44</v>
      </c>
      <c r="D1479" s="1" t="s">
        <v>216</v>
      </c>
      <c r="E1479" s="15" t="s">
        <v>217</v>
      </c>
      <c r="F1479" s="1" t="s">
        <v>101</v>
      </c>
      <c r="G1479" s="16">
        <v>62658</v>
      </c>
      <c r="H1479" s="93">
        <f>'Emission Rates Net-by-Count'!$D$10</f>
        <v>903.13346574503635</v>
      </c>
      <c r="I1479" s="16">
        <f t="shared" si="57"/>
        <v>28294.268348326244</v>
      </c>
      <c r="M1479" s="19"/>
      <c r="N1479" s="19"/>
      <c r="O1479" s="19"/>
      <c r="P1479" s="19"/>
    </row>
    <row r="1480" spans="1:16" x14ac:dyDescent="0.25">
      <c r="A1480" s="91">
        <v>2357</v>
      </c>
      <c r="B1480" s="15">
        <v>2012</v>
      </c>
      <c r="C1480" s="1" t="s">
        <v>44</v>
      </c>
      <c r="D1480" s="1" t="s">
        <v>216</v>
      </c>
      <c r="E1480" s="15" t="s">
        <v>217</v>
      </c>
      <c r="F1480" s="1" t="s">
        <v>103</v>
      </c>
      <c r="G1480" s="16">
        <v>200033</v>
      </c>
      <c r="H1480" s="93">
        <f>'Emission Rates Net-by-Count'!$D$10</f>
        <v>903.13346574503635</v>
      </c>
      <c r="I1480" s="16">
        <f t="shared" si="57"/>
        <v>90328.24827668842</v>
      </c>
      <c r="M1480" s="19"/>
      <c r="N1480" s="19"/>
      <c r="O1480" s="19"/>
      <c r="P1480" s="19"/>
    </row>
    <row r="1481" spans="1:16" x14ac:dyDescent="0.25">
      <c r="A1481" s="91">
        <v>2358</v>
      </c>
      <c r="B1481" s="15">
        <v>2012</v>
      </c>
      <c r="C1481" s="1" t="s">
        <v>44</v>
      </c>
      <c r="D1481" s="1" t="s">
        <v>216</v>
      </c>
      <c r="E1481" s="15" t="s">
        <v>217</v>
      </c>
      <c r="F1481" s="1" t="s">
        <v>152</v>
      </c>
      <c r="G1481" s="16">
        <v>109330</v>
      </c>
      <c r="H1481" s="93">
        <f>'Emission Rates Net-by-Count'!$D$10</f>
        <v>903.13346574503635</v>
      </c>
      <c r="I1481" s="16">
        <f t="shared" si="57"/>
        <v>49369.790904952417</v>
      </c>
      <c r="M1481" s="19"/>
      <c r="N1481" s="19"/>
      <c r="O1481" s="19"/>
      <c r="P1481" s="19"/>
    </row>
    <row r="1482" spans="1:16" x14ac:dyDescent="0.25">
      <c r="A1482" s="91">
        <v>2360</v>
      </c>
      <c r="B1482" s="15">
        <v>2012</v>
      </c>
      <c r="C1482" s="1" t="s">
        <v>44</v>
      </c>
      <c r="D1482" s="1" t="s">
        <v>216</v>
      </c>
      <c r="E1482" s="15" t="s">
        <v>217</v>
      </c>
      <c r="F1482" s="1" t="s">
        <v>186</v>
      </c>
      <c r="G1482" s="16">
        <v>32812</v>
      </c>
      <c r="H1482" s="93">
        <f>'Emission Rates Net-by-Count'!$D$10</f>
        <v>903.13346574503635</v>
      </c>
      <c r="I1482" s="16">
        <f t="shared" si="57"/>
        <v>14816.807639013066</v>
      </c>
      <c r="M1482" s="19"/>
      <c r="N1482" s="19"/>
      <c r="O1482" s="19"/>
      <c r="P1482" s="19"/>
    </row>
    <row r="1483" spans="1:16" x14ac:dyDescent="0.25">
      <c r="A1483" s="91">
        <v>2361</v>
      </c>
      <c r="B1483" s="15">
        <v>2012</v>
      </c>
      <c r="C1483" s="1" t="s">
        <v>44</v>
      </c>
      <c r="D1483" s="1" t="s">
        <v>216</v>
      </c>
      <c r="E1483" s="15" t="s">
        <v>217</v>
      </c>
      <c r="F1483" s="1" t="s">
        <v>153</v>
      </c>
      <c r="G1483" s="16">
        <v>457673</v>
      </c>
      <c r="H1483" s="93">
        <f>'Emission Rates Net-by-Count'!$D$10</f>
        <v>903.13346574503635</v>
      </c>
      <c r="I1483" s="16">
        <f t="shared" si="57"/>
        <v>206669.90133396402</v>
      </c>
      <c r="M1483" s="19"/>
      <c r="N1483" s="19"/>
      <c r="O1483" s="19"/>
      <c r="P1483" s="19"/>
    </row>
    <row r="1484" spans="1:16" x14ac:dyDescent="0.25">
      <c r="A1484" s="91">
        <v>2362</v>
      </c>
      <c r="B1484" s="15">
        <v>2012</v>
      </c>
      <c r="C1484" s="1" t="s">
        <v>44</v>
      </c>
      <c r="D1484" s="1" t="s">
        <v>216</v>
      </c>
      <c r="E1484" s="15" t="s">
        <v>217</v>
      </c>
      <c r="F1484" s="1" t="s">
        <v>104</v>
      </c>
      <c r="G1484" s="16">
        <v>1404952</v>
      </c>
      <c r="H1484" s="93">
        <f>'Emission Rates Net-by-Count'!$D$10</f>
        <v>903.13346574503635</v>
      </c>
      <c r="I1484" s="16">
        <f t="shared" si="57"/>
        <v>634429.58448271011</v>
      </c>
      <c r="M1484" s="19"/>
      <c r="N1484" s="19"/>
      <c r="O1484" s="19"/>
      <c r="P1484" s="19"/>
    </row>
    <row r="1485" spans="1:16" x14ac:dyDescent="0.25">
      <c r="A1485" s="91">
        <v>2363</v>
      </c>
      <c r="B1485" s="15">
        <v>2012</v>
      </c>
      <c r="C1485" s="1" t="s">
        <v>44</v>
      </c>
      <c r="D1485" s="1" t="s">
        <v>216</v>
      </c>
      <c r="E1485" s="15" t="s">
        <v>217</v>
      </c>
      <c r="F1485" s="1" t="s">
        <v>154</v>
      </c>
      <c r="G1485" s="16">
        <v>200</v>
      </c>
      <c r="H1485" s="93">
        <f>'Emission Rates Net-by-Count'!$D$10</f>
        <v>903.13346574503635</v>
      </c>
      <c r="I1485" s="16">
        <f t="shared" si="57"/>
        <v>90.31334657450364</v>
      </c>
      <c r="M1485" s="19"/>
      <c r="N1485" s="19"/>
      <c r="O1485" s="19"/>
      <c r="P1485" s="19"/>
    </row>
    <row r="1486" spans="1:16" x14ac:dyDescent="0.25">
      <c r="A1486" s="91">
        <v>2364</v>
      </c>
      <c r="B1486" s="15">
        <v>2012</v>
      </c>
      <c r="C1486" s="1" t="s">
        <v>44</v>
      </c>
      <c r="D1486" s="1" t="s">
        <v>216</v>
      </c>
      <c r="E1486" s="15" t="s">
        <v>217</v>
      </c>
      <c r="F1486" s="1" t="s">
        <v>167</v>
      </c>
      <c r="G1486" s="16">
        <v>-200</v>
      </c>
      <c r="H1486" s="93">
        <f>'Emission Rates Net-by-Count'!$D$10</f>
        <v>903.13346574503635</v>
      </c>
      <c r="I1486" s="16">
        <f t="shared" si="57"/>
        <v>-90.31334657450364</v>
      </c>
      <c r="M1486" s="19"/>
      <c r="N1486" s="19"/>
      <c r="O1486" s="19"/>
      <c r="P1486" s="19"/>
    </row>
    <row r="1487" spans="1:16" x14ac:dyDescent="0.25">
      <c r="A1487" s="91">
        <v>2365</v>
      </c>
      <c r="B1487" s="15">
        <v>2012</v>
      </c>
      <c r="C1487" s="1" t="s">
        <v>44</v>
      </c>
      <c r="D1487" s="1" t="s">
        <v>216</v>
      </c>
      <c r="E1487" s="15" t="s">
        <v>217</v>
      </c>
      <c r="F1487" s="1" t="s">
        <v>198</v>
      </c>
      <c r="G1487" s="16">
        <v>124</v>
      </c>
      <c r="H1487" s="93">
        <f>'Emission Rates Net-by-Count'!$D$10</f>
        <v>903.13346574503635</v>
      </c>
      <c r="I1487" s="16">
        <f t="shared" si="57"/>
        <v>55.994274876192257</v>
      </c>
      <c r="M1487" s="19"/>
      <c r="N1487" s="19"/>
      <c r="O1487" s="19"/>
      <c r="P1487" s="19"/>
    </row>
    <row r="1488" spans="1:16" x14ac:dyDescent="0.25">
      <c r="A1488" s="91">
        <v>2366</v>
      </c>
      <c r="B1488" s="15">
        <v>2012</v>
      </c>
      <c r="C1488" s="1" t="s">
        <v>44</v>
      </c>
      <c r="D1488" s="1" t="s">
        <v>216</v>
      </c>
      <c r="E1488" s="15" t="s">
        <v>217</v>
      </c>
      <c r="F1488" s="1" t="s">
        <v>106</v>
      </c>
      <c r="G1488" s="16">
        <v>3343</v>
      </c>
      <c r="H1488" s="93">
        <f>'Emission Rates Net-by-Count'!$D$10</f>
        <v>903.13346574503635</v>
      </c>
      <c r="I1488" s="16">
        <f t="shared" si="57"/>
        <v>1509.5875879928283</v>
      </c>
      <c r="M1488" s="19"/>
      <c r="N1488" s="19"/>
      <c r="O1488" s="19"/>
      <c r="P1488" s="19"/>
    </row>
    <row r="1489" spans="1:16" x14ac:dyDescent="0.25">
      <c r="A1489" s="91">
        <v>2368</v>
      </c>
      <c r="B1489" s="15">
        <v>2012</v>
      </c>
      <c r="C1489" s="1" t="s">
        <v>109</v>
      </c>
      <c r="D1489" s="1" t="s">
        <v>216</v>
      </c>
      <c r="E1489" s="15" t="s">
        <v>217</v>
      </c>
      <c r="F1489" s="1" t="s">
        <v>21</v>
      </c>
      <c r="G1489" s="16">
        <v>35599</v>
      </c>
      <c r="H1489" s="93">
        <f>'Emission Rates Net-by-Count'!$D$10</f>
        <v>903.13346574503635</v>
      </c>
      <c r="I1489" s="16">
        <f t="shared" si="57"/>
        <v>16075.324123528775</v>
      </c>
      <c r="M1489" s="19"/>
      <c r="N1489" s="19"/>
      <c r="O1489" s="19"/>
      <c r="P1489" s="19"/>
    </row>
    <row r="1490" spans="1:16" x14ac:dyDescent="0.25">
      <c r="A1490" s="91">
        <v>2369</v>
      </c>
      <c r="B1490" s="15">
        <v>2012</v>
      </c>
      <c r="C1490" s="1" t="s">
        <v>109</v>
      </c>
      <c r="D1490" s="1" t="s">
        <v>216</v>
      </c>
      <c r="E1490" s="15" t="s">
        <v>217</v>
      </c>
      <c r="F1490" s="1" t="s">
        <v>111</v>
      </c>
      <c r="G1490" s="16">
        <v>413000</v>
      </c>
      <c r="H1490" s="93">
        <f>'Emission Rates Net-by-Count'!$D$10</f>
        <v>903.13346574503635</v>
      </c>
      <c r="I1490" s="16">
        <f t="shared" si="57"/>
        <v>186497.06067635</v>
      </c>
      <c r="M1490" s="19"/>
      <c r="N1490" s="19"/>
      <c r="O1490" s="19"/>
      <c r="P1490" s="19"/>
    </row>
    <row r="1491" spans="1:16" x14ac:dyDescent="0.25">
      <c r="A1491" s="91">
        <v>2372</v>
      </c>
      <c r="B1491" s="15">
        <v>2012</v>
      </c>
      <c r="C1491" s="1" t="s">
        <v>113</v>
      </c>
      <c r="D1491" s="1" t="s">
        <v>216</v>
      </c>
      <c r="E1491" s="15" t="s">
        <v>217</v>
      </c>
      <c r="F1491" s="1" t="s">
        <v>21</v>
      </c>
      <c r="G1491" s="16">
        <v>-35375</v>
      </c>
      <c r="H1491" s="93">
        <f>'Emission Rates Net-by-Count'!$D$10</f>
        <v>903.13346574503635</v>
      </c>
      <c r="I1491" s="16">
        <f t="shared" si="57"/>
        <v>-15974.173175365331</v>
      </c>
      <c r="M1491" s="19"/>
      <c r="N1491" s="19"/>
      <c r="O1491" s="19"/>
      <c r="P1491" s="19"/>
    </row>
    <row r="1492" spans="1:16" x14ac:dyDescent="0.25">
      <c r="A1492" s="91">
        <v>2373</v>
      </c>
      <c r="B1492" s="15">
        <v>2012</v>
      </c>
      <c r="C1492" s="1" t="s">
        <v>113</v>
      </c>
      <c r="D1492" s="1" t="s">
        <v>216</v>
      </c>
      <c r="E1492" s="15" t="s">
        <v>217</v>
      </c>
      <c r="F1492" s="1" t="s">
        <v>114</v>
      </c>
      <c r="G1492" s="16">
        <v>42716.544999999998</v>
      </c>
      <c r="H1492" s="93">
        <f>'Emission Rates Net-by-Count'!$D$10</f>
        <v>903.13346574503635</v>
      </c>
      <c r="I1492" s="16">
        <f t="shared" si="57"/>
        <v>19289.370665251899</v>
      </c>
      <c r="M1492" s="19"/>
      <c r="N1492" s="19"/>
      <c r="O1492" s="19"/>
      <c r="P1492" s="19"/>
    </row>
    <row r="1493" spans="1:16" x14ac:dyDescent="0.25">
      <c r="A1493" s="91">
        <v>2374</v>
      </c>
      <c r="B1493" s="15">
        <v>2012</v>
      </c>
      <c r="C1493" s="1" t="s">
        <v>113</v>
      </c>
      <c r="D1493" s="1" t="s">
        <v>216</v>
      </c>
      <c r="E1493" s="15" t="s">
        <v>217</v>
      </c>
      <c r="F1493" s="1" t="s">
        <v>111</v>
      </c>
      <c r="G1493" s="16">
        <v>-412995</v>
      </c>
      <c r="H1493" s="93">
        <f>'Emission Rates Net-by-Count'!$D$10</f>
        <v>903.13346574503635</v>
      </c>
      <c r="I1493" s="16">
        <f t="shared" si="57"/>
        <v>-186494.80284268563</v>
      </c>
      <c r="M1493" s="19"/>
      <c r="N1493" s="19"/>
      <c r="O1493" s="19"/>
      <c r="P1493" s="19"/>
    </row>
    <row r="1494" spans="1:16" x14ac:dyDescent="0.25">
      <c r="A1494" s="91">
        <v>2431</v>
      </c>
      <c r="B1494" s="15">
        <v>2012</v>
      </c>
      <c r="C1494" s="1" t="s">
        <v>120</v>
      </c>
      <c r="D1494" s="1" t="s">
        <v>216</v>
      </c>
      <c r="E1494" s="15" t="s">
        <v>217</v>
      </c>
      <c r="F1494" s="1" t="s">
        <v>47</v>
      </c>
      <c r="G1494" s="16">
        <v>-37126</v>
      </c>
      <c r="H1494" s="93">
        <f>'Emission Rates Net-by-Count'!$D$10</f>
        <v>903.13346574503635</v>
      </c>
      <c r="I1494" s="16">
        <f t="shared" si="57"/>
        <v>-16764.866524625111</v>
      </c>
      <c r="M1494" s="19"/>
      <c r="N1494" s="19"/>
      <c r="O1494" s="19"/>
      <c r="P1494" s="19"/>
    </row>
    <row r="1495" spans="1:16" x14ac:dyDescent="0.25">
      <c r="A1495" s="91">
        <v>2432</v>
      </c>
      <c r="B1495" s="15">
        <v>2012</v>
      </c>
      <c r="C1495" s="1" t="s">
        <v>120</v>
      </c>
      <c r="D1495" s="1" t="s">
        <v>216</v>
      </c>
      <c r="E1495" s="15" t="s">
        <v>217</v>
      </c>
      <c r="F1495" s="1" t="s">
        <v>127</v>
      </c>
      <c r="G1495" s="16">
        <v>-2400</v>
      </c>
      <c r="H1495" s="93">
        <f>'Emission Rates Net-by-Count'!$D$10</f>
        <v>903.13346574503635</v>
      </c>
      <c r="I1495" s="16">
        <f t="shared" si="57"/>
        <v>-1083.7601588940436</v>
      </c>
      <c r="M1495" s="19"/>
      <c r="N1495" s="19"/>
      <c r="O1495" s="19"/>
      <c r="P1495" s="19"/>
    </row>
    <row r="1496" spans="1:16" x14ac:dyDescent="0.25">
      <c r="A1496" s="91">
        <v>2433</v>
      </c>
      <c r="B1496" s="15">
        <v>2012</v>
      </c>
      <c r="C1496" s="1" t="s">
        <v>120</v>
      </c>
      <c r="D1496" s="1" t="s">
        <v>216</v>
      </c>
      <c r="E1496" s="15" t="s">
        <v>217</v>
      </c>
      <c r="F1496" s="1" t="s">
        <v>50</v>
      </c>
      <c r="G1496" s="16">
        <v>-18302</v>
      </c>
      <c r="H1496" s="93">
        <f>'Emission Rates Net-by-Count'!$D$10</f>
        <v>903.13346574503635</v>
      </c>
      <c r="I1496" s="16">
        <f t="shared" si="57"/>
        <v>-8264.5743450328282</v>
      </c>
      <c r="M1496" s="19"/>
      <c r="N1496" s="19"/>
      <c r="O1496" s="19"/>
      <c r="P1496" s="19"/>
    </row>
    <row r="1497" spans="1:16" x14ac:dyDescent="0.25">
      <c r="A1497" s="91">
        <v>2434</v>
      </c>
      <c r="B1497" s="15">
        <v>2012</v>
      </c>
      <c r="C1497" s="1" t="s">
        <v>120</v>
      </c>
      <c r="D1497" s="1" t="s">
        <v>216</v>
      </c>
      <c r="E1497" s="15" t="s">
        <v>217</v>
      </c>
      <c r="F1497" s="1" t="s">
        <v>51</v>
      </c>
      <c r="G1497" s="16">
        <v>2877267</v>
      </c>
      <c r="H1497" s="93">
        <f>'Emission Rates Net-by-Count'!$D$10</f>
        <v>903.13346574503635</v>
      </c>
      <c r="I1497" s="16">
        <f t="shared" ref="I1497:I1528" si="58">(G1497*H1497)/2000</f>
        <v>1299278.0587919119</v>
      </c>
      <c r="K1497" s="17" t="s">
        <v>244</v>
      </c>
      <c r="M1497" s="19"/>
      <c r="N1497" s="19"/>
      <c r="O1497" s="19"/>
      <c r="P1497" s="19"/>
    </row>
    <row r="1498" spans="1:16" x14ac:dyDescent="0.25">
      <c r="A1498" s="91">
        <v>2435</v>
      </c>
      <c r="B1498" s="15">
        <v>2012</v>
      </c>
      <c r="C1498" s="1" t="s">
        <v>120</v>
      </c>
      <c r="D1498" s="1" t="s">
        <v>216</v>
      </c>
      <c r="E1498" s="15" t="s">
        <v>217</v>
      </c>
      <c r="F1498" s="1" t="s">
        <v>52</v>
      </c>
      <c r="G1498" s="16">
        <v>-97731</v>
      </c>
      <c r="H1498" s="93">
        <f>'Emission Rates Net-by-Count'!$D$10</f>
        <v>903.13346574503635</v>
      </c>
      <c r="I1498" s="16">
        <f t="shared" si="58"/>
        <v>-44132.068370364068</v>
      </c>
      <c r="M1498" s="19"/>
      <c r="N1498" s="19"/>
      <c r="O1498" s="19"/>
      <c r="P1498" s="19"/>
    </row>
    <row r="1499" spans="1:16" x14ac:dyDescent="0.25">
      <c r="A1499" s="91">
        <v>2436</v>
      </c>
      <c r="B1499" s="15">
        <v>2012</v>
      </c>
      <c r="C1499" s="1" t="s">
        <v>120</v>
      </c>
      <c r="D1499" s="1" t="s">
        <v>216</v>
      </c>
      <c r="E1499" s="15" t="s">
        <v>217</v>
      </c>
      <c r="F1499" s="1" t="s">
        <v>21</v>
      </c>
      <c r="G1499" s="16">
        <v>-147151</v>
      </c>
      <c r="H1499" s="93">
        <f>'Emission Rates Net-by-Count'!$D$10</f>
        <v>903.13346574503635</v>
      </c>
      <c r="I1499" s="16">
        <f t="shared" si="58"/>
        <v>-66448.496308923917</v>
      </c>
      <c r="M1499" s="19"/>
      <c r="N1499" s="19"/>
      <c r="O1499" s="19"/>
      <c r="P1499" s="19"/>
    </row>
    <row r="1500" spans="1:16" x14ac:dyDescent="0.25">
      <c r="A1500" s="91">
        <v>2437</v>
      </c>
      <c r="B1500" s="15">
        <v>2012</v>
      </c>
      <c r="C1500" s="1" t="s">
        <v>120</v>
      </c>
      <c r="D1500" s="1" t="s">
        <v>216</v>
      </c>
      <c r="E1500" s="15" t="s">
        <v>217</v>
      </c>
      <c r="F1500" s="1" t="s">
        <v>143</v>
      </c>
      <c r="G1500" s="16">
        <v>-57</v>
      </c>
      <c r="H1500" s="93">
        <f>'Emission Rates Net-by-Count'!$D$10</f>
        <v>903.13346574503635</v>
      </c>
      <c r="I1500" s="16">
        <f t="shared" si="58"/>
        <v>-25.739303773733536</v>
      </c>
      <c r="M1500" s="19"/>
      <c r="N1500" s="19"/>
      <c r="O1500" s="19"/>
      <c r="P1500" s="19"/>
    </row>
    <row r="1501" spans="1:16" x14ac:dyDescent="0.25">
      <c r="A1501" s="91">
        <v>2438</v>
      </c>
      <c r="B1501" s="15">
        <v>2012</v>
      </c>
      <c r="C1501" s="1" t="s">
        <v>120</v>
      </c>
      <c r="D1501" s="1" t="s">
        <v>216</v>
      </c>
      <c r="E1501" s="15" t="s">
        <v>217</v>
      </c>
      <c r="F1501" s="1" t="s">
        <v>197</v>
      </c>
      <c r="G1501" s="16">
        <v>-2000</v>
      </c>
      <c r="H1501" s="93">
        <f>'Emission Rates Net-by-Count'!$D$10</f>
        <v>903.13346574503635</v>
      </c>
      <c r="I1501" s="16">
        <f t="shared" si="58"/>
        <v>-903.13346574503635</v>
      </c>
      <c r="M1501" s="19"/>
      <c r="N1501" s="19"/>
      <c r="O1501" s="19"/>
      <c r="P1501" s="19"/>
    </row>
    <row r="1502" spans="1:16" x14ac:dyDescent="0.25">
      <c r="A1502" s="91">
        <v>2439</v>
      </c>
      <c r="B1502" s="15">
        <v>2012</v>
      </c>
      <c r="C1502" s="1" t="s">
        <v>120</v>
      </c>
      <c r="D1502" s="1" t="s">
        <v>216</v>
      </c>
      <c r="E1502" s="15" t="s">
        <v>217</v>
      </c>
      <c r="F1502" s="1" t="s">
        <v>55</v>
      </c>
      <c r="G1502" s="16">
        <v>-142467</v>
      </c>
      <c r="H1502" s="93">
        <f>'Emission Rates Net-by-Count'!$D$10</f>
        <v>903.13346574503635</v>
      </c>
      <c r="I1502" s="16">
        <f t="shared" si="58"/>
        <v>-64333.357732149052</v>
      </c>
      <c r="M1502" s="19"/>
      <c r="N1502" s="19"/>
      <c r="O1502" s="19"/>
      <c r="P1502" s="19"/>
    </row>
    <row r="1503" spans="1:16" x14ac:dyDescent="0.25">
      <c r="A1503" s="91">
        <v>2440</v>
      </c>
      <c r="B1503" s="15">
        <v>2012</v>
      </c>
      <c r="C1503" s="1" t="s">
        <v>120</v>
      </c>
      <c r="D1503" s="1" t="s">
        <v>216</v>
      </c>
      <c r="E1503" s="15" t="s">
        <v>217</v>
      </c>
      <c r="F1503" s="1" t="s">
        <v>56</v>
      </c>
      <c r="G1503" s="16">
        <v>-311820</v>
      </c>
      <c r="H1503" s="93">
        <f>'Emission Rates Net-by-Count'!$D$10</f>
        <v>903.13346574503635</v>
      </c>
      <c r="I1503" s="16">
        <f t="shared" si="58"/>
        <v>-140807.53864430863</v>
      </c>
      <c r="M1503" s="19"/>
      <c r="N1503" s="19"/>
      <c r="O1503" s="19"/>
      <c r="P1503" s="19"/>
    </row>
    <row r="1504" spans="1:16" x14ac:dyDescent="0.25">
      <c r="A1504" s="91">
        <v>2441</v>
      </c>
      <c r="B1504" s="15">
        <v>2012</v>
      </c>
      <c r="C1504" s="1" t="s">
        <v>120</v>
      </c>
      <c r="D1504" s="1" t="s">
        <v>216</v>
      </c>
      <c r="E1504" s="15" t="s">
        <v>217</v>
      </c>
      <c r="F1504" s="1" t="s">
        <v>57</v>
      </c>
      <c r="G1504" s="16">
        <v>-6435</v>
      </c>
      <c r="H1504" s="93">
        <f>'Emission Rates Net-by-Count'!$D$10</f>
        <v>903.13346574503635</v>
      </c>
      <c r="I1504" s="16">
        <f t="shared" si="58"/>
        <v>-2905.8319260346543</v>
      </c>
      <c r="M1504" s="19"/>
      <c r="N1504" s="19"/>
      <c r="O1504" s="19"/>
      <c r="P1504" s="19"/>
    </row>
    <row r="1505" spans="1:16" x14ac:dyDescent="0.25">
      <c r="A1505" s="91">
        <v>2442</v>
      </c>
      <c r="B1505" s="15">
        <v>2012</v>
      </c>
      <c r="C1505" s="1" t="s">
        <v>120</v>
      </c>
      <c r="D1505" s="1" t="s">
        <v>216</v>
      </c>
      <c r="E1505" s="15" t="s">
        <v>217</v>
      </c>
      <c r="F1505" s="1" t="s">
        <v>58</v>
      </c>
      <c r="G1505" s="16">
        <v>-93176</v>
      </c>
      <c r="H1505" s="93">
        <f>'Emission Rates Net-by-Count'!$D$10</f>
        <v>903.13346574503635</v>
      </c>
      <c r="I1505" s="16">
        <f t="shared" si="58"/>
        <v>-42075.181902129756</v>
      </c>
      <c r="M1505" s="19"/>
      <c r="N1505" s="19"/>
      <c r="O1505" s="19"/>
      <c r="P1505" s="19"/>
    </row>
    <row r="1506" spans="1:16" x14ac:dyDescent="0.25">
      <c r="A1506" s="91">
        <v>2443</v>
      </c>
      <c r="B1506" s="15">
        <v>2012</v>
      </c>
      <c r="C1506" s="1" t="s">
        <v>120</v>
      </c>
      <c r="D1506" s="1" t="s">
        <v>216</v>
      </c>
      <c r="E1506" s="15" t="s">
        <v>217</v>
      </c>
      <c r="F1506" s="1" t="s">
        <v>182</v>
      </c>
      <c r="G1506" s="16">
        <v>-13840</v>
      </c>
      <c r="H1506" s="93">
        <f>'Emission Rates Net-by-Count'!$D$10</f>
        <v>903.13346574503635</v>
      </c>
      <c r="I1506" s="16">
        <f t="shared" si="58"/>
        <v>-6249.6835829556521</v>
      </c>
      <c r="M1506" s="19"/>
      <c r="N1506" s="19"/>
      <c r="O1506" s="19"/>
      <c r="P1506" s="19"/>
    </row>
    <row r="1507" spans="1:16" x14ac:dyDescent="0.25">
      <c r="A1507" s="91">
        <v>2444</v>
      </c>
      <c r="B1507" s="15">
        <v>2012</v>
      </c>
      <c r="C1507" s="1" t="s">
        <v>120</v>
      </c>
      <c r="D1507" s="1" t="s">
        <v>216</v>
      </c>
      <c r="E1507" s="15" t="s">
        <v>217</v>
      </c>
      <c r="F1507" s="1" t="s">
        <v>59</v>
      </c>
      <c r="G1507" s="16">
        <v>-5387</v>
      </c>
      <c r="H1507" s="93">
        <f>'Emission Rates Net-by-Count'!$D$10</f>
        <v>903.13346574503635</v>
      </c>
      <c r="I1507" s="16">
        <f t="shared" si="58"/>
        <v>-2432.5899899842552</v>
      </c>
      <c r="M1507" s="19"/>
      <c r="N1507" s="19"/>
      <c r="O1507" s="19"/>
      <c r="P1507" s="19"/>
    </row>
    <row r="1508" spans="1:16" x14ac:dyDescent="0.25">
      <c r="A1508" s="91">
        <v>2445</v>
      </c>
      <c r="B1508" s="15">
        <v>2012</v>
      </c>
      <c r="C1508" s="1" t="s">
        <v>120</v>
      </c>
      <c r="D1508" s="1" t="s">
        <v>216</v>
      </c>
      <c r="E1508" s="15" t="s">
        <v>217</v>
      </c>
      <c r="F1508" s="1" t="s">
        <v>61</v>
      </c>
      <c r="G1508" s="16">
        <v>-22185</v>
      </c>
      <c r="H1508" s="93">
        <f>'Emission Rates Net-by-Count'!$D$10</f>
        <v>903.13346574503635</v>
      </c>
      <c r="I1508" s="16">
        <f t="shared" si="58"/>
        <v>-10018.007968776816</v>
      </c>
      <c r="M1508" s="19"/>
      <c r="N1508" s="19"/>
      <c r="O1508" s="19"/>
      <c r="P1508" s="19"/>
    </row>
    <row r="1509" spans="1:16" x14ac:dyDescent="0.25">
      <c r="A1509" s="91">
        <v>2446</v>
      </c>
      <c r="B1509" s="15">
        <v>2012</v>
      </c>
      <c r="C1509" s="1" t="s">
        <v>120</v>
      </c>
      <c r="D1509" s="1" t="s">
        <v>216</v>
      </c>
      <c r="E1509" s="15" t="s">
        <v>217</v>
      </c>
      <c r="F1509" s="1" t="s">
        <v>146</v>
      </c>
      <c r="G1509" s="16">
        <v>-1299</v>
      </c>
      <c r="H1509" s="93">
        <f>'Emission Rates Net-by-Count'!$D$10</f>
        <v>903.13346574503635</v>
      </c>
      <c r="I1509" s="16">
        <f t="shared" si="58"/>
        <v>-586.58518600140121</v>
      </c>
      <c r="M1509" s="19"/>
      <c r="N1509" s="19"/>
      <c r="O1509" s="19"/>
      <c r="P1509" s="19"/>
    </row>
    <row r="1510" spans="1:16" x14ac:dyDescent="0.25">
      <c r="A1510" s="91">
        <v>2447</v>
      </c>
      <c r="B1510" s="15">
        <v>2012</v>
      </c>
      <c r="C1510" s="1" t="s">
        <v>120</v>
      </c>
      <c r="D1510" s="1" t="s">
        <v>216</v>
      </c>
      <c r="E1510" s="15" t="s">
        <v>217</v>
      </c>
      <c r="F1510" s="1" t="s">
        <v>131</v>
      </c>
      <c r="G1510" s="16">
        <v>-242964</v>
      </c>
      <c r="H1510" s="93">
        <f>'Emission Rates Net-by-Count'!$D$10</f>
        <v>903.13346574503635</v>
      </c>
      <c r="I1510" s="16">
        <f t="shared" si="58"/>
        <v>-109714.4596856385</v>
      </c>
      <c r="M1510" s="19"/>
      <c r="N1510" s="19"/>
      <c r="O1510" s="19"/>
      <c r="P1510" s="19"/>
    </row>
    <row r="1511" spans="1:16" x14ac:dyDescent="0.25">
      <c r="A1511" s="91">
        <v>2448</v>
      </c>
      <c r="B1511" s="15">
        <v>2012</v>
      </c>
      <c r="C1511" s="1" t="s">
        <v>120</v>
      </c>
      <c r="D1511" s="1" t="s">
        <v>216</v>
      </c>
      <c r="E1511" s="15" t="s">
        <v>217</v>
      </c>
      <c r="F1511" s="1" t="s">
        <v>62</v>
      </c>
      <c r="G1511" s="16">
        <v>-1410</v>
      </c>
      <c r="H1511" s="93">
        <f>'Emission Rates Net-by-Count'!$D$10</f>
        <v>903.13346574503635</v>
      </c>
      <c r="I1511" s="16">
        <f t="shared" si="58"/>
        <v>-636.70909335025067</v>
      </c>
      <c r="M1511" s="19"/>
      <c r="N1511" s="19"/>
      <c r="O1511" s="19"/>
      <c r="P1511" s="19"/>
    </row>
    <row r="1512" spans="1:16" x14ac:dyDescent="0.25">
      <c r="A1512" s="91">
        <v>2449</v>
      </c>
      <c r="B1512" s="15">
        <v>2012</v>
      </c>
      <c r="C1512" s="1" t="s">
        <v>120</v>
      </c>
      <c r="D1512" s="1" t="s">
        <v>216</v>
      </c>
      <c r="E1512" s="15" t="s">
        <v>217</v>
      </c>
      <c r="F1512" s="1" t="s">
        <v>165</v>
      </c>
      <c r="G1512" s="16">
        <v>-34355</v>
      </c>
      <c r="H1512" s="93">
        <f>'Emission Rates Net-by-Count'!$D$10</f>
        <v>903.13346574503635</v>
      </c>
      <c r="I1512" s="16">
        <f t="shared" si="58"/>
        <v>-15513.575107835362</v>
      </c>
      <c r="M1512" s="19"/>
      <c r="N1512" s="19"/>
      <c r="O1512" s="19"/>
      <c r="P1512" s="19"/>
    </row>
    <row r="1513" spans="1:16" x14ac:dyDescent="0.25">
      <c r="A1513" s="91">
        <v>2450</v>
      </c>
      <c r="B1513" s="15">
        <v>2012</v>
      </c>
      <c r="C1513" s="1" t="s">
        <v>120</v>
      </c>
      <c r="D1513" s="1" t="s">
        <v>216</v>
      </c>
      <c r="E1513" s="15" t="s">
        <v>217</v>
      </c>
      <c r="F1513" s="1" t="s">
        <v>63</v>
      </c>
      <c r="G1513" s="16">
        <v>-225</v>
      </c>
      <c r="H1513" s="93">
        <f>'Emission Rates Net-by-Count'!$D$10</f>
        <v>903.13346574503635</v>
      </c>
      <c r="I1513" s="16">
        <f t="shared" si="58"/>
        <v>-101.60251489631659</v>
      </c>
      <c r="M1513" s="19"/>
      <c r="N1513" s="19"/>
      <c r="O1513" s="19"/>
      <c r="P1513" s="19"/>
    </row>
    <row r="1514" spans="1:16" x14ac:dyDescent="0.25">
      <c r="A1514" s="91">
        <v>2451</v>
      </c>
      <c r="B1514" s="15">
        <v>2012</v>
      </c>
      <c r="C1514" s="1" t="s">
        <v>120</v>
      </c>
      <c r="D1514" s="1" t="s">
        <v>216</v>
      </c>
      <c r="E1514" s="15" t="s">
        <v>217</v>
      </c>
      <c r="F1514" s="1" t="s">
        <v>65</v>
      </c>
      <c r="G1514" s="16">
        <v>-17869</v>
      </c>
      <c r="H1514" s="93">
        <f>'Emission Rates Net-by-Count'!$D$10</f>
        <v>903.13346574503635</v>
      </c>
      <c r="I1514" s="16">
        <f t="shared" si="58"/>
        <v>-8069.0459496990279</v>
      </c>
      <c r="M1514" s="19"/>
      <c r="N1514" s="19"/>
      <c r="O1514" s="19"/>
      <c r="P1514" s="19"/>
    </row>
    <row r="1515" spans="1:16" x14ac:dyDescent="0.25">
      <c r="A1515" s="91">
        <v>2452</v>
      </c>
      <c r="B1515" s="15">
        <v>2012</v>
      </c>
      <c r="C1515" s="1" t="s">
        <v>120</v>
      </c>
      <c r="D1515" s="1" t="s">
        <v>216</v>
      </c>
      <c r="E1515" s="15" t="s">
        <v>217</v>
      </c>
      <c r="F1515" s="1" t="s">
        <v>184</v>
      </c>
      <c r="G1515" s="16">
        <v>-2800</v>
      </c>
      <c r="H1515" s="93">
        <f>'Emission Rates Net-by-Count'!$D$10</f>
        <v>903.13346574503635</v>
      </c>
      <c r="I1515" s="16">
        <f t="shared" si="58"/>
        <v>-1264.3868520430508</v>
      </c>
      <c r="M1515" s="19"/>
      <c r="N1515" s="19"/>
      <c r="O1515" s="19"/>
      <c r="P1515" s="19"/>
    </row>
    <row r="1516" spans="1:16" x14ac:dyDescent="0.25">
      <c r="A1516" s="91">
        <v>2453</v>
      </c>
      <c r="B1516" s="15">
        <v>2012</v>
      </c>
      <c r="C1516" s="1" t="s">
        <v>120</v>
      </c>
      <c r="D1516" s="1" t="s">
        <v>216</v>
      </c>
      <c r="E1516" s="15" t="s">
        <v>217</v>
      </c>
      <c r="F1516" s="1" t="s">
        <v>199</v>
      </c>
      <c r="G1516" s="16">
        <v>-56236</v>
      </c>
      <c r="H1516" s="93">
        <f>'Emission Rates Net-by-Count'!$D$10</f>
        <v>903.13346574503635</v>
      </c>
      <c r="I1516" s="16">
        <f t="shared" si="58"/>
        <v>-25394.306789818933</v>
      </c>
      <c r="M1516" s="19"/>
      <c r="N1516" s="19"/>
      <c r="O1516" s="19"/>
      <c r="P1516" s="19"/>
    </row>
    <row r="1517" spans="1:16" x14ac:dyDescent="0.25">
      <c r="A1517" s="91">
        <v>2454</v>
      </c>
      <c r="B1517" s="15">
        <v>2012</v>
      </c>
      <c r="C1517" s="1" t="s">
        <v>120</v>
      </c>
      <c r="D1517" s="1" t="s">
        <v>216</v>
      </c>
      <c r="E1517" s="15" t="s">
        <v>217</v>
      </c>
      <c r="F1517" s="1" t="s">
        <v>67</v>
      </c>
      <c r="G1517" s="16">
        <v>-11925</v>
      </c>
      <c r="H1517" s="93">
        <f>'Emission Rates Net-by-Count'!$D$10</f>
        <v>903.13346574503635</v>
      </c>
      <c r="I1517" s="16">
        <f t="shared" si="58"/>
        <v>-5384.9332895047792</v>
      </c>
      <c r="M1517" s="19"/>
      <c r="N1517" s="19"/>
      <c r="O1517" s="19"/>
      <c r="P1517" s="19"/>
    </row>
    <row r="1518" spans="1:16" x14ac:dyDescent="0.25">
      <c r="A1518" s="91">
        <v>2455</v>
      </c>
      <c r="B1518" s="15">
        <v>2012</v>
      </c>
      <c r="C1518" s="1" t="s">
        <v>120</v>
      </c>
      <c r="D1518" s="1" t="s">
        <v>216</v>
      </c>
      <c r="E1518" s="15" t="s">
        <v>217</v>
      </c>
      <c r="F1518" s="1" t="s">
        <v>69</v>
      </c>
      <c r="G1518" s="16">
        <v>-541878</v>
      </c>
      <c r="H1518" s="93">
        <f>'Emission Rates Net-by-Count'!$D$10</f>
        <v>903.13346574503635</v>
      </c>
      <c r="I1518" s="16">
        <f t="shared" si="58"/>
        <v>-244694.07807549441</v>
      </c>
      <c r="M1518" s="19"/>
      <c r="N1518" s="19"/>
      <c r="O1518" s="19"/>
      <c r="P1518" s="19"/>
    </row>
    <row r="1519" spans="1:16" x14ac:dyDescent="0.25">
      <c r="A1519" s="91">
        <v>2456</v>
      </c>
      <c r="B1519" s="15">
        <v>2012</v>
      </c>
      <c r="C1519" s="1" t="s">
        <v>120</v>
      </c>
      <c r="D1519" s="1" t="s">
        <v>216</v>
      </c>
      <c r="E1519" s="15" t="s">
        <v>217</v>
      </c>
      <c r="F1519" s="1" t="s">
        <v>71</v>
      </c>
      <c r="G1519" s="16">
        <v>-25835</v>
      </c>
      <c r="H1519" s="93">
        <f>'Emission Rates Net-by-Count'!$D$10</f>
        <v>903.13346574503635</v>
      </c>
      <c r="I1519" s="16">
        <f t="shared" si="58"/>
        <v>-11666.226543761506</v>
      </c>
      <c r="M1519" s="19"/>
      <c r="N1519" s="19"/>
      <c r="O1519" s="19"/>
      <c r="P1519" s="19"/>
    </row>
    <row r="1520" spans="1:16" x14ac:dyDescent="0.25">
      <c r="A1520" s="91">
        <v>2457</v>
      </c>
      <c r="B1520" s="15">
        <v>2012</v>
      </c>
      <c r="C1520" s="1" t="s">
        <v>120</v>
      </c>
      <c r="D1520" s="1" t="s">
        <v>216</v>
      </c>
      <c r="E1520" s="15" t="s">
        <v>217</v>
      </c>
      <c r="F1520" s="1" t="s">
        <v>72</v>
      </c>
      <c r="G1520" s="16">
        <v>-2800</v>
      </c>
      <c r="H1520" s="93">
        <f>'Emission Rates Net-by-Count'!$D$10</f>
        <v>903.13346574503635</v>
      </c>
      <c r="I1520" s="16">
        <f t="shared" si="58"/>
        <v>-1264.3868520430508</v>
      </c>
      <c r="M1520" s="19"/>
      <c r="N1520" s="19"/>
      <c r="O1520" s="19"/>
      <c r="P1520" s="19"/>
    </row>
    <row r="1521" spans="1:16" x14ac:dyDescent="0.25">
      <c r="A1521" s="91">
        <v>2458</v>
      </c>
      <c r="B1521" s="15">
        <v>2012</v>
      </c>
      <c r="C1521" s="1" t="s">
        <v>120</v>
      </c>
      <c r="D1521" s="1" t="s">
        <v>216</v>
      </c>
      <c r="E1521" s="15" t="s">
        <v>217</v>
      </c>
      <c r="F1521" s="1" t="s">
        <v>133</v>
      </c>
      <c r="G1521" s="16">
        <v>-52134</v>
      </c>
      <c r="H1521" s="93">
        <f>'Emission Rates Net-by-Count'!$D$10</f>
        <v>903.13346574503635</v>
      </c>
      <c r="I1521" s="16">
        <f t="shared" si="58"/>
        <v>-23541.980051575862</v>
      </c>
      <c r="M1521" s="19"/>
      <c r="N1521" s="19"/>
      <c r="O1521" s="19"/>
      <c r="P1521" s="19"/>
    </row>
    <row r="1522" spans="1:16" x14ac:dyDescent="0.25">
      <c r="A1522" s="91">
        <v>2459</v>
      </c>
      <c r="B1522" s="15">
        <v>2012</v>
      </c>
      <c r="C1522" s="1" t="s">
        <v>120</v>
      </c>
      <c r="D1522" s="1" t="s">
        <v>216</v>
      </c>
      <c r="E1522" s="15" t="s">
        <v>217</v>
      </c>
      <c r="F1522" s="1" t="s">
        <v>78</v>
      </c>
      <c r="G1522" s="16">
        <v>-310918</v>
      </c>
      <c r="H1522" s="93">
        <f>'Emission Rates Net-by-Count'!$D$10</f>
        <v>903.13346574503635</v>
      </c>
      <c r="I1522" s="16">
        <f t="shared" si="58"/>
        <v>-140400.2254512576</v>
      </c>
      <c r="M1522" s="19"/>
      <c r="N1522" s="19"/>
      <c r="O1522" s="19"/>
      <c r="P1522" s="19"/>
    </row>
    <row r="1523" spans="1:16" x14ac:dyDescent="0.25">
      <c r="A1523" s="91">
        <v>2460</v>
      </c>
      <c r="B1523" s="15">
        <v>2012</v>
      </c>
      <c r="C1523" s="1" t="s">
        <v>120</v>
      </c>
      <c r="D1523" s="1" t="s">
        <v>216</v>
      </c>
      <c r="E1523" s="15" t="s">
        <v>217</v>
      </c>
      <c r="F1523" s="1" t="s">
        <v>168</v>
      </c>
      <c r="G1523" s="16">
        <v>-6</v>
      </c>
      <c r="H1523" s="93">
        <f>'Emission Rates Net-by-Count'!$D$10</f>
        <v>903.13346574503635</v>
      </c>
      <c r="I1523" s="16">
        <f t="shared" si="58"/>
        <v>-2.7094003972351093</v>
      </c>
      <c r="M1523" s="19"/>
      <c r="N1523" s="19"/>
      <c r="O1523" s="19"/>
      <c r="P1523" s="19"/>
    </row>
    <row r="1524" spans="1:16" x14ac:dyDescent="0.25">
      <c r="A1524" s="91">
        <v>2461</v>
      </c>
      <c r="B1524" s="15">
        <v>2012</v>
      </c>
      <c r="C1524" s="1" t="s">
        <v>120</v>
      </c>
      <c r="D1524" s="1" t="s">
        <v>216</v>
      </c>
      <c r="E1524" s="15" t="s">
        <v>217</v>
      </c>
      <c r="F1524" s="1" t="s">
        <v>173</v>
      </c>
      <c r="G1524" s="16">
        <v>-2739</v>
      </c>
      <c r="H1524" s="93">
        <f>'Emission Rates Net-by-Count'!$D$10</f>
        <v>903.13346574503635</v>
      </c>
      <c r="I1524" s="16">
        <f t="shared" si="58"/>
        <v>-1236.8412813378272</v>
      </c>
      <c r="M1524" s="19"/>
      <c r="N1524" s="19"/>
      <c r="O1524" s="19"/>
      <c r="P1524" s="19"/>
    </row>
    <row r="1525" spans="1:16" x14ac:dyDescent="0.25">
      <c r="A1525" s="91">
        <v>2462</v>
      </c>
      <c r="B1525" s="15">
        <v>2012</v>
      </c>
      <c r="C1525" s="1" t="s">
        <v>120</v>
      </c>
      <c r="D1525" s="1" t="s">
        <v>216</v>
      </c>
      <c r="E1525" s="15" t="s">
        <v>217</v>
      </c>
      <c r="F1525" s="1" t="s">
        <v>80</v>
      </c>
      <c r="G1525" s="16">
        <v>-2800</v>
      </c>
      <c r="H1525" s="93">
        <f>'Emission Rates Net-by-Count'!$D$10</f>
        <v>903.13346574503635</v>
      </c>
      <c r="I1525" s="16">
        <f t="shared" si="58"/>
        <v>-1264.3868520430508</v>
      </c>
      <c r="M1525" s="19"/>
      <c r="N1525" s="19"/>
      <c r="O1525" s="19"/>
      <c r="P1525" s="19"/>
    </row>
    <row r="1526" spans="1:16" x14ac:dyDescent="0.25">
      <c r="A1526" s="91">
        <v>2463</v>
      </c>
      <c r="B1526" s="15">
        <v>2012</v>
      </c>
      <c r="C1526" s="1" t="s">
        <v>120</v>
      </c>
      <c r="D1526" s="1" t="s">
        <v>216</v>
      </c>
      <c r="E1526" s="15" t="s">
        <v>217</v>
      </c>
      <c r="F1526" s="1" t="s">
        <v>185</v>
      </c>
      <c r="G1526" s="16">
        <v>-7600</v>
      </c>
      <c r="H1526" s="93">
        <f>'Emission Rates Net-by-Count'!$D$10</f>
        <v>903.13346574503635</v>
      </c>
      <c r="I1526" s="16">
        <f t="shared" si="58"/>
        <v>-3431.9071698311382</v>
      </c>
      <c r="M1526" s="19"/>
      <c r="N1526" s="19"/>
      <c r="O1526" s="19"/>
      <c r="P1526" s="19"/>
    </row>
    <row r="1527" spans="1:16" x14ac:dyDescent="0.25">
      <c r="A1527" s="91">
        <v>2464</v>
      </c>
      <c r="B1527" s="15">
        <v>2012</v>
      </c>
      <c r="C1527" s="1" t="s">
        <v>120</v>
      </c>
      <c r="D1527" s="1" t="s">
        <v>216</v>
      </c>
      <c r="E1527" s="15" t="s">
        <v>217</v>
      </c>
      <c r="F1527" s="1" t="s">
        <v>81</v>
      </c>
      <c r="G1527" s="16">
        <v>-8404</v>
      </c>
      <c r="H1527" s="93">
        <f>'Emission Rates Net-by-Count'!$D$10</f>
        <v>903.13346574503635</v>
      </c>
      <c r="I1527" s="16">
        <f t="shared" si="58"/>
        <v>-3794.966823060643</v>
      </c>
      <c r="M1527" s="19"/>
      <c r="N1527" s="19"/>
      <c r="O1527" s="19"/>
      <c r="P1527" s="19"/>
    </row>
    <row r="1528" spans="1:16" x14ac:dyDescent="0.25">
      <c r="A1528" s="91">
        <v>2465</v>
      </c>
      <c r="B1528" s="15">
        <v>2012</v>
      </c>
      <c r="C1528" s="1" t="s">
        <v>120</v>
      </c>
      <c r="D1528" s="1" t="s">
        <v>216</v>
      </c>
      <c r="E1528" s="15" t="s">
        <v>217</v>
      </c>
      <c r="F1528" s="1" t="s">
        <v>82</v>
      </c>
      <c r="G1528" s="16">
        <v>-84493</v>
      </c>
      <c r="H1528" s="93">
        <f>'Emission Rates Net-by-Count'!$D$10</f>
        <v>903.13346574503635</v>
      </c>
      <c r="I1528" s="16">
        <f t="shared" si="58"/>
        <v>-38154.22796059768</v>
      </c>
      <c r="M1528" s="19"/>
      <c r="N1528" s="19"/>
      <c r="O1528" s="19"/>
      <c r="P1528" s="19"/>
    </row>
    <row r="1529" spans="1:16" x14ac:dyDescent="0.25">
      <c r="A1529" s="91">
        <v>2466</v>
      </c>
      <c r="B1529" s="15">
        <v>2012</v>
      </c>
      <c r="C1529" s="1" t="s">
        <v>120</v>
      </c>
      <c r="D1529" s="1" t="s">
        <v>216</v>
      </c>
      <c r="E1529" s="15" t="s">
        <v>217</v>
      </c>
      <c r="F1529" s="1" t="s">
        <v>83</v>
      </c>
      <c r="G1529" s="16">
        <v>-470</v>
      </c>
      <c r="H1529" s="93">
        <f>'Emission Rates Net-by-Count'!$D$10</f>
        <v>903.13346574503635</v>
      </c>
      <c r="I1529" s="16">
        <f t="shared" ref="I1529:I1551" si="59">(G1529*H1529)/2000</f>
        <v>-212.23636445008356</v>
      </c>
      <c r="M1529" s="19"/>
      <c r="N1529" s="19"/>
      <c r="O1529" s="19"/>
      <c r="P1529" s="19"/>
    </row>
    <row r="1530" spans="1:16" x14ac:dyDescent="0.25">
      <c r="A1530" s="91">
        <v>2467</v>
      </c>
      <c r="B1530" s="15">
        <v>2012</v>
      </c>
      <c r="C1530" s="1" t="s">
        <v>120</v>
      </c>
      <c r="D1530" s="1" t="s">
        <v>216</v>
      </c>
      <c r="E1530" s="15" t="s">
        <v>217</v>
      </c>
      <c r="F1530" s="1" t="s">
        <v>149</v>
      </c>
      <c r="G1530" s="16">
        <v>-430</v>
      </c>
      <c r="H1530" s="93">
        <f>'Emission Rates Net-by-Count'!$D$10</f>
        <v>903.13346574503635</v>
      </c>
      <c r="I1530" s="16">
        <f t="shared" si="59"/>
        <v>-194.17369513518281</v>
      </c>
      <c r="M1530" s="19"/>
      <c r="N1530" s="19"/>
      <c r="O1530" s="19"/>
      <c r="P1530" s="19"/>
    </row>
    <row r="1531" spans="1:16" x14ac:dyDescent="0.25">
      <c r="A1531" s="91">
        <v>2468</v>
      </c>
      <c r="B1531" s="15">
        <v>2012</v>
      </c>
      <c r="C1531" s="1" t="s">
        <v>120</v>
      </c>
      <c r="D1531" s="1" t="s">
        <v>216</v>
      </c>
      <c r="E1531" s="15" t="s">
        <v>217</v>
      </c>
      <c r="F1531" s="1" t="s">
        <v>85</v>
      </c>
      <c r="G1531" s="16">
        <v>-116892</v>
      </c>
      <c r="H1531" s="93">
        <f>'Emission Rates Net-by-Count'!$D$10</f>
        <v>903.13346574503635</v>
      </c>
      <c r="I1531" s="16">
        <f t="shared" si="59"/>
        <v>-52784.538538934394</v>
      </c>
      <c r="M1531" s="19"/>
      <c r="N1531" s="19"/>
      <c r="O1531" s="19"/>
      <c r="P1531" s="19"/>
    </row>
    <row r="1532" spans="1:16" x14ac:dyDescent="0.25">
      <c r="A1532" s="91">
        <v>2469</v>
      </c>
      <c r="B1532" s="15">
        <v>2012</v>
      </c>
      <c r="C1532" s="1" t="s">
        <v>120</v>
      </c>
      <c r="D1532" s="1" t="s">
        <v>216</v>
      </c>
      <c r="E1532" s="15" t="s">
        <v>217</v>
      </c>
      <c r="F1532" s="1" t="s">
        <v>138</v>
      </c>
      <c r="G1532" s="16">
        <v>-216530</v>
      </c>
      <c r="H1532" s="93">
        <f>'Emission Rates Net-by-Count'!$D$10</f>
        <v>903.13346574503635</v>
      </c>
      <c r="I1532" s="16">
        <f t="shared" si="59"/>
        <v>-97777.744668886357</v>
      </c>
      <c r="M1532" s="19"/>
      <c r="N1532" s="19"/>
      <c r="O1532" s="19"/>
      <c r="P1532" s="19"/>
    </row>
    <row r="1533" spans="1:16" x14ac:dyDescent="0.25">
      <c r="A1533" s="91">
        <v>2470</v>
      </c>
      <c r="B1533" s="15">
        <v>2012</v>
      </c>
      <c r="C1533" s="1" t="s">
        <v>120</v>
      </c>
      <c r="D1533" s="1" t="s">
        <v>216</v>
      </c>
      <c r="E1533" s="15" t="s">
        <v>217</v>
      </c>
      <c r="F1533" s="1" t="s">
        <v>87</v>
      </c>
      <c r="G1533" s="16">
        <v>-72993</v>
      </c>
      <c r="H1533" s="93">
        <f>'Emission Rates Net-by-Count'!$D$10</f>
        <v>903.13346574503635</v>
      </c>
      <c r="I1533" s="16">
        <f t="shared" si="59"/>
        <v>-32961.210532563717</v>
      </c>
      <c r="M1533" s="19"/>
      <c r="N1533" s="19"/>
      <c r="O1533" s="19"/>
      <c r="P1533" s="19"/>
    </row>
    <row r="1534" spans="1:16" x14ac:dyDescent="0.25">
      <c r="A1534" s="91">
        <v>2471</v>
      </c>
      <c r="B1534" s="15">
        <v>2012</v>
      </c>
      <c r="C1534" s="1" t="s">
        <v>120</v>
      </c>
      <c r="D1534" s="1" t="s">
        <v>216</v>
      </c>
      <c r="E1534" s="15" t="s">
        <v>217</v>
      </c>
      <c r="F1534" s="1" t="s">
        <v>88</v>
      </c>
      <c r="G1534" s="16">
        <v>-406530</v>
      </c>
      <c r="H1534" s="93">
        <f>'Emission Rates Net-by-Count'!$D$10</f>
        <v>903.13346574503635</v>
      </c>
      <c r="I1534" s="16">
        <f t="shared" si="59"/>
        <v>-183575.4239146648</v>
      </c>
      <c r="M1534" s="19"/>
      <c r="N1534" s="19"/>
      <c r="O1534" s="19"/>
      <c r="P1534" s="19"/>
    </row>
    <row r="1535" spans="1:16" x14ac:dyDescent="0.25">
      <c r="A1535" s="91">
        <v>2472</v>
      </c>
      <c r="B1535" s="15">
        <v>2012</v>
      </c>
      <c r="C1535" s="1" t="s">
        <v>120</v>
      </c>
      <c r="D1535" s="1" t="s">
        <v>216</v>
      </c>
      <c r="E1535" s="15" t="s">
        <v>217</v>
      </c>
      <c r="F1535" s="1" t="s">
        <v>91</v>
      </c>
      <c r="G1535" s="16">
        <v>-58846</v>
      </c>
      <c r="H1535" s="93">
        <f>'Emission Rates Net-by-Count'!$D$10</f>
        <v>903.13346574503635</v>
      </c>
      <c r="I1535" s="16">
        <f t="shared" si="59"/>
        <v>-26572.895962616207</v>
      </c>
      <c r="M1535" s="19"/>
      <c r="N1535" s="19"/>
      <c r="O1535" s="19"/>
      <c r="P1535" s="19"/>
    </row>
    <row r="1536" spans="1:16" x14ac:dyDescent="0.25">
      <c r="A1536" s="91">
        <v>2473</v>
      </c>
      <c r="B1536" s="15">
        <v>2012</v>
      </c>
      <c r="C1536" s="1" t="s">
        <v>120</v>
      </c>
      <c r="D1536" s="1" t="s">
        <v>216</v>
      </c>
      <c r="E1536" s="15" t="s">
        <v>217</v>
      </c>
      <c r="F1536" s="1" t="s">
        <v>93</v>
      </c>
      <c r="G1536" s="16">
        <v>-10011</v>
      </c>
      <c r="H1536" s="93">
        <f>'Emission Rates Net-by-Count'!$D$10</f>
        <v>903.13346574503635</v>
      </c>
      <c r="I1536" s="16">
        <f t="shared" si="59"/>
        <v>-4520.6345627867795</v>
      </c>
      <c r="M1536" s="19"/>
      <c r="N1536" s="19"/>
      <c r="O1536" s="19"/>
      <c r="P1536" s="19"/>
    </row>
    <row r="1537" spans="1:16" x14ac:dyDescent="0.25">
      <c r="A1537" s="91">
        <v>2474</v>
      </c>
      <c r="B1537" s="15">
        <v>2012</v>
      </c>
      <c r="C1537" s="1" t="s">
        <v>120</v>
      </c>
      <c r="D1537" s="1" t="s">
        <v>216</v>
      </c>
      <c r="E1537" s="15" t="s">
        <v>217</v>
      </c>
      <c r="F1537" s="1" t="s">
        <v>94</v>
      </c>
      <c r="G1537" s="16">
        <v>-29918</v>
      </c>
      <c r="H1537" s="93">
        <f>'Emission Rates Net-by-Count'!$D$10</f>
        <v>903.13346574503635</v>
      </c>
      <c r="I1537" s="16">
        <f t="shared" si="59"/>
        <v>-13509.973514079998</v>
      </c>
      <c r="M1537" s="19"/>
      <c r="N1537" s="19"/>
      <c r="O1537" s="19"/>
      <c r="P1537" s="19"/>
    </row>
    <row r="1538" spans="1:16" x14ac:dyDescent="0.25">
      <c r="A1538" s="91">
        <v>2475</v>
      </c>
      <c r="B1538" s="15">
        <v>2012</v>
      </c>
      <c r="C1538" s="1" t="s">
        <v>120</v>
      </c>
      <c r="D1538" s="1" t="s">
        <v>216</v>
      </c>
      <c r="E1538" s="15" t="s">
        <v>217</v>
      </c>
      <c r="F1538" s="1" t="s">
        <v>95</v>
      </c>
      <c r="G1538" s="16">
        <v>-46589</v>
      </c>
      <c r="H1538" s="93">
        <f>'Emission Rates Net-by-Count'!$D$10</f>
        <v>903.13346574503635</v>
      </c>
      <c r="I1538" s="16">
        <f t="shared" si="59"/>
        <v>-21038.042517797749</v>
      </c>
      <c r="M1538" s="19"/>
      <c r="N1538" s="19"/>
      <c r="O1538" s="19"/>
      <c r="P1538" s="19"/>
    </row>
    <row r="1539" spans="1:16" x14ac:dyDescent="0.25">
      <c r="A1539" s="91">
        <v>2476</v>
      </c>
      <c r="B1539" s="15">
        <v>2012</v>
      </c>
      <c r="C1539" s="1" t="s">
        <v>120</v>
      </c>
      <c r="D1539" s="1" t="s">
        <v>216</v>
      </c>
      <c r="E1539" s="15" t="s">
        <v>217</v>
      </c>
      <c r="F1539" s="1" t="s">
        <v>97</v>
      </c>
      <c r="G1539" s="16">
        <v>-299293</v>
      </c>
      <c r="H1539" s="93">
        <f>'Emission Rates Net-by-Count'!$D$10</f>
        <v>903.13346574503635</v>
      </c>
      <c r="I1539" s="16">
        <f t="shared" si="59"/>
        <v>-135150.76218161458</v>
      </c>
      <c r="M1539" s="19"/>
      <c r="N1539" s="19"/>
      <c r="O1539" s="19"/>
      <c r="P1539" s="19"/>
    </row>
    <row r="1540" spans="1:16" x14ac:dyDescent="0.25">
      <c r="A1540" s="91">
        <v>2477</v>
      </c>
      <c r="B1540" s="15">
        <v>2012</v>
      </c>
      <c r="C1540" s="1" t="s">
        <v>120</v>
      </c>
      <c r="D1540" s="1" t="s">
        <v>216</v>
      </c>
      <c r="E1540" s="15" t="s">
        <v>217</v>
      </c>
      <c r="F1540" s="1" t="s">
        <v>98</v>
      </c>
      <c r="G1540" s="16">
        <v>-1542</v>
      </c>
      <c r="H1540" s="93">
        <f>'Emission Rates Net-by-Count'!$D$10</f>
        <v>903.13346574503635</v>
      </c>
      <c r="I1540" s="16">
        <f t="shared" si="59"/>
        <v>-696.31590208942305</v>
      </c>
      <c r="M1540" s="19"/>
      <c r="N1540" s="19"/>
      <c r="O1540" s="19"/>
      <c r="P1540" s="19"/>
    </row>
    <row r="1541" spans="1:16" x14ac:dyDescent="0.25">
      <c r="A1541" s="91">
        <v>2478</v>
      </c>
      <c r="B1541" s="15">
        <v>2012</v>
      </c>
      <c r="C1541" s="1" t="s">
        <v>120</v>
      </c>
      <c r="D1541" s="1" t="s">
        <v>216</v>
      </c>
      <c r="E1541" s="15" t="s">
        <v>217</v>
      </c>
      <c r="F1541" s="1" t="s">
        <v>100</v>
      </c>
      <c r="G1541" s="16">
        <v>-9531</v>
      </c>
      <c r="H1541" s="93">
        <f>'Emission Rates Net-by-Count'!$D$10</f>
        <v>903.13346574503635</v>
      </c>
      <c r="I1541" s="16">
        <f t="shared" si="59"/>
        <v>-4303.882531007971</v>
      </c>
      <c r="M1541" s="19"/>
      <c r="N1541" s="19"/>
      <c r="O1541" s="19"/>
      <c r="P1541" s="19"/>
    </row>
    <row r="1542" spans="1:16" x14ac:dyDescent="0.25">
      <c r="A1542" s="91">
        <v>2479</v>
      </c>
      <c r="B1542" s="15">
        <v>2012</v>
      </c>
      <c r="C1542" s="1" t="s">
        <v>120</v>
      </c>
      <c r="D1542" s="1" t="s">
        <v>216</v>
      </c>
      <c r="E1542" s="15" t="s">
        <v>217</v>
      </c>
      <c r="F1542" s="1" t="s">
        <v>101</v>
      </c>
      <c r="G1542" s="16">
        <v>-20000</v>
      </c>
      <c r="H1542" s="93">
        <f>'Emission Rates Net-by-Count'!$D$10</f>
        <v>903.13346574503635</v>
      </c>
      <c r="I1542" s="16">
        <f t="shared" si="59"/>
        <v>-9031.334657450363</v>
      </c>
      <c r="M1542" s="19"/>
      <c r="N1542" s="19"/>
      <c r="O1542" s="19"/>
      <c r="P1542" s="19"/>
    </row>
    <row r="1543" spans="1:16" x14ac:dyDescent="0.25">
      <c r="A1543" s="91">
        <v>2480</v>
      </c>
      <c r="B1543" s="15">
        <v>2012</v>
      </c>
      <c r="C1543" s="1" t="s">
        <v>120</v>
      </c>
      <c r="D1543" s="1" t="s">
        <v>216</v>
      </c>
      <c r="E1543" s="15" t="s">
        <v>217</v>
      </c>
      <c r="F1543" s="1" t="s">
        <v>103</v>
      </c>
      <c r="G1543" s="16">
        <v>-19628</v>
      </c>
      <c r="H1543" s="93">
        <f>'Emission Rates Net-by-Count'!$D$10</f>
        <v>903.13346574503635</v>
      </c>
      <c r="I1543" s="16">
        <f t="shared" si="59"/>
        <v>-8863.351832821787</v>
      </c>
      <c r="M1543" s="19"/>
      <c r="N1543" s="19"/>
      <c r="O1543" s="19"/>
      <c r="P1543" s="19"/>
    </row>
    <row r="1544" spans="1:16" x14ac:dyDescent="0.25">
      <c r="A1544" s="91">
        <v>2481</v>
      </c>
      <c r="B1544" s="15">
        <v>2012</v>
      </c>
      <c r="C1544" s="1" t="s">
        <v>120</v>
      </c>
      <c r="D1544" s="1" t="s">
        <v>216</v>
      </c>
      <c r="E1544" s="15" t="s">
        <v>217</v>
      </c>
      <c r="F1544" s="1" t="s">
        <v>152</v>
      </c>
      <c r="G1544" s="16">
        <v>-67867</v>
      </c>
      <c r="H1544" s="93">
        <f>'Emission Rates Net-by-Count'!$D$10</f>
        <v>903.13346574503635</v>
      </c>
      <c r="I1544" s="16">
        <f t="shared" si="59"/>
        <v>-30646.479459859191</v>
      </c>
      <c r="M1544" s="19"/>
      <c r="N1544" s="19"/>
      <c r="O1544" s="19"/>
      <c r="P1544" s="19"/>
    </row>
    <row r="1545" spans="1:16" x14ac:dyDescent="0.25">
      <c r="A1545" s="91">
        <v>2482</v>
      </c>
      <c r="B1545" s="15">
        <v>2012</v>
      </c>
      <c r="C1545" s="1" t="s">
        <v>120</v>
      </c>
      <c r="D1545" s="1" t="s">
        <v>216</v>
      </c>
      <c r="E1545" s="15" t="s">
        <v>217</v>
      </c>
      <c r="F1545" s="1" t="s">
        <v>186</v>
      </c>
      <c r="G1545" s="16">
        <v>-36412</v>
      </c>
      <c r="H1545" s="93">
        <f>'Emission Rates Net-by-Count'!$D$10</f>
        <v>903.13346574503635</v>
      </c>
      <c r="I1545" s="16">
        <f t="shared" si="59"/>
        <v>-16442.44787735413</v>
      </c>
      <c r="M1545" s="19"/>
      <c r="N1545" s="19"/>
      <c r="O1545" s="19"/>
      <c r="P1545" s="19"/>
    </row>
    <row r="1546" spans="1:16" x14ac:dyDescent="0.25">
      <c r="A1546" s="91">
        <v>2483</v>
      </c>
      <c r="B1546" s="15">
        <v>2012</v>
      </c>
      <c r="C1546" s="1" t="s">
        <v>120</v>
      </c>
      <c r="D1546" s="1" t="s">
        <v>216</v>
      </c>
      <c r="E1546" s="15" t="s">
        <v>217</v>
      </c>
      <c r="F1546" s="1" t="s">
        <v>153</v>
      </c>
      <c r="G1546" s="16">
        <v>-34934</v>
      </c>
      <c r="H1546" s="93">
        <f>'Emission Rates Net-by-Count'!$D$10</f>
        <v>903.13346574503635</v>
      </c>
      <c r="I1546" s="16">
        <f t="shared" si="59"/>
        <v>-15775.03224616855</v>
      </c>
      <c r="M1546" s="19"/>
      <c r="N1546" s="19"/>
      <c r="O1546" s="19"/>
      <c r="P1546" s="19"/>
    </row>
    <row r="1547" spans="1:16" x14ac:dyDescent="0.25">
      <c r="A1547" s="91">
        <v>2484</v>
      </c>
      <c r="B1547" s="15">
        <v>2012</v>
      </c>
      <c r="C1547" s="1" t="s">
        <v>120</v>
      </c>
      <c r="D1547" s="1" t="s">
        <v>216</v>
      </c>
      <c r="E1547" s="15" t="s">
        <v>217</v>
      </c>
      <c r="F1547" s="1" t="s">
        <v>104</v>
      </c>
      <c r="G1547" s="16">
        <v>-443951</v>
      </c>
      <c r="H1547" s="93">
        <f>'Emission Rates Net-by-Count'!$D$10</f>
        <v>903.13346574503635</v>
      </c>
      <c r="I1547" s="16">
        <f t="shared" si="59"/>
        <v>-200473.50262548734</v>
      </c>
      <c r="M1547" s="19"/>
      <c r="N1547" s="19"/>
      <c r="O1547" s="19"/>
      <c r="P1547" s="19"/>
    </row>
    <row r="1548" spans="1:16" x14ac:dyDescent="0.25">
      <c r="A1548" s="91">
        <v>2486</v>
      </c>
      <c r="B1548" s="15">
        <v>2012</v>
      </c>
      <c r="C1548" s="1" t="s">
        <v>120</v>
      </c>
      <c r="D1548" s="1" t="s">
        <v>216</v>
      </c>
      <c r="E1548" s="15" t="s">
        <v>217</v>
      </c>
      <c r="F1548" s="1" t="s">
        <v>167</v>
      </c>
      <c r="G1548" s="16">
        <v>-49555</v>
      </c>
      <c r="H1548" s="93">
        <f>'Emission Rates Net-by-Count'!$D$10</f>
        <v>903.13346574503635</v>
      </c>
      <c r="I1548" s="16">
        <f t="shared" si="59"/>
        <v>-22377.389447497641</v>
      </c>
      <c r="M1548" s="19"/>
      <c r="N1548" s="19"/>
      <c r="O1548" s="19"/>
      <c r="P1548" s="19"/>
    </row>
    <row r="1549" spans="1:16" x14ac:dyDescent="0.25">
      <c r="A1549" s="91">
        <v>2487</v>
      </c>
      <c r="B1549" s="15">
        <v>2012</v>
      </c>
      <c r="C1549" s="1" t="s">
        <v>120</v>
      </c>
      <c r="D1549" s="1" t="s">
        <v>216</v>
      </c>
      <c r="E1549" s="15" t="s">
        <v>217</v>
      </c>
      <c r="F1549" s="1" t="s">
        <v>198</v>
      </c>
      <c r="G1549" s="16">
        <v>-12499</v>
      </c>
      <c r="H1549" s="93">
        <f>'Emission Rates Net-by-Count'!$D$10</f>
        <v>903.13346574503635</v>
      </c>
      <c r="I1549" s="16">
        <f t="shared" si="59"/>
        <v>-5644.132594173605</v>
      </c>
      <c r="M1549" s="19"/>
      <c r="N1549" s="19"/>
      <c r="O1549" s="19"/>
      <c r="P1549" s="19"/>
    </row>
    <row r="1550" spans="1:16" x14ac:dyDescent="0.25">
      <c r="A1550" s="91">
        <v>2488</v>
      </c>
      <c r="B1550" s="15">
        <v>2012</v>
      </c>
      <c r="C1550" s="1" t="s">
        <v>120</v>
      </c>
      <c r="D1550" s="1" t="s">
        <v>216</v>
      </c>
      <c r="E1550" s="15" t="s">
        <v>217</v>
      </c>
      <c r="F1550" s="1" t="s">
        <v>106</v>
      </c>
      <c r="G1550" s="16">
        <v>-3606</v>
      </c>
      <c r="H1550" s="93">
        <f>'Emission Rates Net-by-Count'!$D$10</f>
        <v>903.13346574503635</v>
      </c>
      <c r="I1550" s="16">
        <f t="shared" si="59"/>
        <v>-1628.3496387383004</v>
      </c>
      <c r="M1550" s="19"/>
      <c r="N1550" s="19"/>
      <c r="O1550" s="19"/>
      <c r="P1550" s="19"/>
    </row>
    <row r="1551" spans="1:16" x14ac:dyDescent="0.25">
      <c r="A1551" s="91">
        <v>2489</v>
      </c>
      <c r="B1551" s="15">
        <v>2012</v>
      </c>
      <c r="C1551" s="1" t="s">
        <v>120</v>
      </c>
      <c r="D1551" s="1" t="s">
        <v>216</v>
      </c>
      <c r="E1551" s="15" t="s">
        <v>217</v>
      </c>
      <c r="F1551" s="1" t="s">
        <v>108</v>
      </c>
      <c r="G1551" s="16">
        <v>-407</v>
      </c>
      <c r="H1551" s="93">
        <f>'Emission Rates Net-by-Count'!$D$10</f>
        <v>903.13346574503635</v>
      </c>
      <c r="I1551" s="16">
        <f t="shared" si="59"/>
        <v>-183.7876602791149</v>
      </c>
      <c r="M1551" s="19"/>
      <c r="N1551" s="19"/>
      <c r="O1551" s="19"/>
      <c r="P1551" s="19"/>
    </row>
    <row r="1552" spans="1:16" x14ac:dyDescent="0.25">
      <c r="A1552" s="91">
        <v>2527</v>
      </c>
      <c r="B1552" s="15">
        <v>2013</v>
      </c>
      <c r="C1552" s="1" t="s">
        <v>0</v>
      </c>
      <c r="D1552" s="1" t="s">
        <v>215</v>
      </c>
      <c r="E1552" s="15" t="s">
        <v>125</v>
      </c>
      <c r="F1552" s="1" t="s">
        <v>1</v>
      </c>
      <c r="G1552" s="16">
        <v>57768.31</v>
      </c>
      <c r="H1552" s="92">
        <v>0</v>
      </c>
      <c r="I1552" s="92">
        <f>(H1552*G1552)/2000</f>
        <v>0</v>
      </c>
      <c r="J1552" s="92"/>
      <c r="K1552" s="17" t="s">
        <v>223</v>
      </c>
      <c r="M1552" s="19"/>
      <c r="N1552" s="19"/>
      <c r="O1552" s="19"/>
      <c r="P1552" s="19"/>
    </row>
    <row r="1553" spans="1:17" x14ac:dyDescent="0.25">
      <c r="A1553" s="91">
        <v>2528</v>
      </c>
      <c r="B1553" s="15">
        <v>2013</v>
      </c>
      <c r="C1553" s="1" t="s">
        <v>0</v>
      </c>
      <c r="D1553" s="1" t="s">
        <v>215</v>
      </c>
      <c r="E1553" s="15" t="s">
        <v>125</v>
      </c>
      <c r="F1553" s="1" t="s">
        <v>2</v>
      </c>
      <c r="G1553" s="16">
        <v>350427.55599999998</v>
      </c>
      <c r="H1553" s="92">
        <v>0</v>
      </c>
      <c r="I1553" s="92">
        <f>(H1553*G1553)/2000</f>
        <v>0</v>
      </c>
      <c r="J1553" s="92"/>
      <c r="K1553" s="17" t="s">
        <v>223</v>
      </c>
      <c r="M1553" s="19"/>
      <c r="N1553" s="19"/>
      <c r="O1553" s="19"/>
      <c r="P1553" s="19"/>
    </row>
    <row r="1554" spans="1:17" x14ac:dyDescent="0.25">
      <c r="A1554" s="91">
        <v>2529</v>
      </c>
      <c r="B1554" s="15">
        <v>2013</v>
      </c>
      <c r="C1554" s="1" t="s">
        <v>0</v>
      </c>
      <c r="D1554" s="1" t="s">
        <v>215</v>
      </c>
      <c r="E1554" s="15" t="s">
        <v>125</v>
      </c>
      <c r="F1554" s="1" t="s">
        <v>4</v>
      </c>
      <c r="G1554" s="16">
        <v>-173.11</v>
      </c>
      <c r="H1554" s="92">
        <v>0</v>
      </c>
      <c r="I1554" s="92">
        <f>(H1554*G1554)/2000</f>
        <v>0</v>
      </c>
      <c r="J1554" s="92"/>
      <c r="K1554" s="17" t="s">
        <v>223</v>
      </c>
      <c r="M1554" s="19"/>
      <c r="N1554" s="19"/>
      <c r="O1554" s="19"/>
      <c r="P1554" s="19"/>
    </row>
    <row r="1555" spans="1:17" x14ac:dyDescent="0.25">
      <c r="A1555" s="91">
        <v>2530</v>
      </c>
      <c r="B1555" s="15">
        <v>2013</v>
      </c>
      <c r="C1555" s="1" t="s">
        <v>0</v>
      </c>
      <c r="D1555" s="1" t="s">
        <v>215</v>
      </c>
      <c r="E1555" s="15" t="s">
        <v>125</v>
      </c>
      <c r="F1555" s="1" t="s">
        <v>5</v>
      </c>
      <c r="G1555" s="16">
        <v>76306.592999999993</v>
      </c>
      <c r="H1555" s="92">
        <v>0</v>
      </c>
      <c r="I1555" s="92">
        <f>(H1555*G1555)/2000</f>
        <v>0</v>
      </c>
      <c r="J1555" s="92"/>
      <c r="K1555" s="17" t="s">
        <v>223</v>
      </c>
      <c r="M1555" s="19"/>
      <c r="N1555" s="19"/>
      <c r="O1555" s="19"/>
      <c r="P1555" s="19"/>
    </row>
    <row r="1556" spans="1:17" x14ac:dyDescent="0.25">
      <c r="A1556" s="91">
        <v>2532</v>
      </c>
      <c r="B1556" s="15">
        <v>2013</v>
      </c>
      <c r="C1556" s="1" t="s">
        <v>0</v>
      </c>
      <c r="D1556" s="1" t="s">
        <v>215</v>
      </c>
      <c r="E1556" s="15" t="s">
        <v>125</v>
      </c>
      <c r="F1556" s="1" t="s">
        <v>6</v>
      </c>
      <c r="G1556" s="16">
        <v>353239.95299999998</v>
      </c>
      <c r="H1556" s="92">
        <v>0</v>
      </c>
      <c r="I1556" s="92">
        <f>(H1556*G1556)/2000</f>
        <v>0</v>
      </c>
      <c r="J1556" s="92"/>
      <c r="K1556" s="17" t="s">
        <v>223</v>
      </c>
      <c r="M1556" s="19"/>
      <c r="N1556" s="19"/>
      <c r="O1556" s="19"/>
      <c r="P1556" s="19"/>
    </row>
    <row r="1557" spans="1:17" x14ac:dyDescent="0.25">
      <c r="A1557" s="91">
        <v>2535</v>
      </c>
      <c r="B1557" s="15">
        <v>2013</v>
      </c>
      <c r="C1557" s="1" t="s">
        <v>7</v>
      </c>
      <c r="D1557" s="1" t="s">
        <v>215</v>
      </c>
      <c r="E1557" s="15" t="s">
        <v>122</v>
      </c>
      <c r="F1557" s="1" t="s">
        <v>8</v>
      </c>
      <c r="G1557" s="16">
        <v>2322485</v>
      </c>
      <c r="H1557" s="16">
        <f t="shared" ref="H1557:H1568" si="60">(I1557*2000)/G1557</f>
        <v>2417.1951474274647</v>
      </c>
      <c r="I1557" s="16">
        <v>2806949.7359865373</v>
      </c>
      <c r="M1557" s="19"/>
      <c r="N1557" s="19"/>
      <c r="O1557" s="19"/>
      <c r="P1557" s="19"/>
      <c r="Q1557" s="15" t="s">
        <v>270</v>
      </c>
    </row>
    <row r="1558" spans="1:17" x14ac:dyDescent="0.25">
      <c r="A1558" s="91">
        <v>2536</v>
      </c>
      <c r="B1558" s="15">
        <v>2013</v>
      </c>
      <c r="C1558" s="1" t="s">
        <v>7</v>
      </c>
      <c r="D1558" s="1" t="s">
        <v>215</v>
      </c>
      <c r="E1558" s="15" t="s">
        <v>122</v>
      </c>
      <c r="F1558" s="1" t="s">
        <v>9</v>
      </c>
      <c r="G1558" s="16">
        <v>2023723</v>
      </c>
      <c r="H1558" s="16">
        <f t="shared" si="60"/>
        <v>2310.6941211344692</v>
      </c>
      <c r="I1558" s="16">
        <v>2338102.4194523059</v>
      </c>
      <c r="M1558" s="19"/>
      <c r="N1558" s="19"/>
      <c r="O1558" s="19"/>
      <c r="P1558" s="19"/>
      <c r="Q1558" s="15" t="s">
        <v>270</v>
      </c>
    </row>
    <row r="1559" spans="1:17" x14ac:dyDescent="0.25">
      <c r="A1559" s="91">
        <v>2537</v>
      </c>
      <c r="B1559" s="15">
        <v>2013</v>
      </c>
      <c r="C1559" s="1" t="s">
        <v>7</v>
      </c>
      <c r="D1559" s="1" t="s">
        <v>215</v>
      </c>
      <c r="E1559" s="15" t="s">
        <v>123</v>
      </c>
      <c r="F1559" s="1" t="s">
        <v>10</v>
      </c>
      <c r="G1559" s="16">
        <v>268267.32500000001</v>
      </c>
      <c r="H1559" s="16">
        <f t="shared" si="60"/>
        <v>1090.0119485596624</v>
      </c>
      <c r="I1559" s="16">
        <f t="shared" ref="I1559:I1568" si="61">J1559*1.102311</f>
        <v>146207.29482906914</v>
      </c>
      <c r="J1559" s="16">
        <v>132637.06415799999</v>
      </c>
      <c r="M1559" s="19"/>
      <c r="N1559" s="19"/>
      <c r="O1559" s="19"/>
      <c r="P1559" s="19"/>
      <c r="Q1559" s="15" t="s">
        <v>270</v>
      </c>
    </row>
    <row r="1560" spans="1:17" x14ac:dyDescent="0.25">
      <c r="A1560" s="91">
        <v>2538</v>
      </c>
      <c r="B1560" s="15">
        <v>2013</v>
      </c>
      <c r="C1560" s="1" t="s">
        <v>7</v>
      </c>
      <c r="D1560" s="1" t="s">
        <v>215</v>
      </c>
      <c r="E1560" s="15" t="s">
        <v>123</v>
      </c>
      <c r="F1560" s="1" t="s">
        <v>188</v>
      </c>
      <c r="G1560" s="16">
        <v>869393.88599999994</v>
      </c>
      <c r="H1560" s="16">
        <f t="shared" si="60"/>
        <v>1001.4112354217872</v>
      </c>
      <c r="I1560" s="16">
        <f t="shared" si="61"/>
        <v>435310.40272370417</v>
      </c>
      <c r="J1560" s="16">
        <v>394907.06590400002</v>
      </c>
      <c r="M1560" s="19"/>
      <c r="N1560" s="19"/>
      <c r="O1560" s="19"/>
      <c r="P1560" s="19"/>
      <c r="Q1560" s="15" t="s">
        <v>270</v>
      </c>
    </row>
    <row r="1561" spans="1:17" x14ac:dyDescent="0.25">
      <c r="A1561" s="91">
        <v>2539</v>
      </c>
      <c r="B1561" s="15">
        <v>2013</v>
      </c>
      <c r="C1561" s="1" t="s">
        <v>7</v>
      </c>
      <c r="D1561" s="1" t="s">
        <v>215</v>
      </c>
      <c r="E1561" s="15" t="s">
        <v>123</v>
      </c>
      <c r="F1561" s="1" t="s">
        <v>13</v>
      </c>
      <c r="G1561" s="16">
        <v>416396.53899999999</v>
      </c>
      <c r="H1561" s="16">
        <f t="shared" si="60"/>
        <v>1735.1748954894076</v>
      </c>
      <c r="I1561" s="16">
        <f t="shared" si="61"/>
        <v>361260.41052073799</v>
      </c>
      <c r="J1561" s="16">
        <v>327730.02403200004</v>
      </c>
      <c r="M1561" s="19"/>
      <c r="N1561" s="19"/>
      <c r="O1561" s="19"/>
      <c r="P1561" s="19"/>
      <c r="Q1561" s="15" t="s">
        <v>270</v>
      </c>
    </row>
    <row r="1562" spans="1:17" x14ac:dyDescent="0.25">
      <c r="A1562" s="91">
        <v>2540</v>
      </c>
      <c r="B1562" s="15">
        <v>2013</v>
      </c>
      <c r="C1562" s="1" t="s">
        <v>7</v>
      </c>
      <c r="D1562" s="1" t="s">
        <v>215</v>
      </c>
      <c r="E1562" s="15" t="s">
        <v>123</v>
      </c>
      <c r="F1562" s="1" t="s">
        <v>144</v>
      </c>
      <c r="G1562" s="16">
        <v>1469093.6269999999</v>
      </c>
      <c r="H1562" s="16">
        <f t="shared" si="60"/>
        <v>816.81954748930616</v>
      </c>
      <c r="I1562" s="16">
        <f t="shared" si="61"/>
        <v>599992.19581278169</v>
      </c>
      <c r="J1562" s="16">
        <v>544303.91769000003</v>
      </c>
      <c r="M1562" s="19"/>
      <c r="N1562" s="19"/>
      <c r="O1562" s="19"/>
      <c r="P1562" s="19"/>
      <c r="Q1562" s="15" t="s">
        <v>270</v>
      </c>
    </row>
    <row r="1563" spans="1:17" x14ac:dyDescent="0.25">
      <c r="A1563" s="91">
        <v>2541</v>
      </c>
      <c r="B1563" s="15">
        <v>2013</v>
      </c>
      <c r="C1563" s="1" t="s">
        <v>7</v>
      </c>
      <c r="D1563" s="1" t="s">
        <v>215</v>
      </c>
      <c r="E1563" s="15" t="s">
        <v>123</v>
      </c>
      <c r="F1563" s="1" t="s">
        <v>156</v>
      </c>
      <c r="G1563" s="16">
        <v>1614347.7590000001</v>
      </c>
      <c r="H1563" s="16">
        <f t="shared" si="60"/>
        <v>864.2324486412848</v>
      </c>
      <c r="I1563" s="16">
        <f t="shared" si="61"/>
        <v>697585.85835957038</v>
      </c>
      <c r="J1563" s="16">
        <v>632839.424046</v>
      </c>
      <c r="M1563" s="19"/>
      <c r="N1563" s="19"/>
      <c r="O1563" s="19"/>
      <c r="P1563" s="19"/>
      <c r="Q1563" s="15" t="s">
        <v>270</v>
      </c>
    </row>
    <row r="1564" spans="1:17" x14ac:dyDescent="0.25">
      <c r="A1564" s="91">
        <v>2542</v>
      </c>
      <c r="B1564" s="15">
        <v>2013</v>
      </c>
      <c r="C1564" s="1" t="s">
        <v>7</v>
      </c>
      <c r="D1564" s="1" t="s">
        <v>215</v>
      </c>
      <c r="E1564" s="15" t="s">
        <v>123</v>
      </c>
      <c r="F1564" s="1" t="s">
        <v>155</v>
      </c>
      <c r="G1564" s="16">
        <v>536584.62</v>
      </c>
      <c r="H1564" s="16">
        <f t="shared" si="60"/>
        <v>1027.0424170770877</v>
      </c>
      <c r="I1564" s="16">
        <f t="shared" si="61"/>
        <v>275547.5825455953</v>
      </c>
      <c r="J1564" s="16">
        <v>249972.63253799998</v>
      </c>
      <c r="M1564" s="19"/>
      <c r="N1564" s="19"/>
      <c r="O1564" s="19"/>
      <c r="P1564" s="19"/>
      <c r="Q1564" s="15" t="s">
        <v>270</v>
      </c>
    </row>
    <row r="1565" spans="1:17" x14ac:dyDescent="0.25">
      <c r="A1565" s="91">
        <v>2545</v>
      </c>
      <c r="B1565" s="15">
        <v>2013</v>
      </c>
      <c r="C1565" s="1" t="s">
        <v>11</v>
      </c>
      <c r="D1565" s="1" t="s">
        <v>215</v>
      </c>
      <c r="E1565" s="15" t="s">
        <v>124</v>
      </c>
      <c r="F1565" s="1" t="s">
        <v>12</v>
      </c>
      <c r="G1565" s="16">
        <v>48.722000000000001</v>
      </c>
      <c r="H1565" s="16">
        <f t="shared" si="60"/>
        <v>2629.0976266346393</v>
      </c>
      <c r="I1565" s="16">
        <f t="shared" si="61"/>
        <v>64.047447282446456</v>
      </c>
      <c r="J1565" s="16">
        <v>58.102883199429606</v>
      </c>
      <c r="M1565" s="19"/>
      <c r="N1565" s="19"/>
      <c r="O1565" s="19"/>
      <c r="P1565" s="19"/>
      <c r="Q1565" s="15" t="s">
        <v>261</v>
      </c>
    </row>
    <row r="1566" spans="1:17" x14ac:dyDescent="0.25">
      <c r="A1566" s="91">
        <v>2549</v>
      </c>
      <c r="B1566" s="15">
        <v>2013</v>
      </c>
      <c r="C1566" s="1" t="s">
        <v>11</v>
      </c>
      <c r="D1566" s="1" t="s">
        <v>215</v>
      </c>
      <c r="E1566" s="15" t="s">
        <v>123</v>
      </c>
      <c r="F1566" s="1" t="s">
        <v>14</v>
      </c>
      <c r="G1566" s="16">
        <v>112470.95</v>
      </c>
      <c r="H1566" s="16">
        <f t="shared" si="60"/>
        <v>1470.4134074018527</v>
      </c>
      <c r="I1566" s="16">
        <f t="shared" si="61"/>
        <v>82689.396411611713</v>
      </c>
      <c r="J1566" s="16">
        <v>75014.579743476846</v>
      </c>
      <c r="M1566" s="19"/>
      <c r="N1566" s="19"/>
      <c r="O1566" s="19"/>
      <c r="P1566" s="19"/>
      <c r="Q1566" s="15" t="s">
        <v>261</v>
      </c>
    </row>
    <row r="1567" spans="1:17" x14ac:dyDescent="0.25">
      <c r="A1567" s="91">
        <v>2550</v>
      </c>
      <c r="B1567" s="15">
        <v>2013</v>
      </c>
      <c r="C1567" s="1" t="s">
        <v>11</v>
      </c>
      <c r="D1567" s="1" t="s">
        <v>215</v>
      </c>
      <c r="E1567" s="15" t="s">
        <v>123</v>
      </c>
      <c r="F1567" s="1" t="s">
        <v>15</v>
      </c>
      <c r="G1567" s="16">
        <v>12943.957</v>
      </c>
      <c r="H1567" s="16">
        <f t="shared" si="60"/>
        <v>1252.1295261118873</v>
      </c>
      <c r="I1567" s="16">
        <f t="shared" si="61"/>
        <v>8103.7553722113244</v>
      </c>
      <c r="J1567" s="16">
        <v>7351.6052840000002</v>
      </c>
      <c r="M1567" s="19"/>
      <c r="N1567" s="19"/>
      <c r="O1567" s="19"/>
      <c r="P1567" s="19"/>
      <c r="Q1567" s="15" t="s">
        <v>261</v>
      </c>
    </row>
    <row r="1568" spans="1:17" x14ac:dyDescent="0.25">
      <c r="A1568" s="91">
        <v>2551</v>
      </c>
      <c r="B1568" s="15">
        <v>2013</v>
      </c>
      <c r="C1568" s="1" t="s">
        <v>11</v>
      </c>
      <c r="D1568" s="1" t="s">
        <v>215</v>
      </c>
      <c r="E1568" s="15" t="s">
        <v>123</v>
      </c>
      <c r="F1568" s="1" t="s">
        <v>16</v>
      </c>
      <c r="G1568" s="16">
        <v>27905.3</v>
      </c>
      <c r="H1568" s="16">
        <f t="shared" si="60"/>
        <v>2727.9687020896617</v>
      </c>
      <c r="I1568" s="16">
        <f t="shared" si="61"/>
        <v>38062.392511211321</v>
      </c>
      <c r="J1568" s="16">
        <v>34529.631393691365</v>
      </c>
      <c r="M1568" s="19"/>
      <c r="N1568" s="19"/>
      <c r="O1568" s="19"/>
      <c r="P1568" s="19"/>
      <c r="Q1568" s="15" t="s">
        <v>270</v>
      </c>
    </row>
    <row r="1569" spans="1:17" x14ac:dyDescent="0.25">
      <c r="A1569" s="91">
        <v>2553</v>
      </c>
      <c r="B1569" s="15">
        <v>2013</v>
      </c>
      <c r="C1569" s="1" t="s">
        <v>11</v>
      </c>
      <c r="D1569" s="1" t="s">
        <v>215</v>
      </c>
      <c r="E1569" s="15" t="s">
        <v>125</v>
      </c>
      <c r="F1569" s="1" t="s">
        <v>17</v>
      </c>
      <c r="G1569" s="16">
        <v>406599.78</v>
      </c>
      <c r="H1569" s="92">
        <v>0</v>
      </c>
      <c r="I1569" s="92">
        <f>(H1569*G1569)/2000</f>
        <v>0</v>
      </c>
      <c r="J1569" s="92"/>
      <c r="K1569" s="17" t="s">
        <v>229</v>
      </c>
      <c r="M1569" s="19"/>
      <c r="N1569" s="19"/>
      <c r="O1569" s="19"/>
      <c r="P1569" s="19"/>
    </row>
    <row r="1570" spans="1:17" x14ac:dyDescent="0.25">
      <c r="A1570" s="91">
        <v>2554</v>
      </c>
      <c r="B1570" s="15">
        <v>2013</v>
      </c>
      <c r="C1570" s="1" t="s">
        <v>11</v>
      </c>
      <c r="D1570" s="1" t="s">
        <v>215</v>
      </c>
      <c r="E1570" s="15" t="s">
        <v>125</v>
      </c>
      <c r="F1570" s="1" t="s">
        <v>189</v>
      </c>
      <c r="G1570" s="16">
        <v>816895.07</v>
      </c>
      <c r="H1570" s="92">
        <v>0</v>
      </c>
      <c r="I1570" s="92">
        <f>(H1570*G1570)/2000</f>
        <v>0</v>
      </c>
      <c r="J1570" s="92"/>
      <c r="K1570" s="17" t="s">
        <v>229</v>
      </c>
      <c r="M1570" s="19"/>
      <c r="N1570" s="19"/>
      <c r="O1570" s="19"/>
      <c r="P1570" s="19"/>
    </row>
    <row r="1571" spans="1:17" x14ac:dyDescent="0.25">
      <c r="A1571" s="91">
        <v>2561</v>
      </c>
      <c r="B1571" s="15">
        <v>2013</v>
      </c>
      <c r="C1571" s="1" t="s">
        <v>11</v>
      </c>
      <c r="D1571" s="1" t="s">
        <v>215</v>
      </c>
      <c r="E1571" s="15" t="s">
        <v>123</v>
      </c>
      <c r="F1571" s="1" t="s">
        <v>18</v>
      </c>
      <c r="G1571" s="16">
        <v>27795.7</v>
      </c>
      <c r="H1571" s="16">
        <f>(I1571*2000)/G1571</f>
        <v>2273.2985103724336</v>
      </c>
      <c r="I1571" s="16">
        <f>J1571*1.102311</f>
        <v>31593.961702379525</v>
      </c>
      <c r="J1571" s="16">
        <v>28661.568016992958</v>
      </c>
      <c r="M1571" s="19"/>
      <c r="N1571" s="19"/>
      <c r="O1571" s="19"/>
      <c r="P1571" s="19"/>
      <c r="Q1571" s="15" t="s">
        <v>270</v>
      </c>
    </row>
    <row r="1572" spans="1:17" x14ac:dyDescent="0.25">
      <c r="A1572" s="91">
        <v>2562</v>
      </c>
      <c r="B1572" s="15">
        <v>2013</v>
      </c>
      <c r="C1572" s="1" t="s">
        <v>11</v>
      </c>
      <c r="D1572" s="1" t="s">
        <v>215</v>
      </c>
      <c r="E1572" s="15" t="s">
        <v>125</v>
      </c>
      <c r="F1572" s="1" t="s">
        <v>126</v>
      </c>
      <c r="G1572" s="16">
        <v>659105.34199999995</v>
      </c>
      <c r="H1572" s="92">
        <v>0</v>
      </c>
      <c r="I1572" s="92">
        <f>(H1572*G1572)/2000</f>
        <v>0</v>
      </c>
      <c r="J1572" s="92"/>
      <c r="K1572" s="17" t="s">
        <v>229</v>
      </c>
      <c r="M1572" s="19"/>
      <c r="N1572" s="19"/>
      <c r="O1572" s="19"/>
      <c r="P1572" s="19"/>
    </row>
    <row r="1573" spans="1:17" x14ac:dyDescent="0.25">
      <c r="A1573" s="91">
        <v>2564</v>
      </c>
      <c r="B1573" s="15">
        <v>2013</v>
      </c>
      <c r="C1573" s="1" t="s">
        <v>19</v>
      </c>
      <c r="D1573" s="1" t="s">
        <v>219</v>
      </c>
      <c r="E1573" s="15" t="s">
        <v>125</v>
      </c>
      <c r="F1573" s="1" t="s">
        <v>175</v>
      </c>
      <c r="G1573" s="16">
        <v>202.654</v>
      </c>
      <c r="H1573" s="92">
        <v>0</v>
      </c>
      <c r="I1573" s="92">
        <f>(H1573*G1573)/2000</f>
        <v>0</v>
      </c>
      <c r="J1573" s="92"/>
      <c r="K1573" s="17" t="s">
        <v>229</v>
      </c>
      <c r="M1573" s="19"/>
      <c r="N1573" s="19"/>
      <c r="O1573" s="19"/>
      <c r="P1573" s="19"/>
    </row>
    <row r="1574" spans="1:17" x14ac:dyDescent="0.25">
      <c r="A1574" s="91">
        <v>2565</v>
      </c>
      <c r="B1574" s="15">
        <v>2013</v>
      </c>
      <c r="C1574" s="1" t="s">
        <v>19</v>
      </c>
      <c r="D1574" s="1" t="s">
        <v>219</v>
      </c>
      <c r="E1574" s="15" t="s">
        <v>217</v>
      </c>
      <c r="F1574" s="1" t="s">
        <v>127</v>
      </c>
      <c r="G1574" s="16">
        <v>216075</v>
      </c>
      <c r="H1574" s="93">
        <f>'Emission Rates Net-by-Count'!$D$11</f>
        <v>1132.1250513717666</v>
      </c>
      <c r="I1574" s="16">
        <f>(G1574*H1574)/2000</f>
        <v>122311.96023757724</v>
      </c>
      <c r="K1574" s="17" t="s">
        <v>249</v>
      </c>
      <c r="M1574" s="19"/>
      <c r="N1574" s="19"/>
      <c r="O1574" s="19"/>
      <c r="P1574" s="19"/>
    </row>
    <row r="1575" spans="1:17" x14ac:dyDescent="0.25">
      <c r="A1575" s="91">
        <v>2566</v>
      </c>
      <c r="B1575" s="15">
        <v>2013</v>
      </c>
      <c r="C1575" s="1" t="s">
        <v>19</v>
      </c>
      <c r="D1575" s="1" t="s">
        <v>219</v>
      </c>
      <c r="E1575" s="15" t="s">
        <v>217</v>
      </c>
      <c r="F1575" s="1" t="s">
        <v>20</v>
      </c>
      <c r="G1575" s="16">
        <v>21366.07</v>
      </c>
      <c r="H1575" s="93">
        <f>'Emission Rates Net-by-Count'!$D$11</f>
        <v>1132.1250513717666</v>
      </c>
      <c r="I1575" s="16">
        <f>(G1575*H1575)/2000</f>
        <v>12094.531548181381</v>
      </c>
      <c r="M1575" s="19"/>
      <c r="N1575" s="19"/>
      <c r="O1575" s="19"/>
      <c r="P1575" s="19"/>
    </row>
    <row r="1576" spans="1:17" x14ac:dyDescent="0.25">
      <c r="A1576" s="91">
        <v>2567</v>
      </c>
      <c r="B1576" s="15">
        <v>2013</v>
      </c>
      <c r="C1576" s="1" t="s">
        <v>19</v>
      </c>
      <c r="D1576" s="1" t="s">
        <v>219</v>
      </c>
      <c r="E1576" s="15" t="s">
        <v>125</v>
      </c>
      <c r="F1576" s="1" t="s">
        <v>195</v>
      </c>
      <c r="G1576" s="16">
        <v>0.89400000000000002</v>
      </c>
      <c r="H1576" s="92">
        <v>0</v>
      </c>
      <c r="I1576" s="92">
        <f>(H1576*G1576)/2000</f>
        <v>0</v>
      </c>
      <c r="J1576" s="92"/>
      <c r="K1576" s="17" t="s">
        <v>226</v>
      </c>
      <c r="M1576" s="19"/>
      <c r="N1576" s="19"/>
      <c r="O1576" s="19"/>
      <c r="P1576" s="19"/>
    </row>
    <row r="1577" spans="1:17" x14ac:dyDescent="0.25">
      <c r="A1577" s="91">
        <v>2568</v>
      </c>
      <c r="B1577" s="15">
        <v>2013</v>
      </c>
      <c r="C1577" s="1" t="s">
        <v>19</v>
      </c>
      <c r="D1577" s="1" t="s">
        <v>219</v>
      </c>
      <c r="E1577" s="15" t="s">
        <v>125</v>
      </c>
      <c r="F1577" s="1" t="s">
        <v>176</v>
      </c>
      <c r="G1577" s="16">
        <v>12819.279</v>
      </c>
      <c r="H1577" s="92">
        <v>0</v>
      </c>
      <c r="I1577" s="92">
        <f>(H1577*G1577)/2000</f>
        <v>0</v>
      </c>
      <c r="J1577" s="92"/>
      <c r="K1577" s="17" t="s">
        <v>223</v>
      </c>
      <c r="M1577" s="19"/>
      <c r="N1577" s="19"/>
      <c r="O1577" s="19"/>
      <c r="P1577" s="19"/>
    </row>
    <row r="1578" spans="1:17" x14ac:dyDescent="0.25">
      <c r="A1578" s="91">
        <v>2569</v>
      </c>
      <c r="B1578" s="15">
        <v>2013</v>
      </c>
      <c r="C1578" s="1" t="s">
        <v>19</v>
      </c>
      <c r="D1578" s="1" t="s">
        <v>219</v>
      </c>
      <c r="E1578" s="15" t="s">
        <v>230</v>
      </c>
      <c r="F1578" s="1" t="s">
        <v>51</v>
      </c>
      <c r="G1578" s="16">
        <v>-204155</v>
      </c>
      <c r="H1578" s="92">
        <v>0</v>
      </c>
      <c r="I1578" s="92">
        <f>(H1578*G1578)/2000</f>
        <v>0</v>
      </c>
      <c r="J1578" s="92"/>
      <c r="K1578" s="17" t="s">
        <v>231</v>
      </c>
      <c r="M1578" s="19"/>
      <c r="N1578" s="19"/>
      <c r="O1578" s="19"/>
      <c r="P1578" s="19"/>
    </row>
    <row r="1579" spans="1:17" x14ac:dyDescent="0.25">
      <c r="A1579" s="91">
        <v>2570</v>
      </c>
      <c r="B1579" s="15">
        <v>2013</v>
      </c>
      <c r="C1579" s="1" t="s">
        <v>19</v>
      </c>
      <c r="D1579" s="1" t="s">
        <v>219</v>
      </c>
      <c r="E1579" s="15" t="s">
        <v>125</v>
      </c>
      <c r="F1579" s="1" t="s">
        <v>21</v>
      </c>
      <c r="G1579" s="16">
        <v>7000</v>
      </c>
      <c r="H1579" s="92">
        <v>0</v>
      </c>
      <c r="I1579" s="92">
        <f>(H1579*G1579)/2000</f>
        <v>0</v>
      </c>
      <c r="J1579" s="92"/>
      <c r="K1579" s="17" t="s">
        <v>235</v>
      </c>
      <c r="M1579" s="19"/>
      <c r="N1579" s="19"/>
      <c r="O1579" s="19"/>
      <c r="P1579" s="19"/>
    </row>
    <row r="1580" spans="1:17" x14ac:dyDescent="0.25">
      <c r="A1580" s="91">
        <v>2571</v>
      </c>
      <c r="B1580" s="15">
        <v>2013</v>
      </c>
      <c r="C1580" s="1" t="s">
        <v>19</v>
      </c>
      <c r="D1580" s="1" t="s">
        <v>219</v>
      </c>
      <c r="E1580" s="15" t="s">
        <v>217</v>
      </c>
      <c r="F1580" s="1" t="s">
        <v>22</v>
      </c>
      <c r="G1580" s="16">
        <v>374969</v>
      </c>
      <c r="H1580" s="93">
        <f>'Emission Rates Net-by-Count'!$D$11</f>
        <v>1132.1250513717666</v>
      </c>
      <c r="I1580" s="16">
        <f>(G1580*H1580)/2000</f>
        <v>212255.89919390998</v>
      </c>
      <c r="J1580" s="92"/>
      <c r="K1580" s="17" t="s">
        <v>236</v>
      </c>
      <c r="M1580" s="19"/>
      <c r="N1580" s="19"/>
      <c r="O1580" s="19"/>
      <c r="P1580" s="19"/>
    </row>
    <row r="1581" spans="1:17" x14ac:dyDescent="0.25">
      <c r="A1581" s="91">
        <v>2572</v>
      </c>
      <c r="B1581" s="15">
        <v>2013</v>
      </c>
      <c r="C1581" s="1" t="s">
        <v>19</v>
      </c>
      <c r="D1581" s="1" t="s">
        <v>219</v>
      </c>
      <c r="E1581" s="15" t="s">
        <v>125</v>
      </c>
      <c r="F1581" s="1" t="s">
        <v>190</v>
      </c>
      <c r="G1581" s="16">
        <v>28.17</v>
      </c>
      <c r="H1581" s="92">
        <v>0</v>
      </c>
      <c r="I1581" s="92">
        <f t="shared" ref="I1581:I1590" si="62">(H1581*G1581)/2000</f>
        <v>0</v>
      </c>
      <c r="J1581" s="92"/>
      <c r="K1581" s="17" t="s">
        <v>221</v>
      </c>
      <c r="M1581" s="19"/>
      <c r="N1581" s="19"/>
      <c r="O1581" s="19"/>
      <c r="P1581" s="19"/>
    </row>
    <row r="1582" spans="1:17" x14ac:dyDescent="0.25">
      <c r="A1582" s="91">
        <v>2573</v>
      </c>
      <c r="B1582" s="15">
        <v>2013</v>
      </c>
      <c r="C1582" s="1" t="s">
        <v>19</v>
      </c>
      <c r="D1582" s="1" t="s">
        <v>219</v>
      </c>
      <c r="E1582" s="15" t="s">
        <v>125</v>
      </c>
      <c r="F1582" s="1" t="s">
        <v>177</v>
      </c>
      <c r="G1582" s="16">
        <v>2436603</v>
      </c>
      <c r="H1582" s="92">
        <v>0</v>
      </c>
      <c r="I1582" s="92">
        <f t="shared" si="62"/>
        <v>0</v>
      </c>
      <c r="J1582" s="92"/>
      <c r="K1582" s="17" t="s">
        <v>223</v>
      </c>
      <c r="M1582" s="19"/>
      <c r="N1582" s="19"/>
      <c r="O1582" s="19"/>
      <c r="P1582" s="19"/>
    </row>
    <row r="1583" spans="1:17" x14ac:dyDescent="0.25">
      <c r="A1583" s="91">
        <v>2574</v>
      </c>
      <c r="B1583" s="15">
        <v>2013</v>
      </c>
      <c r="C1583" s="1" t="s">
        <v>19</v>
      </c>
      <c r="D1583" s="1" t="s">
        <v>219</v>
      </c>
      <c r="E1583" s="15" t="s">
        <v>125</v>
      </c>
      <c r="F1583" s="1" t="s">
        <v>23</v>
      </c>
      <c r="G1583" s="16">
        <v>-43063</v>
      </c>
      <c r="H1583" s="92">
        <v>0</v>
      </c>
      <c r="I1583" s="92">
        <f t="shared" si="62"/>
        <v>0</v>
      </c>
      <c r="J1583" s="92"/>
      <c r="K1583" s="17" t="s">
        <v>223</v>
      </c>
      <c r="M1583" s="19"/>
      <c r="N1583" s="19"/>
      <c r="O1583" s="19"/>
      <c r="P1583" s="19"/>
    </row>
    <row r="1584" spans="1:17" x14ac:dyDescent="0.25">
      <c r="A1584" s="91">
        <v>2575</v>
      </c>
      <c r="B1584" s="15">
        <v>2013</v>
      </c>
      <c r="C1584" s="1" t="s">
        <v>19</v>
      </c>
      <c r="D1584" s="1" t="s">
        <v>219</v>
      </c>
      <c r="E1584" s="15" t="s">
        <v>125</v>
      </c>
      <c r="F1584" s="1" t="s">
        <v>24</v>
      </c>
      <c r="G1584" s="16">
        <v>-78804</v>
      </c>
      <c r="H1584" s="92">
        <v>0</v>
      </c>
      <c r="I1584" s="92">
        <f t="shared" si="62"/>
        <v>0</v>
      </c>
      <c r="J1584" s="92"/>
      <c r="K1584" s="17" t="s">
        <v>223</v>
      </c>
      <c r="M1584" s="19"/>
      <c r="N1584" s="19"/>
      <c r="O1584" s="19"/>
      <c r="P1584" s="19"/>
    </row>
    <row r="1585" spans="1:17" x14ac:dyDescent="0.25">
      <c r="A1585" s="91">
        <v>2576</v>
      </c>
      <c r="B1585" s="15">
        <v>2013</v>
      </c>
      <c r="C1585" s="1" t="s">
        <v>19</v>
      </c>
      <c r="D1585" s="1" t="s">
        <v>219</v>
      </c>
      <c r="E1585" s="15" t="s">
        <v>125</v>
      </c>
      <c r="F1585" s="1" t="s">
        <v>25</v>
      </c>
      <c r="G1585" s="16">
        <v>1064303</v>
      </c>
      <c r="H1585" s="92">
        <v>0</v>
      </c>
      <c r="I1585" s="92">
        <f t="shared" si="62"/>
        <v>0</v>
      </c>
      <c r="J1585" s="92"/>
      <c r="K1585" s="17" t="s">
        <v>223</v>
      </c>
      <c r="M1585" s="19"/>
      <c r="N1585" s="19"/>
      <c r="O1585" s="19"/>
      <c r="P1585" s="19"/>
    </row>
    <row r="1586" spans="1:17" x14ac:dyDescent="0.25">
      <c r="A1586" s="91">
        <v>2577</v>
      </c>
      <c r="B1586" s="15">
        <v>2013</v>
      </c>
      <c r="C1586" s="1" t="s">
        <v>19</v>
      </c>
      <c r="D1586" s="1" t="s">
        <v>219</v>
      </c>
      <c r="E1586" s="15" t="s">
        <v>125</v>
      </c>
      <c r="F1586" s="1" t="s">
        <v>191</v>
      </c>
      <c r="G1586" s="16">
        <v>3924.8539999999998</v>
      </c>
      <c r="H1586" s="92">
        <v>0</v>
      </c>
      <c r="I1586" s="92">
        <f t="shared" si="62"/>
        <v>0</v>
      </c>
      <c r="J1586" s="92"/>
      <c r="K1586" s="17" t="s">
        <v>232</v>
      </c>
      <c r="M1586" s="19"/>
      <c r="N1586" s="19"/>
      <c r="O1586" s="19"/>
      <c r="P1586" s="19"/>
    </row>
    <row r="1587" spans="1:17" x14ac:dyDescent="0.25">
      <c r="A1587" s="91">
        <v>2578</v>
      </c>
      <c r="B1587" s="15">
        <v>2013</v>
      </c>
      <c r="C1587" s="1" t="s">
        <v>19</v>
      </c>
      <c r="D1587" s="1" t="s">
        <v>219</v>
      </c>
      <c r="E1587" s="15" t="s">
        <v>125</v>
      </c>
      <c r="F1587" s="1" t="s">
        <v>169</v>
      </c>
      <c r="G1587" s="16">
        <v>4128.7299999999996</v>
      </c>
      <c r="H1587" s="92">
        <v>0</v>
      </c>
      <c r="I1587" s="92">
        <f t="shared" si="62"/>
        <v>0</v>
      </c>
      <c r="J1587" s="92"/>
      <c r="K1587" s="17" t="s">
        <v>232</v>
      </c>
      <c r="M1587" s="19"/>
      <c r="N1587" s="19"/>
      <c r="O1587" s="19"/>
      <c r="P1587" s="19"/>
    </row>
    <row r="1588" spans="1:17" x14ac:dyDescent="0.25">
      <c r="A1588" s="91">
        <v>2579</v>
      </c>
      <c r="B1588" s="15">
        <v>2013</v>
      </c>
      <c r="C1588" s="1" t="s">
        <v>19</v>
      </c>
      <c r="D1588" s="1" t="s">
        <v>219</v>
      </c>
      <c r="E1588" s="15" t="s">
        <v>125</v>
      </c>
      <c r="F1588" s="1" t="s">
        <v>161</v>
      </c>
      <c r="G1588" s="16">
        <v>5448.1419999999998</v>
      </c>
      <c r="H1588" s="92">
        <v>0</v>
      </c>
      <c r="I1588" s="92">
        <f t="shared" si="62"/>
        <v>0</v>
      </c>
      <c r="J1588" s="92"/>
      <c r="K1588" s="17" t="s">
        <v>232</v>
      </c>
      <c r="M1588" s="19"/>
      <c r="N1588" s="19"/>
      <c r="O1588" s="19"/>
      <c r="P1588" s="19"/>
    </row>
    <row r="1589" spans="1:17" x14ac:dyDescent="0.25">
      <c r="A1589" s="91">
        <v>2580</v>
      </c>
      <c r="B1589" s="15">
        <v>2013</v>
      </c>
      <c r="C1589" s="1" t="s">
        <v>19</v>
      </c>
      <c r="D1589" s="1" t="s">
        <v>219</v>
      </c>
      <c r="E1589" s="15" t="s">
        <v>125</v>
      </c>
      <c r="F1589" s="1" t="s">
        <v>162</v>
      </c>
      <c r="G1589" s="16">
        <v>72986</v>
      </c>
      <c r="H1589" s="92">
        <v>0</v>
      </c>
      <c r="I1589" s="92">
        <f t="shared" si="62"/>
        <v>0</v>
      </c>
      <c r="J1589" s="92"/>
      <c r="K1589" s="17" t="s">
        <v>223</v>
      </c>
      <c r="M1589" s="19"/>
      <c r="N1589" s="19"/>
      <c r="O1589" s="19"/>
      <c r="P1589" s="19"/>
    </row>
    <row r="1590" spans="1:17" x14ac:dyDescent="0.25">
      <c r="A1590" s="91">
        <v>2581</v>
      </c>
      <c r="B1590" s="15">
        <v>2013</v>
      </c>
      <c r="C1590" s="1" t="s">
        <v>19</v>
      </c>
      <c r="D1590" s="1" t="s">
        <v>219</v>
      </c>
      <c r="E1590" s="15" t="s">
        <v>125</v>
      </c>
      <c r="F1590" s="1" t="s">
        <v>178</v>
      </c>
      <c r="G1590" s="16">
        <v>59.14</v>
      </c>
      <c r="H1590" s="92">
        <v>0</v>
      </c>
      <c r="I1590" s="92">
        <f t="shared" si="62"/>
        <v>0</v>
      </c>
      <c r="J1590" s="92"/>
      <c r="K1590" s="17" t="s">
        <v>221</v>
      </c>
      <c r="M1590" s="19"/>
      <c r="N1590" s="19"/>
      <c r="O1590" s="19"/>
      <c r="P1590" s="19"/>
    </row>
    <row r="1591" spans="1:17" x14ac:dyDescent="0.25">
      <c r="A1591" s="91">
        <v>2582</v>
      </c>
      <c r="B1591" s="15">
        <v>2013</v>
      </c>
      <c r="C1591" s="1" t="s">
        <v>19</v>
      </c>
      <c r="D1591" s="1" t="s">
        <v>219</v>
      </c>
      <c r="E1591" s="15" t="s">
        <v>217</v>
      </c>
      <c r="F1591" s="1" t="s">
        <v>133</v>
      </c>
      <c r="G1591" s="16">
        <v>161925</v>
      </c>
      <c r="H1591" s="93">
        <f>'Emission Rates Net-by-Count'!$D$11</f>
        <v>1132.1250513717666</v>
      </c>
      <c r="I1591" s="16">
        <f>(G1591*H1591)/2000</f>
        <v>91659.674471686667</v>
      </c>
      <c r="M1591" s="19"/>
      <c r="N1591" s="19"/>
      <c r="O1591" s="19"/>
      <c r="P1591" s="19"/>
    </row>
    <row r="1592" spans="1:17" x14ac:dyDescent="0.25">
      <c r="A1592" s="91">
        <v>2583</v>
      </c>
      <c r="B1592" s="15">
        <v>2013</v>
      </c>
      <c r="C1592" s="1" t="s">
        <v>19</v>
      </c>
      <c r="D1592" s="1" t="s">
        <v>219</v>
      </c>
      <c r="E1592" s="15" t="s">
        <v>123</v>
      </c>
      <c r="F1592" s="1" t="s">
        <v>192</v>
      </c>
      <c r="G1592" s="16">
        <v>8450</v>
      </c>
      <c r="H1592" s="92">
        <f>P1592</f>
        <v>807.41888800286392</v>
      </c>
      <c r="I1592" s="92">
        <f>(+G1592*H1592)/2000</f>
        <v>3411.3448018121003</v>
      </c>
      <c r="J1592" s="92"/>
      <c r="K1592" s="17" t="s">
        <v>224</v>
      </c>
      <c r="L1592" s="18">
        <v>5.8439999999999999E-2</v>
      </c>
      <c r="M1592" s="19">
        <v>19587127</v>
      </c>
      <c r="N1592" s="19">
        <f>(M1592*L1592)</f>
        <v>1144671.7018800001</v>
      </c>
      <c r="O1592" s="19">
        <v>2835385</v>
      </c>
      <c r="P1592" s="19">
        <f>(N1592*2000)/O1592</f>
        <v>807.41888800286392</v>
      </c>
      <c r="Q1592" s="15" t="s">
        <v>255</v>
      </c>
    </row>
    <row r="1593" spans="1:17" x14ac:dyDescent="0.25">
      <c r="A1593" s="91">
        <v>2584</v>
      </c>
      <c r="B1593" s="15">
        <v>2013</v>
      </c>
      <c r="C1593" s="1" t="s">
        <v>19</v>
      </c>
      <c r="D1593" s="1" t="s">
        <v>219</v>
      </c>
      <c r="E1593" s="15" t="s">
        <v>125</v>
      </c>
      <c r="F1593" s="1" t="s">
        <v>145</v>
      </c>
      <c r="G1593" s="16">
        <v>134050</v>
      </c>
      <c r="H1593" s="92">
        <v>0</v>
      </c>
      <c r="I1593" s="92">
        <f>(H1593*G1593)/2000</f>
        <v>0</v>
      </c>
      <c r="J1593" s="92"/>
      <c r="K1593" s="17" t="s">
        <v>229</v>
      </c>
      <c r="M1593" s="19"/>
      <c r="N1593" s="19"/>
      <c r="O1593" s="19"/>
      <c r="P1593" s="19"/>
    </row>
    <row r="1594" spans="1:17" x14ac:dyDescent="0.25">
      <c r="A1594" s="91">
        <v>2585</v>
      </c>
      <c r="B1594" s="15">
        <v>2013</v>
      </c>
      <c r="C1594" s="1" t="s">
        <v>19</v>
      </c>
      <c r="D1594" s="1" t="s">
        <v>219</v>
      </c>
      <c r="E1594" s="15" t="s">
        <v>125</v>
      </c>
      <c r="F1594" s="1" t="s">
        <v>179</v>
      </c>
      <c r="G1594" s="16">
        <v>127.961</v>
      </c>
      <c r="H1594" s="92">
        <v>0</v>
      </c>
      <c r="I1594" s="92">
        <f>(H1594*G1594)/2000</f>
        <v>0</v>
      </c>
      <c r="J1594" s="92"/>
      <c r="K1594" s="17" t="s">
        <v>229</v>
      </c>
      <c r="M1594" s="19"/>
      <c r="N1594" s="19"/>
      <c r="O1594" s="19"/>
      <c r="P1594" s="19"/>
    </row>
    <row r="1595" spans="1:17" x14ac:dyDescent="0.25">
      <c r="A1595" s="91">
        <v>2586</v>
      </c>
      <c r="B1595" s="15">
        <v>2013</v>
      </c>
      <c r="C1595" s="1" t="s">
        <v>19</v>
      </c>
      <c r="D1595" s="1" t="s">
        <v>219</v>
      </c>
      <c r="E1595" s="15" t="s">
        <v>125</v>
      </c>
      <c r="F1595" s="1" t="s">
        <v>163</v>
      </c>
      <c r="G1595" s="16">
        <v>3381</v>
      </c>
      <c r="H1595" s="92">
        <v>0</v>
      </c>
      <c r="I1595" s="92">
        <f>(H1595*G1595)/2000</f>
        <v>0</v>
      </c>
      <c r="J1595" s="92"/>
      <c r="K1595" s="17" t="s">
        <v>232</v>
      </c>
      <c r="M1595" s="19"/>
      <c r="N1595" s="19"/>
      <c r="O1595" s="19"/>
      <c r="P1595" s="19"/>
    </row>
    <row r="1596" spans="1:17" x14ac:dyDescent="0.25">
      <c r="A1596" s="91">
        <v>2587</v>
      </c>
      <c r="B1596" s="15">
        <v>2013</v>
      </c>
      <c r="C1596" s="1" t="s">
        <v>19</v>
      </c>
      <c r="D1596" s="1" t="s">
        <v>219</v>
      </c>
      <c r="E1596" s="15" t="s">
        <v>125</v>
      </c>
      <c r="F1596" s="1" t="s">
        <v>193</v>
      </c>
      <c r="G1596" s="16">
        <v>5794.9889999999996</v>
      </c>
      <c r="H1596" s="92">
        <v>0</v>
      </c>
      <c r="I1596" s="92">
        <f>(H1596*G1596)/2000</f>
        <v>0</v>
      </c>
      <c r="J1596" s="92"/>
      <c r="K1596" s="17" t="s">
        <v>232</v>
      </c>
      <c r="M1596" s="19"/>
      <c r="N1596" s="19"/>
      <c r="O1596" s="19"/>
      <c r="P1596" s="19"/>
    </row>
    <row r="1597" spans="1:17" x14ac:dyDescent="0.25">
      <c r="A1597" s="91">
        <v>2588</v>
      </c>
      <c r="B1597" s="15">
        <v>2013</v>
      </c>
      <c r="C1597" s="1" t="s">
        <v>19</v>
      </c>
      <c r="D1597" s="1" t="s">
        <v>219</v>
      </c>
      <c r="E1597" s="15" t="s">
        <v>217</v>
      </c>
      <c r="F1597" s="1" t="s">
        <v>97</v>
      </c>
      <c r="G1597" s="16">
        <v>107950</v>
      </c>
      <c r="H1597" s="93">
        <f>'Emission Rates Net-by-Count'!$D$11</f>
        <v>1132.1250513717666</v>
      </c>
      <c r="I1597" s="16">
        <f>(G1597*H1597)/2000</f>
        <v>61106.449647791102</v>
      </c>
      <c r="M1597" s="19"/>
      <c r="N1597" s="19"/>
      <c r="O1597" s="19"/>
      <c r="P1597" s="19"/>
    </row>
    <row r="1598" spans="1:17" x14ac:dyDescent="0.25">
      <c r="A1598" s="91">
        <v>2589</v>
      </c>
      <c r="B1598" s="15">
        <v>2013</v>
      </c>
      <c r="C1598" s="1" t="s">
        <v>19</v>
      </c>
      <c r="D1598" s="1" t="s">
        <v>219</v>
      </c>
      <c r="E1598" s="15" t="s">
        <v>125</v>
      </c>
      <c r="F1598" s="1" t="s">
        <v>3</v>
      </c>
      <c r="G1598" s="16">
        <v>6742.4620000000004</v>
      </c>
      <c r="H1598" s="92">
        <v>0</v>
      </c>
      <c r="I1598" s="92">
        <f t="shared" ref="I1598:I1611" si="63">(H1598*G1598)/2000</f>
        <v>0</v>
      </c>
      <c r="J1598" s="92"/>
      <c r="K1598" s="17" t="s">
        <v>223</v>
      </c>
      <c r="M1598" s="19"/>
      <c r="N1598" s="19"/>
      <c r="O1598" s="19"/>
      <c r="P1598" s="19"/>
    </row>
    <row r="1599" spans="1:17" x14ac:dyDescent="0.25">
      <c r="A1599" s="91">
        <v>2590</v>
      </c>
      <c r="B1599" s="15">
        <v>2013</v>
      </c>
      <c r="C1599" s="1" t="s">
        <v>19</v>
      </c>
      <c r="D1599" s="1" t="s">
        <v>219</v>
      </c>
      <c r="E1599" s="15" t="s">
        <v>125</v>
      </c>
      <c r="F1599" s="1" t="s">
        <v>180</v>
      </c>
      <c r="G1599" s="16">
        <v>147.297</v>
      </c>
      <c r="H1599" s="92">
        <v>0</v>
      </c>
      <c r="I1599" s="92">
        <f t="shared" si="63"/>
        <v>0</v>
      </c>
      <c r="J1599" s="92"/>
      <c r="K1599" s="17" t="s">
        <v>223</v>
      </c>
      <c r="M1599" s="19"/>
      <c r="N1599" s="19"/>
      <c r="O1599" s="19"/>
      <c r="P1599" s="19"/>
    </row>
    <row r="1600" spans="1:17" x14ac:dyDescent="0.25">
      <c r="A1600" s="91">
        <v>2591</v>
      </c>
      <c r="B1600" s="15">
        <v>2013</v>
      </c>
      <c r="C1600" s="1" t="s">
        <v>19</v>
      </c>
      <c r="D1600" s="1" t="s">
        <v>219</v>
      </c>
      <c r="E1600" s="15" t="s">
        <v>125</v>
      </c>
      <c r="F1600" s="1" t="s">
        <v>194</v>
      </c>
      <c r="G1600" s="16">
        <v>10571.721</v>
      </c>
      <c r="H1600" s="92">
        <v>0</v>
      </c>
      <c r="I1600" s="92">
        <f t="shared" si="63"/>
        <v>0</v>
      </c>
      <c r="J1600" s="92"/>
      <c r="K1600" s="17" t="s">
        <v>229</v>
      </c>
      <c r="M1600" s="19"/>
      <c r="N1600" s="19"/>
      <c r="O1600" s="19"/>
      <c r="P1600" s="19"/>
    </row>
    <row r="1601" spans="1:16" x14ac:dyDescent="0.25">
      <c r="A1601" s="91">
        <v>2592</v>
      </c>
      <c r="B1601" s="15">
        <v>2013</v>
      </c>
      <c r="C1601" s="1" t="s">
        <v>19</v>
      </c>
      <c r="D1601" s="1" t="s">
        <v>219</v>
      </c>
      <c r="E1601" s="15" t="s">
        <v>125</v>
      </c>
      <c r="F1601" s="1" t="s">
        <v>181</v>
      </c>
      <c r="G1601" s="16">
        <v>2314.8589999999999</v>
      </c>
      <c r="H1601" s="92">
        <v>0</v>
      </c>
      <c r="I1601" s="92">
        <f t="shared" si="63"/>
        <v>0</v>
      </c>
      <c r="J1601" s="92"/>
      <c r="K1601" s="17" t="s">
        <v>232</v>
      </c>
      <c r="M1601" s="19"/>
      <c r="N1601" s="19"/>
      <c r="O1601" s="19"/>
      <c r="P1601" s="19"/>
    </row>
    <row r="1602" spans="1:16" x14ac:dyDescent="0.25">
      <c r="A1602" s="91">
        <v>2593</v>
      </c>
      <c r="B1602" s="15">
        <v>2013</v>
      </c>
      <c r="C1602" s="1" t="s">
        <v>19</v>
      </c>
      <c r="D1602" s="1" t="s">
        <v>219</v>
      </c>
      <c r="E1602" s="15" t="s">
        <v>125</v>
      </c>
      <c r="F1602" s="1" t="s">
        <v>30</v>
      </c>
      <c r="G1602" s="16">
        <v>2969.8710000000001</v>
      </c>
      <c r="H1602" s="92">
        <v>0</v>
      </c>
      <c r="I1602" s="92">
        <f t="shared" si="63"/>
        <v>0</v>
      </c>
      <c r="J1602" s="92"/>
      <c r="K1602" s="17" t="s">
        <v>232</v>
      </c>
      <c r="M1602" s="19"/>
      <c r="N1602" s="19"/>
      <c r="O1602" s="19"/>
      <c r="P1602" s="19"/>
    </row>
    <row r="1603" spans="1:16" x14ac:dyDescent="0.25">
      <c r="A1603" s="91">
        <v>2596</v>
      </c>
      <c r="B1603" s="15">
        <v>2013</v>
      </c>
      <c r="C1603" s="1" t="s">
        <v>32</v>
      </c>
      <c r="D1603" s="1" t="s">
        <v>219</v>
      </c>
      <c r="E1603" s="15" t="s">
        <v>125</v>
      </c>
      <c r="F1603" s="1" t="s">
        <v>195</v>
      </c>
      <c r="G1603" s="16">
        <v>27.050999999999998</v>
      </c>
      <c r="H1603" s="92">
        <v>0</v>
      </c>
      <c r="I1603" s="92">
        <f t="shared" si="63"/>
        <v>0</v>
      </c>
      <c r="J1603" s="92"/>
      <c r="K1603" s="17" t="s">
        <v>226</v>
      </c>
      <c r="M1603" s="19"/>
      <c r="N1603" s="19"/>
      <c r="O1603" s="19"/>
      <c r="P1603" s="19"/>
    </row>
    <row r="1604" spans="1:16" x14ac:dyDescent="0.25">
      <c r="A1604" s="91">
        <v>2597</v>
      </c>
      <c r="B1604" s="15">
        <v>2013</v>
      </c>
      <c r="C1604" s="1" t="s">
        <v>32</v>
      </c>
      <c r="D1604" s="1" t="s">
        <v>219</v>
      </c>
      <c r="E1604" s="15" t="s">
        <v>125</v>
      </c>
      <c r="F1604" s="1" t="s">
        <v>200</v>
      </c>
      <c r="G1604" s="16">
        <v>1564.5119999999999</v>
      </c>
      <c r="H1604" s="92">
        <v>0</v>
      </c>
      <c r="I1604" s="92">
        <f t="shared" si="63"/>
        <v>0</v>
      </c>
      <c r="J1604" s="92"/>
      <c r="K1604" s="17" t="s">
        <v>222</v>
      </c>
      <c r="M1604" s="19"/>
      <c r="N1604" s="19"/>
      <c r="O1604" s="19"/>
      <c r="P1604" s="19"/>
    </row>
    <row r="1605" spans="1:16" x14ac:dyDescent="0.25">
      <c r="A1605" s="91">
        <v>2598</v>
      </c>
      <c r="B1605" s="15">
        <v>2013</v>
      </c>
      <c r="C1605" s="1" t="s">
        <v>32</v>
      </c>
      <c r="D1605" s="1" t="s">
        <v>219</v>
      </c>
      <c r="E1605" s="15" t="s">
        <v>125</v>
      </c>
      <c r="F1605" s="1" t="s">
        <v>33</v>
      </c>
      <c r="G1605" s="16">
        <v>814.8</v>
      </c>
      <c r="H1605" s="92">
        <v>0</v>
      </c>
      <c r="I1605" s="92">
        <f t="shared" si="63"/>
        <v>0</v>
      </c>
      <c r="J1605" s="92"/>
      <c r="K1605" s="17" t="s">
        <v>223</v>
      </c>
      <c r="M1605" s="19"/>
      <c r="N1605" s="19"/>
      <c r="O1605" s="19"/>
      <c r="P1605" s="19"/>
    </row>
    <row r="1606" spans="1:16" x14ac:dyDescent="0.25">
      <c r="A1606" s="91">
        <v>2599</v>
      </c>
      <c r="B1606" s="15">
        <v>2013</v>
      </c>
      <c r="C1606" s="1" t="s">
        <v>32</v>
      </c>
      <c r="D1606" s="1" t="s">
        <v>219</v>
      </c>
      <c r="E1606" s="15" t="s">
        <v>125</v>
      </c>
      <c r="F1606" s="1" t="s">
        <v>34</v>
      </c>
      <c r="G1606" s="16">
        <v>40135.911999999997</v>
      </c>
      <c r="H1606" s="92">
        <v>0</v>
      </c>
      <c r="I1606" s="92">
        <f t="shared" si="63"/>
        <v>0</v>
      </c>
      <c r="J1606" s="92"/>
      <c r="K1606" s="17" t="s">
        <v>223</v>
      </c>
      <c r="M1606" s="19"/>
      <c r="N1606" s="19"/>
      <c r="O1606" s="19"/>
      <c r="P1606" s="19"/>
    </row>
    <row r="1607" spans="1:16" x14ac:dyDescent="0.25">
      <c r="A1607" s="91">
        <v>2600</v>
      </c>
      <c r="B1607" s="15">
        <v>2013</v>
      </c>
      <c r="C1607" s="1" t="s">
        <v>32</v>
      </c>
      <c r="D1607" s="1" t="s">
        <v>219</v>
      </c>
      <c r="E1607" s="15" t="s">
        <v>125</v>
      </c>
      <c r="F1607" s="1" t="s">
        <v>196</v>
      </c>
      <c r="G1607" s="16">
        <v>288.08</v>
      </c>
      <c r="H1607" s="92">
        <v>0</v>
      </c>
      <c r="I1607" s="92">
        <f t="shared" si="63"/>
        <v>0</v>
      </c>
      <c r="J1607" s="92"/>
      <c r="K1607" s="17" t="s">
        <v>221</v>
      </c>
      <c r="M1607" s="19"/>
      <c r="N1607" s="19"/>
      <c r="O1607" s="19"/>
      <c r="P1607" s="19"/>
    </row>
    <row r="1608" spans="1:16" x14ac:dyDescent="0.25">
      <c r="A1608" s="91">
        <v>2601</v>
      </c>
      <c r="B1608" s="15">
        <v>2013</v>
      </c>
      <c r="C1608" s="1" t="s">
        <v>32</v>
      </c>
      <c r="D1608" s="1" t="s">
        <v>219</v>
      </c>
      <c r="E1608" s="15" t="s">
        <v>125</v>
      </c>
      <c r="F1608" s="1" t="s">
        <v>35</v>
      </c>
      <c r="G1608" s="16">
        <v>23771.706999999999</v>
      </c>
      <c r="H1608" s="92">
        <v>0</v>
      </c>
      <c r="I1608" s="92">
        <f t="shared" si="63"/>
        <v>0</v>
      </c>
      <c r="J1608" s="92"/>
      <c r="K1608" s="17" t="s">
        <v>223</v>
      </c>
      <c r="M1608" s="19"/>
      <c r="N1608" s="19"/>
      <c r="O1608" s="19"/>
      <c r="P1608" s="19"/>
    </row>
    <row r="1609" spans="1:16" x14ac:dyDescent="0.25">
      <c r="A1609" s="91">
        <v>2602</v>
      </c>
      <c r="B1609" s="15">
        <v>2013</v>
      </c>
      <c r="C1609" s="1" t="s">
        <v>32</v>
      </c>
      <c r="D1609" s="1" t="s">
        <v>219</v>
      </c>
      <c r="E1609" s="15" t="s">
        <v>125</v>
      </c>
      <c r="F1609" s="1" t="s">
        <v>40</v>
      </c>
      <c r="G1609" s="16">
        <v>1170.0820000000001</v>
      </c>
      <c r="H1609" s="92">
        <v>0</v>
      </c>
      <c r="I1609" s="92">
        <f t="shared" si="63"/>
        <v>0</v>
      </c>
      <c r="J1609" s="92"/>
      <c r="K1609" s="17" t="s">
        <v>223</v>
      </c>
      <c r="M1609" s="19"/>
      <c r="N1609" s="19"/>
      <c r="O1609" s="19"/>
      <c r="P1609" s="19"/>
    </row>
    <row r="1610" spans="1:16" x14ac:dyDescent="0.25">
      <c r="A1610" s="91">
        <v>2603</v>
      </c>
      <c r="B1610" s="15">
        <v>2013</v>
      </c>
      <c r="C1610" s="1" t="s">
        <v>32</v>
      </c>
      <c r="D1610" s="1" t="s">
        <v>219</v>
      </c>
      <c r="E1610" s="15" t="s">
        <v>125</v>
      </c>
      <c r="F1610" s="1" t="s">
        <v>42</v>
      </c>
      <c r="G1610" s="16">
        <v>83478.721999999994</v>
      </c>
      <c r="H1610" s="92">
        <v>0</v>
      </c>
      <c r="I1610" s="92">
        <f t="shared" si="63"/>
        <v>0</v>
      </c>
      <c r="J1610" s="92"/>
      <c r="K1610" s="17" t="s">
        <v>223</v>
      </c>
      <c r="M1610" s="19"/>
      <c r="N1610" s="19"/>
      <c r="O1610" s="19"/>
      <c r="P1610" s="19"/>
    </row>
    <row r="1611" spans="1:16" x14ac:dyDescent="0.25">
      <c r="A1611" s="91">
        <v>2604</v>
      </c>
      <c r="B1611" s="15">
        <v>2013</v>
      </c>
      <c r="C1611" s="1" t="s">
        <v>32</v>
      </c>
      <c r="D1611" s="1" t="s">
        <v>219</v>
      </c>
      <c r="E1611" s="15" t="s">
        <v>125</v>
      </c>
      <c r="F1611" s="1" t="s">
        <v>43</v>
      </c>
      <c r="G1611" s="16">
        <v>14706.681</v>
      </c>
      <c r="H1611" s="92">
        <v>0</v>
      </c>
      <c r="I1611" s="92">
        <f t="shared" si="63"/>
        <v>0</v>
      </c>
      <c r="J1611" s="92"/>
      <c r="K1611" s="17" t="s">
        <v>223</v>
      </c>
      <c r="M1611" s="19"/>
      <c r="N1611" s="19"/>
      <c r="O1611" s="19"/>
      <c r="P1611" s="19"/>
    </row>
    <row r="1612" spans="1:16" x14ac:dyDescent="0.25">
      <c r="A1612" s="91">
        <v>2606</v>
      </c>
      <c r="B1612" s="15">
        <v>2013</v>
      </c>
      <c r="C1612" s="1" t="s">
        <v>44</v>
      </c>
      <c r="D1612" s="1" t="s">
        <v>216</v>
      </c>
      <c r="E1612" s="15" t="s">
        <v>217</v>
      </c>
      <c r="F1612" s="1" t="s">
        <v>47</v>
      </c>
      <c r="G1612" s="16">
        <v>231202.04</v>
      </c>
      <c r="H1612" s="93">
        <f>'Emission Rates Net-by-Count'!$D$11</f>
        <v>1132.1250513717666</v>
      </c>
      <c r="I1612" s="16">
        <f t="shared" ref="I1612:I1643" si="64">(G1612*H1612)/2000</f>
        <v>130874.81070612863</v>
      </c>
      <c r="M1612" s="19"/>
      <c r="N1612" s="19"/>
      <c r="O1612" s="19"/>
      <c r="P1612" s="19"/>
    </row>
    <row r="1613" spans="1:16" x14ac:dyDescent="0.25">
      <c r="A1613" s="91">
        <v>2608</v>
      </c>
      <c r="B1613" s="15">
        <v>2013</v>
      </c>
      <c r="C1613" s="1" t="s">
        <v>44</v>
      </c>
      <c r="D1613" s="1" t="s">
        <v>216</v>
      </c>
      <c r="E1613" s="15" t="s">
        <v>217</v>
      </c>
      <c r="F1613" s="1" t="s">
        <v>50</v>
      </c>
      <c r="G1613" s="16">
        <v>4600</v>
      </c>
      <c r="H1613" s="93">
        <f>'Emission Rates Net-by-Count'!$D$11</f>
        <v>1132.1250513717666</v>
      </c>
      <c r="I1613" s="16">
        <f t="shared" si="64"/>
        <v>2603.8876181550631</v>
      </c>
      <c r="M1613" s="19"/>
      <c r="N1613" s="19"/>
      <c r="O1613" s="19"/>
      <c r="P1613" s="19"/>
    </row>
    <row r="1614" spans="1:16" x14ac:dyDescent="0.25">
      <c r="A1614" s="91">
        <v>2609</v>
      </c>
      <c r="B1614" s="15">
        <v>2013</v>
      </c>
      <c r="C1614" s="1" t="s">
        <v>44</v>
      </c>
      <c r="D1614" s="1" t="s">
        <v>216</v>
      </c>
      <c r="E1614" s="15" t="s">
        <v>217</v>
      </c>
      <c r="F1614" s="1" t="s">
        <v>51</v>
      </c>
      <c r="G1614" s="16">
        <v>-3157200</v>
      </c>
      <c r="H1614" s="93">
        <f>'Emission Rates Net-by-Count'!$D$11</f>
        <v>1132.1250513717666</v>
      </c>
      <c r="I1614" s="16">
        <f t="shared" si="64"/>
        <v>-1787172.606095471</v>
      </c>
      <c r="M1614" s="19"/>
      <c r="N1614" s="19"/>
      <c r="O1614" s="19"/>
      <c r="P1614" s="19"/>
    </row>
    <row r="1615" spans="1:16" x14ac:dyDescent="0.25">
      <c r="A1615" s="91">
        <v>2610</v>
      </c>
      <c r="B1615" s="15">
        <v>2013</v>
      </c>
      <c r="C1615" s="1" t="s">
        <v>44</v>
      </c>
      <c r="D1615" s="1" t="s">
        <v>216</v>
      </c>
      <c r="E1615" s="15" t="s">
        <v>217</v>
      </c>
      <c r="F1615" s="1" t="s">
        <v>52</v>
      </c>
      <c r="G1615" s="16">
        <v>1103049</v>
      </c>
      <c r="H1615" s="93">
        <f>'Emission Rates Net-by-Count'!$D$11</f>
        <v>1132.1250513717666</v>
      </c>
      <c r="I1615" s="16">
        <f t="shared" si="64"/>
        <v>624394.70289528789</v>
      </c>
      <c r="M1615" s="19"/>
      <c r="N1615" s="19"/>
      <c r="O1615" s="19"/>
      <c r="P1615" s="19"/>
    </row>
    <row r="1616" spans="1:16" x14ac:dyDescent="0.25">
      <c r="A1616" s="91">
        <v>2611</v>
      </c>
      <c r="B1616" s="15">
        <v>2013</v>
      </c>
      <c r="C1616" s="1" t="s">
        <v>44</v>
      </c>
      <c r="D1616" s="1" t="s">
        <v>216</v>
      </c>
      <c r="E1616" s="15" t="s">
        <v>217</v>
      </c>
      <c r="F1616" s="1" t="s">
        <v>21</v>
      </c>
      <c r="G1616" s="16">
        <v>417735</v>
      </c>
      <c r="H1616" s="93">
        <f>'Emission Rates Net-by-Count'!$D$11</f>
        <v>1132.1250513717666</v>
      </c>
      <c r="I1616" s="16">
        <f t="shared" si="64"/>
        <v>236464.12916739247</v>
      </c>
      <c r="M1616" s="19"/>
      <c r="N1616" s="19"/>
      <c r="O1616" s="19"/>
      <c r="P1616" s="19"/>
    </row>
    <row r="1617" spans="1:16" x14ac:dyDescent="0.25">
      <c r="A1617" s="91">
        <v>2613</v>
      </c>
      <c r="B1617" s="15">
        <v>2013</v>
      </c>
      <c r="C1617" s="1" t="s">
        <v>44</v>
      </c>
      <c r="D1617" s="1" t="s">
        <v>216</v>
      </c>
      <c r="E1617" s="15" t="s">
        <v>217</v>
      </c>
      <c r="F1617" s="1" t="s">
        <v>197</v>
      </c>
      <c r="G1617" s="16">
        <v>800</v>
      </c>
      <c r="H1617" s="93">
        <f>'Emission Rates Net-by-Count'!$D$11</f>
        <v>1132.1250513717666</v>
      </c>
      <c r="I1617" s="16">
        <f t="shared" si="64"/>
        <v>452.85002054870665</v>
      </c>
      <c r="M1617" s="19"/>
      <c r="N1617" s="19"/>
      <c r="O1617" s="19"/>
      <c r="P1617" s="19"/>
    </row>
    <row r="1618" spans="1:16" x14ac:dyDescent="0.25">
      <c r="A1618" s="91">
        <v>2614</v>
      </c>
      <c r="B1618" s="15">
        <v>2013</v>
      </c>
      <c r="C1618" s="1" t="s">
        <v>44</v>
      </c>
      <c r="D1618" s="1" t="s">
        <v>216</v>
      </c>
      <c r="E1618" s="15" t="s">
        <v>217</v>
      </c>
      <c r="F1618" s="1" t="s">
        <v>53</v>
      </c>
      <c r="G1618" s="16">
        <v>200</v>
      </c>
      <c r="H1618" s="93">
        <f>'Emission Rates Net-by-Count'!$D$11</f>
        <v>1132.1250513717666</v>
      </c>
      <c r="I1618" s="16">
        <f t="shared" si="64"/>
        <v>113.21250513717666</v>
      </c>
      <c r="M1618" s="19"/>
      <c r="N1618" s="19"/>
      <c r="O1618" s="19"/>
      <c r="P1618" s="19"/>
    </row>
    <row r="1619" spans="1:16" x14ac:dyDescent="0.25">
      <c r="A1619" s="91">
        <v>2615</v>
      </c>
      <c r="B1619" s="15">
        <v>2013</v>
      </c>
      <c r="C1619" s="1" t="s">
        <v>44</v>
      </c>
      <c r="D1619" s="1" t="s">
        <v>216</v>
      </c>
      <c r="E1619" s="15" t="s">
        <v>217</v>
      </c>
      <c r="F1619" s="1" t="s">
        <v>201</v>
      </c>
      <c r="G1619" s="16">
        <v>34629</v>
      </c>
      <c r="H1619" s="93">
        <f>'Emission Rates Net-by-Count'!$D$11</f>
        <v>1132.1250513717666</v>
      </c>
      <c r="I1619" s="16">
        <f t="shared" si="64"/>
        <v>19602.179201976451</v>
      </c>
      <c r="M1619" s="19"/>
      <c r="N1619" s="19"/>
      <c r="O1619" s="19"/>
      <c r="P1619" s="19"/>
    </row>
    <row r="1620" spans="1:16" x14ac:dyDescent="0.25">
      <c r="A1620" s="91">
        <v>2616</v>
      </c>
      <c r="B1620" s="15">
        <v>2013</v>
      </c>
      <c r="C1620" s="1" t="s">
        <v>44</v>
      </c>
      <c r="D1620" s="1" t="s">
        <v>216</v>
      </c>
      <c r="E1620" s="15" t="s">
        <v>217</v>
      </c>
      <c r="F1620" s="1" t="s">
        <v>55</v>
      </c>
      <c r="G1620" s="16">
        <v>82375</v>
      </c>
      <c r="H1620" s="93">
        <f>'Emission Rates Net-by-Count'!$D$11</f>
        <v>1132.1250513717666</v>
      </c>
      <c r="I1620" s="16">
        <f t="shared" si="64"/>
        <v>46629.400553374639</v>
      </c>
      <c r="M1620" s="19"/>
      <c r="N1620" s="19"/>
      <c r="O1620" s="19"/>
      <c r="P1620" s="19"/>
    </row>
    <row r="1621" spans="1:16" x14ac:dyDescent="0.25">
      <c r="A1621" s="91">
        <v>2617</v>
      </c>
      <c r="B1621" s="15">
        <v>2013</v>
      </c>
      <c r="C1621" s="1" t="s">
        <v>44</v>
      </c>
      <c r="D1621" s="1" t="s">
        <v>216</v>
      </c>
      <c r="E1621" s="15" t="s">
        <v>217</v>
      </c>
      <c r="F1621" s="1" t="s">
        <v>56</v>
      </c>
      <c r="G1621" s="16">
        <v>475057</v>
      </c>
      <c r="H1621" s="93">
        <f>'Emission Rates Net-by-Count'!$D$11</f>
        <v>1132.1250513717666</v>
      </c>
      <c r="I1621" s="16">
        <f t="shared" si="64"/>
        <v>268911.96526475862</v>
      </c>
      <c r="M1621" s="19"/>
      <c r="N1621" s="19"/>
      <c r="O1621" s="19"/>
      <c r="P1621" s="19"/>
    </row>
    <row r="1622" spans="1:16" x14ac:dyDescent="0.25">
      <c r="A1622" s="91">
        <v>2618</v>
      </c>
      <c r="B1622" s="15">
        <v>2013</v>
      </c>
      <c r="C1622" s="1" t="s">
        <v>44</v>
      </c>
      <c r="D1622" s="1" t="s">
        <v>216</v>
      </c>
      <c r="E1622" s="15" t="s">
        <v>217</v>
      </c>
      <c r="F1622" s="1" t="s">
        <v>57</v>
      </c>
      <c r="G1622" s="16">
        <v>15616</v>
      </c>
      <c r="H1622" s="93">
        <f>'Emission Rates Net-by-Count'!$D$11</f>
        <v>1132.1250513717666</v>
      </c>
      <c r="I1622" s="16">
        <f t="shared" si="64"/>
        <v>8839.6324011107536</v>
      </c>
      <c r="M1622" s="19"/>
      <c r="N1622" s="19"/>
      <c r="O1622" s="19"/>
      <c r="P1622" s="19"/>
    </row>
    <row r="1623" spans="1:16" x14ac:dyDescent="0.25">
      <c r="A1623" s="91">
        <v>2620</v>
      </c>
      <c r="B1623" s="15">
        <v>2013</v>
      </c>
      <c r="C1623" s="1" t="s">
        <v>44</v>
      </c>
      <c r="D1623" s="1" t="s">
        <v>216</v>
      </c>
      <c r="E1623" s="15" t="s">
        <v>217</v>
      </c>
      <c r="F1623" s="1" t="s">
        <v>58</v>
      </c>
      <c r="G1623" s="16">
        <v>209900</v>
      </c>
      <c r="H1623" s="93">
        <f>'Emission Rates Net-by-Count'!$D$11</f>
        <v>1132.1250513717666</v>
      </c>
      <c r="I1623" s="16">
        <f t="shared" si="64"/>
        <v>118816.5241414669</v>
      </c>
      <c r="M1623" s="19"/>
      <c r="N1623" s="19"/>
      <c r="O1623" s="19"/>
      <c r="P1623" s="19"/>
    </row>
    <row r="1624" spans="1:16" x14ac:dyDescent="0.25">
      <c r="A1624" s="91">
        <v>2621</v>
      </c>
      <c r="B1624" s="15">
        <v>2013</v>
      </c>
      <c r="C1624" s="1" t="s">
        <v>44</v>
      </c>
      <c r="D1624" s="1" t="s">
        <v>216</v>
      </c>
      <c r="E1624" s="15" t="s">
        <v>217</v>
      </c>
      <c r="F1624" s="1" t="s">
        <v>182</v>
      </c>
      <c r="G1624" s="16">
        <v>16000</v>
      </c>
      <c r="H1624" s="93">
        <f>'Emission Rates Net-by-Count'!$D$11</f>
        <v>1132.1250513717666</v>
      </c>
      <c r="I1624" s="16">
        <f t="shared" si="64"/>
        <v>9057.000410974133</v>
      </c>
      <c r="M1624" s="19"/>
      <c r="N1624" s="19"/>
      <c r="O1624" s="19"/>
      <c r="P1624" s="19"/>
    </row>
    <row r="1625" spans="1:16" x14ac:dyDescent="0.25">
      <c r="A1625" s="91">
        <v>2622</v>
      </c>
      <c r="B1625" s="15">
        <v>2013</v>
      </c>
      <c r="C1625" s="1" t="s">
        <v>44</v>
      </c>
      <c r="D1625" s="1" t="s">
        <v>216</v>
      </c>
      <c r="E1625" s="15" t="s">
        <v>217</v>
      </c>
      <c r="F1625" s="1" t="s">
        <v>59</v>
      </c>
      <c r="G1625" s="16">
        <v>2268</v>
      </c>
      <c r="H1625" s="93">
        <f>'Emission Rates Net-by-Count'!$D$11</f>
        <v>1132.1250513717666</v>
      </c>
      <c r="I1625" s="16">
        <f t="shared" si="64"/>
        <v>1283.8298082555832</v>
      </c>
      <c r="M1625" s="19"/>
      <c r="N1625" s="19"/>
      <c r="O1625" s="19"/>
      <c r="P1625" s="19"/>
    </row>
    <row r="1626" spans="1:16" x14ac:dyDescent="0.25">
      <c r="A1626" s="91">
        <v>2623</v>
      </c>
      <c r="B1626" s="15">
        <v>2013</v>
      </c>
      <c r="C1626" s="1" t="s">
        <v>44</v>
      </c>
      <c r="D1626" s="1" t="s">
        <v>216</v>
      </c>
      <c r="E1626" s="15" t="s">
        <v>217</v>
      </c>
      <c r="F1626" s="1" t="s">
        <v>61</v>
      </c>
      <c r="G1626" s="16">
        <v>12317</v>
      </c>
      <c r="H1626" s="93">
        <f>'Emission Rates Net-by-Count'!$D$11</f>
        <v>1132.1250513717666</v>
      </c>
      <c r="I1626" s="16">
        <f t="shared" si="64"/>
        <v>6972.1921288730255</v>
      </c>
      <c r="M1626" s="19"/>
      <c r="N1626" s="19"/>
      <c r="O1626" s="19"/>
      <c r="P1626" s="19"/>
    </row>
    <row r="1627" spans="1:16" x14ac:dyDescent="0.25">
      <c r="A1627" s="91">
        <v>2624</v>
      </c>
      <c r="B1627" s="15">
        <v>2013</v>
      </c>
      <c r="C1627" s="1" t="s">
        <v>44</v>
      </c>
      <c r="D1627" s="1" t="s">
        <v>216</v>
      </c>
      <c r="E1627" s="15" t="s">
        <v>217</v>
      </c>
      <c r="F1627" s="1" t="s">
        <v>146</v>
      </c>
      <c r="G1627" s="16">
        <v>5815</v>
      </c>
      <c r="H1627" s="93">
        <f>'Emission Rates Net-by-Count'!$D$11</f>
        <v>1132.1250513717666</v>
      </c>
      <c r="I1627" s="16">
        <f t="shared" si="64"/>
        <v>3291.6535868634114</v>
      </c>
      <c r="M1627" s="19"/>
      <c r="N1627" s="19"/>
      <c r="O1627" s="19"/>
      <c r="P1627" s="19"/>
    </row>
    <row r="1628" spans="1:16" x14ac:dyDescent="0.25">
      <c r="A1628" s="91">
        <v>2625</v>
      </c>
      <c r="B1628" s="15">
        <v>2013</v>
      </c>
      <c r="C1628" s="1" t="s">
        <v>44</v>
      </c>
      <c r="D1628" s="1" t="s">
        <v>216</v>
      </c>
      <c r="E1628" s="15" t="s">
        <v>217</v>
      </c>
      <c r="F1628" s="1" t="s">
        <v>131</v>
      </c>
      <c r="G1628" s="16">
        <v>433233</v>
      </c>
      <c r="H1628" s="93">
        <f>'Emission Rates Net-by-Count'!$D$11</f>
        <v>1132.1250513717666</v>
      </c>
      <c r="I1628" s="16">
        <f t="shared" si="64"/>
        <v>245236.96619047227</v>
      </c>
      <c r="M1628" s="19"/>
      <c r="N1628" s="19"/>
      <c r="O1628" s="19"/>
      <c r="P1628" s="19"/>
    </row>
    <row r="1629" spans="1:16" x14ac:dyDescent="0.25">
      <c r="A1629" s="91">
        <v>2627</v>
      </c>
      <c r="B1629" s="15">
        <v>2013</v>
      </c>
      <c r="C1629" s="1" t="s">
        <v>44</v>
      </c>
      <c r="D1629" s="1" t="s">
        <v>216</v>
      </c>
      <c r="E1629" s="15" t="s">
        <v>217</v>
      </c>
      <c r="F1629" s="1" t="s">
        <v>62</v>
      </c>
      <c r="G1629" s="16">
        <v>305577</v>
      </c>
      <c r="H1629" s="93">
        <f>'Emission Rates Net-by-Count'!$D$11</f>
        <v>1132.1250513717666</v>
      </c>
      <c r="I1629" s="16">
        <f t="shared" si="64"/>
        <v>172975.68841151518</v>
      </c>
      <c r="M1629" s="19"/>
      <c r="N1629" s="19"/>
      <c r="O1629" s="19"/>
      <c r="P1629" s="19"/>
    </row>
    <row r="1630" spans="1:16" x14ac:dyDescent="0.25">
      <c r="A1630" s="91">
        <v>2629</v>
      </c>
      <c r="B1630" s="15">
        <v>2013</v>
      </c>
      <c r="C1630" s="1" t="s">
        <v>44</v>
      </c>
      <c r="D1630" s="1" t="s">
        <v>216</v>
      </c>
      <c r="E1630" s="15" t="s">
        <v>217</v>
      </c>
      <c r="F1630" s="1" t="s">
        <v>165</v>
      </c>
      <c r="G1630" s="16">
        <v>163552</v>
      </c>
      <c r="H1630" s="93">
        <f>'Emission Rates Net-by-Count'!$D$11</f>
        <v>1132.1250513717666</v>
      </c>
      <c r="I1630" s="16">
        <f t="shared" si="64"/>
        <v>92580.658200977588</v>
      </c>
      <c r="M1630" s="19"/>
      <c r="N1630" s="19"/>
      <c r="O1630" s="19"/>
      <c r="P1630" s="19"/>
    </row>
    <row r="1631" spans="1:16" x14ac:dyDescent="0.25">
      <c r="A1631" s="91">
        <v>2630</v>
      </c>
      <c r="B1631" s="15">
        <v>2013</v>
      </c>
      <c r="C1631" s="1" t="s">
        <v>44</v>
      </c>
      <c r="D1631" s="1" t="s">
        <v>216</v>
      </c>
      <c r="E1631" s="15" t="s">
        <v>217</v>
      </c>
      <c r="F1631" s="1" t="s">
        <v>65</v>
      </c>
      <c r="G1631" s="16">
        <v>14487</v>
      </c>
      <c r="H1631" s="93">
        <f>'Emission Rates Net-by-Count'!$D$11</f>
        <v>1132.1250513717666</v>
      </c>
      <c r="I1631" s="16">
        <f t="shared" si="64"/>
        <v>8200.5478096113911</v>
      </c>
      <c r="M1631" s="19"/>
      <c r="N1631" s="19"/>
      <c r="O1631" s="19"/>
      <c r="P1631" s="19"/>
    </row>
    <row r="1632" spans="1:16" x14ac:dyDescent="0.25">
      <c r="A1632" s="91">
        <v>2632</v>
      </c>
      <c r="B1632" s="15">
        <v>2013</v>
      </c>
      <c r="C1632" s="1" t="s">
        <v>44</v>
      </c>
      <c r="D1632" s="1" t="s">
        <v>216</v>
      </c>
      <c r="E1632" s="15" t="s">
        <v>217</v>
      </c>
      <c r="F1632" s="1" t="s">
        <v>184</v>
      </c>
      <c r="G1632" s="16">
        <v>60279</v>
      </c>
      <c r="H1632" s="93">
        <f>'Emission Rates Net-by-Count'!$D$11</f>
        <v>1132.1250513717666</v>
      </c>
      <c r="I1632" s="16">
        <f t="shared" si="64"/>
        <v>34121.68298581936</v>
      </c>
      <c r="M1632" s="19"/>
      <c r="N1632" s="19"/>
      <c r="O1632" s="19"/>
      <c r="P1632" s="19"/>
    </row>
    <row r="1633" spans="1:16" x14ac:dyDescent="0.25">
      <c r="A1633" s="91">
        <v>2635</v>
      </c>
      <c r="B1633" s="15">
        <v>2013</v>
      </c>
      <c r="C1633" s="1" t="s">
        <v>44</v>
      </c>
      <c r="D1633" s="1" t="s">
        <v>216</v>
      </c>
      <c r="E1633" s="15" t="s">
        <v>217</v>
      </c>
      <c r="F1633" s="1" t="s">
        <v>67</v>
      </c>
      <c r="G1633" s="16">
        <v>27401</v>
      </c>
      <c r="H1633" s="93">
        <f>'Emission Rates Net-by-Count'!$D$11</f>
        <v>1132.1250513717666</v>
      </c>
      <c r="I1633" s="16">
        <f t="shared" si="64"/>
        <v>15510.67926631889</v>
      </c>
      <c r="M1633" s="19"/>
      <c r="N1633" s="19"/>
      <c r="O1633" s="19"/>
      <c r="P1633" s="19"/>
    </row>
    <row r="1634" spans="1:16" x14ac:dyDescent="0.25">
      <c r="A1634" s="91">
        <v>2636</v>
      </c>
      <c r="B1634" s="15">
        <v>2013</v>
      </c>
      <c r="C1634" s="1" t="s">
        <v>44</v>
      </c>
      <c r="D1634" s="1" t="s">
        <v>216</v>
      </c>
      <c r="E1634" s="15" t="s">
        <v>217</v>
      </c>
      <c r="F1634" s="1" t="s">
        <v>69</v>
      </c>
      <c r="G1634" s="16">
        <v>862192</v>
      </c>
      <c r="H1634" s="93">
        <f>'Emission Rates Net-by-Count'!$D$11</f>
        <v>1132.1250513717666</v>
      </c>
      <c r="I1634" s="16">
        <f t="shared" si="64"/>
        <v>488054.58114616311</v>
      </c>
      <c r="M1634" s="19"/>
      <c r="N1634" s="19"/>
      <c r="O1634" s="19"/>
      <c r="P1634" s="19"/>
    </row>
    <row r="1635" spans="1:16" x14ac:dyDescent="0.25">
      <c r="A1635" s="91">
        <v>2637</v>
      </c>
      <c r="B1635" s="15">
        <v>2013</v>
      </c>
      <c r="C1635" s="1" t="s">
        <v>44</v>
      </c>
      <c r="D1635" s="1" t="s">
        <v>216</v>
      </c>
      <c r="E1635" s="15" t="s">
        <v>217</v>
      </c>
      <c r="F1635" s="1" t="s">
        <v>71</v>
      </c>
      <c r="G1635" s="16">
        <v>8565</v>
      </c>
      <c r="H1635" s="93">
        <f>'Emission Rates Net-by-Count'!$D$11</f>
        <v>1132.1250513717666</v>
      </c>
      <c r="I1635" s="16">
        <f t="shared" si="64"/>
        <v>4848.3255324995907</v>
      </c>
      <c r="M1635" s="19"/>
      <c r="N1635" s="19"/>
      <c r="O1635" s="19"/>
      <c r="P1635" s="19"/>
    </row>
    <row r="1636" spans="1:16" x14ac:dyDescent="0.25">
      <c r="A1636" s="91">
        <v>2638</v>
      </c>
      <c r="B1636" s="15">
        <v>2013</v>
      </c>
      <c r="C1636" s="1" t="s">
        <v>44</v>
      </c>
      <c r="D1636" s="1" t="s">
        <v>216</v>
      </c>
      <c r="E1636" s="15" t="s">
        <v>217</v>
      </c>
      <c r="F1636" s="1" t="s">
        <v>72</v>
      </c>
      <c r="G1636" s="16">
        <v>16200</v>
      </c>
      <c r="H1636" s="93">
        <f>'Emission Rates Net-by-Count'!$D$11</f>
        <v>1132.1250513717666</v>
      </c>
      <c r="I1636" s="16">
        <f t="shared" si="64"/>
        <v>9170.2129161113098</v>
      </c>
      <c r="M1636" s="19"/>
      <c r="N1636" s="19"/>
      <c r="O1636" s="19"/>
      <c r="P1636" s="19"/>
    </row>
    <row r="1637" spans="1:16" x14ac:dyDescent="0.25">
      <c r="A1637" s="91">
        <v>2641</v>
      </c>
      <c r="B1637" s="15">
        <v>2013</v>
      </c>
      <c r="C1637" s="1" t="s">
        <v>44</v>
      </c>
      <c r="D1637" s="1" t="s">
        <v>216</v>
      </c>
      <c r="E1637" s="15" t="s">
        <v>217</v>
      </c>
      <c r="F1637" s="1" t="s">
        <v>133</v>
      </c>
      <c r="G1637" s="16">
        <v>1017850</v>
      </c>
      <c r="H1637" s="93">
        <f>'Emission Rates Net-by-Count'!$D$11</f>
        <v>1132.1250513717666</v>
      </c>
      <c r="I1637" s="16">
        <f t="shared" si="64"/>
        <v>576166.74176937633</v>
      </c>
      <c r="M1637" s="19"/>
      <c r="N1637" s="19"/>
      <c r="O1637" s="19"/>
      <c r="P1637" s="19"/>
    </row>
    <row r="1638" spans="1:16" x14ac:dyDescent="0.25">
      <c r="A1638" s="91">
        <v>2644</v>
      </c>
      <c r="B1638" s="15">
        <v>2013</v>
      </c>
      <c r="C1638" s="1" t="s">
        <v>44</v>
      </c>
      <c r="D1638" s="1" t="s">
        <v>216</v>
      </c>
      <c r="E1638" s="15" t="s">
        <v>217</v>
      </c>
      <c r="F1638" s="1" t="s">
        <v>78</v>
      </c>
      <c r="G1638" s="16">
        <v>2038800</v>
      </c>
      <c r="H1638" s="93">
        <f>'Emission Rates Net-by-Count'!$D$11</f>
        <v>1132.1250513717666</v>
      </c>
      <c r="I1638" s="16">
        <f t="shared" si="64"/>
        <v>1154088.2773683788</v>
      </c>
      <c r="M1638" s="19"/>
      <c r="N1638" s="19"/>
      <c r="O1638" s="19"/>
      <c r="P1638" s="19"/>
    </row>
    <row r="1639" spans="1:16" x14ac:dyDescent="0.25">
      <c r="A1639" s="91">
        <v>2646</v>
      </c>
      <c r="B1639" s="15">
        <v>2013</v>
      </c>
      <c r="C1639" s="1" t="s">
        <v>44</v>
      </c>
      <c r="D1639" s="1" t="s">
        <v>216</v>
      </c>
      <c r="E1639" s="15" t="s">
        <v>217</v>
      </c>
      <c r="F1639" s="1" t="s">
        <v>168</v>
      </c>
      <c r="G1639" s="16">
        <v>2</v>
      </c>
      <c r="H1639" s="93">
        <f>'Emission Rates Net-by-Count'!$D$11</f>
        <v>1132.1250513717666</v>
      </c>
      <c r="I1639" s="16">
        <f t="shared" si="64"/>
        <v>1.1321250513717667</v>
      </c>
      <c r="M1639" s="19"/>
      <c r="N1639" s="19"/>
      <c r="O1639" s="19"/>
      <c r="P1639" s="19"/>
    </row>
    <row r="1640" spans="1:16" x14ac:dyDescent="0.25">
      <c r="A1640" s="91">
        <v>2647</v>
      </c>
      <c r="B1640" s="15">
        <v>2013</v>
      </c>
      <c r="C1640" s="1" t="s">
        <v>44</v>
      </c>
      <c r="D1640" s="1" t="s">
        <v>216</v>
      </c>
      <c r="E1640" s="15" t="s">
        <v>217</v>
      </c>
      <c r="F1640" s="1" t="s">
        <v>173</v>
      </c>
      <c r="G1640" s="16">
        <v>38830</v>
      </c>
      <c r="H1640" s="93">
        <f>'Emission Rates Net-by-Count'!$D$11</f>
        <v>1132.1250513717666</v>
      </c>
      <c r="I1640" s="16">
        <f t="shared" si="64"/>
        <v>21980.207872382849</v>
      </c>
      <c r="M1640" s="19"/>
      <c r="N1640" s="19"/>
      <c r="O1640" s="19"/>
      <c r="P1640" s="19"/>
    </row>
    <row r="1641" spans="1:16" x14ac:dyDescent="0.25">
      <c r="A1641" s="91">
        <v>2648</v>
      </c>
      <c r="B1641" s="15">
        <v>2013</v>
      </c>
      <c r="C1641" s="1" t="s">
        <v>44</v>
      </c>
      <c r="D1641" s="1" t="s">
        <v>216</v>
      </c>
      <c r="E1641" s="15" t="s">
        <v>217</v>
      </c>
      <c r="F1641" s="1" t="s">
        <v>80</v>
      </c>
      <c r="G1641" s="16">
        <v>8800</v>
      </c>
      <c r="H1641" s="93">
        <f>'Emission Rates Net-by-Count'!$D$11</f>
        <v>1132.1250513717666</v>
      </c>
      <c r="I1641" s="16">
        <f t="shared" si="64"/>
        <v>4981.3502260357727</v>
      </c>
      <c r="M1641" s="19"/>
      <c r="N1641" s="19"/>
      <c r="O1641" s="19"/>
      <c r="P1641" s="19"/>
    </row>
    <row r="1642" spans="1:16" x14ac:dyDescent="0.25">
      <c r="A1642" s="91">
        <v>2649</v>
      </c>
      <c r="B1642" s="15">
        <v>2013</v>
      </c>
      <c r="C1642" s="1" t="s">
        <v>44</v>
      </c>
      <c r="D1642" s="1" t="s">
        <v>216</v>
      </c>
      <c r="E1642" s="15" t="s">
        <v>217</v>
      </c>
      <c r="F1642" s="1" t="s">
        <v>185</v>
      </c>
      <c r="G1642" s="16">
        <v>400</v>
      </c>
      <c r="H1642" s="93">
        <f>'Emission Rates Net-by-Count'!$D$11</f>
        <v>1132.1250513717666</v>
      </c>
      <c r="I1642" s="16">
        <f t="shared" si="64"/>
        <v>226.42501027435333</v>
      </c>
      <c r="M1642" s="19"/>
      <c r="N1642" s="19"/>
      <c r="O1642" s="19"/>
      <c r="P1642" s="19"/>
    </row>
    <row r="1643" spans="1:16" x14ac:dyDescent="0.25">
      <c r="A1643" s="91">
        <v>2650</v>
      </c>
      <c r="B1643" s="15">
        <v>2013</v>
      </c>
      <c r="C1643" s="1" t="s">
        <v>44</v>
      </c>
      <c r="D1643" s="1" t="s">
        <v>216</v>
      </c>
      <c r="E1643" s="15" t="s">
        <v>217</v>
      </c>
      <c r="F1643" s="1" t="s">
        <v>82</v>
      </c>
      <c r="G1643" s="16">
        <v>26622</v>
      </c>
      <c r="H1643" s="93">
        <f>'Emission Rates Net-by-Count'!$D$11</f>
        <v>1132.1250513717666</v>
      </c>
      <c r="I1643" s="16">
        <f t="shared" si="64"/>
        <v>15069.716558809585</v>
      </c>
      <c r="M1643" s="19"/>
      <c r="N1643" s="19"/>
      <c r="O1643" s="19"/>
      <c r="P1643" s="19"/>
    </row>
    <row r="1644" spans="1:16" x14ac:dyDescent="0.25">
      <c r="A1644" s="91">
        <v>2651</v>
      </c>
      <c r="B1644" s="15">
        <v>2013</v>
      </c>
      <c r="C1644" s="1" t="s">
        <v>44</v>
      </c>
      <c r="D1644" s="1" t="s">
        <v>216</v>
      </c>
      <c r="E1644" s="15" t="s">
        <v>217</v>
      </c>
      <c r="F1644" s="1" t="s">
        <v>83</v>
      </c>
      <c r="G1644" s="16">
        <v>26282</v>
      </c>
      <c r="H1644" s="93">
        <f>'Emission Rates Net-by-Count'!$D$11</f>
        <v>1132.1250513717666</v>
      </c>
      <c r="I1644" s="16">
        <f t="shared" ref="I1644:I1675" si="65">(G1644*H1644)/2000</f>
        <v>14877.255300076386</v>
      </c>
      <c r="M1644" s="19"/>
      <c r="N1644" s="19"/>
      <c r="O1644" s="19"/>
      <c r="P1644" s="19"/>
    </row>
    <row r="1645" spans="1:16" x14ac:dyDescent="0.25">
      <c r="A1645" s="91">
        <v>2652</v>
      </c>
      <c r="B1645" s="15">
        <v>2013</v>
      </c>
      <c r="C1645" s="1" t="s">
        <v>44</v>
      </c>
      <c r="D1645" s="1" t="s">
        <v>216</v>
      </c>
      <c r="E1645" s="15" t="s">
        <v>217</v>
      </c>
      <c r="F1645" s="1" t="s">
        <v>85</v>
      </c>
      <c r="G1645" s="16">
        <v>82864</v>
      </c>
      <c r="H1645" s="93">
        <f>'Emission Rates Net-by-Count'!$D$11</f>
        <v>1132.1250513717666</v>
      </c>
      <c r="I1645" s="16">
        <f t="shared" si="65"/>
        <v>46906.205128435038</v>
      </c>
      <c r="M1645" s="19"/>
      <c r="N1645" s="19"/>
      <c r="O1645" s="19"/>
      <c r="P1645" s="19"/>
    </row>
    <row r="1646" spans="1:16" x14ac:dyDescent="0.25">
      <c r="A1646" s="91">
        <v>2653</v>
      </c>
      <c r="B1646" s="15">
        <v>2013</v>
      </c>
      <c r="C1646" s="1" t="s">
        <v>44</v>
      </c>
      <c r="D1646" s="1" t="s">
        <v>216</v>
      </c>
      <c r="E1646" s="15" t="s">
        <v>217</v>
      </c>
      <c r="F1646" s="1" t="s">
        <v>87</v>
      </c>
      <c r="G1646" s="16">
        <v>43399</v>
      </c>
      <c r="H1646" s="93">
        <f>'Emission Rates Net-by-Count'!$D$11</f>
        <v>1132.1250513717666</v>
      </c>
      <c r="I1646" s="16">
        <f t="shared" si="65"/>
        <v>24566.547552241649</v>
      </c>
      <c r="M1646" s="19"/>
      <c r="N1646" s="19"/>
      <c r="O1646" s="19"/>
      <c r="P1646" s="19"/>
    </row>
    <row r="1647" spans="1:16" x14ac:dyDescent="0.25">
      <c r="A1647" s="91">
        <v>2654</v>
      </c>
      <c r="B1647" s="15">
        <v>2013</v>
      </c>
      <c r="C1647" s="1" t="s">
        <v>44</v>
      </c>
      <c r="D1647" s="1" t="s">
        <v>216</v>
      </c>
      <c r="E1647" s="15" t="s">
        <v>217</v>
      </c>
      <c r="F1647" s="1" t="s">
        <v>88</v>
      </c>
      <c r="G1647" s="16">
        <v>176702</v>
      </c>
      <c r="H1647" s="93">
        <f>'Emission Rates Net-by-Count'!$D$11</f>
        <v>1132.1250513717666</v>
      </c>
      <c r="I1647" s="16">
        <f t="shared" si="65"/>
        <v>100024.38041374696</v>
      </c>
      <c r="M1647" s="19"/>
      <c r="N1647" s="19"/>
      <c r="O1647" s="19"/>
      <c r="P1647" s="19"/>
    </row>
    <row r="1648" spans="1:16" x14ac:dyDescent="0.25">
      <c r="A1648" s="91">
        <v>2655</v>
      </c>
      <c r="B1648" s="15">
        <v>2013</v>
      </c>
      <c r="C1648" s="1" t="s">
        <v>44</v>
      </c>
      <c r="D1648" s="1" t="s">
        <v>216</v>
      </c>
      <c r="E1648" s="15" t="s">
        <v>217</v>
      </c>
      <c r="F1648" s="1" t="s">
        <v>91</v>
      </c>
      <c r="G1648" s="16">
        <v>20918</v>
      </c>
      <c r="H1648" s="93">
        <f>'Emission Rates Net-by-Count'!$D$11</f>
        <v>1132.1250513717666</v>
      </c>
      <c r="I1648" s="16">
        <f t="shared" si="65"/>
        <v>11840.895912297306</v>
      </c>
      <c r="M1648" s="19"/>
      <c r="N1648" s="19"/>
      <c r="O1648" s="19"/>
      <c r="P1648" s="19"/>
    </row>
    <row r="1649" spans="1:16" x14ac:dyDescent="0.25">
      <c r="A1649" s="91">
        <v>2656</v>
      </c>
      <c r="B1649" s="15">
        <v>2013</v>
      </c>
      <c r="C1649" s="1" t="s">
        <v>44</v>
      </c>
      <c r="D1649" s="1" t="s">
        <v>216</v>
      </c>
      <c r="E1649" s="15" t="s">
        <v>217</v>
      </c>
      <c r="F1649" s="1" t="s">
        <v>93</v>
      </c>
      <c r="G1649" s="16">
        <v>1700</v>
      </c>
      <c r="H1649" s="93">
        <f>'Emission Rates Net-by-Count'!$D$11</f>
        <v>1132.1250513717666</v>
      </c>
      <c r="I1649" s="16">
        <f t="shared" si="65"/>
        <v>962.30629366600169</v>
      </c>
      <c r="M1649" s="19"/>
      <c r="N1649" s="19"/>
      <c r="O1649" s="19"/>
      <c r="P1649" s="19"/>
    </row>
    <row r="1650" spans="1:16" x14ac:dyDescent="0.25">
      <c r="A1650" s="91">
        <v>2657</v>
      </c>
      <c r="B1650" s="15">
        <v>2013</v>
      </c>
      <c r="C1650" s="1" t="s">
        <v>44</v>
      </c>
      <c r="D1650" s="1" t="s">
        <v>216</v>
      </c>
      <c r="E1650" s="15" t="s">
        <v>217</v>
      </c>
      <c r="F1650" s="1" t="s">
        <v>94</v>
      </c>
      <c r="G1650" s="16">
        <v>76</v>
      </c>
      <c r="H1650" s="93">
        <f>'Emission Rates Net-by-Count'!$D$11</f>
        <v>1132.1250513717666</v>
      </c>
      <c r="I1650" s="16">
        <f t="shared" si="65"/>
        <v>43.020751952127128</v>
      </c>
      <c r="M1650" s="19"/>
      <c r="N1650" s="19"/>
      <c r="O1650" s="19"/>
      <c r="P1650" s="19"/>
    </row>
    <row r="1651" spans="1:16" x14ac:dyDescent="0.25">
      <c r="A1651" s="91">
        <v>2658</v>
      </c>
      <c r="B1651" s="15">
        <v>2013</v>
      </c>
      <c r="C1651" s="1" t="s">
        <v>44</v>
      </c>
      <c r="D1651" s="1" t="s">
        <v>216</v>
      </c>
      <c r="E1651" s="15" t="s">
        <v>217</v>
      </c>
      <c r="F1651" s="1" t="s">
        <v>95</v>
      </c>
      <c r="G1651" s="16">
        <v>144546</v>
      </c>
      <c r="H1651" s="93">
        <f>'Emission Rates Net-by-Count'!$D$11</f>
        <v>1132.1250513717666</v>
      </c>
      <c r="I1651" s="16">
        <f t="shared" si="65"/>
        <v>81822.0738377917</v>
      </c>
      <c r="M1651" s="19"/>
      <c r="N1651" s="19"/>
      <c r="O1651" s="19"/>
      <c r="P1651" s="19"/>
    </row>
    <row r="1652" spans="1:16" x14ac:dyDescent="0.25">
      <c r="A1652" s="91">
        <v>2660</v>
      </c>
      <c r="B1652" s="15">
        <v>2013</v>
      </c>
      <c r="C1652" s="1" t="s">
        <v>44</v>
      </c>
      <c r="D1652" s="1" t="s">
        <v>216</v>
      </c>
      <c r="E1652" s="15" t="s">
        <v>217</v>
      </c>
      <c r="F1652" s="1" t="s">
        <v>97</v>
      </c>
      <c r="G1652" s="16">
        <v>611302</v>
      </c>
      <c r="H1652" s="93">
        <f>'Emission Rates Net-by-Count'!$D$11</f>
        <v>1132.1250513717666</v>
      </c>
      <c r="I1652" s="16">
        <f t="shared" si="65"/>
        <v>346035.15407683182</v>
      </c>
      <c r="M1652" s="19"/>
      <c r="N1652" s="19"/>
      <c r="O1652" s="19"/>
      <c r="P1652" s="19"/>
    </row>
    <row r="1653" spans="1:16" x14ac:dyDescent="0.25">
      <c r="A1653" s="91">
        <v>2662</v>
      </c>
      <c r="B1653" s="15">
        <v>2013</v>
      </c>
      <c r="C1653" s="1" t="s">
        <v>44</v>
      </c>
      <c r="D1653" s="1" t="s">
        <v>216</v>
      </c>
      <c r="E1653" s="15" t="s">
        <v>217</v>
      </c>
      <c r="F1653" s="1" t="s">
        <v>100</v>
      </c>
      <c r="G1653" s="16">
        <v>49476</v>
      </c>
      <c r="H1653" s="93">
        <f>'Emission Rates Net-by-Count'!$D$11</f>
        <v>1132.1250513717666</v>
      </c>
      <c r="I1653" s="16">
        <f t="shared" si="65"/>
        <v>28006.509520834763</v>
      </c>
      <c r="M1653" s="19"/>
      <c r="N1653" s="19"/>
      <c r="O1653" s="19"/>
      <c r="P1653" s="19"/>
    </row>
    <row r="1654" spans="1:16" x14ac:dyDescent="0.25">
      <c r="A1654" s="91">
        <v>2665</v>
      </c>
      <c r="B1654" s="15">
        <v>2013</v>
      </c>
      <c r="C1654" s="1" t="s">
        <v>44</v>
      </c>
      <c r="D1654" s="1" t="s">
        <v>216</v>
      </c>
      <c r="E1654" s="15" t="s">
        <v>217</v>
      </c>
      <c r="F1654" s="1" t="s">
        <v>101</v>
      </c>
      <c r="G1654" s="16">
        <v>49519</v>
      </c>
      <c r="H1654" s="93">
        <f>'Emission Rates Net-by-Count'!$D$11</f>
        <v>1132.1250513717666</v>
      </c>
      <c r="I1654" s="16">
        <f t="shared" si="65"/>
        <v>28030.850209439257</v>
      </c>
      <c r="M1654" s="19"/>
      <c r="N1654" s="19"/>
      <c r="O1654" s="19"/>
      <c r="P1654" s="19"/>
    </row>
    <row r="1655" spans="1:16" x14ac:dyDescent="0.25">
      <c r="A1655" s="91">
        <v>2666</v>
      </c>
      <c r="B1655" s="15">
        <v>2013</v>
      </c>
      <c r="C1655" s="1" t="s">
        <v>44</v>
      </c>
      <c r="D1655" s="1" t="s">
        <v>216</v>
      </c>
      <c r="E1655" s="15" t="s">
        <v>217</v>
      </c>
      <c r="F1655" s="1" t="s">
        <v>103</v>
      </c>
      <c r="G1655" s="16">
        <v>104948</v>
      </c>
      <c r="H1655" s="93">
        <f>'Emission Rates Net-by-Count'!$D$11</f>
        <v>1132.1250513717666</v>
      </c>
      <c r="I1655" s="16">
        <f t="shared" si="65"/>
        <v>59407.129945682078</v>
      </c>
      <c r="M1655" s="19"/>
      <c r="N1655" s="19"/>
      <c r="O1655" s="19"/>
      <c r="P1655" s="19"/>
    </row>
    <row r="1656" spans="1:16" x14ac:dyDescent="0.25">
      <c r="A1656" s="91">
        <v>2667</v>
      </c>
      <c r="B1656" s="15">
        <v>2013</v>
      </c>
      <c r="C1656" s="1" t="s">
        <v>44</v>
      </c>
      <c r="D1656" s="1" t="s">
        <v>216</v>
      </c>
      <c r="E1656" s="15" t="s">
        <v>217</v>
      </c>
      <c r="F1656" s="1" t="s">
        <v>152</v>
      </c>
      <c r="G1656" s="16">
        <v>172219</v>
      </c>
      <c r="H1656" s="93">
        <f>'Emission Rates Net-by-Count'!$D$11</f>
        <v>1132.1250513717666</v>
      </c>
      <c r="I1656" s="16">
        <f t="shared" si="65"/>
        <v>97486.722111097144</v>
      </c>
      <c r="M1656" s="19"/>
      <c r="N1656" s="19"/>
      <c r="O1656" s="19"/>
      <c r="P1656" s="19"/>
    </row>
    <row r="1657" spans="1:16" x14ac:dyDescent="0.25">
      <c r="A1657" s="91">
        <v>2668</v>
      </c>
      <c r="B1657" s="15">
        <v>2013</v>
      </c>
      <c r="C1657" s="1" t="s">
        <v>44</v>
      </c>
      <c r="D1657" s="1" t="s">
        <v>216</v>
      </c>
      <c r="E1657" s="15" t="s">
        <v>217</v>
      </c>
      <c r="F1657" s="1" t="s">
        <v>186</v>
      </c>
      <c r="G1657" s="16">
        <v>5800</v>
      </c>
      <c r="H1657" s="93">
        <f>'Emission Rates Net-by-Count'!$D$11</f>
        <v>1132.1250513717666</v>
      </c>
      <c r="I1657" s="16">
        <f t="shared" si="65"/>
        <v>3283.1626489781233</v>
      </c>
      <c r="M1657" s="19"/>
      <c r="N1657" s="19"/>
      <c r="O1657" s="19"/>
      <c r="P1657" s="19"/>
    </row>
    <row r="1658" spans="1:16" x14ac:dyDescent="0.25">
      <c r="A1658" s="91">
        <v>2669</v>
      </c>
      <c r="B1658" s="15">
        <v>2013</v>
      </c>
      <c r="C1658" s="1" t="s">
        <v>44</v>
      </c>
      <c r="D1658" s="1" t="s">
        <v>216</v>
      </c>
      <c r="E1658" s="15" t="s">
        <v>217</v>
      </c>
      <c r="F1658" s="1" t="s">
        <v>153</v>
      </c>
      <c r="G1658" s="16">
        <v>97683</v>
      </c>
      <c r="H1658" s="93">
        <f>'Emission Rates Net-by-Count'!$D$11</f>
        <v>1132.1250513717666</v>
      </c>
      <c r="I1658" s="16">
        <f t="shared" si="65"/>
        <v>55294.685696574139</v>
      </c>
      <c r="M1658" s="19"/>
      <c r="N1658" s="19"/>
      <c r="O1658" s="19"/>
      <c r="P1658" s="19"/>
    </row>
    <row r="1659" spans="1:16" x14ac:dyDescent="0.25">
      <c r="A1659" s="91">
        <v>2670</v>
      </c>
      <c r="B1659" s="15">
        <v>2013</v>
      </c>
      <c r="C1659" s="1" t="s">
        <v>44</v>
      </c>
      <c r="D1659" s="1" t="s">
        <v>216</v>
      </c>
      <c r="E1659" s="15" t="s">
        <v>217</v>
      </c>
      <c r="F1659" s="1" t="s">
        <v>104</v>
      </c>
      <c r="G1659" s="16">
        <v>1129071</v>
      </c>
      <c r="H1659" s="93">
        <f>'Emission Rates Net-by-Count'!$D$11</f>
        <v>1132.1250513717666</v>
      </c>
      <c r="I1659" s="16">
        <f t="shared" si="65"/>
        <v>639124.78193868604</v>
      </c>
      <c r="M1659" s="19"/>
      <c r="N1659" s="19"/>
      <c r="O1659" s="19"/>
      <c r="P1659" s="19"/>
    </row>
    <row r="1660" spans="1:16" x14ac:dyDescent="0.25">
      <c r="A1660" s="91">
        <v>2671</v>
      </c>
      <c r="B1660" s="15">
        <v>2013</v>
      </c>
      <c r="C1660" s="1" t="s">
        <v>44</v>
      </c>
      <c r="D1660" s="1" t="s">
        <v>216</v>
      </c>
      <c r="E1660" s="15" t="s">
        <v>217</v>
      </c>
      <c r="F1660" s="1" t="s">
        <v>167</v>
      </c>
      <c r="G1660" s="16">
        <v>681</v>
      </c>
      <c r="H1660" s="93">
        <f>'Emission Rates Net-by-Count'!$D$11</f>
        <v>1132.1250513717666</v>
      </c>
      <c r="I1660" s="16">
        <f t="shared" si="65"/>
        <v>385.4885799920865</v>
      </c>
      <c r="M1660" s="19"/>
      <c r="N1660" s="19"/>
      <c r="O1660" s="19"/>
      <c r="P1660" s="19"/>
    </row>
    <row r="1661" spans="1:16" x14ac:dyDescent="0.25">
      <c r="A1661" s="91">
        <v>2673</v>
      </c>
      <c r="B1661" s="15">
        <v>2013</v>
      </c>
      <c r="C1661" s="1" t="s">
        <v>44</v>
      </c>
      <c r="D1661" s="1" t="s">
        <v>216</v>
      </c>
      <c r="E1661" s="15" t="s">
        <v>217</v>
      </c>
      <c r="F1661" s="1" t="s">
        <v>106</v>
      </c>
      <c r="G1661" s="16">
        <v>60816</v>
      </c>
      <c r="H1661" s="93">
        <f>'Emission Rates Net-by-Count'!$D$11</f>
        <v>1132.1250513717666</v>
      </c>
      <c r="I1661" s="16">
        <f t="shared" si="65"/>
        <v>34425.65856211268</v>
      </c>
      <c r="M1661" s="19"/>
      <c r="N1661" s="19"/>
      <c r="O1661" s="19"/>
      <c r="P1661" s="19"/>
    </row>
    <row r="1662" spans="1:16" x14ac:dyDescent="0.25">
      <c r="A1662" s="91">
        <v>2674</v>
      </c>
      <c r="B1662" s="15">
        <v>2013</v>
      </c>
      <c r="C1662" s="1" t="s">
        <v>44</v>
      </c>
      <c r="D1662" s="1" t="s">
        <v>216</v>
      </c>
      <c r="E1662" s="15" t="s">
        <v>217</v>
      </c>
      <c r="F1662" s="1" t="s">
        <v>203</v>
      </c>
      <c r="G1662" s="16">
        <v>262136</v>
      </c>
      <c r="H1662" s="93">
        <f>'Emission Rates Net-by-Count'!$D$11</f>
        <v>1132.1250513717666</v>
      </c>
      <c r="I1662" s="16">
        <f t="shared" si="65"/>
        <v>148385.36623319471</v>
      </c>
      <c r="M1662" s="19"/>
      <c r="N1662" s="19"/>
      <c r="O1662" s="19"/>
      <c r="P1662" s="19"/>
    </row>
    <row r="1663" spans="1:16" x14ac:dyDescent="0.25">
      <c r="A1663" s="91">
        <v>2676</v>
      </c>
      <c r="B1663" s="15">
        <v>2013</v>
      </c>
      <c r="C1663" s="1" t="s">
        <v>109</v>
      </c>
      <c r="D1663" s="1" t="s">
        <v>216</v>
      </c>
      <c r="E1663" s="15" t="s">
        <v>217</v>
      </c>
      <c r="F1663" s="1" t="s">
        <v>111</v>
      </c>
      <c r="G1663" s="16">
        <v>413000</v>
      </c>
      <c r="H1663" s="93">
        <f>'Emission Rates Net-by-Count'!$D$11</f>
        <v>1132.1250513717666</v>
      </c>
      <c r="I1663" s="16">
        <f t="shared" si="65"/>
        <v>233783.8231082698</v>
      </c>
      <c r="M1663" s="19"/>
      <c r="N1663" s="19"/>
      <c r="O1663" s="19"/>
      <c r="P1663" s="19"/>
    </row>
    <row r="1664" spans="1:16" x14ac:dyDescent="0.25">
      <c r="A1664" s="91">
        <v>2678</v>
      </c>
      <c r="B1664" s="15">
        <v>2013</v>
      </c>
      <c r="C1664" s="1" t="s">
        <v>113</v>
      </c>
      <c r="D1664" s="1" t="s">
        <v>216</v>
      </c>
      <c r="E1664" s="15" t="s">
        <v>217</v>
      </c>
      <c r="F1664" s="1" t="s">
        <v>114</v>
      </c>
      <c r="G1664" s="16">
        <v>47848.936999999998</v>
      </c>
      <c r="H1664" s="93">
        <f>'Emission Rates Net-by-Count'!$D$11</f>
        <v>1132.1250513717666</v>
      </c>
      <c r="I1664" s="16">
        <f t="shared" si="65"/>
        <v>27085.490129604714</v>
      </c>
      <c r="M1664" s="19"/>
      <c r="N1664" s="19"/>
      <c r="O1664" s="19"/>
      <c r="P1664" s="19"/>
    </row>
    <row r="1665" spans="1:16" x14ac:dyDescent="0.25">
      <c r="A1665" s="91">
        <v>2679</v>
      </c>
      <c r="B1665" s="15">
        <v>2013</v>
      </c>
      <c r="C1665" s="1" t="s">
        <v>113</v>
      </c>
      <c r="D1665" s="1" t="s">
        <v>216</v>
      </c>
      <c r="E1665" s="15" t="s">
        <v>217</v>
      </c>
      <c r="F1665" s="1" t="s">
        <v>111</v>
      </c>
      <c r="G1665" s="16">
        <v>-413000</v>
      </c>
      <c r="H1665" s="93">
        <f>'Emission Rates Net-by-Count'!$D$11</f>
        <v>1132.1250513717666</v>
      </c>
      <c r="I1665" s="16">
        <f t="shared" si="65"/>
        <v>-233783.8231082698</v>
      </c>
      <c r="M1665" s="19"/>
      <c r="N1665" s="19"/>
      <c r="O1665" s="19"/>
      <c r="P1665" s="19"/>
    </row>
    <row r="1666" spans="1:16" x14ac:dyDescent="0.25">
      <c r="A1666" s="91">
        <v>2727</v>
      </c>
      <c r="B1666" s="15">
        <v>2013</v>
      </c>
      <c r="C1666" s="1" t="s">
        <v>120</v>
      </c>
      <c r="D1666" s="1" t="s">
        <v>216</v>
      </c>
      <c r="E1666" s="15" t="s">
        <v>217</v>
      </c>
      <c r="F1666" s="1" t="s">
        <v>47</v>
      </c>
      <c r="G1666" s="16">
        <v>-45139</v>
      </c>
      <c r="H1666" s="93">
        <f>'Emission Rates Net-by-Count'!$D$11</f>
        <v>1132.1250513717666</v>
      </c>
      <c r="I1666" s="16">
        <f t="shared" si="65"/>
        <v>-25551.496346935084</v>
      </c>
      <c r="M1666" s="19"/>
      <c r="N1666" s="19"/>
      <c r="O1666" s="19"/>
      <c r="P1666" s="19"/>
    </row>
    <row r="1667" spans="1:16" x14ac:dyDescent="0.25">
      <c r="A1667" s="91">
        <v>2728</v>
      </c>
      <c r="B1667" s="15">
        <v>2013</v>
      </c>
      <c r="C1667" s="1" t="s">
        <v>120</v>
      </c>
      <c r="D1667" s="1" t="s">
        <v>216</v>
      </c>
      <c r="E1667" s="15" t="s">
        <v>217</v>
      </c>
      <c r="F1667" s="1" t="s">
        <v>127</v>
      </c>
      <c r="G1667" s="16">
        <v>-35</v>
      </c>
      <c r="H1667" s="93">
        <f>'Emission Rates Net-by-Count'!$D$11</f>
        <v>1132.1250513717666</v>
      </c>
      <c r="I1667" s="16">
        <f t="shared" si="65"/>
        <v>-19.812188399005919</v>
      </c>
      <c r="M1667" s="19"/>
      <c r="N1667" s="19"/>
      <c r="O1667" s="19"/>
      <c r="P1667" s="19"/>
    </row>
    <row r="1668" spans="1:16" x14ac:dyDescent="0.25">
      <c r="A1668" s="91">
        <v>2729</v>
      </c>
      <c r="B1668" s="15">
        <v>2013</v>
      </c>
      <c r="C1668" s="1" t="s">
        <v>120</v>
      </c>
      <c r="D1668" s="1" t="s">
        <v>216</v>
      </c>
      <c r="E1668" s="15" t="s">
        <v>217</v>
      </c>
      <c r="F1668" s="1" t="s">
        <v>50</v>
      </c>
      <c r="G1668" s="16">
        <v>-1762</v>
      </c>
      <c r="H1668" s="93">
        <f>'Emission Rates Net-by-Count'!$D$11</f>
        <v>1132.1250513717666</v>
      </c>
      <c r="I1668" s="16">
        <f t="shared" si="65"/>
        <v>-997.40217025852644</v>
      </c>
      <c r="M1668" s="19"/>
      <c r="N1668" s="19"/>
      <c r="O1668" s="19"/>
      <c r="P1668" s="19"/>
    </row>
    <row r="1669" spans="1:16" x14ac:dyDescent="0.25">
      <c r="A1669" s="91">
        <v>2731</v>
      </c>
      <c r="B1669" s="15">
        <v>2013</v>
      </c>
      <c r="C1669" s="1" t="s">
        <v>120</v>
      </c>
      <c r="D1669" s="1" t="s">
        <v>216</v>
      </c>
      <c r="E1669" s="15" t="s">
        <v>217</v>
      </c>
      <c r="F1669" s="1" t="s">
        <v>51</v>
      </c>
      <c r="G1669" s="16">
        <v>3361355</v>
      </c>
      <c r="H1669" s="93">
        <f>'Emission Rates Net-by-Count'!$D$11</f>
        <v>1132.1250513717666</v>
      </c>
      <c r="I1669" s="16">
        <f t="shared" si="65"/>
        <v>1902737.1010268724</v>
      </c>
      <c r="K1669" s="17" t="s">
        <v>244</v>
      </c>
      <c r="M1669" s="19"/>
      <c r="N1669" s="19"/>
      <c r="O1669" s="19"/>
      <c r="P1669" s="19"/>
    </row>
    <row r="1670" spans="1:16" x14ac:dyDescent="0.25">
      <c r="A1670" s="91">
        <v>2732</v>
      </c>
      <c r="B1670" s="15">
        <v>2013</v>
      </c>
      <c r="C1670" s="1" t="s">
        <v>120</v>
      </c>
      <c r="D1670" s="1" t="s">
        <v>216</v>
      </c>
      <c r="E1670" s="15" t="s">
        <v>217</v>
      </c>
      <c r="F1670" s="1" t="s">
        <v>52</v>
      </c>
      <c r="G1670" s="16">
        <v>-297433</v>
      </c>
      <c r="H1670" s="93">
        <f>'Emission Rates Net-by-Count'!$D$11</f>
        <v>1132.1250513717666</v>
      </c>
      <c r="I1670" s="16">
        <f t="shared" si="65"/>
        <v>-168365.67520232935</v>
      </c>
      <c r="M1670" s="19"/>
      <c r="N1670" s="19"/>
      <c r="O1670" s="19"/>
      <c r="P1670" s="19"/>
    </row>
    <row r="1671" spans="1:16" x14ac:dyDescent="0.25">
      <c r="A1671" s="91">
        <v>2733</v>
      </c>
      <c r="B1671" s="15">
        <v>2013</v>
      </c>
      <c r="C1671" s="1" t="s">
        <v>120</v>
      </c>
      <c r="D1671" s="1" t="s">
        <v>216</v>
      </c>
      <c r="E1671" s="15" t="s">
        <v>217</v>
      </c>
      <c r="F1671" s="1" t="s">
        <v>21</v>
      </c>
      <c r="G1671" s="16">
        <v>-165628</v>
      </c>
      <c r="H1671" s="93">
        <f>'Emission Rates Net-by-Count'!$D$11</f>
        <v>1132.1250513717666</v>
      </c>
      <c r="I1671" s="16">
        <f t="shared" si="65"/>
        <v>-93755.804004301492</v>
      </c>
      <c r="M1671" s="19"/>
      <c r="N1671" s="19"/>
      <c r="O1671" s="19"/>
      <c r="P1671" s="19"/>
    </row>
    <row r="1672" spans="1:16" x14ac:dyDescent="0.25">
      <c r="A1672" s="91">
        <v>2734</v>
      </c>
      <c r="B1672" s="15">
        <v>2013</v>
      </c>
      <c r="C1672" s="1" t="s">
        <v>120</v>
      </c>
      <c r="D1672" s="1" t="s">
        <v>216</v>
      </c>
      <c r="E1672" s="15" t="s">
        <v>217</v>
      </c>
      <c r="F1672" s="1" t="s">
        <v>143</v>
      </c>
      <c r="G1672" s="16">
        <v>-65</v>
      </c>
      <c r="H1672" s="93">
        <f>'Emission Rates Net-by-Count'!$D$11</f>
        <v>1132.1250513717666</v>
      </c>
      <c r="I1672" s="16">
        <f t="shared" si="65"/>
        <v>-36.794064169582413</v>
      </c>
      <c r="M1672" s="19"/>
      <c r="N1672" s="19"/>
      <c r="O1672" s="19"/>
      <c r="P1672" s="19"/>
    </row>
    <row r="1673" spans="1:16" x14ac:dyDescent="0.25">
      <c r="A1673" s="91">
        <v>2735</v>
      </c>
      <c r="B1673" s="15">
        <v>2013</v>
      </c>
      <c r="C1673" s="1" t="s">
        <v>120</v>
      </c>
      <c r="D1673" s="1" t="s">
        <v>216</v>
      </c>
      <c r="E1673" s="15" t="s">
        <v>217</v>
      </c>
      <c r="F1673" s="1" t="s">
        <v>197</v>
      </c>
      <c r="G1673" s="16">
        <v>-800</v>
      </c>
      <c r="H1673" s="93">
        <f>'Emission Rates Net-by-Count'!$D$11</f>
        <v>1132.1250513717666</v>
      </c>
      <c r="I1673" s="16">
        <f t="shared" si="65"/>
        <v>-452.85002054870665</v>
      </c>
      <c r="M1673" s="19"/>
      <c r="N1673" s="19"/>
      <c r="O1673" s="19"/>
      <c r="P1673" s="19"/>
    </row>
    <row r="1674" spans="1:16" x14ac:dyDescent="0.25">
      <c r="A1674" s="91">
        <v>2736</v>
      </c>
      <c r="B1674" s="15">
        <v>2013</v>
      </c>
      <c r="C1674" s="1" t="s">
        <v>120</v>
      </c>
      <c r="D1674" s="1" t="s">
        <v>216</v>
      </c>
      <c r="E1674" s="15" t="s">
        <v>217</v>
      </c>
      <c r="F1674" s="1" t="s">
        <v>53</v>
      </c>
      <c r="G1674" s="16">
        <v>-2200</v>
      </c>
      <c r="H1674" s="93">
        <f>'Emission Rates Net-by-Count'!$D$11</f>
        <v>1132.1250513717666</v>
      </c>
      <c r="I1674" s="16">
        <f t="shared" si="65"/>
        <v>-1245.3375565089432</v>
      </c>
      <c r="M1674" s="19"/>
      <c r="N1674" s="19"/>
      <c r="O1674" s="19"/>
      <c r="P1674" s="19"/>
    </row>
    <row r="1675" spans="1:16" x14ac:dyDescent="0.25">
      <c r="A1675" s="91">
        <v>2737</v>
      </c>
      <c r="B1675" s="15">
        <v>2013</v>
      </c>
      <c r="C1675" s="1" t="s">
        <v>120</v>
      </c>
      <c r="D1675" s="1" t="s">
        <v>216</v>
      </c>
      <c r="E1675" s="15" t="s">
        <v>217</v>
      </c>
      <c r="F1675" s="1" t="s">
        <v>201</v>
      </c>
      <c r="G1675" s="16">
        <v>-8579</v>
      </c>
      <c r="H1675" s="93">
        <f>'Emission Rates Net-by-Count'!$D$11</f>
        <v>1132.1250513717666</v>
      </c>
      <c r="I1675" s="16">
        <f t="shared" si="65"/>
        <v>-4856.2504078591928</v>
      </c>
      <c r="M1675" s="19"/>
      <c r="N1675" s="19"/>
      <c r="O1675" s="19"/>
      <c r="P1675" s="19"/>
    </row>
    <row r="1676" spans="1:16" x14ac:dyDescent="0.25">
      <c r="A1676" s="91">
        <v>2738</v>
      </c>
      <c r="B1676" s="15">
        <v>2013</v>
      </c>
      <c r="C1676" s="1" t="s">
        <v>120</v>
      </c>
      <c r="D1676" s="1" t="s">
        <v>216</v>
      </c>
      <c r="E1676" s="15" t="s">
        <v>217</v>
      </c>
      <c r="F1676" s="1" t="s">
        <v>55</v>
      </c>
      <c r="G1676" s="16">
        <v>-390795</v>
      </c>
      <c r="H1676" s="93">
        <f>'Emission Rates Net-by-Count'!$D$11</f>
        <v>1132.1250513717666</v>
      </c>
      <c r="I1676" s="16">
        <f t="shared" ref="I1676:I1707" si="66">(G1676*H1676)/2000</f>
        <v>-221214.40472541479</v>
      </c>
      <c r="M1676" s="19"/>
      <c r="N1676" s="19"/>
      <c r="O1676" s="19"/>
      <c r="P1676" s="19"/>
    </row>
    <row r="1677" spans="1:16" x14ac:dyDescent="0.25">
      <c r="A1677" s="91">
        <v>2739</v>
      </c>
      <c r="B1677" s="15">
        <v>2013</v>
      </c>
      <c r="C1677" s="1" t="s">
        <v>120</v>
      </c>
      <c r="D1677" s="1" t="s">
        <v>216</v>
      </c>
      <c r="E1677" s="15" t="s">
        <v>217</v>
      </c>
      <c r="F1677" s="1" t="s">
        <v>56</v>
      </c>
      <c r="G1677" s="16">
        <v>-158112</v>
      </c>
      <c r="H1677" s="93">
        <f>'Emission Rates Net-by-Count'!$D$11</f>
        <v>1132.1250513717666</v>
      </c>
      <c r="I1677" s="16">
        <f t="shared" si="66"/>
        <v>-89501.278061246383</v>
      </c>
      <c r="M1677" s="19"/>
      <c r="N1677" s="19"/>
      <c r="O1677" s="19"/>
      <c r="P1677" s="19"/>
    </row>
    <row r="1678" spans="1:16" x14ac:dyDescent="0.25">
      <c r="A1678" s="91">
        <v>2740</v>
      </c>
      <c r="B1678" s="15">
        <v>2013</v>
      </c>
      <c r="C1678" s="1" t="s">
        <v>120</v>
      </c>
      <c r="D1678" s="1" t="s">
        <v>216</v>
      </c>
      <c r="E1678" s="15" t="s">
        <v>217</v>
      </c>
      <c r="F1678" s="1" t="s">
        <v>57</v>
      </c>
      <c r="G1678" s="16">
        <v>-25371</v>
      </c>
      <c r="H1678" s="93">
        <f>'Emission Rates Net-by-Count'!$D$11</f>
        <v>1132.1250513717666</v>
      </c>
      <c r="I1678" s="16">
        <f t="shared" si="66"/>
        <v>-14361.572339176544</v>
      </c>
      <c r="M1678" s="19"/>
      <c r="N1678" s="19"/>
      <c r="O1678" s="19"/>
      <c r="P1678" s="19"/>
    </row>
    <row r="1679" spans="1:16" x14ac:dyDescent="0.25">
      <c r="A1679" s="91">
        <v>2741</v>
      </c>
      <c r="B1679" s="15">
        <v>2013</v>
      </c>
      <c r="C1679" s="1" t="s">
        <v>120</v>
      </c>
      <c r="D1679" s="1" t="s">
        <v>216</v>
      </c>
      <c r="E1679" s="15" t="s">
        <v>217</v>
      </c>
      <c r="F1679" s="1" t="s">
        <v>58</v>
      </c>
      <c r="G1679" s="16">
        <v>-60746</v>
      </c>
      <c r="H1679" s="93">
        <f>'Emission Rates Net-by-Count'!$D$11</f>
        <v>1132.1250513717666</v>
      </c>
      <c r="I1679" s="16">
        <f t="shared" si="66"/>
        <v>-34386.034185314667</v>
      </c>
      <c r="M1679" s="19"/>
      <c r="N1679" s="19"/>
      <c r="O1679" s="19"/>
      <c r="P1679" s="19"/>
    </row>
    <row r="1680" spans="1:16" x14ac:dyDescent="0.25">
      <c r="A1680" s="91">
        <v>2742</v>
      </c>
      <c r="B1680" s="15">
        <v>2013</v>
      </c>
      <c r="C1680" s="1" t="s">
        <v>120</v>
      </c>
      <c r="D1680" s="1" t="s">
        <v>216</v>
      </c>
      <c r="E1680" s="15" t="s">
        <v>217</v>
      </c>
      <c r="F1680" s="1" t="s">
        <v>182</v>
      </c>
      <c r="G1680" s="16">
        <v>-18922</v>
      </c>
      <c r="H1680" s="93">
        <f>'Emission Rates Net-by-Count'!$D$11</f>
        <v>1132.1250513717666</v>
      </c>
      <c r="I1680" s="16">
        <f t="shared" si="66"/>
        <v>-10711.035111028285</v>
      </c>
      <c r="M1680" s="19"/>
      <c r="N1680" s="19"/>
      <c r="O1680" s="19"/>
      <c r="P1680" s="19"/>
    </row>
    <row r="1681" spans="1:16" x14ac:dyDescent="0.25">
      <c r="A1681" s="91">
        <v>2743</v>
      </c>
      <c r="B1681" s="15">
        <v>2013</v>
      </c>
      <c r="C1681" s="1" t="s">
        <v>120</v>
      </c>
      <c r="D1681" s="1" t="s">
        <v>216</v>
      </c>
      <c r="E1681" s="15" t="s">
        <v>217</v>
      </c>
      <c r="F1681" s="1" t="s">
        <v>59</v>
      </c>
      <c r="G1681" s="16">
        <v>-5659</v>
      </c>
      <c r="H1681" s="93">
        <f>'Emission Rates Net-by-Count'!$D$11</f>
        <v>1132.1250513717666</v>
      </c>
      <c r="I1681" s="16">
        <f t="shared" si="66"/>
        <v>-3203.3478328564138</v>
      </c>
      <c r="M1681" s="19"/>
      <c r="N1681" s="19"/>
      <c r="O1681" s="19"/>
      <c r="P1681" s="19"/>
    </row>
    <row r="1682" spans="1:16" x14ac:dyDescent="0.25">
      <c r="A1682" s="91">
        <v>2744</v>
      </c>
      <c r="B1682" s="15">
        <v>2013</v>
      </c>
      <c r="C1682" s="1" t="s">
        <v>120</v>
      </c>
      <c r="D1682" s="1" t="s">
        <v>216</v>
      </c>
      <c r="E1682" s="15" t="s">
        <v>217</v>
      </c>
      <c r="F1682" s="1" t="s">
        <v>61</v>
      </c>
      <c r="G1682" s="16">
        <v>-1</v>
      </c>
      <c r="H1682" s="93">
        <f>'Emission Rates Net-by-Count'!$D$11</f>
        <v>1132.1250513717666</v>
      </c>
      <c r="I1682" s="16">
        <f t="shared" si="66"/>
        <v>-0.56606252568588333</v>
      </c>
      <c r="M1682" s="19"/>
      <c r="N1682" s="19"/>
      <c r="O1682" s="19"/>
      <c r="P1682" s="19"/>
    </row>
    <row r="1683" spans="1:16" x14ac:dyDescent="0.25">
      <c r="A1683" s="91">
        <v>2745</v>
      </c>
      <c r="B1683" s="15">
        <v>2013</v>
      </c>
      <c r="C1683" s="1" t="s">
        <v>120</v>
      </c>
      <c r="D1683" s="1" t="s">
        <v>216</v>
      </c>
      <c r="E1683" s="15" t="s">
        <v>217</v>
      </c>
      <c r="F1683" s="1" t="s">
        <v>146</v>
      </c>
      <c r="G1683" s="16">
        <v>-1115</v>
      </c>
      <c r="H1683" s="93">
        <f>'Emission Rates Net-by-Count'!$D$11</f>
        <v>1132.1250513717666</v>
      </c>
      <c r="I1683" s="16">
        <f t="shared" si="66"/>
        <v>-631.15971613975989</v>
      </c>
      <c r="M1683" s="19"/>
      <c r="N1683" s="19"/>
      <c r="O1683" s="19"/>
      <c r="P1683" s="19"/>
    </row>
    <row r="1684" spans="1:16" x14ac:dyDescent="0.25">
      <c r="A1684" s="91">
        <v>2746</v>
      </c>
      <c r="B1684" s="15">
        <v>2013</v>
      </c>
      <c r="C1684" s="1" t="s">
        <v>120</v>
      </c>
      <c r="D1684" s="1" t="s">
        <v>216</v>
      </c>
      <c r="E1684" s="15" t="s">
        <v>217</v>
      </c>
      <c r="F1684" s="1" t="s">
        <v>131</v>
      </c>
      <c r="G1684" s="16">
        <v>8</v>
      </c>
      <c r="H1684" s="93">
        <f>'Emission Rates Net-by-Count'!$D$11</f>
        <v>1132.1250513717666</v>
      </c>
      <c r="I1684" s="16">
        <f t="shared" si="66"/>
        <v>4.5285002054870667</v>
      </c>
      <c r="M1684" s="19"/>
      <c r="N1684" s="19"/>
      <c r="O1684" s="19"/>
      <c r="P1684" s="19"/>
    </row>
    <row r="1685" spans="1:16" x14ac:dyDescent="0.25">
      <c r="A1685" s="91">
        <v>2747</v>
      </c>
      <c r="B1685" s="15">
        <v>2013</v>
      </c>
      <c r="C1685" s="1" t="s">
        <v>120</v>
      </c>
      <c r="D1685" s="1" t="s">
        <v>216</v>
      </c>
      <c r="E1685" s="15" t="s">
        <v>217</v>
      </c>
      <c r="F1685" s="1" t="s">
        <v>62</v>
      </c>
      <c r="G1685" s="16">
        <v>-3025</v>
      </c>
      <c r="H1685" s="93">
        <f>'Emission Rates Net-by-Count'!$D$11</f>
        <v>1132.1250513717666</v>
      </c>
      <c r="I1685" s="16">
        <f t="shared" si="66"/>
        <v>-1712.3391401997969</v>
      </c>
      <c r="M1685" s="19"/>
      <c r="N1685" s="19"/>
      <c r="O1685" s="19"/>
      <c r="P1685" s="19"/>
    </row>
    <row r="1686" spans="1:16" x14ac:dyDescent="0.25">
      <c r="A1686" s="91">
        <v>2748</v>
      </c>
      <c r="B1686" s="15">
        <v>2013</v>
      </c>
      <c r="C1686" s="1" t="s">
        <v>120</v>
      </c>
      <c r="D1686" s="1" t="s">
        <v>216</v>
      </c>
      <c r="E1686" s="15" t="s">
        <v>217</v>
      </c>
      <c r="F1686" s="1" t="s">
        <v>165</v>
      </c>
      <c r="G1686" s="16">
        <v>-40695</v>
      </c>
      <c r="H1686" s="93">
        <f>'Emission Rates Net-by-Count'!$D$11</f>
        <v>1132.1250513717666</v>
      </c>
      <c r="I1686" s="16">
        <f t="shared" si="66"/>
        <v>-23035.914482787022</v>
      </c>
      <c r="M1686" s="19"/>
      <c r="N1686" s="19"/>
      <c r="O1686" s="19"/>
      <c r="P1686" s="19"/>
    </row>
    <row r="1687" spans="1:16" x14ac:dyDescent="0.25">
      <c r="A1687" s="91">
        <v>2749</v>
      </c>
      <c r="B1687" s="15">
        <v>2013</v>
      </c>
      <c r="C1687" s="1" t="s">
        <v>120</v>
      </c>
      <c r="D1687" s="1" t="s">
        <v>216</v>
      </c>
      <c r="E1687" s="15" t="s">
        <v>217</v>
      </c>
      <c r="F1687" s="1" t="s">
        <v>65</v>
      </c>
      <c r="G1687" s="16">
        <v>-35479</v>
      </c>
      <c r="H1687" s="93">
        <f>'Emission Rates Net-by-Count'!$D$11</f>
        <v>1132.1250513717666</v>
      </c>
      <c r="I1687" s="16">
        <f t="shared" si="66"/>
        <v>-20083.332348809454</v>
      </c>
      <c r="M1687" s="19"/>
      <c r="N1687" s="19"/>
      <c r="O1687" s="19"/>
      <c r="P1687" s="19"/>
    </row>
    <row r="1688" spans="1:16" x14ac:dyDescent="0.25">
      <c r="A1688" s="91">
        <v>2750</v>
      </c>
      <c r="B1688" s="15">
        <v>2013</v>
      </c>
      <c r="C1688" s="1" t="s">
        <v>120</v>
      </c>
      <c r="D1688" s="1" t="s">
        <v>216</v>
      </c>
      <c r="E1688" s="15" t="s">
        <v>217</v>
      </c>
      <c r="F1688" s="1" t="s">
        <v>184</v>
      </c>
      <c r="G1688" s="16">
        <v>-34998</v>
      </c>
      <c r="H1688" s="93">
        <f>'Emission Rates Net-by-Count'!$D$11</f>
        <v>1132.1250513717666</v>
      </c>
      <c r="I1688" s="16">
        <f t="shared" si="66"/>
        <v>-19811.056273954546</v>
      </c>
      <c r="M1688" s="19"/>
      <c r="N1688" s="19"/>
      <c r="O1688" s="19"/>
      <c r="P1688" s="19"/>
    </row>
    <row r="1689" spans="1:16" x14ac:dyDescent="0.25">
      <c r="A1689" s="91">
        <v>2751</v>
      </c>
      <c r="B1689" s="15">
        <v>2013</v>
      </c>
      <c r="C1689" s="1" t="s">
        <v>120</v>
      </c>
      <c r="D1689" s="1" t="s">
        <v>216</v>
      </c>
      <c r="E1689" s="15" t="s">
        <v>217</v>
      </c>
      <c r="F1689" s="1" t="s">
        <v>199</v>
      </c>
      <c r="G1689" s="16">
        <v>-144215</v>
      </c>
      <c r="H1689" s="93">
        <f>'Emission Rates Net-by-Count'!$D$11</f>
        <v>1132.1250513717666</v>
      </c>
      <c r="I1689" s="16">
        <f t="shared" si="66"/>
        <v>-81634.707141789666</v>
      </c>
      <c r="M1689" s="19"/>
      <c r="N1689" s="19"/>
      <c r="O1689" s="19"/>
      <c r="P1689" s="19"/>
    </row>
    <row r="1690" spans="1:16" x14ac:dyDescent="0.25">
      <c r="A1690" s="91">
        <v>2753</v>
      </c>
      <c r="B1690" s="15">
        <v>2013</v>
      </c>
      <c r="C1690" s="1" t="s">
        <v>120</v>
      </c>
      <c r="D1690" s="1" t="s">
        <v>216</v>
      </c>
      <c r="E1690" s="15" t="s">
        <v>217</v>
      </c>
      <c r="F1690" s="1" t="s">
        <v>67</v>
      </c>
      <c r="G1690" s="16">
        <v>-26969</v>
      </c>
      <c r="H1690" s="93">
        <f>'Emission Rates Net-by-Count'!$D$11</f>
        <v>1132.1250513717666</v>
      </c>
      <c r="I1690" s="16">
        <f t="shared" si="66"/>
        <v>-15266.140255222586</v>
      </c>
      <c r="M1690" s="19"/>
      <c r="N1690" s="19"/>
      <c r="O1690" s="19"/>
      <c r="P1690" s="19"/>
    </row>
    <row r="1691" spans="1:16" x14ac:dyDescent="0.25">
      <c r="A1691" s="91">
        <v>2754</v>
      </c>
      <c r="B1691" s="15">
        <v>2013</v>
      </c>
      <c r="C1691" s="1" t="s">
        <v>120</v>
      </c>
      <c r="D1691" s="1" t="s">
        <v>216</v>
      </c>
      <c r="E1691" s="15" t="s">
        <v>217</v>
      </c>
      <c r="F1691" s="1" t="s">
        <v>69</v>
      </c>
      <c r="G1691" s="16">
        <v>-646518</v>
      </c>
      <c r="H1691" s="93">
        <f>'Emission Rates Net-by-Count'!$D$11</f>
        <v>1132.1250513717666</v>
      </c>
      <c r="I1691" s="16">
        <f t="shared" si="66"/>
        <v>-365969.61198138591</v>
      </c>
      <c r="M1691" s="19"/>
      <c r="N1691" s="19"/>
      <c r="O1691" s="19"/>
      <c r="P1691" s="19"/>
    </row>
    <row r="1692" spans="1:16" x14ac:dyDescent="0.25">
      <c r="A1692" s="91">
        <v>2755</v>
      </c>
      <c r="B1692" s="15">
        <v>2013</v>
      </c>
      <c r="C1692" s="1" t="s">
        <v>120</v>
      </c>
      <c r="D1692" s="1" t="s">
        <v>216</v>
      </c>
      <c r="E1692" s="15" t="s">
        <v>217</v>
      </c>
      <c r="F1692" s="1" t="s">
        <v>71</v>
      </c>
      <c r="G1692" s="16">
        <v>-27009</v>
      </c>
      <c r="H1692" s="93">
        <f>'Emission Rates Net-by-Count'!$D$11</f>
        <v>1132.1250513717666</v>
      </c>
      <c r="I1692" s="16">
        <f t="shared" si="66"/>
        <v>-15288.782756250022</v>
      </c>
      <c r="M1692" s="19"/>
      <c r="N1692" s="19"/>
      <c r="O1692" s="19"/>
      <c r="P1692" s="19"/>
    </row>
    <row r="1693" spans="1:16" x14ac:dyDescent="0.25">
      <c r="A1693" s="91">
        <v>2756</v>
      </c>
      <c r="B1693" s="15">
        <v>2013</v>
      </c>
      <c r="C1693" s="1" t="s">
        <v>120</v>
      </c>
      <c r="D1693" s="1" t="s">
        <v>216</v>
      </c>
      <c r="E1693" s="15" t="s">
        <v>217</v>
      </c>
      <c r="F1693" s="1" t="s">
        <v>72</v>
      </c>
      <c r="G1693" s="16">
        <v>-52425</v>
      </c>
      <c r="H1693" s="93">
        <f>'Emission Rates Net-by-Count'!$D$11</f>
        <v>1132.1250513717666</v>
      </c>
      <c r="I1693" s="16">
        <f t="shared" si="66"/>
        <v>-29675.827909082433</v>
      </c>
      <c r="M1693" s="19"/>
      <c r="N1693" s="19"/>
      <c r="O1693" s="19"/>
      <c r="P1693" s="19"/>
    </row>
    <row r="1694" spans="1:16" x14ac:dyDescent="0.25">
      <c r="A1694" s="91">
        <v>2757</v>
      </c>
      <c r="B1694" s="15">
        <v>2013</v>
      </c>
      <c r="C1694" s="1" t="s">
        <v>120</v>
      </c>
      <c r="D1694" s="1" t="s">
        <v>216</v>
      </c>
      <c r="E1694" s="15" t="s">
        <v>217</v>
      </c>
      <c r="F1694" s="1" t="s">
        <v>133</v>
      </c>
      <c r="G1694" s="16">
        <v>-54818</v>
      </c>
      <c r="H1694" s="93">
        <f>'Emission Rates Net-by-Count'!$D$11</f>
        <v>1132.1250513717666</v>
      </c>
      <c r="I1694" s="16">
        <f t="shared" si="66"/>
        <v>-31030.415533048752</v>
      </c>
      <c r="M1694" s="19"/>
      <c r="N1694" s="19"/>
      <c r="O1694" s="19"/>
      <c r="P1694" s="19"/>
    </row>
    <row r="1695" spans="1:16" x14ac:dyDescent="0.25">
      <c r="A1695" s="91">
        <v>2758</v>
      </c>
      <c r="B1695" s="15">
        <v>2013</v>
      </c>
      <c r="C1695" s="1" t="s">
        <v>120</v>
      </c>
      <c r="D1695" s="1" t="s">
        <v>216</v>
      </c>
      <c r="E1695" s="15" t="s">
        <v>217</v>
      </c>
      <c r="F1695" s="1" t="s">
        <v>78</v>
      </c>
      <c r="G1695" s="16">
        <v>-389258</v>
      </c>
      <c r="H1695" s="93">
        <f>'Emission Rates Net-by-Count'!$D$11</f>
        <v>1132.1250513717666</v>
      </c>
      <c r="I1695" s="16">
        <f t="shared" si="66"/>
        <v>-220344.36662343555</v>
      </c>
      <c r="M1695" s="19"/>
      <c r="N1695" s="19"/>
      <c r="O1695" s="19"/>
      <c r="P1695" s="19"/>
    </row>
    <row r="1696" spans="1:16" x14ac:dyDescent="0.25">
      <c r="A1696" s="91">
        <v>2759</v>
      </c>
      <c r="B1696" s="15">
        <v>2013</v>
      </c>
      <c r="C1696" s="1" t="s">
        <v>120</v>
      </c>
      <c r="D1696" s="1" t="s">
        <v>216</v>
      </c>
      <c r="E1696" s="15" t="s">
        <v>217</v>
      </c>
      <c r="F1696" s="1" t="s">
        <v>168</v>
      </c>
      <c r="G1696" s="16">
        <v>-9</v>
      </c>
      <c r="H1696" s="93">
        <f>'Emission Rates Net-by-Count'!$D$11</f>
        <v>1132.1250513717666</v>
      </c>
      <c r="I1696" s="16">
        <f t="shared" si="66"/>
        <v>-5.0945627311729496</v>
      </c>
      <c r="M1696" s="19"/>
      <c r="N1696" s="19"/>
      <c r="O1696" s="19"/>
      <c r="P1696" s="19"/>
    </row>
    <row r="1697" spans="1:16" x14ac:dyDescent="0.25">
      <c r="A1697" s="91">
        <v>2760</v>
      </c>
      <c r="B1697" s="15">
        <v>2013</v>
      </c>
      <c r="C1697" s="1" t="s">
        <v>120</v>
      </c>
      <c r="D1697" s="1" t="s">
        <v>216</v>
      </c>
      <c r="E1697" s="15" t="s">
        <v>217</v>
      </c>
      <c r="F1697" s="1" t="s">
        <v>173</v>
      </c>
      <c r="G1697" s="16">
        <v>-1181</v>
      </c>
      <c r="H1697" s="93">
        <f>'Emission Rates Net-by-Count'!$D$11</f>
        <v>1132.1250513717666</v>
      </c>
      <c r="I1697" s="16">
        <f t="shared" si="66"/>
        <v>-668.51984283502816</v>
      </c>
      <c r="M1697" s="19"/>
      <c r="N1697" s="19"/>
      <c r="O1697" s="19"/>
      <c r="P1697" s="19"/>
    </row>
    <row r="1698" spans="1:16" x14ac:dyDescent="0.25">
      <c r="A1698" s="91">
        <v>2761</v>
      </c>
      <c r="B1698" s="15">
        <v>2013</v>
      </c>
      <c r="C1698" s="1" t="s">
        <v>120</v>
      </c>
      <c r="D1698" s="1" t="s">
        <v>216</v>
      </c>
      <c r="E1698" s="15" t="s">
        <v>217</v>
      </c>
      <c r="F1698" s="1" t="s">
        <v>80</v>
      </c>
      <c r="G1698" s="16">
        <v>-5999</v>
      </c>
      <c r="H1698" s="93">
        <f>'Emission Rates Net-by-Count'!$D$11</f>
        <v>1132.1250513717666</v>
      </c>
      <c r="I1698" s="16">
        <f t="shared" si="66"/>
        <v>-3395.8090915896137</v>
      </c>
      <c r="M1698" s="19"/>
      <c r="N1698" s="19"/>
      <c r="O1698" s="19"/>
      <c r="P1698" s="19"/>
    </row>
    <row r="1699" spans="1:16" x14ac:dyDescent="0.25">
      <c r="A1699" s="91">
        <v>2762</v>
      </c>
      <c r="B1699" s="15">
        <v>2013</v>
      </c>
      <c r="C1699" s="1" t="s">
        <v>120</v>
      </c>
      <c r="D1699" s="1" t="s">
        <v>216</v>
      </c>
      <c r="E1699" s="15" t="s">
        <v>217</v>
      </c>
      <c r="F1699" s="1" t="s">
        <v>185</v>
      </c>
      <c r="G1699" s="16">
        <v>-6600</v>
      </c>
      <c r="H1699" s="93">
        <f>'Emission Rates Net-by-Count'!$D$11</f>
        <v>1132.1250513717666</v>
      </c>
      <c r="I1699" s="16">
        <f t="shared" si="66"/>
        <v>-3736.01266952683</v>
      </c>
      <c r="M1699" s="19"/>
      <c r="N1699" s="19"/>
      <c r="O1699" s="19"/>
      <c r="P1699" s="19"/>
    </row>
    <row r="1700" spans="1:16" x14ac:dyDescent="0.25">
      <c r="A1700" s="91">
        <v>2763</v>
      </c>
      <c r="B1700" s="15">
        <v>2013</v>
      </c>
      <c r="C1700" s="1" t="s">
        <v>120</v>
      </c>
      <c r="D1700" s="1" t="s">
        <v>216</v>
      </c>
      <c r="E1700" s="15" t="s">
        <v>217</v>
      </c>
      <c r="F1700" s="1" t="s">
        <v>81</v>
      </c>
      <c r="G1700" s="16">
        <v>-23745</v>
      </c>
      <c r="H1700" s="93">
        <f>'Emission Rates Net-by-Count'!$D$11</f>
        <v>1132.1250513717666</v>
      </c>
      <c r="I1700" s="16">
        <f t="shared" si="66"/>
        <v>-13441.1546724113</v>
      </c>
      <c r="M1700" s="19"/>
      <c r="N1700" s="19"/>
      <c r="O1700" s="19"/>
      <c r="P1700" s="19"/>
    </row>
    <row r="1701" spans="1:16" x14ac:dyDescent="0.25">
      <c r="A1701" s="91">
        <v>2764</v>
      </c>
      <c r="B1701" s="15">
        <v>2013</v>
      </c>
      <c r="C1701" s="1" t="s">
        <v>120</v>
      </c>
      <c r="D1701" s="1" t="s">
        <v>216</v>
      </c>
      <c r="E1701" s="15" t="s">
        <v>217</v>
      </c>
      <c r="F1701" s="1" t="s">
        <v>82</v>
      </c>
      <c r="G1701" s="16">
        <v>-83310</v>
      </c>
      <c r="H1701" s="93">
        <f>'Emission Rates Net-by-Count'!$D$11</f>
        <v>1132.1250513717666</v>
      </c>
      <c r="I1701" s="16">
        <f t="shared" si="66"/>
        <v>-47158.66901489094</v>
      </c>
      <c r="M1701" s="19"/>
      <c r="N1701" s="19"/>
      <c r="O1701" s="19"/>
      <c r="P1701" s="19"/>
    </row>
    <row r="1702" spans="1:16" x14ac:dyDescent="0.25">
      <c r="A1702" s="91">
        <v>2765</v>
      </c>
      <c r="B1702" s="15">
        <v>2013</v>
      </c>
      <c r="C1702" s="1" t="s">
        <v>120</v>
      </c>
      <c r="D1702" s="1" t="s">
        <v>216</v>
      </c>
      <c r="E1702" s="15" t="s">
        <v>217</v>
      </c>
      <c r="F1702" s="1" t="s">
        <v>83</v>
      </c>
      <c r="G1702" s="16">
        <v>-2675</v>
      </c>
      <c r="H1702" s="93">
        <f>'Emission Rates Net-by-Count'!$D$11</f>
        <v>1132.1250513717666</v>
      </c>
      <c r="I1702" s="16">
        <f t="shared" si="66"/>
        <v>-1514.2172562097378</v>
      </c>
      <c r="M1702" s="19"/>
      <c r="N1702" s="19"/>
      <c r="O1702" s="19"/>
      <c r="P1702" s="19"/>
    </row>
    <row r="1703" spans="1:16" x14ac:dyDescent="0.25">
      <c r="A1703" s="91">
        <v>2766</v>
      </c>
      <c r="B1703" s="15">
        <v>2013</v>
      </c>
      <c r="C1703" s="1" t="s">
        <v>120</v>
      </c>
      <c r="D1703" s="1" t="s">
        <v>216</v>
      </c>
      <c r="E1703" s="15" t="s">
        <v>217</v>
      </c>
      <c r="F1703" s="1" t="s">
        <v>85</v>
      </c>
      <c r="G1703" s="16">
        <v>-277031</v>
      </c>
      <c r="H1703" s="93">
        <f>'Emission Rates Net-by-Count'!$D$11</f>
        <v>1132.1250513717666</v>
      </c>
      <c r="I1703" s="16">
        <f t="shared" si="66"/>
        <v>-156816.86755328593</v>
      </c>
      <c r="M1703" s="19"/>
      <c r="N1703" s="19"/>
      <c r="O1703" s="19"/>
      <c r="P1703" s="19"/>
    </row>
    <row r="1704" spans="1:16" x14ac:dyDescent="0.25">
      <c r="A1704" s="91">
        <v>2767</v>
      </c>
      <c r="B1704" s="15">
        <v>2013</v>
      </c>
      <c r="C1704" s="1" t="s">
        <v>120</v>
      </c>
      <c r="D1704" s="1" t="s">
        <v>216</v>
      </c>
      <c r="E1704" s="15" t="s">
        <v>217</v>
      </c>
      <c r="F1704" s="1" t="s">
        <v>87</v>
      </c>
      <c r="G1704" s="16">
        <v>-192170</v>
      </c>
      <c r="H1704" s="93">
        <f>'Emission Rates Net-by-Count'!$D$11</f>
        <v>1132.1250513717666</v>
      </c>
      <c r="I1704" s="16">
        <f t="shared" si="66"/>
        <v>-108780.23556105619</v>
      </c>
      <c r="M1704" s="19"/>
      <c r="N1704" s="19"/>
      <c r="O1704" s="19"/>
      <c r="P1704" s="19"/>
    </row>
    <row r="1705" spans="1:16" x14ac:dyDescent="0.25">
      <c r="A1705" s="91">
        <v>2768</v>
      </c>
      <c r="B1705" s="15">
        <v>2013</v>
      </c>
      <c r="C1705" s="1" t="s">
        <v>120</v>
      </c>
      <c r="D1705" s="1" t="s">
        <v>216</v>
      </c>
      <c r="E1705" s="15" t="s">
        <v>217</v>
      </c>
      <c r="F1705" s="1" t="s">
        <v>88</v>
      </c>
      <c r="G1705" s="16">
        <v>-403044</v>
      </c>
      <c r="H1705" s="93">
        <f>'Emission Rates Net-by-Count'!$D$11</f>
        <v>1132.1250513717666</v>
      </c>
      <c r="I1705" s="16">
        <f t="shared" si="66"/>
        <v>-228148.10460254113</v>
      </c>
      <c r="M1705" s="19"/>
      <c r="N1705" s="19"/>
      <c r="O1705" s="19"/>
      <c r="P1705" s="19"/>
    </row>
    <row r="1706" spans="1:16" x14ac:dyDescent="0.25">
      <c r="A1706" s="91">
        <v>2769</v>
      </c>
      <c r="B1706" s="15">
        <v>2013</v>
      </c>
      <c r="C1706" s="1" t="s">
        <v>120</v>
      </c>
      <c r="D1706" s="1" t="s">
        <v>216</v>
      </c>
      <c r="E1706" s="15" t="s">
        <v>217</v>
      </c>
      <c r="F1706" s="1" t="s">
        <v>91</v>
      </c>
      <c r="G1706" s="16">
        <v>-35434</v>
      </c>
      <c r="H1706" s="93">
        <f>'Emission Rates Net-by-Count'!$D$11</f>
        <v>1132.1250513717666</v>
      </c>
      <c r="I1706" s="16">
        <f t="shared" si="66"/>
        <v>-20057.859535153591</v>
      </c>
      <c r="M1706" s="19"/>
      <c r="N1706" s="19"/>
      <c r="O1706" s="19"/>
      <c r="P1706" s="19"/>
    </row>
    <row r="1707" spans="1:16" x14ac:dyDescent="0.25">
      <c r="A1707" s="91">
        <v>2770</v>
      </c>
      <c r="B1707" s="15">
        <v>2013</v>
      </c>
      <c r="C1707" s="1" t="s">
        <v>120</v>
      </c>
      <c r="D1707" s="1" t="s">
        <v>216</v>
      </c>
      <c r="E1707" s="15" t="s">
        <v>217</v>
      </c>
      <c r="F1707" s="1" t="s">
        <v>93</v>
      </c>
      <c r="G1707" s="16">
        <v>-7107</v>
      </c>
      <c r="H1707" s="93">
        <f>'Emission Rates Net-by-Count'!$D$11</f>
        <v>1132.1250513717666</v>
      </c>
      <c r="I1707" s="16">
        <f t="shared" si="66"/>
        <v>-4023.0063700495725</v>
      </c>
      <c r="M1707" s="19"/>
      <c r="N1707" s="19"/>
      <c r="O1707" s="19"/>
      <c r="P1707" s="19"/>
    </row>
    <row r="1708" spans="1:16" x14ac:dyDescent="0.25">
      <c r="A1708" s="91">
        <v>2771</v>
      </c>
      <c r="B1708" s="15">
        <v>2013</v>
      </c>
      <c r="C1708" s="1" t="s">
        <v>120</v>
      </c>
      <c r="D1708" s="1" t="s">
        <v>216</v>
      </c>
      <c r="E1708" s="15" t="s">
        <v>217</v>
      </c>
      <c r="F1708" s="1" t="s">
        <v>94</v>
      </c>
      <c r="G1708" s="16">
        <v>-975</v>
      </c>
      <c r="H1708" s="93">
        <f>'Emission Rates Net-by-Count'!$D$11</f>
        <v>1132.1250513717666</v>
      </c>
      <c r="I1708" s="16">
        <f t="shared" ref="I1708:I1722" si="67">(G1708*H1708)/2000</f>
        <v>-551.91096254373622</v>
      </c>
      <c r="M1708" s="19"/>
      <c r="N1708" s="19"/>
      <c r="O1708" s="19"/>
      <c r="P1708" s="19"/>
    </row>
    <row r="1709" spans="1:16" x14ac:dyDescent="0.25">
      <c r="A1709" s="91">
        <v>2772</v>
      </c>
      <c r="B1709" s="15">
        <v>2013</v>
      </c>
      <c r="C1709" s="1" t="s">
        <v>120</v>
      </c>
      <c r="D1709" s="1" t="s">
        <v>216</v>
      </c>
      <c r="E1709" s="15" t="s">
        <v>217</v>
      </c>
      <c r="F1709" s="1" t="s">
        <v>95</v>
      </c>
      <c r="G1709" s="16">
        <v>-23533</v>
      </c>
      <c r="H1709" s="93">
        <f>'Emission Rates Net-by-Count'!$D$11</f>
        <v>1132.1250513717666</v>
      </c>
      <c r="I1709" s="16">
        <f t="shared" si="67"/>
        <v>-13321.149416965893</v>
      </c>
      <c r="M1709" s="19"/>
      <c r="N1709" s="19"/>
      <c r="O1709" s="19"/>
      <c r="P1709" s="19"/>
    </row>
    <row r="1710" spans="1:16" x14ac:dyDescent="0.25">
      <c r="A1710" s="91">
        <v>2773</v>
      </c>
      <c r="B1710" s="15">
        <v>2013</v>
      </c>
      <c r="C1710" s="1" t="s">
        <v>120</v>
      </c>
      <c r="D1710" s="1" t="s">
        <v>216</v>
      </c>
      <c r="E1710" s="15" t="s">
        <v>217</v>
      </c>
      <c r="F1710" s="1" t="s">
        <v>97</v>
      </c>
      <c r="G1710" s="16">
        <v>-279421</v>
      </c>
      <c r="H1710" s="93">
        <f>'Emission Rates Net-by-Count'!$D$11</f>
        <v>1132.1250513717666</v>
      </c>
      <c r="I1710" s="16">
        <f t="shared" si="67"/>
        <v>-158169.7569896752</v>
      </c>
      <c r="M1710" s="19"/>
      <c r="N1710" s="19"/>
      <c r="O1710" s="19"/>
      <c r="P1710" s="19"/>
    </row>
    <row r="1711" spans="1:16" x14ac:dyDescent="0.25">
      <c r="A1711" s="91">
        <v>2774</v>
      </c>
      <c r="B1711" s="15">
        <v>2013</v>
      </c>
      <c r="C1711" s="1" t="s">
        <v>120</v>
      </c>
      <c r="D1711" s="1" t="s">
        <v>216</v>
      </c>
      <c r="E1711" s="15" t="s">
        <v>217</v>
      </c>
      <c r="F1711" s="1" t="s">
        <v>98</v>
      </c>
      <c r="G1711" s="16">
        <v>-2095</v>
      </c>
      <c r="H1711" s="93">
        <f>'Emission Rates Net-by-Count'!$D$11</f>
        <v>1132.1250513717666</v>
      </c>
      <c r="I1711" s="16">
        <f t="shared" si="67"/>
        <v>-1185.9009913119255</v>
      </c>
      <c r="M1711" s="19"/>
      <c r="N1711" s="19"/>
      <c r="O1711" s="19"/>
      <c r="P1711" s="19"/>
    </row>
    <row r="1712" spans="1:16" x14ac:dyDescent="0.25">
      <c r="A1712" s="91">
        <v>2775</v>
      </c>
      <c r="B1712" s="15">
        <v>2013</v>
      </c>
      <c r="C1712" s="1" t="s">
        <v>120</v>
      </c>
      <c r="D1712" s="1" t="s">
        <v>216</v>
      </c>
      <c r="E1712" s="15" t="s">
        <v>217</v>
      </c>
      <c r="F1712" s="1" t="s">
        <v>100</v>
      </c>
      <c r="G1712" s="16">
        <v>-30000</v>
      </c>
      <c r="H1712" s="93">
        <f>'Emission Rates Net-by-Count'!$D$11</f>
        <v>1132.1250513717666</v>
      </c>
      <c r="I1712" s="16">
        <f t="shared" si="67"/>
        <v>-16981.875770576498</v>
      </c>
      <c r="M1712" s="19"/>
      <c r="N1712" s="19"/>
      <c r="O1712" s="19"/>
      <c r="P1712" s="19"/>
    </row>
    <row r="1713" spans="1:17" x14ac:dyDescent="0.25">
      <c r="A1713" s="91">
        <v>2776</v>
      </c>
      <c r="B1713" s="15">
        <v>2013</v>
      </c>
      <c r="C1713" s="1" t="s">
        <v>120</v>
      </c>
      <c r="D1713" s="1" t="s">
        <v>216</v>
      </c>
      <c r="E1713" s="15" t="s">
        <v>217</v>
      </c>
      <c r="F1713" s="1" t="s">
        <v>101</v>
      </c>
      <c r="G1713" s="16">
        <v>-175</v>
      </c>
      <c r="H1713" s="93">
        <f>'Emission Rates Net-by-Count'!$D$11</f>
        <v>1132.1250513717666</v>
      </c>
      <c r="I1713" s="16">
        <f t="shared" si="67"/>
        <v>-99.06094199502958</v>
      </c>
      <c r="M1713" s="19"/>
      <c r="N1713" s="19"/>
      <c r="O1713" s="19"/>
      <c r="P1713" s="19"/>
    </row>
    <row r="1714" spans="1:17" x14ac:dyDescent="0.25">
      <c r="A1714" s="91">
        <v>2777</v>
      </c>
      <c r="B1714" s="15">
        <v>2013</v>
      </c>
      <c r="C1714" s="1" t="s">
        <v>120</v>
      </c>
      <c r="D1714" s="1" t="s">
        <v>216</v>
      </c>
      <c r="E1714" s="15" t="s">
        <v>217</v>
      </c>
      <c r="F1714" s="1" t="s">
        <v>103</v>
      </c>
      <c r="G1714" s="16">
        <v>-36049</v>
      </c>
      <c r="H1714" s="93">
        <f>'Emission Rates Net-by-Count'!$D$11</f>
        <v>1132.1250513717666</v>
      </c>
      <c r="I1714" s="16">
        <f t="shared" si="67"/>
        <v>-20405.987988450408</v>
      </c>
      <c r="M1714" s="19"/>
      <c r="N1714" s="19"/>
      <c r="O1714" s="19"/>
      <c r="P1714" s="19"/>
    </row>
    <row r="1715" spans="1:17" x14ac:dyDescent="0.25">
      <c r="A1715" s="91">
        <v>2778</v>
      </c>
      <c r="B1715" s="15">
        <v>2013</v>
      </c>
      <c r="C1715" s="1" t="s">
        <v>120</v>
      </c>
      <c r="D1715" s="1" t="s">
        <v>216</v>
      </c>
      <c r="E1715" s="15" t="s">
        <v>217</v>
      </c>
      <c r="F1715" s="1" t="s">
        <v>152</v>
      </c>
      <c r="G1715" s="16">
        <v>-64235</v>
      </c>
      <c r="H1715" s="93">
        <f>'Emission Rates Net-by-Count'!$D$11</f>
        <v>1132.1250513717666</v>
      </c>
      <c r="I1715" s="16">
        <f t="shared" si="67"/>
        <v>-36361.026337432711</v>
      </c>
      <c r="M1715" s="19"/>
      <c r="N1715" s="19"/>
      <c r="O1715" s="19"/>
      <c r="P1715" s="19"/>
    </row>
    <row r="1716" spans="1:17" x14ac:dyDescent="0.25">
      <c r="A1716" s="91">
        <v>2779</v>
      </c>
      <c r="B1716" s="15">
        <v>2013</v>
      </c>
      <c r="C1716" s="1" t="s">
        <v>120</v>
      </c>
      <c r="D1716" s="1" t="s">
        <v>216</v>
      </c>
      <c r="E1716" s="15" t="s">
        <v>217</v>
      </c>
      <c r="F1716" s="1" t="s">
        <v>186</v>
      </c>
      <c r="G1716" s="16">
        <v>-870</v>
      </c>
      <c r="H1716" s="93">
        <f>'Emission Rates Net-by-Count'!$D$11</f>
        <v>1132.1250513717666</v>
      </c>
      <c r="I1716" s="16">
        <f t="shared" si="67"/>
        <v>-492.47439734671849</v>
      </c>
      <c r="M1716" s="19"/>
      <c r="N1716" s="19"/>
      <c r="O1716" s="19"/>
      <c r="P1716" s="19"/>
    </row>
    <row r="1717" spans="1:17" x14ac:dyDescent="0.25">
      <c r="A1717" s="91">
        <v>2780</v>
      </c>
      <c r="B1717" s="15">
        <v>2013</v>
      </c>
      <c r="C1717" s="1" t="s">
        <v>120</v>
      </c>
      <c r="D1717" s="1" t="s">
        <v>216</v>
      </c>
      <c r="E1717" s="15" t="s">
        <v>217</v>
      </c>
      <c r="F1717" s="1" t="s">
        <v>153</v>
      </c>
      <c r="G1717" s="16">
        <v>-43118</v>
      </c>
      <c r="H1717" s="93">
        <f>'Emission Rates Net-by-Count'!$D$11</f>
        <v>1132.1250513717666</v>
      </c>
      <c r="I1717" s="16">
        <f t="shared" si="67"/>
        <v>-24407.483982523918</v>
      </c>
      <c r="M1717" s="19"/>
      <c r="N1717" s="19"/>
      <c r="O1717" s="19"/>
      <c r="P1717" s="19"/>
    </row>
    <row r="1718" spans="1:17" x14ac:dyDescent="0.25">
      <c r="A1718" s="91">
        <v>2781</v>
      </c>
      <c r="B1718" s="15">
        <v>2013</v>
      </c>
      <c r="C1718" s="1" t="s">
        <v>120</v>
      </c>
      <c r="D1718" s="1" t="s">
        <v>216</v>
      </c>
      <c r="E1718" s="15" t="s">
        <v>217</v>
      </c>
      <c r="F1718" s="1" t="s">
        <v>104</v>
      </c>
      <c r="G1718" s="16">
        <v>-391631</v>
      </c>
      <c r="H1718" s="93">
        <f>'Emission Rates Net-by-Count'!$D$11</f>
        <v>1132.1250513717666</v>
      </c>
      <c r="I1718" s="16">
        <f t="shared" si="67"/>
        <v>-221687.63299688816</v>
      </c>
      <c r="M1718" s="19"/>
      <c r="N1718" s="19"/>
      <c r="O1718" s="19"/>
      <c r="P1718" s="19"/>
    </row>
    <row r="1719" spans="1:17" x14ac:dyDescent="0.25">
      <c r="A1719" s="91">
        <v>2782</v>
      </c>
      <c r="B1719" s="15">
        <v>2013</v>
      </c>
      <c r="C1719" s="1" t="s">
        <v>120</v>
      </c>
      <c r="D1719" s="1" t="s">
        <v>216</v>
      </c>
      <c r="E1719" s="15" t="s">
        <v>217</v>
      </c>
      <c r="F1719" s="1" t="s">
        <v>154</v>
      </c>
      <c r="G1719" s="16">
        <v>-3692</v>
      </c>
      <c r="H1719" s="93">
        <f>'Emission Rates Net-by-Count'!$D$11</f>
        <v>1132.1250513717666</v>
      </c>
      <c r="I1719" s="16">
        <f t="shared" si="67"/>
        <v>-2089.9028448322811</v>
      </c>
      <c r="M1719" s="19"/>
      <c r="N1719" s="19"/>
      <c r="O1719" s="19"/>
      <c r="P1719" s="19"/>
    </row>
    <row r="1720" spans="1:17" x14ac:dyDescent="0.25">
      <c r="A1720" s="91">
        <v>2783</v>
      </c>
      <c r="B1720" s="15">
        <v>2013</v>
      </c>
      <c r="C1720" s="1" t="s">
        <v>120</v>
      </c>
      <c r="D1720" s="1" t="s">
        <v>216</v>
      </c>
      <c r="E1720" s="15" t="s">
        <v>217</v>
      </c>
      <c r="F1720" s="1" t="s">
        <v>167</v>
      </c>
      <c r="G1720" s="16">
        <v>-27429</v>
      </c>
      <c r="H1720" s="93">
        <f>'Emission Rates Net-by-Count'!$D$11</f>
        <v>1132.1250513717666</v>
      </c>
      <c r="I1720" s="16">
        <f t="shared" si="67"/>
        <v>-15526.529017038094</v>
      </c>
      <c r="M1720" s="19"/>
      <c r="N1720" s="19"/>
      <c r="O1720" s="19"/>
      <c r="P1720" s="19"/>
    </row>
    <row r="1721" spans="1:17" x14ac:dyDescent="0.25">
      <c r="A1721" s="91">
        <v>2784</v>
      </c>
      <c r="B1721" s="15">
        <v>2013</v>
      </c>
      <c r="C1721" s="1" t="s">
        <v>120</v>
      </c>
      <c r="D1721" s="1" t="s">
        <v>216</v>
      </c>
      <c r="E1721" s="15" t="s">
        <v>217</v>
      </c>
      <c r="F1721" s="1" t="s">
        <v>106</v>
      </c>
      <c r="G1721" s="16">
        <v>-3960</v>
      </c>
      <c r="H1721" s="93">
        <f>'Emission Rates Net-by-Count'!$D$11</f>
        <v>1132.1250513717666</v>
      </c>
      <c r="I1721" s="16">
        <f t="shared" si="67"/>
        <v>-2241.6076017160981</v>
      </c>
      <c r="M1721" s="19"/>
      <c r="N1721" s="19"/>
      <c r="O1721" s="19"/>
      <c r="P1721" s="19"/>
    </row>
    <row r="1722" spans="1:17" x14ac:dyDescent="0.25">
      <c r="A1722" s="91">
        <v>2785</v>
      </c>
      <c r="B1722" s="15">
        <v>2013</v>
      </c>
      <c r="C1722" s="1" t="s">
        <v>120</v>
      </c>
      <c r="D1722" s="1" t="s">
        <v>216</v>
      </c>
      <c r="E1722" s="15" t="s">
        <v>217</v>
      </c>
      <c r="F1722" s="1" t="s">
        <v>203</v>
      </c>
      <c r="G1722" s="16">
        <v>-466011</v>
      </c>
      <c r="H1722" s="93">
        <f>'Emission Rates Net-by-Count'!$D$11</f>
        <v>1132.1250513717666</v>
      </c>
      <c r="I1722" s="16">
        <f t="shared" si="67"/>
        <v>-263791.3636574042</v>
      </c>
      <c r="M1722" s="19"/>
      <c r="N1722" s="19"/>
      <c r="O1722" s="19"/>
      <c r="P1722" s="19"/>
    </row>
    <row r="1723" spans="1:17" x14ac:dyDescent="0.25">
      <c r="A1723" s="91">
        <v>2801</v>
      </c>
      <c r="B1723" s="15">
        <v>2014</v>
      </c>
      <c r="C1723" s="1" t="s">
        <v>0</v>
      </c>
      <c r="D1723" s="1" t="s">
        <v>215</v>
      </c>
      <c r="E1723" s="15" t="s">
        <v>125</v>
      </c>
      <c r="F1723" s="1" t="s">
        <v>1</v>
      </c>
      <c r="G1723" s="16">
        <v>42364.24</v>
      </c>
      <c r="H1723" s="92">
        <v>0</v>
      </c>
      <c r="I1723" s="92">
        <f>(H1723*G1723)/2000</f>
        <v>0</v>
      </c>
      <c r="J1723" s="92"/>
      <c r="K1723" s="17" t="s">
        <v>223</v>
      </c>
      <c r="M1723" s="19"/>
      <c r="N1723" s="19"/>
      <c r="O1723" s="19"/>
      <c r="P1723" s="19"/>
    </row>
    <row r="1724" spans="1:17" x14ac:dyDescent="0.25">
      <c r="A1724" s="91">
        <v>2802</v>
      </c>
      <c r="B1724" s="15">
        <v>2014</v>
      </c>
      <c r="C1724" s="1" t="s">
        <v>0</v>
      </c>
      <c r="D1724" s="1" t="s">
        <v>215</v>
      </c>
      <c r="E1724" s="15" t="s">
        <v>125</v>
      </c>
      <c r="F1724" s="1" t="s">
        <v>2</v>
      </c>
      <c r="G1724" s="16">
        <v>429609.103</v>
      </c>
      <c r="H1724" s="92">
        <v>0</v>
      </c>
      <c r="I1724" s="92">
        <f>(H1724*G1724)/2000</f>
        <v>0</v>
      </c>
      <c r="J1724" s="92"/>
      <c r="K1724" s="17" t="s">
        <v>223</v>
      </c>
      <c r="M1724" s="19"/>
      <c r="N1724" s="19"/>
      <c r="O1724" s="19"/>
      <c r="P1724" s="19"/>
    </row>
    <row r="1725" spans="1:17" x14ac:dyDescent="0.25">
      <c r="A1725" s="91">
        <v>2803</v>
      </c>
      <c r="B1725" s="15">
        <v>2014</v>
      </c>
      <c r="C1725" s="1" t="s">
        <v>0</v>
      </c>
      <c r="D1725" s="1" t="s">
        <v>215</v>
      </c>
      <c r="E1725" s="15" t="s">
        <v>125</v>
      </c>
      <c r="F1725" s="1" t="s">
        <v>4</v>
      </c>
      <c r="G1725" s="16">
        <v>40375.218000000001</v>
      </c>
      <c r="H1725" s="92">
        <v>0</v>
      </c>
      <c r="I1725" s="92">
        <f>(H1725*G1725)/2000</f>
        <v>0</v>
      </c>
      <c r="J1725" s="92"/>
      <c r="K1725" s="17" t="s">
        <v>223</v>
      </c>
      <c r="M1725" s="19"/>
      <c r="N1725" s="19"/>
      <c r="O1725" s="19"/>
      <c r="P1725" s="19"/>
    </row>
    <row r="1726" spans="1:17" x14ac:dyDescent="0.25">
      <c r="A1726" s="91">
        <v>2804</v>
      </c>
      <c r="B1726" s="15">
        <v>2014</v>
      </c>
      <c r="C1726" s="1" t="s">
        <v>0</v>
      </c>
      <c r="D1726" s="1" t="s">
        <v>215</v>
      </c>
      <c r="E1726" s="15" t="s">
        <v>125</v>
      </c>
      <c r="F1726" s="1" t="s">
        <v>5</v>
      </c>
      <c r="G1726" s="16">
        <v>147766.71299999999</v>
      </c>
      <c r="H1726" s="92">
        <v>0</v>
      </c>
      <c r="I1726" s="92">
        <f>(H1726*G1726)/2000</f>
        <v>0</v>
      </c>
      <c r="J1726" s="92"/>
      <c r="K1726" s="17" t="s">
        <v>223</v>
      </c>
      <c r="M1726" s="19"/>
      <c r="N1726" s="19"/>
      <c r="O1726" s="19"/>
      <c r="P1726" s="19"/>
    </row>
    <row r="1727" spans="1:17" x14ac:dyDescent="0.25">
      <c r="A1727" s="91">
        <v>2806</v>
      </c>
      <c r="B1727" s="15">
        <v>2014</v>
      </c>
      <c r="C1727" s="1" t="s">
        <v>0</v>
      </c>
      <c r="D1727" s="1" t="s">
        <v>215</v>
      </c>
      <c r="E1727" s="15" t="s">
        <v>125</v>
      </c>
      <c r="F1727" s="1" t="s">
        <v>6</v>
      </c>
      <c r="G1727" s="16">
        <v>340085.38099999999</v>
      </c>
      <c r="H1727" s="92">
        <v>0</v>
      </c>
      <c r="I1727" s="92">
        <f>(H1727*G1727)/2000</f>
        <v>0</v>
      </c>
      <c r="J1727" s="92"/>
      <c r="K1727" s="17" t="s">
        <v>223</v>
      </c>
      <c r="M1727" s="19"/>
      <c r="N1727" s="19"/>
      <c r="O1727" s="19"/>
      <c r="P1727" s="19"/>
    </row>
    <row r="1728" spans="1:17" x14ac:dyDescent="0.25">
      <c r="A1728" s="91">
        <v>2809</v>
      </c>
      <c r="B1728" s="15">
        <v>2014</v>
      </c>
      <c r="C1728" s="1" t="s">
        <v>7</v>
      </c>
      <c r="D1728" s="1" t="s">
        <v>215</v>
      </c>
      <c r="E1728" s="15" t="s">
        <v>122</v>
      </c>
      <c r="F1728" s="1" t="s">
        <v>8</v>
      </c>
      <c r="G1728" s="16">
        <v>2114046</v>
      </c>
      <c r="H1728" s="16">
        <f t="shared" ref="H1728:H1739" si="68">(I1728*2000)/G1728</f>
        <v>2408.3042658485197</v>
      </c>
      <c r="I1728" s="16">
        <v>2545633</v>
      </c>
      <c r="M1728" s="19"/>
      <c r="N1728" s="19"/>
      <c r="O1728" s="19"/>
      <c r="P1728" s="19"/>
      <c r="Q1728" s="15" t="s">
        <v>260</v>
      </c>
    </row>
    <row r="1729" spans="1:17" x14ac:dyDescent="0.25">
      <c r="A1729" s="91">
        <v>2810</v>
      </c>
      <c r="B1729" s="15">
        <v>2014</v>
      </c>
      <c r="C1729" s="1" t="s">
        <v>7</v>
      </c>
      <c r="D1729" s="1" t="s">
        <v>215</v>
      </c>
      <c r="E1729" s="15" t="s">
        <v>122</v>
      </c>
      <c r="F1729" s="1" t="s">
        <v>9</v>
      </c>
      <c r="G1729" s="16">
        <v>2395521</v>
      </c>
      <c r="H1729" s="16">
        <f t="shared" si="68"/>
        <v>2341.5632757967892</v>
      </c>
      <c r="I1729" s="16">
        <v>2804632</v>
      </c>
      <c r="M1729" s="19"/>
      <c r="N1729" s="19"/>
      <c r="O1729" s="19"/>
      <c r="P1729" s="19"/>
      <c r="Q1729" s="15" t="s">
        <v>260</v>
      </c>
    </row>
    <row r="1730" spans="1:17" x14ac:dyDescent="0.25">
      <c r="A1730" s="91">
        <v>2811</v>
      </c>
      <c r="B1730" s="15">
        <v>2014</v>
      </c>
      <c r="C1730" s="1" t="s">
        <v>7</v>
      </c>
      <c r="D1730" s="1" t="s">
        <v>215</v>
      </c>
      <c r="E1730" s="15" t="s">
        <v>123</v>
      </c>
      <c r="F1730" s="1" t="s">
        <v>10</v>
      </c>
      <c r="G1730" s="16">
        <v>218068.82899999997</v>
      </c>
      <c r="H1730" s="16">
        <f t="shared" si="68"/>
        <v>1067.0003580483333</v>
      </c>
      <c r="I1730" s="16">
        <f t="shared" ref="I1730:I1739" si="69">J1730*1.102311</f>
        <v>116339.75931109037</v>
      </c>
      <c r="J1730" s="16">
        <v>105541.68407199997</v>
      </c>
      <c r="M1730" s="19"/>
      <c r="N1730" s="19"/>
      <c r="O1730" s="19"/>
      <c r="P1730" s="19"/>
      <c r="Q1730" s="15" t="s">
        <v>261</v>
      </c>
    </row>
    <row r="1731" spans="1:17" x14ac:dyDescent="0.25">
      <c r="A1731" s="91">
        <v>2812</v>
      </c>
      <c r="B1731" s="15">
        <v>2014</v>
      </c>
      <c r="C1731" s="1" t="s">
        <v>7</v>
      </c>
      <c r="D1731" s="1" t="s">
        <v>215</v>
      </c>
      <c r="E1731" s="15" t="s">
        <v>123</v>
      </c>
      <c r="F1731" s="1" t="s">
        <v>188</v>
      </c>
      <c r="G1731" s="16">
        <v>722557.11800000002</v>
      </c>
      <c r="H1731" s="16">
        <f t="shared" si="68"/>
        <v>1015.5714207225303</v>
      </c>
      <c r="I1731" s="16">
        <f t="shared" si="69"/>
        <v>366904.17944021849</v>
      </c>
      <c r="J1731" s="16">
        <v>332849.96651599999</v>
      </c>
      <c r="M1731" s="19"/>
      <c r="N1731" s="19"/>
      <c r="O1731" s="19"/>
      <c r="P1731" s="19"/>
      <c r="Q1731" s="15" t="s">
        <v>261</v>
      </c>
    </row>
    <row r="1732" spans="1:17" x14ac:dyDescent="0.25">
      <c r="A1732" s="91">
        <v>2813</v>
      </c>
      <c r="B1732" s="15">
        <v>2014</v>
      </c>
      <c r="C1732" s="1" t="s">
        <v>7</v>
      </c>
      <c r="D1732" s="1" t="s">
        <v>215</v>
      </c>
      <c r="E1732" s="15" t="s">
        <v>123</v>
      </c>
      <c r="F1732" s="1" t="s">
        <v>13</v>
      </c>
      <c r="G1732" s="16">
        <v>346742.94699999999</v>
      </c>
      <c r="H1732" s="16">
        <f t="shared" si="68"/>
        <v>1725.3245108965496</v>
      </c>
      <c r="I1732" s="16">
        <f t="shared" si="69"/>
        <v>299122.05271980161</v>
      </c>
      <c r="J1732" s="16">
        <v>271359.03816599998</v>
      </c>
      <c r="M1732" s="19"/>
      <c r="N1732" s="19"/>
      <c r="O1732" s="19"/>
      <c r="P1732" s="19"/>
      <c r="Q1732" s="15" t="s">
        <v>261</v>
      </c>
    </row>
    <row r="1733" spans="1:17" x14ac:dyDescent="0.25">
      <c r="A1733" s="91">
        <v>2814</v>
      </c>
      <c r="B1733" s="15">
        <v>2014</v>
      </c>
      <c r="C1733" s="1" t="s">
        <v>7</v>
      </c>
      <c r="D1733" s="1" t="s">
        <v>215</v>
      </c>
      <c r="E1733" s="15" t="s">
        <v>123</v>
      </c>
      <c r="F1733" s="1" t="s">
        <v>144</v>
      </c>
      <c r="G1733" s="16">
        <v>1029457.112</v>
      </c>
      <c r="H1733" s="16">
        <f t="shared" si="68"/>
        <v>828.58673039731809</v>
      </c>
      <c r="I1733" s="16">
        <f t="shared" si="69"/>
        <v>426497.25125817279</v>
      </c>
      <c r="J1733" s="16">
        <v>386911.90712799999</v>
      </c>
      <c r="M1733" s="19"/>
      <c r="N1733" s="19"/>
      <c r="O1733" s="19"/>
      <c r="P1733" s="19"/>
      <c r="Q1733" s="15" t="s">
        <v>261</v>
      </c>
    </row>
    <row r="1734" spans="1:17" x14ac:dyDescent="0.25">
      <c r="A1734" s="91">
        <v>2815</v>
      </c>
      <c r="B1734" s="15">
        <v>2014</v>
      </c>
      <c r="C1734" s="1" t="s">
        <v>7</v>
      </c>
      <c r="D1734" s="1" t="s">
        <v>215</v>
      </c>
      <c r="E1734" s="15" t="s">
        <v>123</v>
      </c>
      <c r="F1734" s="1" t="s">
        <v>156</v>
      </c>
      <c r="G1734" s="16">
        <v>1284786.4339999999</v>
      </c>
      <c r="H1734" s="16">
        <f t="shared" si="68"/>
        <v>871.89901865046033</v>
      </c>
      <c r="I1734" s="16">
        <f t="shared" si="69"/>
        <v>560102.01549001213</v>
      </c>
      <c r="J1734" s="16">
        <v>508116.14461799996</v>
      </c>
      <c r="M1734" s="19"/>
      <c r="N1734" s="19"/>
      <c r="O1734" s="19"/>
      <c r="P1734" s="19"/>
      <c r="Q1734" s="15" t="s">
        <v>261</v>
      </c>
    </row>
    <row r="1735" spans="1:17" x14ac:dyDescent="0.25">
      <c r="A1735" s="91">
        <v>2816</v>
      </c>
      <c r="B1735" s="15">
        <v>2014</v>
      </c>
      <c r="C1735" s="1" t="s">
        <v>7</v>
      </c>
      <c r="D1735" s="1" t="s">
        <v>215</v>
      </c>
      <c r="E1735" s="15" t="s">
        <v>123</v>
      </c>
      <c r="F1735" s="1" t="s">
        <v>155</v>
      </c>
      <c r="G1735" s="16">
        <v>446064.98</v>
      </c>
      <c r="H1735" s="16">
        <f t="shared" si="68"/>
        <v>1032.8886672668616</v>
      </c>
      <c r="I1735" s="16">
        <f t="shared" si="69"/>
        <v>230367.73135330962</v>
      </c>
      <c r="J1735" s="16">
        <v>208986.14942</v>
      </c>
      <c r="M1735" s="19"/>
      <c r="N1735" s="19"/>
      <c r="O1735" s="19"/>
      <c r="P1735" s="19"/>
      <c r="Q1735" s="15" t="s">
        <v>261</v>
      </c>
    </row>
    <row r="1736" spans="1:17" x14ac:dyDescent="0.25">
      <c r="A1736" s="91">
        <v>2819</v>
      </c>
      <c r="B1736" s="15">
        <v>2014</v>
      </c>
      <c r="C1736" s="1" t="s">
        <v>11</v>
      </c>
      <c r="D1736" s="1" t="s">
        <v>215</v>
      </c>
      <c r="E1736" s="15" t="s">
        <v>124</v>
      </c>
      <c r="F1736" s="1" t="s">
        <v>12</v>
      </c>
      <c r="G1736" s="16">
        <v>357.8</v>
      </c>
      <c r="H1736" s="16">
        <f t="shared" si="68"/>
        <v>1822.9319187566496</v>
      </c>
      <c r="I1736" s="16">
        <f t="shared" si="69"/>
        <v>326.12252026556462</v>
      </c>
      <c r="J1736" s="16">
        <v>295.8534572054208</v>
      </c>
      <c r="M1736" s="19"/>
      <c r="N1736" s="19"/>
      <c r="O1736" s="19"/>
      <c r="P1736" s="19"/>
      <c r="Q1736" s="15" t="s">
        <v>261</v>
      </c>
    </row>
    <row r="1737" spans="1:17" x14ac:dyDescent="0.25">
      <c r="A1737" s="91">
        <v>2823</v>
      </c>
      <c r="B1737" s="15">
        <v>2014</v>
      </c>
      <c r="C1737" s="1" t="s">
        <v>11</v>
      </c>
      <c r="D1737" s="1" t="s">
        <v>215</v>
      </c>
      <c r="E1737" s="15" t="s">
        <v>123</v>
      </c>
      <c r="F1737" s="1" t="s">
        <v>14</v>
      </c>
      <c r="G1737" s="16">
        <v>56804.9</v>
      </c>
      <c r="H1737" s="16">
        <f t="shared" si="68"/>
        <v>1772.0470230151398</v>
      </c>
      <c r="I1737" s="16">
        <f t="shared" si="69"/>
        <v>50330.476968836359</v>
      </c>
      <c r="J1737" s="16">
        <v>45659.053541910005</v>
      </c>
      <c r="M1737" s="19"/>
      <c r="N1737" s="19"/>
      <c r="O1737" s="19"/>
      <c r="P1737" s="19"/>
      <c r="Q1737" s="15" t="s">
        <v>261</v>
      </c>
    </row>
    <row r="1738" spans="1:17" x14ac:dyDescent="0.25">
      <c r="A1738" s="91">
        <v>2824</v>
      </c>
      <c r="B1738" s="15">
        <v>2014</v>
      </c>
      <c r="C1738" s="1" t="s">
        <v>11</v>
      </c>
      <c r="D1738" s="1" t="s">
        <v>215</v>
      </c>
      <c r="E1738" s="15" t="s">
        <v>123</v>
      </c>
      <c r="F1738" s="1" t="s">
        <v>15</v>
      </c>
      <c r="G1738" s="16">
        <v>11337.6</v>
      </c>
      <c r="H1738" s="16">
        <f t="shared" si="68"/>
        <v>1329.4098394714711</v>
      </c>
      <c r="I1738" s="16">
        <f t="shared" si="69"/>
        <v>7536.1584979958752</v>
      </c>
      <c r="J1738" s="16">
        <v>6836.6899159999994</v>
      </c>
      <c r="M1738" s="19"/>
      <c r="N1738" s="19"/>
      <c r="O1738" s="19"/>
      <c r="P1738" s="19"/>
      <c r="Q1738" s="15" t="s">
        <v>261</v>
      </c>
    </row>
    <row r="1739" spans="1:17" x14ac:dyDescent="0.25">
      <c r="A1739" s="91">
        <v>2825</v>
      </c>
      <c r="B1739" s="15">
        <v>2014</v>
      </c>
      <c r="C1739" s="1" t="s">
        <v>11</v>
      </c>
      <c r="D1739" s="1" t="s">
        <v>215</v>
      </c>
      <c r="E1739" s="15" t="s">
        <v>123</v>
      </c>
      <c r="F1739" s="1" t="s">
        <v>16</v>
      </c>
      <c r="G1739" s="16">
        <v>14347.32</v>
      </c>
      <c r="H1739" s="16">
        <f t="shared" si="68"/>
        <v>3747.2792048698875</v>
      </c>
      <c r="I1739" s="16">
        <f t="shared" si="69"/>
        <v>26881.706940806918</v>
      </c>
      <c r="J1739" s="16">
        <v>24386.681200502324</v>
      </c>
      <c r="M1739" s="19"/>
      <c r="N1739" s="19"/>
      <c r="O1739" s="19"/>
      <c r="P1739" s="19"/>
      <c r="Q1739" s="15" t="s">
        <v>261</v>
      </c>
    </row>
    <row r="1740" spans="1:17" x14ac:dyDescent="0.25">
      <c r="A1740" s="91">
        <v>2827</v>
      </c>
      <c r="B1740" s="15">
        <v>2014</v>
      </c>
      <c r="C1740" s="1" t="s">
        <v>11</v>
      </c>
      <c r="D1740" s="1" t="s">
        <v>215</v>
      </c>
      <c r="E1740" s="15" t="s">
        <v>125</v>
      </c>
      <c r="F1740" s="1" t="s">
        <v>17</v>
      </c>
      <c r="G1740" s="16">
        <v>442302.62199999997</v>
      </c>
      <c r="H1740" s="92">
        <v>0</v>
      </c>
      <c r="I1740" s="92">
        <f>(H1740*G1740)/2000</f>
        <v>0</v>
      </c>
      <c r="J1740" s="92"/>
      <c r="K1740" s="17" t="s">
        <v>229</v>
      </c>
      <c r="M1740" s="19"/>
      <c r="N1740" s="19"/>
      <c r="O1740" s="19"/>
      <c r="P1740" s="19"/>
    </row>
    <row r="1741" spans="1:17" x14ac:dyDescent="0.25">
      <c r="A1741" s="91">
        <v>2828</v>
      </c>
      <c r="B1741" s="15">
        <v>2014</v>
      </c>
      <c r="C1741" s="1" t="s">
        <v>11</v>
      </c>
      <c r="D1741" s="1" t="s">
        <v>215</v>
      </c>
      <c r="E1741" s="15" t="s">
        <v>125</v>
      </c>
      <c r="F1741" s="1" t="s">
        <v>189</v>
      </c>
      <c r="G1741" s="16">
        <v>883474.77099999995</v>
      </c>
      <c r="H1741" s="92">
        <v>0</v>
      </c>
      <c r="I1741" s="92">
        <f>(H1741*G1741)/2000</f>
        <v>0</v>
      </c>
      <c r="J1741" s="92"/>
      <c r="K1741" s="17" t="s">
        <v>229</v>
      </c>
      <c r="M1741" s="19"/>
      <c r="N1741" s="19"/>
      <c r="O1741" s="19"/>
      <c r="P1741" s="19"/>
    </row>
    <row r="1742" spans="1:17" x14ac:dyDescent="0.25">
      <c r="A1742" s="91">
        <v>2835</v>
      </c>
      <c r="B1742" s="15">
        <v>2014</v>
      </c>
      <c r="C1742" s="1" t="s">
        <v>11</v>
      </c>
      <c r="D1742" s="1" t="s">
        <v>215</v>
      </c>
      <c r="E1742" s="15" t="s">
        <v>123</v>
      </c>
      <c r="F1742" s="1" t="s">
        <v>18</v>
      </c>
      <c r="G1742" s="16">
        <v>24458.1</v>
      </c>
      <c r="H1742" s="16">
        <f>(I1742*2000)/G1742</f>
        <v>2653.7287919374417</v>
      </c>
      <c r="I1742" s="16">
        <f>J1742*1.102311</f>
        <v>32452.582083042569</v>
      </c>
      <c r="J1742" s="16">
        <v>29440.495543492325</v>
      </c>
      <c r="M1742" s="19"/>
      <c r="N1742" s="19"/>
      <c r="O1742" s="19"/>
      <c r="P1742" s="19"/>
      <c r="Q1742" s="15" t="s">
        <v>261</v>
      </c>
    </row>
    <row r="1743" spans="1:17" x14ac:dyDescent="0.25">
      <c r="A1743" s="91">
        <v>2836</v>
      </c>
      <c r="B1743" s="15">
        <v>2014</v>
      </c>
      <c r="C1743" s="1" t="s">
        <v>11</v>
      </c>
      <c r="D1743" s="1" t="s">
        <v>215</v>
      </c>
      <c r="E1743" s="15" t="s">
        <v>125</v>
      </c>
      <c r="F1743" s="1" t="s">
        <v>126</v>
      </c>
      <c r="G1743" s="16">
        <v>649976.24100000004</v>
      </c>
      <c r="H1743" s="92">
        <v>0</v>
      </c>
      <c r="I1743" s="92">
        <f>(H1743*G1743)/2000</f>
        <v>0</v>
      </c>
      <c r="J1743" s="92"/>
      <c r="K1743" s="17" t="s">
        <v>229</v>
      </c>
      <c r="M1743" s="19"/>
      <c r="N1743" s="19"/>
      <c r="O1743" s="19"/>
      <c r="P1743" s="19"/>
    </row>
    <row r="1744" spans="1:17" x14ac:dyDescent="0.25">
      <c r="A1744" s="91">
        <v>2838</v>
      </c>
      <c r="B1744" s="15">
        <v>2014</v>
      </c>
      <c r="C1744" s="1" t="s">
        <v>19</v>
      </c>
      <c r="D1744" s="1" t="s">
        <v>219</v>
      </c>
      <c r="E1744" s="15" t="s">
        <v>125</v>
      </c>
      <c r="F1744" s="1" t="s">
        <v>175</v>
      </c>
      <c r="G1744" s="16">
        <v>143.74799999999999</v>
      </c>
      <c r="H1744" s="92">
        <v>0</v>
      </c>
      <c r="I1744" s="92">
        <f>(H1744*G1744)/2000</f>
        <v>0</v>
      </c>
      <c r="J1744" s="92"/>
      <c r="K1744" s="17" t="s">
        <v>229</v>
      </c>
      <c r="M1744" s="19"/>
      <c r="N1744" s="19"/>
      <c r="O1744" s="19"/>
      <c r="P1744" s="19"/>
    </row>
    <row r="1745" spans="1:16" x14ac:dyDescent="0.25">
      <c r="A1745" s="91">
        <v>2839</v>
      </c>
      <c r="B1745" s="15">
        <v>2014</v>
      </c>
      <c r="C1745" s="1" t="s">
        <v>19</v>
      </c>
      <c r="D1745" s="1" t="s">
        <v>219</v>
      </c>
      <c r="E1745" s="15" t="s">
        <v>217</v>
      </c>
      <c r="F1745" s="1" t="s">
        <v>127</v>
      </c>
      <c r="G1745" s="16">
        <v>216079</v>
      </c>
      <c r="H1745" s="93">
        <f>'Emission Rates Net-by-Count'!$D$12</f>
        <v>1014</v>
      </c>
      <c r="I1745" s="16">
        <f>(G1745*H1745)/2000</f>
        <v>109552.053</v>
      </c>
      <c r="K1745" s="17" t="s">
        <v>249</v>
      </c>
      <c r="M1745" s="19"/>
      <c r="N1745" s="19"/>
      <c r="O1745" s="19"/>
      <c r="P1745" s="19"/>
    </row>
    <row r="1746" spans="1:16" x14ac:dyDescent="0.25">
      <c r="A1746" s="91">
        <v>2840</v>
      </c>
      <c r="B1746" s="15">
        <v>2014</v>
      </c>
      <c r="C1746" s="1" t="s">
        <v>19</v>
      </c>
      <c r="D1746" s="1" t="s">
        <v>219</v>
      </c>
      <c r="E1746" s="15" t="s">
        <v>217</v>
      </c>
      <c r="F1746" s="1" t="s">
        <v>20</v>
      </c>
      <c r="G1746" s="16">
        <v>20696.929</v>
      </c>
      <c r="H1746" s="93">
        <f>'Emission Rates Net-by-Count'!$D$12</f>
        <v>1014</v>
      </c>
      <c r="I1746" s="16">
        <f>(G1746*H1746)/2000</f>
        <v>10493.343003</v>
      </c>
      <c r="M1746" s="19"/>
      <c r="N1746" s="19"/>
      <c r="O1746" s="19"/>
      <c r="P1746" s="19"/>
    </row>
    <row r="1747" spans="1:16" x14ac:dyDescent="0.25">
      <c r="A1747" s="91">
        <v>2841</v>
      </c>
      <c r="B1747" s="15">
        <v>2014</v>
      </c>
      <c r="C1747" s="1" t="s">
        <v>19</v>
      </c>
      <c r="D1747" s="1" t="s">
        <v>219</v>
      </c>
      <c r="E1747" s="15" t="s">
        <v>125</v>
      </c>
      <c r="F1747" s="1" t="s">
        <v>195</v>
      </c>
      <c r="G1747" s="16">
        <v>13.750999999999999</v>
      </c>
      <c r="H1747" s="92">
        <v>0</v>
      </c>
      <c r="I1747" s="92">
        <f>(H1747*G1747)/2000</f>
        <v>0</v>
      </c>
      <c r="J1747" s="92"/>
      <c r="K1747" s="17" t="s">
        <v>226</v>
      </c>
      <c r="M1747" s="19"/>
      <c r="N1747" s="19"/>
      <c r="O1747" s="19"/>
      <c r="P1747" s="19"/>
    </row>
    <row r="1748" spans="1:16" x14ac:dyDescent="0.25">
      <c r="A1748" s="91">
        <v>2842</v>
      </c>
      <c r="B1748" s="15">
        <v>2014</v>
      </c>
      <c r="C1748" s="1" t="s">
        <v>19</v>
      </c>
      <c r="D1748" s="1" t="s">
        <v>219</v>
      </c>
      <c r="E1748" s="15" t="s">
        <v>125</v>
      </c>
      <c r="F1748" s="1" t="s">
        <v>176</v>
      </c>
      <c r="G1748" s="16">
        <v>14182.659</v>
      </c>
      <c r="H1748" s="92">
        <v>0</v>
      </c>
      <c r="I1748" s="92">
        <f>(H1748*G1748)/2000</f>
        <v>0</v>
      </c>
      <c r="J1748" s="92"/>
      <c r="K1748" s="17" t="s">
        <v>223</v>
      </c>
      <c r="M1748" s="19"/>
      <c r="N1748" s="19"/>
      <c r="O1748" s="19"/>
      <c r="P1748" s="19"/>
    </row>
    <row r="1749" spans="1:16" x14ac:dyDescent="0.25">
      <c r="A1749" s="91">
        <v>2843</v>
      </c>
      <c r="B1749" s="15">
        <v>2014</v>
      </c>
      <c r="C1749" s="1" t="s">
        <v>19</v>
      </c>
      <c r="D1749" s="1" t="s">
        <v>219</v>
      </c>
      <c r="E1749" s="15" t="s">
        <v>230</v>
      </c>
      <c r="F1749" s="1" t="s">
        <v>51</v>
      </c>
      <c r="G1749" s="16">
        <v>-10172</v>
      </c>
      <c r="H1749" s="92">
        <v>0</v>
      </c>
      <c r="I1749" s="92">
        <f>(H1749*G1749)/2000</f>
        <v>0</v>
      </c>
      <c r="J1749" s="92"/>
      <c r="K1749" s="17" t="s">
        <v>231</v>
      </c>
      <c r="M1749" s="19"/>
      <c r="N1749" s="19"/>
      <c r="O1749" s="19"/>
      <c r="P1749" s="19"/>
    </row>
    <row r="1750" spans="1:16" x14ac:dyDescent="0.25">
      <c r="A1750" s="91">
        <v>2844</v>
      </c>
      <c r="B1750" s="15">
        <v>2014</v>
      </c>
      <c r="C1750" s="1" t="s">
        <v>19</v>
      </c>
      <c r="D1750" s="1" t="s">
        <v>219</v>
      </c>
      <c r="E1750" s="15" t="s">
        <v>125</v>
      </c>
      <c r="F1750" s="1" t="s">
        <v>21</v>
      </c>
      <c r="G1750" s="16">
        <v>7000</v>
      </c>
      <c r="H1750" s="92">
        <v>0</v>
      </c>
      <c r="I1750" s="92">
        <f>(H1750*G1750)/2000</f>
        <v>0</v>
      </c>
      <c r="J1750" s="92"/>
      <c r="K1750" s="17" t="s">
        <v>235</v>
      </c>
      <c r="M1750" s="19"/>
      <c r="N1750" s="19"/>
      <c r="O1750" s="19"/>
      <c r="P1750" s="19"/>
    </row>
    <row r="1751" spans="1:16" x14ac:dyDescent="0.25">
      <c r="A1751" s="91">
        <v>2845</v>
      </c>
      <c r="B1751" s="15">
        <v>2014</v>
      </c>
      <c r="C1751" s="1" t="s">
        <v>19</v>
      </c>
      <c r="D1751" s="1" t="s">
        <v>219</v>
      </c>
      <c r="E1751" s="15" t="s">
        <v>217</v>
      </c>
      <c r="F1751" s="1" t="s">
        <v>22</v>
      </c>
      <c r="G1751" s="16">
        <v>360022</v>
      </c>
      <c r="H1751" s="93">
        <f>'Emission Rates Net-by-Count'!$D$12</f>
        <v>1014</v>
      </c>
      <c r="I1751" s="16">
        <f>(G1751*H1751)/2000</f>
        <v>182531.15400000001</v>
      </c>
      <c r="J1751" s="92"/>
      <c r="K1751" s="17" t="s">
        <v>236</v>
      </c>
      <c r="M1751" s="19"/>
      <c r="N1751" s="19"/>
      <c r="O1751" s="19"/>
      <c r="P1751" s="19"/>
    </row>
    <row r="1752" spans="1:16" x14ac:dyDescent="0.25">
      <c r="A1752" s="91">
        <v>2846</v>
      </c>
      <c r="B1752" s="15">
        <v>2014</v>
      </c>
      <c r="C1752" s="1" t="s">
        <v>19</v>
      </c>
      <c r="D1752" s="1" t="s">
        <v>219</v>
      </c>
      <c r="E1752" s="15" t="s">
        <v>125</v>
      </c>
      <c r="F1752" s="1" t="s">
        <v>190</v>
      </c>
      <c r="G1752" s="16">
        <v>28.02</v>
      </c>
      <c r="H1752" s="92">
        <v>0</v>
      </c>
      <c r="I1752" s="92">
        <f t="shared" ref="I1752:I1761" si="70">(H1752*G1752)/2000</f>
        <v>0</v>
      </c>
      <c r="J1752" s="92"/>
      <c r="K1752" s="17" t="s">
        <v>221</v>
      </c>
      <c r="M1752" s="19"/>
      <c r="N1752" s="19"/>
      <c r="O1752" s="19"/>
      <c r="P1752" s="19"/>
    </row>
    <row r="1753" spans="1:16" x14ac:dyDescent="0.25">
      <c r="A1753" s="91">
        <v>2847</v>
      </c>
      <c r="B1753" s="15">
        <v>2014</v>
      </c>
      <c r="C1753" s="1" t="s">
        <v>19</v>
      </c>
      <c r="D1753" s="1" t="s">
        <v>219</v>
      </c>
      <c r="E1753" s="15" t="s">
        <v>125</v>
      </c>
      <c r="F1753" s="1" t="s">
        <v>177</v>
      </c>
      <c r="G1753" s="16">
        <v>2323845</v>
      </c>
      <c r="H1753" s="92">
        <v>0</v>
      </c>
      <c r="I1753" s="92">
        <f t="shared" si="70"/>
        <v>0</v>
      </c>
      <c r="J1753" s="92"/>
      <c r="K1753" s="17" t="s">
        <v>223</v>
      </c>
      <c r="M1753" s="19"/>
      <c r="N1753" s="19"/>
      <c r="O1753" s="19"/>
      <c r="P1753" s="19"/>
    </row>
    <row r="1754" spans="1:16" x14ac:dyDescent="0.25">
      <c r="A1754" s="91">
        <v>2848</v>
      </c>
      <c r="B1754" s="15">
        <v>2014</v>
      </c>
      <c r="C1754" s="1" t="s">
        <v>19</v>
      </c>
      <c r="D1754" s="1" t="s">
        <v>219</v>
      </c>
      <c r="E1754" s="15" t="s">
        <v>125</v>
      </c>
      <c r="F1754" s="1" t="s">
        <v>23</v>
      </c>
      <c r="G1754" s="16">
        <v>-38431</v>
      </c>
      <c r="H1754" s="92">
        <v>0</v>
      </c>
      <c r="I1754" s="92">
        <f t="shared" si="70"/>
        <v>0</v>
      </c>
      <c r="J1754" s="92"/>
      <c r="K1754" s="17" t="s">
        <v>223</v>
      </c>
      <c r="M1754" s="19"/>
      <c r="N1754" s="19"/>
      <c r="O1754" s="19"/>
      <c r="P1754" s="19"/>
    </row>
    <row r="1755" spans="1:16" x14ac:dyDescent="0.25">
      <c r="A1755" s="91">
        <v>2849</v>
      </c>
      <c r="B1755" s="15">
        <v>2014</v>
      </c>
      <c r="C1755" s="1" t="s">
        <v>19</v>
      </c>
      <c r="D1755" s="1" t="s">
        <v>219</v>
      </c>
      <c r="E1755" s="15" t="s">
        <v>125</v>
      </c>
      <c r="F1755" s="1" t="s">
        <v>24</v>
      </c>
      <c r="G1755" s="16">
        <v>-81380</v>
      </c>
      <c r="H1755" s="92">
        <v>0</v>
      </c>
      <c r="I1755" s="92">
        <f t="shared" si="70"/>
        <v>0</v>
      </c>
      <c r="J1755" s="92"/>
      <c r="K1755" s="17" t="s">
        <v>223</v>
      </c>
      <c r="M1755" s="19"/>
      <c r="N1755" s="19"/>
      <c r="O1755" s="19"/>
      <c r="P1755" s="19"/>
    </row>
    <row r="1756" spans="1:16" x14ac:dyDescent="0.25">
      <c r="A1756" s="91">
        <v>2850</v>
      </c>
      <c r="B1756" s="15">
        <v>2014</v>
      </c>
      <c r="C1756" s="1" t="s">
        <v>19</v>
      </c>
      <c r="D1756" s="1" t="s">
        <v>219</v>
      </c>
      <c r="E1756" s="15" t="s">
        <v>125</v>
      </c>
      <c r="F1756" s="1" t="s">
        <v>25</v>
      </c>
      <c r="G1756" s="16">
        <v>1048857</v>
      </c>
      <c r="H1756" s="92">
        <v>0</v>
      </c>
      <c r="I1756" s="92">
        <f t="shared" si="70"/>
        <v>0</v>
      </c>
      <c r="J1756" s="92"/>
      <c r="K1756" s="17" t="s">
        <v>223</v>
      </c>
      <c r="M1756" s="19"/>
      <c r="N1756" s="19"/>
      <c r="O1756" s="19"/>
      <c r="P1756" s="19"/>
    </row>
    <row r="1757" spans="1:16" x14ac:dyDescent="0.25">
      <c r="A1757" s="91">
        <v>2851</v>
      </c>
      <c r="B1757" s="15">
        <v>2014</v>
      </c>
      <c r="C1757" s="1" t="s">
        <v>19</v>
      </c>
      <c r="D1757" s="1" t="s">
        <v>219</v>
      </c>
      <c r="E1757" s="15" t="s">
        <v>125</v>
      </c>
      <c r="F1757" s="1" t="s">
        <v>191</v>
      </c>
      <c r="G1757" s="16">
        <v>3733.9949999999999</v>
      </c>
      <c r="H1757" s="92">
        <v>0</v>
      </c>
      <c r="I1757" s="92">
        <f t="shared" si="70"/>
        <v>0</v>
      </c>
      <c r="J1757" s="92"/>
      <c r="K1757" s="17" t="s">
        <v>232</v>
      </c>
      <c r="M1757" s="19"/>
      <c r="N1757" s="19"/>
      <c r="O1757" s="19"/>
      <c r="P1757" s="19"/>
    </row>
    <row r="1758" spans="1:16" x14ac:dyDescent="0.25">
      <c r="A1758" s="91">
        <v>2852</v>
      </c>
      <c r="B1758" s="15">
        <v>2014</v>
      </c>
      <c r="C1758" s="1" t="s">
        <v>19</v>
      </c>
      <c r="D1758" s="1" t="s">
        <v>219</v>
      </c>
      <c r="E1758" s="15" t="s">
        <v>125</v>
      </c>
      <c r="F1758" s="1" t="s">
        <v>169</v>
      </c>
      <c r="G1758" s="16">
        <v>4946.95</v>
      </c>
      <c r="H1758" s="92">
        <v>0</v>
      </c>
      <c r="I1758" s="92">
        <f t="shared" si="70"/>
        <v>0</v>
      </c>
      <c r="J1758" s="92"/>
      <c r="K1758" s="17" t="s">
        <v>232</v>
      </c>
      <c r="M1758" s="19"/>
      <c r="N1758" s="19"/>
      <c r="O1758" s="19"/>
      <c r="P1758" s="19"/>
    </row>
    <row r="1759" spans="1:16" x14ac:dyDescent="0.25">
      <c r="A1759" s="91">
        <v>2853</v>
      </c>
      <c r="B1759" s="15">
        <v>2014</v>
      </c>
      <c r="C1759" s="1" t="s">
        <v>19</v>
      </c>
      <c r="D1759" s="1" t="s">
        <v>219</v>
      </c>
      <c r="E1759" s="15" t="s">
        <v>125</v>
      </c>
      <c r="F1759" s="1" t="s">
        <v>161</v>
      </c>
      <c r="G1759" s="16">
        <v>5241.9309999999996</v>
      </c>
      <c r="H1759" s="92">
        <v>0</v>
      </c>
      <c r="I1759" s="92">
        <f t="shared" si="70"/>
        <v>0</v>
      </c>
      <c r="J1759" s="92"/>
      <c r="K1759" s="17" t="s">
        <v>232</v>
      </c>
      <c r="M1759" s="19"/>
      <c r="N1759" s="19"/>
      <c r="O1759" s="19"/>
      <c r="P1759" s="19"/>
    </row>
    <row r="1760" spans="1:16" x14ac:dyDescent="0.25">
      <c r="A1760" s="91">
        <v>2854</v>
      </c>
      <c r="B1760" s="15">
        <v>2014</v>
      </c>
      <c r="C1760" s="1" t="s">
        <v>19</v>
      </c>
      <c r="D1760" s="1" t="s">
        <v>219</v>
      </c>
      <c r="E1760" s="15" t="s">
        <v>125</v>
      </c>
      <c r="F1760" s="1" t="s">
        <v>162</v>
      </c>
      <c r="G1760" s="16">
        <v>50317</v>
      </c>
      <c r="H1760" s="92">
        <v>0</v>
      </c>
      <c r="I1760" s="92">
        <f t="shared" si="70"/>
        <v>0</v>
      </c>
      <c r="J1760" s="92"/>
      <c r="K1760" s="17" t="s">
        <v>223</v>
      </c>
      <c r="M1760" s="19"/>
      <c r="N1760" s="19"/>
      <c r="O1760" s="19"/>
      <c r="P1760" s="19"/>
    </row>
    <row r="1761" spans="1:17" x14ac:dyDescent="0.25">
      <c r="A1761" s="91">
        <v>2855</v>
      </c>
      <c r="B1761" s="15">
        <v>2014</v>
      </c>
      <c r="C1761" s="1" t="s">
        <v>19</v>
      </c>
      <c r="D1761" s="1" t="s">
        <v>219</v>
      </c>
      <c r="E1761" s="15" t="s">
        <v>125</v>
      </c>
      <c r="F1761" s="1" t="s">
        <v>178</v>
      </c>
      <c r="G1761" s="16">
        <v>59.67</v>
      </c>
      <c r="H1761" s="92">
        <v>0</v>
      </c>
      <c r="I1761" s="92">
        <f t="shared" si="70"/>
        <v>0</v>
      </c>
      <c r="J1761" s="92"/>
      <c r="K1761" s="17" t="s">
        <v>221</v>
      </c>
      <c r="M1761" s="19"/>
      <c r="N1761" s="19"/>
      <c r="O1761" s="19"/>
      <c r="P1761" s="19"/>
    </row>
    <row r="1762" spans="1:17" x14ac:dyDescent="0.25">
      <c r="A1762" s="91">
        <v>2856</v>
      </c>
      <c r="B1762" s="15">
        <v>2014</v>
      </c>
      <c r="C1762" s="1" t="s">
        <v>19</v>
      </c>
      <c r="D1762" s="1" t="s">
        <v>219</v>
      </c>
      <c r="E1762" s="15" t="s">
        <v>123</v>
      </c>
      <c r="F1762" s="1" t="s">
        <v>192</v>
      </c>
      <c r="G1762" s="16">
        <v>1200</v>
      </c>
      <c r="H1762" s="92">
        <f>P1762</f>
        <v>814.11824078403606</v>
      </c>
      <c r="I1762" s="92">
        <f>(+G1762*H1762)/2000</f>
        <v>488.47094447042167</v>
      </c>
      <c r="J1762" s="92"/>
      <c r="K1762" s="17" t="s">
        <v>224</v>
      </c>
      <c r="L1762" s="18">
        <v>5.8439999999999999E-2</v>
      </c>
      <c r="M1762" s="19">
        <v>15462521</v>
      </c>
      <c r="N1762" s="19">
        <f>(M1762*L1762)</f>
        <v>903629.72724000004</v>
      </c>
      <c r="O1762" s="19">
        <v>2219898</v>
      </c>
      <c r="P1762" s="19">
        <f>(N1762*2000)/O1762</f>
        <v>814.11824078403606</v>
      </c>
      <c r="Q1762" s="15" t="s">
        <v>255</v>
      </c>
    </row>
    <row r="1763" spans="1:17" x14ac:dyDescent="0.25">
      <c r="A1763" s="91">
        <v>2857</v>
      </c>
      <c r="B1763" s="15">
        <v>2014</v>
      </c>
      <c r="C1763" s="1" t="s">
        <v>19</v>
      </c>
      <c r="D1763" s="1" t="s">
        <v>219</v>
      </c>
      <c r="E1763" s="15" t="s">
        <v>125</v>
      </c>
      <c r="F1763" s="1" t="s">
        <v>145</v>
      </c>
      <c r="G1763" s="16">
        <v>129205</v>
      </c>
      <c r="H1763" s="92">
        <v>0</v>
      </c>
      <c r="I1763" s="92">
        <f t="shared" ref="I1763:I1769" si="71">(H1763*G1763)/2000</f>
        <v>0</v>
      </c>
      <c r="J1763" s="92"/>
      <c r="K1763" s="17" t="s">
        <v>229</v>
      </c>
      <c r="M1763" s="19"/>
      <c r="N1763" s="19"/>
      <c r="O1763" s="19"/>
      <c r="P1763" s="19"/>
    </row>
    <row r="1764" spans="1:17" x14ac:dyDescent="0.25">
      <c r="A1764" s="91">
        <v>2858</v>
      </c>
      <c r="B1764" s="15">
        <v>2014</v>
      </c>
      <c r="C1764" s="1" t="s">
        <v>19</v>
      </c>
      <c r="D1764" s="1" t="s">
        <v>219</v>
      </c>
      <c r="E1764" s="15" t="s">
        <v>125</v>
      </c>
      <c r="F1764" s="1" t="s">
        <v>179</v>
      </c>
      <c r="G1764" s="16">
        <v>151.547</v>
      </c>
      <c r="H1764" s="92">
        <v>0</v>
      </c>
      <c r="I1764" s="92">
        <f t="shared" si="71"/>
        <v>0</v>
      </c>
      <c r="J1764" s="92"/>
      <c r="K1764" s="17" t="s">
        <v>229</v>
      </c>
      <c r="M1764" s="19"/>
      <c r="N1764" s="19"/>
      <c r="O1764" s="19"/>
      <c r="P1764" s="19"/>
    </row>
    <row r="1765" spans="1:17" x14ac:dyDescent="0.25">
      <c r="A1765" s="91">
        <v>2859</v>
      </c>
      <c r="B1765" s="15">
        <v>2014</v>
      </c>
      <c r="C1765" s="1" t="s">
        <v>19</v>
      </c>
      <c r="D1765" s="1" t="s">
        <v>219</v>
      </c>
      <c r="E1765" s="15" t="s">
        <v>125</v>
      </c>
      <c r="F1765" s="1" t="s">
        <v>163</v>
      </c>
      <c r="G1765" s="16">
        <v>290</v>
      </c>
      <c r="H1765" s="92">
        <v>0</v>
      </c>
      <c r="I1765" s="92">
        <f t="shared" si="71"/>
        <v>0</v>
      </c>
      <c r="J1765" s="92"/>
      <c r="K1765" s="17" t="s">
        <v>232</v>
      </c>
      <c r="M1765" s="19"/>
      <c r="N1765" s="19"/>
      <c r="O1765" s="19"/>
      <c r="P1765" s="19"/>
    </row>
    <row r="1766" spans="1:17" x14ac:dyDescent="0.25">
      <c r="A1766" s="91">
        <v>2860</v>
      </c>
      <c r="B1766" s="15">
        <v>2014</v>
      </c>
      <c r="C1766" s="1" t="s">
        <v>19</v>
      </c>
      <c r="D1766" s="1" t="s">
        <v>219</v>
      </c>
      <c r="E1766" s="15" t="s">
        <v>125</v>
      </c>
      <c r="F1766" s="1" t="s">
        <v>193</v>
      </c>
      <c r="G1766" s="16">
        <v>5027.634</v>
      </c>
      <c r="H1766" s="92">
        <v>0</v>
      </c>
      <c r="I1766" s="92">
        <f t="shared" si="71"/>
        <v>0</v>
      </c>
      <c r="J1766" s="92"/>
      <c r="K1766" s="17" t="s">
        <v>232</v>
      </c>
      <c r="M1766" s="19"/>
      <c r="N1766" s="19"/>
      <c r="O1766" s="19"/>
      <c r="P1766" s="19"/>
    </row>
    <row r="1767" spans="1:17" x14ac:dyDescent="0.25">
      <c r="A1767" s="91">
        <v>2861</v>
      </c>
      <c r="B1767" s="15">
        <v>2014</v>
      </c>
      <c r="C1767" s="1" t="s">
        <v>19</v>
      </c>
      <c r="D1767" s="1" t="s">
        <v>219</v>
      </c>
      <c r="E1767" s="15" t="s">
        <v>125</v>
      </c>
      <c r="F1767" s="1" t="s">
        <v>3</v>
      </c>
      <c r="G1767" s="16">
        <v>6471.0950000000003</v>
      </c>
      <c r="H1767" s="92">
        <v>0</v>
      </c>
      <c r="I1767" s="92">
        <f t="shared" si="71"/>
        <v>0</v>
      </c>
      <c r="J1767" s="92"/>
      <c r="K1767" s="17" t="s">
        <v>223</v>
      </c>
      <c r="M1767" s="19"/>
      <c r="N1767" s="19"/>
      <c r="O1767" s="19"/>
      <c r="P1767" s="19"/>
    </row>
    <row r="1768" spans="1:17" x14ac:dyDescent="0.25">
      <c r="A1768" s="91">
        <v>2862</v>
      </c>
      <c r="B1768" s="15">
        <v>2014</v>
      </c>
      <c r="C1768" s="1" t="s">
        <v>19</v>
      </c>
      <c r="D1768" s="1" t="s">
        <v>219</v>
      </c>
      <c r="E1768" s="15" t="s">
        <v>125</v>
      </c>
      <c r="F1768" s="1" t="s">
        <v>180</v>
      </c>
      <c r="G1768" s="16">
        <v>174.334</v>
      </c>
      <c r="H1768" s="92">
        <v>0</v>
      </c>
      <c r="I1768" s="92">
        <f t="shared" si="71"/>
        <v>0</v>
      </c>
      <c r="J1768" s="92"/>
      <c r="K1768" s="17" t="s">
        <v>223</v>
      </c>
      <c r="M1768" s="19"/>
      <c r="N1768" s="19"/>
      <c r="O1768" s="19"/>
      <c r="P1768" s="19"/>
    </row>
    <row r="1769" spans="1:17" x14ac:dyDescent="0.25">
      <c r="A1769" s="91">
        <v>2863</v>
      </c>
      <c r="B1769" s="15">
        <v>2014</v>
      </c>
      <c r="C1769" s="1" t="s">
        <v>19</v>
      </c>
      <c r="D1769" s="1" t="s">
        <v>219</v>
      </c>
      <c r="E1769" s="15" t="s">
        <v>125</v>
      </c>
      <c r="F1769" s="1" t="s">
        <v>194</v>
      </c>
      <c r="G1769" s="16">
        <v>11215.539000000001</v>
      </c>
      <c r="H1769" s="92">
        <v>0</v>
      </c>
      <c r="I1769" s="92">
        <f t="shared" si="71"/>
        <v>0</v>
      </c>
      <c r="J1769" s="92"/>
      <c r="K1769" s="17" t="s">
        <v>229</v>
      </c>
      <c r="M1769" s="19"/>
      <c r="N1769" s="19"/>
      <c r="O1769" s="19"/>
      <c r="P1769" s="19"/>
    </row>
    <row r="1770" spans="1:17" x14ac:dyDescent="0.25">
      <c r="A1770" s="91">
        <v>2864</v>
      </c>
      <c r="B1770" s="15">
        <v>2014</v>
      </c>
      <c r="C1770" s="1" t="s">
        <v>19</v>
      </c>
      <c r="D1770" s="1" t="s">
        <v>219</v>
      </c>
      <c r="E1770" s="15" t="s">
        <v>122</v>
      </c>
      <c r="F1770" s="1" t="s">
        <v>204</v>
      </c>
      <c r="G1770" s="16">
        <v>133020</v>
      </c>
      <c r="H1770" s="92">
        <f>P1770</f>
        <v>2369.4801521895856</v>
      </c>
      <c r="I1770" s="92">
        <f>(G1770*H1770)/2000</f>
        <v>157594.12492212933</v>
      </c>
      <c r="J1770" s="92"/>
      <c r="K1770" s="17" t="s">
        <v>234</v>
      </c>
      <c r="L1770" s="18">
        <v>0.10711</v>
      </c>
      <c r="M1770" s="19">
        <v>73927637</v>
      </c>
      <c r="N1770" s="19">
        <f>(M1770*L1770)</f>
        <v>7918389.1990700001</v>
      </c>
      <c r="O1770" s="19">
        <v>6683651.0040000007</v>
      </c>
      <c r="P1770" s="19">
        <f>(N1770*2000)/O1770</f>
        <v>2369.4801521895856</v>
      </c>
      <c r="Q1770" s="15" t="s">
        <v>255</v>
      </c>
    </row>
    <row r="1771" spans="1:17" x14ac:dyDescent="0.25">
      <c r="A1771" s="91">
        <v>2865</v>
      </c>
      <c r="B1771" s="15">
        <v>2014</v>
      </c>
      <c r="C1771" s="1" t="s">
        <v>19</v>
      </c>
      <c r="D1771" s="1" t="s">
        <v>219</v>
      </c>
      <c r="E1771" s="15" t="s">
        <v>125</v>
      </c>
      <c r="F1771" s="1" t="s">
        <v>181</v>
      </c>
      <c r="G1771" s="16">
        <v>2188.8200000000002</v>
      </c>
      <c r="H1771" s="92">
        <v>0</v>
      </c>
      <c r="I1771" s="92">
        <f t="shared" ref="I1771:I1781" si="72">(H1771*G1771)/2000</f>
        <v>0</v>
      </c>
      <c r="J1771" s="92"/>
      <c r="K1771" s="17" t="s">
        <v>232</v>
      </c>
      <c r="M1771" s="19"/>
      <c r="N1771" s="19"/>
      <c r="O1771" s="19"/>
      <c r="P1771" s="19"/>
    </row>
    <row r="1772" spans="1:17" x14ac:dyDescent="0.25">
      <c r="A1772" s="91">
        <v>2866</v>
      </c>
      <c r="B1772" s="15">
        <v>2014</v>
      </c>
      <c r="C1772" s="1" t="s">
        <v>19</v>
      </c>
      <c r="D1772" s="1" t="s">
        <v>219</v>
      </c>
      <c r="E1772" s="15" t="s">
        <v>125</v>
      </c>
      <c r="F1772" s="1" t="s">
        <v>30</v>
      </c>
      <c r="G1772" s="16">
        <v>3510.7820000000002</v>
      </c>
      <c r="H1772" s="92">
        <v>0</v>
      </c>
      <c r="I1772" s="92">
        <f t="shared" si="72"/>
        <v>0</v>
      </c>
      <c r="J1772" s="92"/>
      <c r="K1772" s="17" t="s">
        <v>232</v>
      </c>
      <c r="M1772" s="19"/>
      <c r="N1772" s="19"/>
      <c r="O1772" s="19"/>
      <c r="P1772" s="19"/>
    </row>
    <row r="1773" spans="1:17" x14ac:dyDescent="0.25">
      <c r="A1773" s="91">
        <v>2868</v>
      </c>
      <c r="B1773" s="15">
        <v>2014</v>
      </c>
      <c r="C1773" s="1" t="s">
        <v>32</v>
      </c>
      <c r="D1773" s="1" t="s">
        <v>219</v>
      </c>
      <c r="E1773" s="15" t="s">
        <v>125</v>
      </c>
      <c r="F1773" s="1" t="s">
        <v>200</v>
      </c>
      <c r="G1773" s="16">
        <v>36676.847000000002</v>
      </c>
      <c r="H1773" s="92">
        <v>0</v>
      </c>
      <c r="I1773" s="92">
        <f t="shared" si="72"/>
        <v>0</v>
      </c>
      <c r="J1773" s="92"/>
      <c r="K1773" s="17" t="s">
        <v>222</v>
      </c>
      <c r="M1773" s="19"/>
      <c r="N1773" s="19"/>
      <c r="O1773" s="19"/>
      <c r="P1773" s="19"/>
    </row>
    <row r="1774" spans="1:17" x14ac:dyDescent="0.25">
      <c r="A1774" s="91">
        <v>2870</v>
      </c>
      <c r="B1774" s="15">
        <v>2014</v>
      </c>
      <c r="C1774" s="1" t="s">
        <v>32</v>
      </c>
      <c r="D1774" s="1" t="s">
        <v>219</v>
      </c>
      <c r="E1774" s="15" t="s">
        <v>125</v>
      </c>
      <c r="F1774" s="1" t="s">
        <v>205</v>
      </c>
      <c r="G1774" s="16">
        <v>8568.0669999999991</v>
      </c>
      <c r="H1774" s="92">
        <v>0</v>
      </c>
      <c r="I1774" s="92">
        <f t="shared" si="72"/>
        <v>0</v>
      </c>
      <c r="J1774" s="92"/>
      <c r="K1774" s="17" t="s">
        <v>223</v>
      </c>
      <c r="M1774" s="19"/>
      <c r="N1774" s="19"/>
      <c r="O1774" s="19"/>
      <c r="P1774" s="19"/>
    </row>
    <row r="1775" spans="1:17" x14ac:dyDescent="0.25">
      <c r="A1775" s="91">
        <v>2871</v>
      </c>
      <c r="B1775" s="15">
        <v>2014</v>
      </c>
      <c r="C1775" s="1" t="s">
        <v>32</v>
      </c>
      <c r="D1775" s="1" t="s">
        <v>219</v>
      </c>
      <c r="E1775" s="15" t="s">
        <v>125</v>
      </c>
      <c r="F1775" s="1" t="s">
        <v>33</v>
      </c>
      <c r="G1775" s="16">
        <v>233.12</v>
      </c>
      <c r="H1775" s="92">
        <v>0</v>
      </c>
      <c r="I1775" s="92">
        <f t="shared" si="72"/>
        <v>0</v>
      </c>
      <c r="J1775" s="92"/>
      <c r="K1775" s="17" t="s">
        <v>223</v>
      </c>
      <c r="M1775" s="19"/>
      <c r="N1775" s="19"/>
      <c r="O1775" s="19"/>
      <c r="P1775" s="19"/>
    </row>
    <row r="1776" spans="1:17" x14ac:dyDescent="0.25">
      <c r="A1776" s="91">
        <v>2872</v>
      </c>
      <c r="B1776" s="15">
        <v>2014</v>
      </c>
      <c r="C1776" s="1" t="s">
        <v>32</v>
      </c>
      <c r="D1776" s="1" t="s">
        <v>219</v>
      </c>
      <c r="E1776" s="15" t="s">
        <v>125</v>
      </c>
      <c r="F1776" s="1" t="s">
        <v>34</v>
      </c>
      <c r="G1776" s="16">
        <v>48522.928999999996</v>
      </c>
      <c r="H1776" s="92">
        <v>0</v>
      </c>
      <c r="I1776" s="92">
        <f t="shared" si="72"/>
        <v>0</v>
      </c>
      <c r="J1776" s="92"/>
      <c r="K1776" s="17" t="s">
        <v>223</v>
      </c>
      <c r="M1776" s="19"/>
      <c r="N1776" s="19"/>
      <c r="O1776" s="19"/>
      <c r="P1776" s="19"/>
    </row>
    <row r="1777" spans="1:16" x14ac:dyDescent="0.25">
      <c r="A1777" s="91">
        <v>2873</v>
      </c>
      <c r="B1777" s="15">
        <v>2014</v>
      </c>
      <c r="C1777" s="1" t="s">
        <v>32</v>
      </c>
      <c r="D1777" s="1" t="s">
        <v>219</v>
      </c>
      <c r="E1777" s="15" t="s">
        <v>125</v>
      </c>
      <c r="F1777" s="1" t="s">
        <v>196</v>
      </c>
      <c r="G1777" s="16">
        <v>271.08</v>
      </c>
      <c r="H1777" s="92">
        <v>0</v>
      </c>
      <c r="I1777" s="92">
        <f t="shared" si="72"/>
        <v>0</v>
      </c>
      <c r="J1777" s="92"/>
      <c r="K1777" s="17" t="s">
        <v>221</v>
      </c>
      <c r="M1777" s="19"/>
      <c r="N1777" s="19"/>
      <c r="O1777" s="19"/>
      <c r="P1777" s="19"/>
    </row>
    <row r="1778" spans="1:16" x14ac:dyDescent="0.25">
      <c r="A1778" s="91">
        <v>2874</v>
      </c>
      <c r="B1778" s="15">
        <v>2014</v>
      </c>
      <c r="C1778" s="1" t="s">
        <v>32</v>
      </c>
      <c r="D1778" s="1" t="s">
        <v>219</v>
      </c>
      <c r="E1778" s="15" t="s">
        <v>125</v>
      </c>
      <c r="F1778" s="1" t="s">
        <v>35</v>
      </c>
      <c r="G1778" s="16">
        <v>25212.421999999999</v>
      </c>
      <c r="H1778" s="92">
        <v>0</v>
      </c>
      <c r="I1778" s="92">
        <f t="shared" si="72"/>
        <v>0</v>
      </c>
      <c r="J1778" s="92"/>
      <c r="K1778" s="17" t="s">
        <v>223</v>
      </c>
      <c r="M1778" s="19"/>
      <c r="N1778" s="19"/>
      <c r="O1778" s="19"/>
      <c r="P1778" s="19"/>
    </row>
    <row r="1779" spans="1:16" x14ac:dyDescent="0.25">
      <c r="A1779" s="91">
        <v>2875</v>
      </c>
      <c r="B1779" s="15">
        <v>2014</v>
      </c>
      <c r="C1779" s="1" t="s">
        <v>32</v>
      </c>
      <c r="D1779" s="1" t="s">
        <v>219</v>
      </c>
      <c r="E1779" s="15" t="s">
        <v>125</v>
      </c>
      <c r="F1779" s="1" t="s">
        <v>40</v>
      </c>
      <c r="G1779" s="16">
        <v>1168.2139999999999</v>
      </c>
      <c r="H1779" s="92">
        <v>0</v>
      </c>
      <c r="I1779" s="92">
        <f t="shared" si="72"/>
        <v>0</v>
      </c>
      <c r="J1779" s="92"/>
      <c r="K1779" s="17" t="s">
        <v>223</v>
      </c>
      <c r="M1779" s="19"/>
      <c r="N1779" s="19"/>
      <c r="O1779" s="19"/>
      <c r="P1779" s="19"/>
    </row>
    <row r="1780" spans="1:16" x14ac:dyDescent="0.25">
      <c r="A1780" s="91">
        <v>2876</v>
      </c>
      <c r="B1780" s="15">
        <v>2014</v>
      </c>
      <c r="C1780" s="1" t="s">
        <v>32</v>
      </c>
      <c r="D1780" s="1" t="s">
        <v>219</v>
      </c>
      <c r="E1780" s="15" t="s">
        <v>125</v>
      </c>
      <c r="F1780" s="1" t="s">
        <v>42</v>
      </c>
      <c r="G1780" s="16">
        <v>92557.659</v>
      </c>
      <c r="H1780" s="92">
        <v>0</v>
      </c>
      <c r="I1780" s="92">
        <f t="shared" si="72"/>
        <v>0</v>
      </c>
      <c r="J1780" s="92"/>
      <c r="K1780" s="17" t="s">
        <v>223</v>
      </c>
      <c r="M1780" s="19"/>
      <c r="N1780" s="19"/>
      <c r="O1780" s="19"/>
      <c r="P1780" s="19"/>
    </row>
    <row r="1781" spans="1:16" x14ac:dyDescent="0.25">
      <c r="A1781" s="91">
        <v>2877</v>
      </c>
      <c r="B1781" s="15">
        <v>2014</v>
      </c>
      <c r="C1781" s="1" t="s">
        <v>32</v>
      </c>
      <c r="D1781" s="1" t="s">
        <v>219</v>
      </c>
      <c r="E1781" s="15" t="s">
        <v>125</v>
      </c>
      <c r="F1781" s="1" t="s">
        <v>43</v>
      </c>
      <c r="G1781" s="16">
        <v>16407.221000000001</v>
      </c>
      <c r="H1781" s="92">
        <v>0</v>
      </c>
      <c r="I1781" s="92">
        <f t="shared" si="72"/>
        <v>0</v>
      </c>
      <c r="J1781" s="92"/>
      <c r="K1781" s="17" t="s">
        <v>223</v>
      </c>
      <c r="M1781" s="19"/>
      <c r="N1781" s="19"/>
      <c r="O1781" s="19"/>
      <c r="P1781" s="19"/>
    </row>
    <row r="1782" spans="1:16" x14ac:dyDescent="0.25">
      <c r="A1782" s="91">
        <v>2879</v>
      </c>
      <c r="B1782" s="15">
        <v>2014</v>
      </c>
      <c r="C1782" s="1" t="s">
        <v>44</v>
      </c>
      <c r="D1782" s="1" t="s">
        <v>216</v>
      </c>
      <c r="E1782" s="15" t="s">
        <v>217</v>
      </c>
      <c r="F1782" s="1" t="s">
        <v>47</v>
      </c>
      <c r="G1782" s="16">
        <v>321265</v>
      </c>
      <c r="H1782" s="93">
        <f>'Emission Rates Net-by-Count'!$D$12</f>
        <v>1014</v>
      </c>
      <c r="I1782" s="16">
        <f t="shared" ref="I1782:I1813" si="73">(G1782*H1782)/2000</f>
        <v>162881.35500000001</v>
      </c>
      <c r="M1782" s="19"/>
      <c r="N1782" s="19"/>
      <c r="O1782" s="19"/>
      <c r="P1782" s="19"/>
    </row>
    <row r="1783" spans="1:16" x14ac:dyDescent="0.25">
      <c r="A1783" s="91">
        <v>2881</v>
      </c>
      <c r="B1783" s="15">
        <v>2014</v>
      </c>
      <c r="C1783" s="1" t="s">
        <v>44</v>
      </c>
      <c r="D1783" s="1" t="s">
        <v>216</v>
      </c>
      <c r="E1783" s="15" t="s">
        <v>217</v>
      </c>
      <c r="F1783" s="1" t="s">
        <v>50</v>
      </c>
      <c r="G1783" s="16">
        <v>875</v>
      </c>
      <c r="H1783" s="93">
        <f>'Emission Rates Net-by-Count'!$D$12</f>
        <v>1014</v>
      </c>
      <c r="I1783" s="16">
        <f t="shared" si="73"/>
        <v>443.625</v>
      </c>
      <c r="M1783" s="19"/>
      <c r="N1783" s="19"/>
      <c r="O1783" s="19"/>
      <c r="P1783" s="19"/>
    </row>
    <row r="1784" spans="1:16" x14ac:dyDescent="0.25">
      <c r="A1784" s="91">
        <v>2882</v>
      </c>
      <c r="B1784" s="15">
        <v>2014</v>
      </c>
      <c r="C1784" s="1" t="s">
        <v>44</v>
      </c>
      <c r="D1784" s="1" t="s">
        <v>216</v>
      </c>
      <c r="E1784" s="15" t="s">
        <v>217</v>
      </c>
      <c r="F1784" s="1" t="s">
        <v>51</v>
      </c>
      <c r="G1784" s="16">
        <v>-2005870</v>
      </c>
      <c r="H1784" s="93">
        <f>'Emission Rates Net-by-Count'!$D$12</f>
        <v>1014</v>
      </c>
      <c r="I1784" s="16">
        <f t="shared" si="73"/>
        <v>-1016976.09</v>
      </c>
      <c r="M1784" s="19"/>
      <c r="N1784" s="19"/>
      <c r="O1784" s="19"/>
      <c r="P1784" s="19"/>
    </row>
    <row r="1785" spans="1:16" x14ac:dyDescent="0.25">
      <c r="A1785" s="91">
        <v>2883</v>
      </c>
      <c r="B1785" s="15">
        <v>2014</v>
      </c>
      <c r="C1785" s="1" t="s">
        <v>44</v>
      </c>
      <c r="D1785" s="1" t="s">
        <v>216</v>
      </c>
      <c r="E1785" s="15" t="s">
        <v>217</v>
      </c>
      <c r="F1785" s="1" t="s">
        <v>52</v>
      </c>
      <c r="G1785" s="16">
        <v>1096755</v>
      </c>
      <c r="H1785" s="93">
        <f>'Emission Rates Net-by-Count'!$D$12</f>
        <v>1014</v>
      </c>
      <c r="I1785" s="16">
        <f t="shared" si="73"/>
        <v>556054.78500000003</v>
      </c>
      <c r="M1785" s="19"/>
      <c r="N1785" s="19"/>
      <c r="O1785" s="19"/>
      <c r="P1785" s="19"/>
    </row>
    <row r="1786" spans="1:16" x14ac:dyDescent="0.25">
      <c r="A1786" s="91">
        <v>2884</v>
      </c>
      <c r="B1786" s="15">
        <v>2014</v>
      </c>
      <c r="C1786" s="1" t="s">
        <v>44</v>
      </c>
      <c r="D1786" s="1" t="s">
        <v>216</v>
      </c>
      <c r="E1786" s="15" t="s">
        <v>217</v>
      </c>
      <c r="F1786" s="1" t="s">
        <v>21</v>
      </c>
      <c r="G1786" s="16">
        <v>169672</v>
      </c>
      <c r="H1786" s="93">
        <f>'Emission Rates Net-by-Count'!$D$12</f>
        <v>1014</v>
      </c>
      <c r="I1786" s="16">
        <f t="shared" si="73"/>
        <v>86023.703999999998</v>
      </c>
      <c r="M1786" s="19"/>
      <c r="N1786" s="19"/>
      <c r="O1786" s="19"/>
      <c r="P1786" s="19"/>
    </row>
    <row r="1787" spans="1:16" x14ac:dyDescent="0.25">
      <c r="A1787" s="91">
        <v>2886</v>
      </c>
      <c r="B1787" s="15">
        <v>2014</v>
      </c>
      <c r="C1787" s="1" t="s">
        <v>44</v>
      </c>
      <c r="D1787" s="1" t="s">
        <v>216</v>
      </c>
      <c r="E1787" s="15" t="s">
        <v>217</v>
      </c>
      <c r="F1787" s="1" t="s">
        <v>53</v>
      </c>
      <c r="G1787" s="16">
        <v>200</v>
      </c>
      <c r="H1787" s="93">
        <f>'Emission Rates Net-by-Count'!$D$12</f>
        <v>1014</v>
      </c>
      <c r="I1787" s="16">
        <f t="shared" si="73"/>
        <v>101.4</v>
      </c>
      <c r="M1787" s="19"/>
      <c r="N1787" s="19"/>
      <c r="O1787" s="19"/>
      <c r="P1787" s="19"/>
    </row>
    <row r="1788" spans="1:16" x14ac:dyDescent="0.25">
      <c r="A1788" s="91">
        <v>2887</v>
      </c>
      <c r="B1788" s="15">
        <v>2014</v>
      </c>
      <c r="C1788" s="1" t="s">
        <v>44</v>
      </c>
      <c r="D1788" s="1" t="s">
        <v>216</v>
      </c>
      <c r="E1788" s="15" t="s">
        <v>217</v>
      </c>
      <c r="F1788" s="1" t="s">
        <v>201</v>
      </c>
      <c r="G1788" s="16">
        <v>65176</v>
      </c>
      <c r="H1788" s="93">
        <f>'Emission Rates Net-by-Count'!$D$12</f>
        <v>1014</v>
      </c>
      <c r="I1788" s="16">
        <f t="shared" si="73"/>
        <v>33044.232000000004</v>
      </c>
      <c r="M1788" s="19"/>
      <c r="N1788" s="19"/>
      <c r="O1788" s="19"/>
      <c r="P1788" s="19"/>
    </row>
    <row r="1789" spans="1:16" x14ac:dyDescent="0.25">
      <c r="A1789" s="91">
        <v>2888</v>
      </c>
      <c r="B1789" s="15">
        <v>2014</v>
      </c>
      <c r="C1789" s="1" t="s">
        <v>44</v>
      </c>
      <c r="D1789" s="1" t="s">
        <v>216</v>
      </c>
      <c r="E1789" s="15" t="s">
        <v>217</v>
      </c>
      <c r="F1789" s="1" t="s">
        <v>55</v>
      </c>
      <c r="G1789" s="16">
        <v>47482</v>
      </c>
      <c r="H1789" s="93">
        <f>'Emission Rates Net-by-Count'!$D$12</f>
        <v>1014</v>
      </c>
      <c r="I1789" s="16">
        <f t="shared" si="73"/>
        <v>24073.374</v>
      </c>
      <c r="M1789" s="19"/>
      <c r="N1789" s="19"/>
      <c r="O1789" s="19"/>
      <c r="P1789" s="19"/>
    </row>
    <row r="1790" spans="1:16" x14ac:dyDescent="0.25">
      <c r="A1790" s="91">
        <v>2889</v>
      </c>
      <c r="B1790" s="15">
        <v>2014</v>
      </c>
      <c r="C1790" s="1" t="s">
        <v>44</v>
      </c>
      <c r="D1790" s="1" t="s">
        <v>216</v>
      </c>
      <c r="E1790" s="15" t="s">
        <v>217</v>
      </c>
      <c r="F1790" s="1" t="s">
        <v>56</v>
      </c>
      <c r="G1790" s="16">
        <v>609585</v>
      </c>
      <c r="H1790" s="93">
        <f>'Emission Rates Net-by-Count'!$D$12</f>
        <v>1014</v>
      </c>
      <c r="I1790" s="16">
        <f t="shared" si="73"/>
        <v>309059.59499999997</v>
      </c>
      <c r="M1790" s="19"/>
      <c r="N1790" s="19"/>
      <c r="O1790" s="19"/>
      <c r="P1790" s="19"/>
    </row>
    <row r="1791" spans="1:16" x14ac:dyDescent="0.25">
      <c r="A1791" s="91">
        <v>2890</v>
      </c>
      <c r="B1791" s="15">
        <v>2014</v>
      </c>
      <c r="C1791" s="1" t="s">
        <v>44</v>
      </c>
      <c r="D1791" s="1" t="s">
        <v>216</v>
      </c>
      <c r="E1791" s="15" t="s">
        <v>217</v>
      </c>
      <c r="F1791" s="1" t="s">
        <v>57</v>
      </c>
      <c r="G1791" s="16">
        <v>4821</v>
      </c>
      <c r="H1791" s="93">
        <f>'Emission Rates Net-by-Count'!$D$12</f>
        <v>1014</v>
      </c>
      <c r="I1791" s="16">
        <f t="shared" si="73"/>
        <v>2444.2469999999998</v>
      </c>
      <c r="M1791" s="19"/>
      <c r="N1791" s="19"/>
      <c r="O1791" s="19"/>
      <c r="P1791" s="19"/>
    </row>
    <row r="1792" spans="1:16" x14ac:dyDescent="0.25">
      <c r="A1792" s="91">
        <v>2892</v>
      </c>
      <c r="B1792" s="15">
        <v>2014</v>
      </c>
      <c r="C1792" s="1" t="s">
        <v>44</v>
      </c>
      <c r="D1792" s="1" t="s">
        <v>216</v>
      </c>
      <c r="E1792" s="15" t="s">
        <v>217</v>
      </c>
      <c r="F1792" s="1" t="s">
        <v>58</v>
      </c>
      <c r="G1792" s="16">
        <v>145653</v>
      </c>
      <c r="H1792" s="93">
        <f>'Emission Rates Net-by-Count'!$D$12</f>
        <v>1014</v>
      </c>
      <c r="I1792" s="16">
        <f t="shared" si="73"/>
        <v>73846.070999999996</v>
      </c>
      <c r="M1792" s="19"/>
      <c r="N1792" s="19"/>
      <c r="O1792" s="19"/>
      <c r="P1792" s="19"/>
    </row>
    <row r="1793" spans="1:16" x14ac:dyDescent="0.25">
      <c r="A1793" s="91">
        <v>2893</v>
      </c>
      <c r="B1793" s="15">
        <v>2014</v>
      </c>
      <c r="C1793" s="1" t="s">
        <v>44</v>
      </c>
      <c r="D1793" s="1" t="s">
        <v>216</v>
      </c>
      <c r="E1793" s="15" t="s">
        <v>217</v>
      </c>
      <c r="F1793" s="1" t="s">
        <v>206</v>
      </c>
      <c r="G1793" s="16">
        <v>10</v>
      </c>
      <c r="H1793" s="93">
        <f>'Emission Rates Net-by-Count'!$D$12</f>
        <v>1014</v>
      </c>
      <c r="I1793" s="16">
        <f t="shared" si="73"/>
        <v>5.07</v>
      </c>
      <c r="M1793" s="19"/>
      <c r="N1793" s="19"/>
      <c r="O1793" s="19"/>
      <c r="P1793" s="19"/>
    </row>
    <row r="1794" spans="1:16" x14ac:dyDescent="0.25">
      <c r="A1794" s="91">
        <v>2894</v>
      </c>
      <c r="B1794" s="15">
        <v>2014</v>
      </c>
      <c r="C1794" s="1" t="s">
        <v>44</v>
      </c>
      <c r="D1794" s="1" t="s">
        <v>216</v>
      </c>
      <c r="E1794" s="15" t="s">
        <v>217</v>
      </c>
      <c r="F1794" s="1" t="s">
        <v>182</v>
      </c>
      <c r="G1794" s="16">
        <v>5396</v>
      </c>
      <c r="H1794" s="93">
        <f>'Emission Rates Net-by-Count'!$D$12</f>
        <v>1014</v>
      </c>
      <c r="I1794" s="16">
        <f t="shared" si="73"/>
        <v>2735.7719999999999</v>
      </c>
      <c r="M1794" s="19"/>
      <c r="N1794" s="19"/>
      <c r="O1794" s="19"/>
      <c r="P1794" s="19"/>
    </row>
    <row r="1795" spans="1:16" x14ac:dyDescent="0.25">
      <c r="A1795" s="91">
        <v>2895</v>
      </c>
      <c r="B1795" s="15">
        <v>2014</v>
      </c>
      <c r="C1795" s="1" t="s">
        <v>44</v>
      </c>
      <c r="D1795" s="1" t="s">
        <v>216</v>
      </c>
      <c r="E1795" s="15" t="s">
        <v>217</v>
      </c>
      <c r="F1795" s="1" t="s">
        <v>59</v>
      </c>
      <c r="G1795" s="16">
        <v>2270</v>
      </c>
      <c r="H1795" s="93">
        <f>'Emission Rates Net-by-Count'!$D$12</f>
        <v>1014</v>
      </c>
      <c r="I1795" s="16">
        <f t="shared" si="73"/>
        <v>1150.8900000000001</v>
      </c>
      <c r="M1795" s="19"/>
      <c r="N1795" s="19"/>
      <c r="O1795" s="19"/>
      <c r="P1795" s="19"/>
    </row>
    <row r="1796" spans="1:16" x14ac:dyDescent="0.25">
      <c r="A1796" s="91">
        <v>2896</v>
      </c>
      <c r="B1796" s="15">
        <v>2014</v>
      </c>
      <c r="C1796" s="1" t="s">
        <v>44</v>
      </c>
      <c r="D1796" s="1" t="s">
        <v>216</v>
      </c>
      <c r="E1796" s="15" t="s">
        <v>217</v>
      </c>
      <c r="F1796" s="1" t="s">
        <v>61</v>
      </c>
      <c r="G1796" s="16">
        <v>20</v>
      </c>
      <c r="H1796" s="93">
        <f>'Emission Rates Net-by-Count'!$D$12</f>
        <v>1014</v>
      </c>
      <c r="I1796" s="16">
        <f t="shared" si="73"/>
        <v>10.14</v>
      </c>
      <c r="M1796" s="19"/>
      <c r="N1796" s="19"/>
      <c r="O1796" s="19"/>
      <c r="P1796" s="19"/>
    </row>
    <row r="1797" spans="1:16" x14ac:dyDescent="0.25">
      <c r="A1797" s="91">
        <v>2897</v>
      </c>
      <c r="B1797" s="15">
        <v>2014</v>
      </c>
      <c r="C1797" s="1" t="s">
        <v>44</v>
      </c>
      <c r="D1797" s="1" t="s">
        <v>216</v>
      </c>
      <c r="E1797" s="15" t="s">
        <v>217</v>
      </c>
      <c r="F1797" s="1" t="s">
        <v>146</v>
      </c>
      <c r="G1797" s="16">
        <v>825</v>
      </c>
      <c r="H1797" s="93">
        <f>'Emission Rates Net-by-Count'!$D$12</f>
        <v>1014</v>
      </c>
      <c r="I1797" s="16">
        <f t="shared" si="73"/>
        <v>418.27499999999998</v>
      </c>
      <c r="M1797" s="19"/>
      <c r="N1797" s="19"/>
      <c r="O1797" s="19"/>
      <c r="P1797" s="19"/>
    </row>
    <row r="1798" spans="1:16" x14ac:dyDescent="0.25">
      <c r="A1798" s="91">
        <v>2899</v>
      </c>
      <c r="B1798" s="15">
        <v>2014</v>
      </c>
      <c r="C1798" s="1" t="s">
        <v>44</v>
      </c>
      <c r="D1798" s="1" t="s">
        <v>216</v>
      </c>
      <c r="E1798" s="15" t="s">
        <v>217</v>
      </c>
      <c r="F1798" s="1" t="s">
        <v>62</v>
      </c>
      <c r="G1798" s="16">
        <v>277023</v>
      </c>
      <c r="H1798" s="93">
        <f>'Emission Rates Net-by-Count'!$D$12</f>
        <v>1014</v>
      </c>
      <c r="I1798" s="16">
        <f t="shared" si="73"/>
        <v>140450.66099999999</v>
      </c>
      <c r="M1798" s="19"/>
      <c r="N1798" s="19"/>
      <c r="O1798" s="19"/>
      <c r="P1798" s="19"/>
    </row>
    <row r="1799" spans="1:16" x14ac:dyDescent="0.25">
      <c r="A1799" s="91">
        <v>2901</v>
      </c>
      <c r="B1799" s="15">
        <v>2014</v>
      </c>
      <c r="C1799" s="1" t="s">
        <v>44</v>
      </c>
      <c r="D1799" s="1" t="s">
        <v>216</v>
      </c>
      <c r="E1799" s="15" t="s">
        <v>217</v>
      </c>
      <c r="F1799" s="1" t="s">
        <v>165</v>
      </c>
      <c r="G1799" s="16">
        <v>611857</v>
      </c>
      <c r="H1799" s="93">
        <f>'Emission Rates Net-by-Count'!$D$12</f>
        <v>1014</v>
      </c>
      <c r="I1799" s="16">
        <f t="shared" si="73"/>
        <v>310211.49900000001</v>
      </c>
      <c r="M1799" s="19"/>
      <c r="N1799" s="19"/>
      <c r="O1799" s="19"/>
      <c r="P1799" s="19"/>
    </row>
    <row r="1800" spans="1:16" x14ac:dyDescent="0.25">
      <c r="A1800" s="91">
        <v>2902</v>
      </c>
      <c r="B1800" s="15">
        <v>2014</v>
      </c>
      <c r="C1800" s="1" t="s">
        <v>44</v>
      </c>
      <c r="D1800" s="1" t="s">
        <v>216</v>
      </c>
      <c r="E1800" s="15" t="s">
        <v>217</v>
      </c>
      <c r="F1800" s="1" t="s">
        <v>63</v>
      </c>
      <c r="G1800" s="16">
        <v>100</v>
      </c>
      <c r="H1800" s="93">
        <f>'Emission Rates Net-by-Count'!$D$12</f>
        <v>1014</v>
      </c>
      <c r="I1800" s="16">
        <f t="shared" si="73"/>
        <v>50.7</v>
      </c>
      <c r="M1800" s="19"/>
      <c r="N1800" s="19"/>
      <c r="O1800" s="19"/>
      <c r="P1800" s="19"/>
    </row>
    <row r="1801" spans="1:16" x14ac:dyDescent="0.25">
      <c r="A1801" s="91">
        <v>2903</v>
      </c>
      <c r="B1801" s="15">
        <v>2014</v>
      </c>
      <c r="C1801" s="1" t="s">
        <v>44</v>
      </c>
      <c r="D1801" s="1" t="s">
        <v>216</v>
      </c>
      <c r="E1801" s="15" t="s">
        <v>217</v>
      </c>
      <c r="F1801" s="1" t="s">
        <v>65</v>
      </c>
      <c r="G1801" s="16">
        <v>12875</v>
      </c>
      <c r="H1801" s="93">
        <f>'Emission Rates Net-by-Count'!$D$12</f>
        <v>1014</v>
      </c>
      <c r="I1801" s="16">
        <f t="shared" si="73"/>
        <v>6527.625</v>
      </c>
      <c r="M1801" s="19"/>
      <c r="N1801" s="19"/>
      <c r="O1801" s="19"/>
      <c r="P1801" s="19"/>
    </row>
    <row r="1802" spans="1:16" x14ac:dyDescent="0.25">
      <c r="A1802" s="91">
        <v>2904</v>
      </c>
      <c r="B1802" s="15">
        <v>2014</v>
      </c>
      <c r="C1802" s="1" t="s">
        <v>44</v>
      </c>
      <c r="D1802" s="1" t="s">
        <v>216</v>
      </c>
      <c r="E1802" s="15" t="s">
        <v>217</v>
      </c>
      <c r="F1802" s="1" t="s">
        <v>184</v>
      </c>
      <c r="G1802" s="16">
        <v>187630</v>
      </c>
      <c r="H1802" s="93">
        <f>'Emission Rates Net-by-Count'!$D$12</f>
        <v>1014</v>
      </c>
      <c r="I1802" s="16">
        <f t="shared" si="73"/>
        <v>95128.41</v>
      </c>
      <c r="M1802" s="19"/>
      <c r="N1802" s="19"/>
      <c r="O1802" s="19"/>
      <c r="P1802" s="19"/>
    </row>
    <row r="1803" spans="1:16" x14ac:dyDescent="0.25">
      <c r="A1803" s="91">
        <v>2905</v>
      </c>
      <c r="B1803" s="15">
        <v>2014</v>
      </c>
      <c r="C1803" s="1" t="s">
        <v>44</v>
      </c>
      <c r="D1803" s="1" t="s">
        <v>216</v>
      </c>
      <c r="E1803" s="15" t="s">
        <v>217</v>
      </c>
      <c r="F1803" s="1" t="s">
        <v>67</v>
      </c>
      <c r="G1803" s="16">
        <v>12652</v>
      </c>
      <c r="H1803" s="93">
        <f>'Emission Rates Net-by-Count'!$D$12</f>
        <v>1014</v>
      </c>
      <c r="I1803" s="16">
        <f t="shared" si="73"/>
        <v>6414.5640000000003</v>
      </c>
      <c r="M1803" s="19"/>
      <c r="N1803" s="19"/>
      <c r="O1803" s="19"/>
      <c r="P1803" s="19"/>
    </row>
    <row r="1804" spans="1:16" x14ac:dyDescent="0.25">
      <c r="A1804" s="91">
        <v>2906</v>
      </c>
      <c r="B1804" s="15">
        <v>2014</v>
      </c>
      <c r="C1804" s="1" t="s">
        <v>44</v>
      </c>
      <c r="D1804" s="1" t="s">
        <v>216</v>
      </c>
      <c r="E1804" s="15" t="s">
        <v>217</v>
      </c>
      <c r="F1804" s="1" t="s">
        <v>69</v>
      </c>
      <c r="G1804" s="16">
        <v>716696</v>
      </c>
      <c r="H1804" s="93">
        <f>'Emission Rates Net-by-Count'!$D$12</f>
        <v>1014</v>
      </c>
      <c r="I1804" s="16">
        <f t="shared" si="73"/>
        <v>363364.87199999997</v>
      </c>
      <c r="M1804" s="19"/>
      <c r="N1804" s="19"/>
      <c r="O1804" s="19"/>
      <c r="P1804" s="19"/>
    </row>
    <row r="1805" spans="1:16" x14ac:dyDescent="0.25">
      <c r="A1805" s="91">
        <v>2907</v>
      </c>
      <c r="B1805" s="15">
        <v>2014</v>
      </c>
      <c r="C1805" s="1" t="s">
        <v>44</v>
      </c>
      <c r="D1805" s="1" t="s">
        <v>216</v>
      </c>
      <c r="E1805" s="15" t="s">
        <v>217</v>
      </c>
      <c r="F1805" s="1" t="s">
        <v>71</v>
      </c>
      <c r="G1805" s="16">
        <v>12466</v>
      </c>
      <c r="H1805" s="93">
        <f>'Emission Rates Net-by-Count'!$D$12</f>
        <v>1014</v>
      </c>
      <c r="I1805" s="16">
        <f t="shared" si="73"/>
        <v>6320.2619999999997</v>
      </c>
      <c r="M1805" s="19"/>
      <c r="N1805" s="19"/>
      <c r="O1805" s="19"/>
      <c r="P1805" s="19"/>
    </row>
    <row r="1806" spans="1:16" x14ac:dyDescent="0.25">
      <c r="A1806" s="91">
        <v>2908</v>
      </c>
      <c r="B1806" s="15">
        <v>2014</v>
      </c>
      <c r="C1806" s="1" t="s">
        <v>44</v>
      </c>
      <c r="D1806" s="1" t="s">
        <v>216</v>
      </c>
      <c r="E1806" s="15" t="s">
        <v>217</v>
      </c>
      <c r="F1806" s="1" t="s">
        <v>72</v>
      </c>
      <c r="G1806" s="16">
        <v>20400</v>
      </c>
      <c r="H1806" s="93">
        <f>'Emission Rates Net-by-Count'!$D$12</f>
        <v>1014</v>
      </c>
      <c r="I1806" s="16">
        <f t="shared" si="73"/>
        <v>10342.799999999999</v>
      </c>
      <c r="M1806" s="19"/>
      <c r="N1806" s="19"/>
      <c r="O1806" s="19"/>
      <c r="P1806" s="19"/>
    </row>
    <row r="1807" spans="1:16" x14ac:dyDescent="0.25">
      <c r="A1807" s="91">
        <v>2910</v>
      </c>
      <c r="B1807" s="15">
        <v>2014</v>
      </c>
      <c r="C1807" s="1" t="s">
        <v>44</v>
      </c>
      <c r="D1807" s="1" t="s">
        <v>216</v>
      </c>
      <c r="E1807" s="15" t="s">
        <v>217</v>
      </c>
      <c r="F1807" s="1" t="s">
        <v>133</v>
      </c>
      <c r="G1807" s="16">
        <v>156705</v>
      </c>
      <c r="H1807" s="93">
        <f>'Emission Rates Net-by-Count'!$D$12</f>
        <v>1014</v>
      </c>
      <c r="I1807" s="16">
        <f t="shared" si="73"/>
        <v>79449.434999999998</v>
      </c>
      <c r="M1807" s="19"/>
      <c r="N1807" s="19"/>
      <c r="O1807" s="19"/>
      <c r="P1807" s="19"/>
    </row>
    <row r="1808" spans="1:16" x14ac:dyDescent="0.25">
      <c r="A1808" s="91">
        <v>2913</v>
      </c>
      <c r="B1808" s="15">
        <v>2014</v>
      </c>
      <c r="C1808" s="1" t="s">
        <v>44</v>
      </c>
      <c r="D1808" s="1" t="s">
        <v>216</v>
      </c>
      <c r="E1808" s="15" t="s">
        <v>217</v>
      </c>
      <c r="F1808" s="1" t="s">
        <v>78</v>
      </c>
      <c r="G1808" s="16">
        <v>1790503</v>
      </c>
      <c r="H1808" s="93">
        <f>'Emission Rates Net-by-Count'!$D$12</f>
        <v>1014</v>
      </c>
      <c r="I1808" s="16">
        <f t="shared" si="73"/>
        <v>907785.02099999995</v>
      </c>
      <c r="M1808" s="19"/>
      <c r="N1808" s="19"/>
      <c r="O1808" s="19"/>
      <c r="P1808" s="19"/>
    </row>
    <row r="1809" spans="1:16" x14ac:dyDescent="0.25">
      <c r="A1809" s="91">
        <v>2914</v>
      </c>
      <c r="B1809" s="15">
        <v>2014</v>
      </c>
      <c r="C1809" s="1" t="s">
        <v>44</v>
      </c>
      <c r="D1809" s="1" t="s">
        <v>216</v>
      </c>
      <c r="E1809" s="15" t="s">
        <v>217</v>
      </c>
      <c r="F1809" s="1" t="s">
        <v>168</v>
      </c>
      <c r="G1809" s="16">
        <v>1</v>
      </c>
      <c r="H1809" s="93">
        <f>'Emission Rates Net-by-Count'!$D$12</f>
        <v>1014</v>
      </c>
      <c r="I1809" s="16">
        <f t="shared" si="73"/>
        <v>0.50700000000000001</v>
      </c>
      <c r="M1809" s="19"/>
      <c r="N1809" s="19"/>
      <c r="O1809" s="19"/>
      <c r="P1809" s="19"/>
    </row>
    <row r="1810" spans="1:16" x14ac:dyDescent="0.25">
      <c r="A1810" s="91">
        <v>2915</v>
      </c>
      <c r="B1810" s="15">
        <v>2014</v>
      </c>
      <c r="C1810" s="1" t="s">
        <v>44</v>
      </c>
      <c r="D1810" s="1" t="s">
        <v>216</v>
      </c>
      <c r="E1810" s="15" t="s">
        <v>217</v>
      </c>
      <c r="F1810" s="1" t="s">
        <v>173</v>
      </c>
      <c r="G1810" s="16">
        <v>56233</v>
      </c>
      <c r="H1810" s="93">
        <f>'Emission Rates Net-by-Count'!$D$12</f>
        <v>1014</v>
      </c>
      <c r="I1810" s="16">
        <f t="shared" si="73"/>
        <v>28510.131000000001</v>
      </c>
      <c r="M1810" s="19"/>
      <c r="N1810" s="19"/>
      <c r="O1810" s="19"/>
      <c r="P1810" s="19"/>
    </row>
    <row r="1811" spans="1:16" x14ac:dyDescent="0.25">
      <c r="A1811" s="91">
        <v>2916</v>
      </c>
      <c r="B1811" s="15">
        <v>2014</v>
      </c>
      <c r="C1811" s="1" t="s">
        <v>44</v>
      </c>
      <c r="D1811" s="1" t="s">
        <v>216</v>
      </c>
      <c r="E1811" s="15" t="s">
        <v>217</v>
      </c>
      <c r="F1811" s="1" t="s">
        <v>80</v>
      </c>
      <c r="G1811" s="16">
        <v>4000</v>
      </c>
      <c r="H1811" s="93">
        <f>'Emission Rates Net-by-Count'!$D$12</f>
        <v>1014</v>
      </c>
      <c r="I1811" s="16">
        <f t="shared" si="73"/>
        <v>2028</v>
      </c>
      <c r="M1811" s="19"/>
      <c r="N1811" s="19"/>
      <c r="O1811" s="19"/>
      <c r="P1811" s="19"/>
    </row>
    <row r="1812" spans="1:16" x14ac:dyDescent="0.25">
      <c r="A1812" s="91">
        <v>2917</v>
      </c>
      <c r="B1812" s="15">
        <v>2014</v>
      </c>
      <c r="C1812" s="1" t="s">
        <v>44</v>
      </c>
      <c r="D1812" s="1" t="s">
        <v>216</v>
      </c>
      <c r="E1812" s="15" t="s">
        <v>217</v>
      </c>
      <c r="F1812" s="1" t="s">
        <v>185</v>
      </c>
      <c r="G1812" s="16">
        <v>4000</v>
      </c>
      <c r="H1812" s="93">
        <f>'Emission Rates Net-by-Count'!$D$12</f>
        <v>1014</v>
      </c>
      <c r="I1812" s="16">
        <f t="shared" si="73"/>
        <v>2028</v>
      </c>
      <c r="M1812" s="19"/>
      <c r="N1812" s="19"/>
      <c r="O1812" s="19"/>
      <c r="P1812" s="19"/>
    </row>
    <row r="1813" spans="1:16" x14ac:dyDescent="0.25">
      <c r="A1813" s="91">
        <v>2918</v>
      </c>
      <c r="B1813" s="15">
        <v>2014</v>
      </c>
      <c r="C1813" s="1" t="s">
        <v>44</v>
      </c>
      <c r="D1813" s="1" t="s">
        <v>216</v>
      </c>
      <c r="E1813" s="15" t="s">
        <v>217</v>
      </c>
      <c r="F1813" s="1" t="s">
        <v>81</v>
      </c>
      <c r="G1813" s="16">
        <v>871</v>
      </c>
      <c r="H1813" s="93">
        <f>'Emission Rates Net-by-Count'!$D$12</f>
        <v>1014</v>
      </c>
      <c r="I1813" s="16">
        <f t="shared" si="73"/>
        <v>441.59699999999998</v>
      </c>
      <c r="M1813" s="19"/>
      <c r="N1813" s="19"/>
      <c r="O1813" s="19"/>
      <c r="P1813" s="19"/>
    </row>
    <row r="1814" spans="1:16" x14ac:dyDescent="0.25">
      <c r="A1814" s="91">
        <v>2919</v>
      </c>
      <c r="B1814" s="15">
        <v>2014</v>
      </c>
      <c r="C1814" s="1" t="s">
        <v>44</v>
      </c>
      <c r="D1814" s="1" t="s">
        <v>216</v>
      </c>
      <c r="E1814" s="15" t="s">
        <v>217</v>
      </c>
      <c r="F1814" s="1" t="s">
        <v>82</v>
      </c>
      <c r="G1814" s="16">
        <v>1948</v>
      </c>
      <c r="H1814" s="93">
        <f>'Emission Rates Net-by-Count'!$D$12</f>
        <v>1014</v>
      </c>
      <c r="I1814" s="16">
        <f t="shared" ref="I1814:I1845" si="74">(G1814*H1814)/2000</f>
        <v>987.63599999999997</v>
      </c>
      <c r="M1814" s="19"/>
      <c r="N1814" s="19"/>
      <c r="O1814" s="19"/>
      <c r="P1814" s="19"/>
    </row>
    <row r="1815" spans="1:16" x14ac:dyDescent="0.25">
      <c r="A1815" s="91">
        <v>2920</v>
      </c>
      <c r="B1815" s="15">
        <v>2014</v>
      </c>
      <c r="C1815" s="1" t="s">
        <v>44</v>
      </c>
      <c r="D1815" s="1" t="s">
        <v>216</v>
      </c>
      <c r="E1815" s="15" t="s">
        <v>217</v>
      </c>
      <c r="F1815" s="1" t="s">
        <v>83</v>
      </c>
      <c r="G1815" s="16">
        <v>7707</v>
      </c>
      <c r="H1815" s="93">
        <f>'Emission Rates Net-by-Count'!$D$12</f>
        <v>1014</v>
      </c>
      <c r="I1815" s="16">
        <f t="shared" si="74"/>
        <v>3907.4490000000001</v>
      </c>
      <c r="M1815" s="19"/>
      <c r="N1815" s="19"/>
      <c r="O1815" s="19"/>
      <c r="P1815" s="19"/>
    </row>
    <row r="1816" spans="1:16" x14ac:dyDescent="0.25">
      <c r="A1816" s="91">
        <v>2921</v>
      </c>
      <c r="B1816" s="15">
        <v>2014</v>
      </c>
      <c r="C1816" s="1" t="s">
        <v>44</v>
      </c>
      <c r="D1816" s="1" t="s">
        <v>216</v>
      </c>
      <c r="E1816" s="15" t="s">
        <v>217</v>
      </c>
      <c r="F1816" s="1" t="s">
        <v>85</v>
      </c>
      <c r="G1816" s="16">
        <v>71357</v>
      </c>
      <c r="H1816" s="93">
        <f>'Emission Rates Net-by-Count'!$D$12</f>
        <v>1014</v>
      </c>
      <c r="I1816" s="16">
        <f t="shared" si="74"/>
        <v>36177.999000000003</v>
      </c>
      <c r="M1816" s="19"/>
      <c r="N1816" s="19"/>
      <c r="O1816" s="19"/>
      <c r="P1816" s="19"/>
    </row>
    <row r="1817" spans="1:16" x14ac:dyDescent="0.25">
      <c r="A1817" s="91">
        <v>2922</v>
      </c>
      <c r="B1817" s="15">
        <v>2014</v>
      </c>
      <c r="C1817" s="1" t="s">
        <v>44</v>
      </c>
      <c r="D1817" s="1" t="s">
        <v>216</v>
      </c>
      <c r="E1817" s="15" t="s">
        <v>217</v>
      </c>
      <c r="F1817" s="1" t="s">
        <v>87</v>
      </c>
      <c r="G1817" s="16">
        <v>183483</v>
      </c>
      <c r="H1817" s="93">
        <f>'Emission Rates Net-by-Count'!$D$12</f>
        <v>1014</v>
      </c>
      <c r="I1817" s="16">
        <f t="shared" si="74"/>
        <v>93025.880999999994</v>
      </c>
      <c r="M1817" s="19"/>
      <c r="N1817" s="19"/>
      <c r="O1817" s="19"/>
      <c r="P1817" s="19"/>
    </row>
    <row r="1818" spans="1:16" x14ac:dyDescent="0.25">
      <c r="A1818" s="91">
        <v>2923</v>
      </c>
      <c r="B1818" s="15">
        <v>2014</v>
      </c>
      <c r="C1818" s="1" t="s">
        <v>44</v>
      </c>
      <c r="D1818" s="1" t="s">
        <v>216</v>
      </c>
      <c r="E1818" s="15" t="s">
        <v>217</v>
      </c>
      <c r="F1818" s="1" t="s">
        <v>88</v>
      </c>
      <c r="G1818" s="16">
        <v>100896</v>
      </c>
      <c r="H1818" s="93">
        <f>'Emission Rates Net-by-Count'!$D$12</f>
        <v>1014</v>
      </c>
      <c r="I1818" s="16">
        <f t="shared" si="74"/>
        <v>51154.271999999997</v>
      </c>
      <c r="M1818" s="19"/>
      <c r="N1818" s="19"/>
      <c r="O1818" s="19"/>
      <c r="P1818" s="19"/>
    </row>
    <row r="1819" spans="1:16" x14ac:dyDescent="0.25">
      <c r="A1819" s="91">
        <v>2924</v>
      </c>
      <c r="B1819" s="15">
        <v>2014</v>
      </c>
      <c r="C1819" s="1" t="s">
        <v>44</v>
      </c>
      <c r="D1819" s="1" t="s">
        <v>216</v>
      </c>
      <c r="E1819" s="15" t="s">
        <v>217</v>
      </c>
      <c r="F1819" s="1" t="s">
        <v>91</v>
      </c>
      <c r="G1819" s="16">
        <v>5071</v>
      </c>
      <c r="H1819" s="93">
        <f>'Emission Rates Net-by-Count'!$D$12</f>
        <v>1014</v>
      </c>
      <c r="I1819" s="16">
        <f t="shared" si="74"/>
        <v>2570.9969999999998</v>
      </c>
      <c r="M1819" s="19"/>
      <c r="N1819" s="19"/>
      <c r="O1819" s="19"/>
      <c r="P1819" s="19"/>
    </row>
    <row r="1820" spans="1:16" x14ac:dyDescent="0.25">
      <c r="A1820" s="91">
        <v>2925</v>
      </c>
      <c r="B1820" s="15">
        <v>2014</v>
      </c>
      <c r="C1820" s="1" t="s">
        <v>44</v>
      </c>
      <c r="D1820" s="1" t="s">
        <v>216</v>
      </c>
      <c r="E1820" s="15" t="s">
        <v>217</v>
      </c>
      <c r="F1820" s="1" t="s">
        <v>93</v>
      </c>
      <c r="G1820" s="16">
        <v>2075</v>
      </c>
      <c r="H1820" s="93">
        <f>'Emission Rates Net-by-Count'!$D$12</f>
        <v>1014</v>
      </c>
      <c r="I1820" s="16">
        <f t="shared" si="74"/>
        <v>1052.0250000000001</v>
      </c>
      <c r="M1820" s="19"/>
      <c r="N1820" s="19"/>
      <c r="O1820" s="19"/>
      <c r="P1820" s="19"/>
    </row>
    <row r="1821" spans="1:16" x14ac:dyDescent="0.25">
      <c r="A1821" s="91">
        <v>2926</v>
      </c>
      <c r="B1821" s="15">
        <v>2014</v>
      </c>
      <c r="C1821" s="1" t="s">
        <v>44</v>
      </c>
      <c r="D1821" s="1" t="s">
        <v>216</v>
      </c>
      <c r="E1821" s="15" t="s">
        <v>217</v>
      </c>
      <c r="F1821" s="1" t="s">
        <v>95</v>
      </c>
      <c r="G1821" s="16">
        <v>69998</v>
      </c>
      <c r="H1821" s="93">
        <f>'Emission Rates Net-by-Count'!$D$12</f>
        <v>1014</v>
      </c>
      <c r="I1821" s="16">
        <f t="shared" si="74"/>
        <v>35488.985999999997</v>
      </c>
      <c r="M1821" s="19"/>
      <c r="N1821" s="19"/>
      <c r="O1821" s="19"/>
      <c r="P1821" s="19"/>
    </row>
    <row r="1822" spans="1:16" x14ac:dyDescent="0.25">
      <c r="A1822" s="91">
        <v>2928</v>
      </c>
      <c r="B1822" s="15">
        <v>2014</v>
      </c>
      <c r="C1822" s="1" t="s">
        <v>44</v>
      </c>
      <c r="D1822" s="1" t="s">
        <v>216</v>
      </c>
      <c r="E1822" s="15" t="s">
        <v>217</v>
      </c>
      <c r="F1822" s="1" t="s">
        <v>97</v>
      </c>
      <c r="G1822" s="16">
        <v>365203</v>
      </c>
      <c r="H1822" s="93">
        <f>'Emission Rates Net-by-Count'!$D$12</f>
        <v>1014</v>
      </c>
      <c r="I1822" s="16">
        <f t="shared" si="74"/>
        <v>185157.921</v>
      </c>
      <c r="M1822" s="19"/>
      <c r="N1822" s="19"/>
      <c r="O1822" s="19"/>
      <c r="P1822" s="19"/>
    </row>
    <row r="1823" spans="1:16" x14ac:dyDescent="0.25">
      <c r="A1823" s="91">
        <v>2930</v>
      </c>
      <c r="B1823" s="15">
        <v>2014</v>
      </c>
      <c r="C1823" s="1" t="s">
        <v>44</v>
      </c>
      <c r="D1823" s="1" t="s">
        <v>216</v>
      </c>
      <c r="E1823" s="15" t="s">
        <v>217</v>
      </c>
      <c r="F1823" s="1" t="s">
        <v>100</v>
      </c>
      <c r="G1823" s="16">
        <v>20464</v>
      </c>
      <c r="H1823" s="93">
        <f>'Emission Rates Net-by-Count'!$D$12</f>
        <v>1014</v>
      </c>
      <c r="I1823" s="16">
        <f t="shared" si="74"/>
        <v>10375.248</v>
      </c>
      <c r="M1823" s="19"/>
      <c r="N1823" s="19"/>
      <c r="O1823" s="19"/>
      <c r="P1823" s="19"/>
    </row>
    <row r="1824" spans="1:16" x14ac:dyDescent="0.25">
      <c r="A1824" s="91">
        <v>2931</v>
      </c>
      <c r="B1824" s="15">
        <v>2014</v>
      </c>
      <c r="C1824" s="1" t="s">
        <v>44</v>
      </c>
      <c r="D1824" s="1" t="s">
        <v>216</v>
      </c>
      <c r="E1824" s="15" t="s">
        <v>217</v>
      </c>
      <c r="F1824" s="1" t="s">
        <v>101</v>
      </c>
      <c r="G1824" s="16">
        <v>47417</v>
      </c>
      <c r="H1824" s="93">
        <f>'Emission Rates Net-by-Count'!$D$12</f>
        <v>1014</v>
      </c>
      <c r="I1824" s="16">
        <f t="shared" si="74"/>
        <v>24040.419000000002</v>
      </c>
      <c r="M1824" s="19"/>
      <c r="N1824" s="19"/>
      <c r="O1824" s="19"/>
      <c r="P1824" s="19"/>
    </row>
    <row r="1825" spans="1:16" x14ac:dyDescent="0.25">
      <c r="A1825" s="91">
        <v>2932</v>
      </c>
      <c r="B1825" s="15">
        <v>2014</v>
      </c>
      <c r="C1825" s="1" t="s">
        <v>44</v>
      </c>
      <c r="D1825" s="1" t="s">
        <v>216</v>
      </c>
      <c r="E1825" s="15" t="s">
        <v>217</v>
      </c>
      <c r="F1825" s="1" t="s">
        <v>103</v>
      </c>
      <c r="G1825" s="16">
        <v>151109</v>
      </c>
      <c r="H1825" s="93">
        <f>'Emission Rates Net-by-Count'!$D$12</f>
        <v>1014</v>
      </c>
      <c r="I1825" s="16">
        <f t="shared" si="74"/>
        <v>76612.263000000006</v>
      </c>
      <c r="M1825" s="19"/>
      <c r="N1825" s="19"/>
      <c r="O1825" s="19"/>
      <c r="P1825" s="19"/>
    </row>
    <row r="1826" spans="1:16" x14ac:dyDescent="0.25">
      <c r="A1826" s="91">
        <v>2933</v>
      </c>
      <c r="B1826" s="15">
        <v>2014</v>
      </c>
      <c r="C1826" s="1" t="s">
        <v>44</v>
      </c>
      <c r="D1826" s="1" t="s">
        <v>216</v>
      </c>
      <c r="E1826" s="15" t="s">
        <v>217</v>
      </c>
      <c r="F1826" s="1" t="s">
        <v>152</v>
      </c>
      <c r="G1826" s="16">
        <v>235629</v>
      </c>
      <c r="H1826" s="93">
        <f>'Emission Rates Net-by-Count'!$D$12</f>
        <v>1014</v>
      </c>
      <c r="I1826" s="16">
        <f t="shared" si="74"/>
        <v>119463.90300000001</v>
      </c>
      <c r="M1826" s="19"/>
      <c r="N1826" s="19"/>
      <c r="O1826" s="19"/>
      <c r="P1826" s="19"/>
    </row>
    <row r="1827" spans="1:16" x14ac:dyDescent="0.25">
      <c r="A1827" s="91">
        <v>2934</v>
      </c>
      <c r="B1827" s="15">
        <v>2014</v>
      </c>
      <c r="C1827" s="1" t="s">
        <v>44</v>
      </c>
      <c r="D1827" s="1" t="s">
        <v>216</v>
      </c>
      <c r="E1827" s="15" t="s">
        <v>217</v>
      </c>
      <c r="F1827" s="1" t="s">
        <v>186</v>
      </c>
      <c r="G1827" s="16">
        <v>4534</v>
      </c>
      <c r="H1827" s="93">
        <f>'Emission Rates Net-by-Count'!$D$12</f>
        <v>1014</v>
      </c>
      <c r="I1827" s="16">
        <f t="shared" si="74"/>
        <v>2298.7379999999998</v>
      </c>
      <c r="M1827" s="19"/>
      <c r="N1827" s="19"/>
      <c r="O1827" s="19"/>
      <c r="P1827" s="19"/>
    </row>
    <row r="1828" spans="1:16" x14ac:dyDescent="0.25">
      <c r="A1828" s="91">
        <v>2935</v>
      </c>
      <c r="B1828" s="15">
        <v>2014</v>
      </c>
      <c r="C1828" s="1" t="s">
        <v>44</v>
      </c>
      <c r="D1828" s="1" t="s">
        <v>216</v>
      </c>
      <c r="E1828" s="15" t="s">
        <v>217</v>
      </c>
      <c r="F1828" s="1" t="s">
        <v>153</v>
      </c>
      <c r="G1828" s="16">
        <v>51948</v>
      </c>
      <c r="H1828" s="93">
        <f>'Emission Rates Net-by-Count'!$D$12</f>
        <v>1014</v>
      </c>
      <c r="I1828" s="16">
        <f t="shared" si="74"/>
        <v>26337.635999999999</v>
      </c>
      <c r="M1828" s="19"/>
      <c r="N1828" s="19"/>
      <c r="O1828" s="19"/>
      <c r="P1828" s="19"/>
    </row>
    <row r="1829" spans="1:16" x14ac:dyDescent="0.25">
      <c r="A1829" s="91">
        <v>2936</v>
      </c>
      <c r="B1829" s="15">
        <v>2014</v>
      </c>
      <c r="C1829" s="1" t="s">
        <v>44</v>
      </c>
      <c r="D1829" s="1" t="s">
        <v>216</v>
      </c>
      <c r="E1829" s="15" t="s">
        <v>217</v>
      </c>
      <c r="F1829" s="1" t="s">
        <v>104</v>
      </c>
      <c r="G1829" s="16">
        <v>1300789</v>
      </c>
      <c r="H1829" s="93">
        <f>'Emission Rates Net-by-Count'!$D$12</f>
        <v>1014</v>
      </c>
      <c r="I1829" s="16">
        <f t="shared" si="74"/>
        <v>659500.02300000004</v>
      </c>
      <c r="M1829" s="19"/>
      <c r="N1829" s="19"/>
      <c r="O1829" s="19"/>
      <c r="P1829" s="19"/>
    </row>
    <row r="1830" spans="1:16" x14ac:dyDescent="0.25">
      <c r="A1830" s="91">
        <v>2937</v>
      </c>
      <c r="B1830" s="15">
        <v>2014</v>
      </c>
      <c r="C1830" s="1" t="s">
        <v>44</v>
      </c>
      <c r="D1830" s="1" t="s">
        <v>216</v>
      </c>
      <c r="E1830" s="15" t="s">
        <v>217</v>
      </c>
      <c r="F1830" s="1" t="s">
        <v>167</v>
      </c>
      <c r="G1830" s="16">
        <v>2410</v>
      </c>
      <c r="H1830" s="93">
        <f>'Emission Rates Net-by-Count'!$D$12</f>
        <v>1014</v>
      </c>
      <c r="I1830" s="16">
        <f t="shared" si="74"/>
        <v>1221.8699999999999</v>
      </c>
      <c r="M1830" s="19"/>
      <c r="N1830" s="19"/>
      <c r="O1830" s="19"/>
      <c r="P1830" s="19"/>
    </row>
    <row r="1831" spans="1:16" x14ac:dyDescent="0.25">
      <c r="A1831" s="91">
        <v>2938</v>
      </c>
      <c r="B1831" s="15">
        <v>2014</v>
      </c>
      <c r="C1831" s="1" t="s">
        <v>44</v>
      </c>
      <c r="D1831" s="1" t="s">
        <v>216</v>
      </c>
      <c r="E1831" s="15" t="s">
        <v>217</v>
      </c>
      <c r="F1831" s="1" t="s">
        <v>106</v>
      </c>
      <c r="G1831" s="16">
        <v>81172</v>
      </c>
      <c r="H1831" s="93">
        <f>'Emission Rates Net-by-Count'!$D$12</f>
        <v>1014</v>
      </c>
      <c r="I1831" s="16">
        <f t="shared" si="74"/>
        <v>41154.203999999998</v>
      </c>
      <c r="M1831" s="19"/>
      <c r="N1831" s="19"/>
      <c r="O1831" s="19"/>
      <c r="P1831" s="19"/>
    </row>
    <row r="1832" spans="1:16" x14ac:dyDescent="0.25">
      <c r="A1832" s="91">
        <v>2939</v>
      </c>
      <c r="B1832" s="15">
        <v>2014</v>
      </c>
      <c r="C1832" s="1" t="s">
        <v>44</v>
      </c>
      <c r="D1832" s="1" t="s">
        <v>216</v>
      </c>
      <c r="E1832" s="15" t="s">
        <v>217</v>
      </c>
      <c r="F1832" s="1" t="s">
        <v>203</v>
      </c>
      <c r="G1832" s="16">
        <v>452905</v>
      </c>
      <c r="H1832" s="93">
        <f>'Emission Rates Net-by-Count'!$D$12</f>
        <v>1014</v>
      </c>
      <c r="I1832" s="16">
        <f t="shared" si="74"/>
        <v>229622.83499999999</v>
      </c>
      <c r="M1832" s="19"/>
      <c r="N1832" s="19"/>
      <c r="O1832" s="19"/>
      <c r="P1832" s="19"/>
    </row>
    <row r="1833" spans="1:16" x14ac:dyDescent="0.25">
      <c r="A1833" s="91">
        <v>2941</v>
      </c>
      <c r="B1833" s="15">
        <v>2014</v>
      </c>
      <c r="C1833" s="1" t="s">
        <v>109</v>
      </c>
      <c r="D1833" s="1" t="s">
        <v>216</v>
      </c>
      <c r="E1833" s="15" t="s">
        <v>217</v>
      </c>
      <c r="F1833" s="1" t="s">
        <v>207</v>
      </c>
      <c r="G1833" s="16">
        <v>22326.400000000001</v>
      </c>
      <c r="H1833" s="93">
        <f>'Emission Rates Net-by-Count'!$D$12</f>
        <v>1014</v>
      </c>
      <c r="I1833" s="16">
        <f t="shared" si="74"/>
        <v>11319.4848</v>
      </c>
      <c r="M1833" s="19"/>
      <c r="N1833" s="19"/>
      <c r="O1833" s="19"/>
      <c r="P1833" s="19"/>
    </row>
    <row r="1834" spans="1:16" x14ac:dyDescent="0.25">
      <c r="A1834" s="91">
        <v>2942</v>
      </c>
      <c r="B1834" s="15">
        <v>2014</v>
      </c>
      <c r="C1834" s="1" t="s">
        <v>109</v>
      </c>
      <c r="D1834" s="1" t="s">
        <v>216</v>
      </c>
      <c r="E1834" s="15" t="s">
        <v>217</v>
      </c>
      <c r="F1834" s="1" t="s">
        <v>111</v>
      </c>
      <c r="G1834" s="16">
        <v>413000</v>
      </c>
      <c r="H1834" s="93">
        <f>'Emission Rates Net-by-Count'!$D$12</f>
        <v>1014</v>
      </c>
      <c r="I1834" s="16">
        <f t="shared" si="74"/>
        <v>209391</v>
      </c>
      <c r="M1834" s="19"/>
      <c r="N1834" s="19"/>
      <c r="O1834" s="19"/>
      <c r="P1834" s="19"/>
    </row>
    <row r="1835" spans="1:16" x14ac:dyDescent="0.25">
      <c r="A1835" s="91">
        <v>2944</v>
      </c>
      <c r="B1835" s="15">
        <v>2014</v>
      </c>
      <c r="C1835" s="1" t="s">
        <v>113</v>
      </c>
      <c r="D1835" s="1" t="s">
        <v>216</v>
      </c>
      <c r="E1835" s="15" t="s">
        <v>217</v>
      </c>
      <c r="F1835" s="1" t="s">
        <v>114</v>
      </c>
      <c r="G1835" s="16">
        <v>76073.797000000006</v>
      </c>
      <c r="H1835" s="93">
        <f>'Emission Rates Net-by-Count'!$D$12</f>
        <v>1014</v>
      </c>
      <c r="I1835" s="16">
        <f t="shared" si="74"/>
        <v>38569.415079000006</v>
      </c>
      <c r="M1835" s="19"/>
      <c r="N1835" s="19"/>
      <c r="O1835" s="19"/>
      <c r="P1835" s="19"/>
    </row>
    <row r="1836" spans="1:16" x14ac:dyDescent="0.25">
      <c r="A1836" s="91">
        <v>2945</v>
      </c>
      <c r="B1836" s="15">
        <v>2014</v>
      </c>
      <c r="C1836" s="1" t="s">
        <v>113</v>
      </c>
      <c r="D1836" s="1" t="s">
        <v>216</v>
      </c>
      <c r="E1836" s="15" t="s">
        <v>217</v>
      </c>
      <c r="F1836" s="1" t="s">
        <v>184</v>
      </c>
      <c r="G1836" s="16">
        <v>-25</v>
      </c>
      <c r="H1836" s="93">
        <f>'Emission Rates Net-by-Count'!$D$12</f>
        <v>1014</v>
      </c>
      <c r="I1836" s="16">
        <f t="shared" si="74"/>
        <v>-12.675000000000001</v>
      </c>
      <c r="M1836" s="19"/>
      <c r="N1836" s="19"/>
      <c r="O1836" s="19"/>
      <c r="P1836" s="19"/>
    </row>
    <row r="1837" spans="1:16" x14ac:dyDescent="0.25">
      <c r="A1837" s="91">
        <v>2946</v>
      </c>
      <c r="B1837" s="15">
        <v>2014</v>
      </c>
      <c r="C1837" s="1" t="s">
        <v>113</v>
      </c>
      <c r="D1837" s="1" t="s">
        <v>216</v>
      </c>
      <c r="E1837" s="15" t="s">
        <v>217</v>
      </c>
      <c r="F1837" s="1" t="s">
        <v>111</v>
      </c>
      <c r="G1837" s="16">
        <v>-413000</v>
      </c>
      <c r="H1837" s="93">
        <f>'Emission Rates Net-by-Count'!$D$12</f>
        <v>1014</v>
      </c>
      <c r="I1837" s="16">
        <f t="shared" si="74"/>
        <v>-209391</v>
      </c>
      <c r="M1837" s="19"/>
      <c r="N1837" s="19"/>
      <c r="O1837" s="19"/>
      <c r="P1837" s="19"/>
    </row>
    <row r="1838" spans="1:16" x14ac:dyDescent="0.25">
      <c r="A1838" s="91">
        <v>2995</v>
      </c>
      <c r="B1838" s="15">
        <v>2014</v>
      </c>
      <c r="C1838" s="1" t="s">
        <v>120</v>
      </c>
      <c r="D1838" s="1" t="s">
        <v>216</v>
      </c>
      <c r="E1838" s="15" t="s">
        <v>217</v>
      </c>
      <c r="F1838" s="1" t="s">
        <v>47</v>
      </c>
      <c r="G1838" s="16">
        <v>-60183</v>
      </c>
      <c r="H1838" s="93">
        <f>'Emission Rates Net-by-Count'!$D$12</f>
        <v>1014</v>
      </c>
      <c r="I1838" s="16">
        <f t="shared" si="74"/>
        <v>-30512.780999999999</v>
      </c>
      <c r="M1838" s="19"/>
      <c r="N1838" s="19"/>
      <c r="O1838" s="19"/>
      <c r="P1838" s="19"/>
    </row>
    <row r="1839" spans="1:16" x14ac:dyDescent="0.25">
      <c r="A1839" s="91">
        <v>2996</v>
      </c>
      <c r="B1839" s="15">
        <v>2014</v>
      </c>
      <c r="C1839" s="1" t="s">
        <v>120</v>
      </c>
      <c r="D1839" s="1" t="s">
        <v>216</v>
      </c>
      <c r="E1839" s="15" t="s">
        <v>217</v>
      </c>
      <c r="F1839" s="1" t="s">
        <v>50</v>
      </c>
      <c r="G1839" s="16">
        <v>-390</v>
      </c>
      <c r="H1839" s="93">
        <f>'Emission Rates Net-by-Count'!$D$12</f>
        <v>1014</v>
      </c>
      <c r="I1839" s="16">
        <f t="shared" si="74"/>
        <v>-197.73</v>
      </c>
      <c r="M1839" s="19"/>
      <c r="N1839" s="19"/>
      <c r="O1839" s="19"/>
      <c r="P1839" s="19"/>
    </row>
    <row r="1840" spans="1:16" x14ac:dyDescent="0.25">
      <c r="A1840" s="91">
        <v>2997</v>
      </c>
      <c r="B1840" s="15">
        <v>2014</v>
      </c>
      <c r="C1840" s="1" t="s">
        <v>120</v>
      </c>
      <c r="D1840" s="1" t="s">
        <v>216</v>
      </c>
      <c r="E1840" s="15" t="s">
        <v>217</v>
      </c>
      <c r="F1840" s="1" t="s">
        <v>51</v>
      </c>
      <c r="G1840" s="16">
        <v>2016042</v>
      </c>
      <c r="H1840" s="93">
        <f>'Emission Rates Net-by-Count'!$D$12</f>
        <v>1014</v>
      </c>
      <c r="I1840" s="16">
        <f t="shared" si="74"/>
        <v>1022133.294</v>
      </c>
      <c r="M1840" s="19"/>
      <c r="N1840" s="19"/>
      <c r="O1840" s="19"/>
      <c r="P1840" s="19"/>
    </row>
    <row r="1841" spans="1:16" x14ac:dyDescent="0.25">
      <c r="A1841" s="91">
        <v>2998</v>
      </c>
      <c r="B1841" s="15">
        <v>2014</v>
      </c>
      <c r="C1841" s="1" t="s">
        <v>120</v>
      </c>
      <c r="D1841" s="1" t="s">
        <v>216</v>
      </c>
      <c r="E1841" s="15" t="s">
        <v>217</v>
      </c>
      <c r="F1841" s="1" t="s">
        <v>52</v>
      </c>
      <c r="G1841" s="16">
        <v>-51111</v>
      </c>
      <c r="H1841" s="93">
        <f>'Emission Rates Net-by-Count'!$D$12</f>
        <v>1014</v>
      </c>
      <c r="I1841" s="16">
        <f t="shared" si="74"/>
        <v>-25913.276999999998</v>
      </c>
      <c r="M1841" s="19"/>
      <c r="N1841" s="19"/>
      <c r="O1841" s="19"/>
      <c r="P1841" s="19"/>
    </row>
    <row r="1842" spans="1:16" x14ac:dyDescent="0.25">
      <c r="A1842" s="91">
        <v>2999</v>
      </c>
      <c r="B1842" s="15">
        <v>2014</v>
      </c>
      <c r="C1842" s="1" t="s">
        <v>120</v>
      </c>
      <c r="D1842" s="1" t="s">
        <v>216</v>
      </c>
      <c r="E1842" s="15" t="s">
        <v>217</v>
      </c>
      <c r="F1842" s="1" t="s">
        <v>21</v>
      </c>
      <c r="G1842" s="16">
        <v>-159211</v>
      </c>
      <c r="H1842" s="93">
        <f>'Emission Rates Net-by-Count'!$D$12</f>
        <v>1014</v>
      </c>
      <c r="I1842" s="16">
        <f t="shared" si="74"/>
        <v>-80719.976999999999</v>
      </c>
      <c r="M1842" s="19"/>
      <c r="N1842" s="19"/>
      <c r="O1842" s="19"/>
      <c r="P1842" s="19"/>
    </row>
    <row r="1843" spans="1:16" x14ac:dyDescent="0.25">
      <c r="A1843" s="91">
        <v>3000</v>
      </c>
      <c r="B1843" s="15">
        <v>2014</v>
      </c>
      <c r="C1843" s="1" t="s">
        <v>120</v>
      </c>
      <c r="D1843" s="1" t="s">
        <v>216</v>
      </c>
      <c r="E1843" s="15" t="s">
        <v>217</v>
      </c>
      <c r="F1843" s="1" t="s">
        <v>143</v>
      </c>
      <c r="G1843" s="16">
        <v>-49</v>
      </c>
      <c r="H1843" s="93">
        <f>'Emission Rates Net-by-Count'!$D$12</f>
        <v>1014</v>
      </c>
      <c r="I1843" s="16">
        <f t="shared" si="74"/>
        <v>-24.843</v>
      </c>
      <c r="M1843" s="19"/>
      <c r="N1843" s="19"/>
      <c r="O1843" s="19"/>
      <c r="P1843" s="19"/>
    </row>
    <row r="1844" spans="1:16" x14ac:dyDescent="0.25">
      <c r="A1844" s="91">
        <v>3001</v>
      </c>
      <c r="B1844" s="15">
        <v>2014</v>
      </c>
      <c r="C1844" s="1" t="s">
        <v>120</v>
      </c>
      <c r="D1844" s="1" t="s">
        <v>216</v>
      </c>
      <c r="E1844" s="15" t="s">
        <v>217</v>
      </c>
      <c r="F1844" s="1" t="s">
        <v>197</v>
      </c>
      <c r="G1844" s="16">
        <v>-800</v>
      </c>
      <c r="H1844" s="93">
        <f>'Emission Rates Net-by-Count'!$D$12</f>
        <v>1014</v>
      </c>
      <c r="I1844" s="16">
        <f t="shared" si="74"/>
        <v>-405.6</v>
      </c>
      <c r="M1844" s="19"/>
      <c r="N1844" s="19"/>
      <c r="O1844" s="19"/>
      <c r="P1844" s="19"/>
    </row>
    <row r="1845" spans="1:16" x14ac:dyDescent="0.25">
      <c r="A1845" s="91">
        <v>3002</v>
      </c>
      <c r="B1845" s="15">
        <v>2014</v>
      </c>
      <c r="C1845" s="1" t="s">
        <v>120</v>
      </c>
      <c r="D1845" s="1" t="s">
        <v>216</v>
      </c>
      <c r="E1845" s="15" t="s">
        <v>217</v>
      </c>
      <c r="F1845" s="1" t="s">
        <v>53</v>
      </c>
      <c r="G1845" s="16">
        <v>-2400</v>
      </c>
      <c r="H1845" s="93">
        <f>'Emission Rates Net-by-Count'!$D$12</f>
        <v>1014</v>
      </c>
      <c r="I1845" s="16">
        <f t="shared" si="74"/>
        <v>-1216.8</v>
      </c>
      <c r="M1845" s="19"/>
      <c r="N1845" s="19"/>
      <c r="O1845" s="19"/>
      <c r="P1845" s="19"/>
    </row>
    <row r="1846" spans="1:16" x14ac:dyDescent="0.25">
      <c r="A1846" s="91">
        <v>3004</v>
      </c>
      <c r="B1846" s="15">
        <v>2014</v>
      </c>
      <c r="C1846" s="1" t="s">
        <v>120</v>
      </c>
      <c r="D1846" s="1" t="s">
        <v>216</v>
      </c>
      <c r="E1846" s="15" t="s">
        <v>217</v>
      </c>
      <c r="F1846" s="1" t="s">
        <v>55</v>
      </c>
      <c r="G1846" s="16">
        <v>-117424</v>
      </c>
      <c r="H1846" s="93">
        <f>'Emission Rates Net-by-Count'!$D$12</f>
        <v>1014</v>
      </c>
      <c r="I1846" s="16">
        <f t="shared" ref="I1846:I1877" si="75">(G1846*H1846)/2000</f>
        <v>-59533.968000000001</v>
      </c>
      <c r="M1846" s="19"/>
      <c r="N1846" s="19"/>
      <c r="O1846" s="19"/>
      <c r="P1846" s="19"/>
    </row>
    <row r="1847" spans="1:16" x14ac:dyDescent="0.25">
      <c r="A1847" s="91">
        <v>3005</v>
      </c>
      <c r="B1847" s="15">
        <v>2014</v>
      </c>
      <c r="C1847" s="1" t="s">
        <v>120</v>
      </c>
      <c r="D1847" s="1" t="s">
        <v>216</v>
      </c>
      <c r="E1847" s="15" t="s">
        <v>217</v>
      </c>
      <c r="F1847" s="1" t="s">
        <v>56</v>
      </c>
      <c r="G1847" s="16">
        <v>-190421</v>
      </c>
      <c r="H1847" s="93">
        <f>'Emission Rates Net-by-Count'!$D$12</f>
        <v>1014</v>
      </c>
      <c r="I1847" s="16">
        <f t="shared" si="75"/>
        <v>-96543.447</v>
      </c>
      <c r="M1847" s="19"/>
      <c r="N1847" s="19"/>
      <c r="O1847" s="19"/>
      <c r="P1847" s="19"/>
    </row>
    <row r="1848" spans="1:16" x14ac:dyDescent="0.25">
      <c r="A1848" s="91">
        <v>3006</v>
      </c>
      <c r="B1848" s="15">
        <v>2014</v>
      </c>
      <c r="C1848" s="1" t="s">
        <v>120</v>
      </c>
      <c r="D1848" s="1" t="s">
        <v>216</v>
      </c>
      <c r="E1848" s="15" t="s">
        <v>217</v>
      </c>
      <c r="F1848" s="1" t="s">
        <v>57</v>
      </c>
      <c r="G1848" s="16">
        <v>-16609</v>
      </c>
      <c r="H1848" s="93">
        <f>'Emission Rates Net-by-Count'!$D$12</f>
        <v>1014</v>
      </c>
      <c r="I1848" s="16">
        <f t="shared" si="75"/>
        <v>-8420.7630000000008</v>
      </c>
      <c r="M1848" s="19"/>
      <c r="N1848" s="19"/>
      <c r="O1848" s="19"/>
      <c r="P1848" s="19"/>
    </row>
    <row r="1849" spans="1:16" x14ac:dyDescent="0.25">
      <c r="A1849" s="91">
        <v>3007</v>
      </c>
      <c r="B1849" s="15">
        <v>2014</v>
      </c>
      <c r="C1849" s="1" t="s">
        <v>120</v>
      </c>
      <c r="D1849" s="1" t="s">
        <v>216</v>
      </c>
      <c r="E1849" s="15" t="s">
        <v>217</v>
      </c>
      <c r="F1849" s="1" t="s">
        <v>58</v>
      </c>
      <c r="G1849" s="16">
        <v>-26800</v>
      </c>
      <c r="H1849" s="93">
        <f>'Emission Rates Net-by-Count'!$D$12</f>
        <v>1014</v>
      </c>
      <c r="I1849" s="16">
        <f t="shared" si="75"/>
        <v>-13587.6</v>
      </c>
      <c r="M1849" s="19"/>
      <c r="N1849" s="19"/>
      <c r="O1849" s="19"/>
      <c r="P1849" s="19"/>
    </row>
    <row r="1850" spans="1:16" x14ac:dyDescent="0.25">
      <c r="A1850" s="91">
        <v>3008</v>
      </c>
      <c r="B1850" s="15">
        <v>2014</v>
      </c>
      <c r="C1850" s="1" t="s">
        <v>120</v>
      </c>
      <c r="D1850" s="1" t="s">
        <v>216</v>
      </c>
      <c r="E1850" s="15" t="s">
        <v>217</v>
      </c>
      <c r="F1850" s="1" t="s">
        <v>182</v>
      </c>
      <c r="G1850" s="16">
        <v>-9222</v>
      </c>
      <c r="H1850" s="93">
        <f>'Emission Rates Net-by-Count'!$D$12</f>
        <v>1014</v>
      </c>
      <c r="I1850" s="16">
        <f t="shared" si="75"/>
        <v>-4675.5540000000001</v>
      </c>
      <c r="M1850" s="19"/>
      <c r="N1850" s="19"/>
      <c r="O1850" s="19"/>
      <c r="P1850" s="19"/>
    </row>
    <row r="1851" spans="1:16" x14ac:dyDescent="0.25">
      <c r="A1851" s="91">
        <v>3009</v>
      </c>
      <c r="B1851" s="15">
        <v>2014</v>
      </c>
      <c r="C1851" s="1" t="s">
        <v>120</v>
      </c>
      <c r="D1851" s="1" t="s">
        <v>216</v>
      </c>
      <c r="E1851" s="15" t="s">
        <v>217</v>
      </c>
      <c r="F1851" s="1" t="s">
        <v>59</v>
      </c>
      <c r="G1851" s="16">
        <v>-4124</v>
      </c>
      <c r="H1851" s="93">
        <f>'Emission Rates Net-by-Count'!$D$12</f>
        <v>1014</v>
      </c>
      <c r="I1851" s="16">
        <f t="shared" si="75"/>
        <v>-2090.8679999999999</v>
      </c>
      <c r="M1851" s="19"/>
      <c r="N1851" s="19"/>
      <c r="O1851" s="19"/>
      <c r="P1851" s="19"/>
    </row>
    <row r="1852" spans="1:16" x14ac:dyDescent="0.25">
      <c r="A1852" s="91">
        <v>3010</v>
      </c>
      <c r="B1852" s="15">
        <v>2014</v>
      </c>
      <c r="C1852" s="1" t="s">
        <v>120</v>
      </c>
      <c r="D1852" s="1" t="s">
        <v>216</v>
      </c>
      <c r="E1852" s="15" t="s">
        <v>217</v>
      </c>
      <c r="F1852" s="1" t="s">
        <v>60</v>
      </c>
      <c r="G1852" s="16">
        <v>-1200</v>
      </c>
      <c r="H1852" s="93">
        <f>'Emission Rates Net-by-Count'!$D$12</f>
        <v>1014</v>
      </c>
      <c r="I1852" s="16">
        <f t="shared" si="75"/>
        <v>-608.4</v>
      </c>
      <c r="M1852" s="19"/>
      <c r="N1852" s="19"/>
      <c r="O1852" s="19"/>
      <c r="P1852" s="19"/>
    </row>
    <row r="1853" spans="1:16" x14ac:dyDescent="0.25">
      <c r="A1853" s="91">
        <v>3011</v>
      </c>
      <c r="B1853" s="15">
        <v>2014</v>
      </c>
      <c r="C1853" s="1" t="s">
        <v>120</v>
      </c>
      <c r="D1853" s="1" t="s">
        <v>216</v>
      </c>
      <c r="E1853" s="15" t="s">
        <v>217</v>
      </c>
      <c r="F1853" s="1" t="s">
        <v>61</v>
      </c>
      <c r="G1853" s="16">
        <v>-119</v>
      </c>
      <c r="H1853" s="93">
        <f>'Emission Rates Net-by-Count'!$D$12</f>
        <v>1014</v>
      </c>
      <c r="I1853" s="16">
        <f t="shared" si="75"/>
        <v>-60.332999999999998</v>
      </c>
      <c r="M1853" s="19"/>
      <c r="N1853" s="19"/>
      <c r="O1853" s="19"/>
      <c r="P1853" s="19"/>
    </row>
    <row r="1854" spans="1:16" x14ac:dyDescent="0.25">
      <c r="A1854" s="91">
        <v>3012</v>
      </c>
      <c r="B1854" s="15">
        <v>2014</v>
      </c>
      <c r="C1854" s="1" t="s">
        <v>120</v>
      </c>
      <c r="D1854" s="1" t="s">
        <v>216</v>
      </c>
      <c r="E1854" s="15" t="s">
        <v>217</v>
      </c>
      <c r="F1854" s="1" t="s">
        <v>146</v>
      </c>
      <c r="G1854" s="16">
        <v>-947</v>
      </c>
      <c r="H1854" s="93">
        <f>'Emission Rates Net-by-Count'!$D$12</f>
        <v>1014</v>
      </c>
      <c r="I1854" s="16">
        <f t="shared" si="75"/>
        <v>-480.12900000000002</v>
      </c>
      <c r="M1854" s="19"/>
      <c r="N1854" s="19"/>
      <c r="O1854" s="19"/>
      <c r="P1854" s="19"/>
    </row>
    <row r="1855" spans="1:16" x14ac:dyDescent="0.25">
      <c r="A1855" s="91">
        <v>3013</v>
      </c>
      <c r="B1855" s="15">
        <v>2014</v>
      </c>
      <c r="C1855" s="1" t="s">
        <v>120</v>
      </c>
      <c r="D1855" s="1" t="s">
        <v>216</v>
      </c>
      <c r="E1855" s="15" t="s">
        <v>217</v>
      </c>
      <c r="F1855" s="1" t="s">
        <v>62</v>
      </c>
      <c r="G1855" s="16">
        <v>-1819</v>
      </c>
      <c r="H1855" s="93">
        <f>'Emission Rates Net-by-Count'!$D$12</f>
        <v>1014</v>
      </c>
      <c r="I1855" s="16">
        <f t="shared" si="75"/>
        <v>-922.23299999999995</v>
      </c>
      <c r="M1855" s="19"/>
      <c r="N1855" s="19"/>
      <c r="O1855" s="19"/>
      <c r="P1855" s="19"/>
    </row>
    <row r="1856" spans="1:16" x14ac:dyDescent="0.25">
      <c r="A1856" s="91">
        <v>3014</v>
      </c>
      <c r="B1856" s="15">
        <v>2014</v>
      </c>
      <c r="C1856" s="1" t="s">
        <v>120</v>
      </c>
      <c r="D1856" s="1" t="s">
        <v>216</v>
      </c>
      <c r="E1856" s="15" t="s">
        <v>217</v>
      </c>
      <c r="F1856" s="1" t="s">
        <v>165</v>
      </c>
      <c r="G1856" s="16">
        <v>-136984</v>
      </c>
      <c r="H1856" s="93">
        <f>'Emission Rates Net-by-Count'!$D$12</f>
        <v>1014</v>
      </c>
      <c r="I1856" s="16">
        <f t="shared" si="75"/>
        <v>-69450.888000000006</v>
      </c>
      <c r="M1856" s="19"/>
      <c r="N1856" s="19"/>
      <c r="O1856" s="19"/>
      <c r="P1856" s="19"/>
    </row>
    <row r="1857" spans="1:16" x14ac:dyDescent="0.25">
      <c r="A1857" s="91">
        <v>3016</v>
      </c>
      <c r="B1857" s="15">
        <v>2014</v>
      </c>
      <c r="C1857" s="1" t="s">
        <v>120</v>
      </c>
      <c r="D1857" s="1" t="s">
        <v>216</v>
      </c>
      <c r="E1857" s="15" t="s">
        <v>217</v>
      </c>
      <c r="F1857" s="1" t="s">
        <v>65</v>
      </c>
      <c r="G1857" s="16">
        <v>-38757</v>
      </c>
      <c r="H1857" s="93">
        <f>'Emission Rates Net-by-Count'!$D$12</f>
        <v>1014</v>
      </c>
      <c r="I1857" s="16">
        <f t="shared" si="75"/>
        <v>-19649.798999999999</v>
      </c>
      <c r="M1857" s="19"/>
      <c r="N1857" s="19"/>
      <c r="O1857" s="19"/>
      <c r="P1857" s="19"/>
    </row>
    <row r="1858" spans="1:16" x14ac:dyDescent="0.25">
      <c r="A1858" s="91">
        <v>3017</v>
      </c>
      <c r="B1858" s="15">
        <v>2014</v>
      </c>
      <c r="C1858" s="1" t="s">
        <v>120</v>
      </c>
      <c r="D1858" s="1" t="s">
        <v>216</v>
      </c>
      <c r="E1858" s="15" t="s">
        <v>217</v>
      </c>
      <c r="F1858" s="1" t="s">
        <v>184</v>
      </c>
      <c r="G1858" s="16">
        <v>-16580</v>
      </c>
      <c r="H1858" s="93">
        <f>'Emission Rates Net-by-Count'!$D$12</f>
        <v>1014</v>
      </c>
      <c r="I1858" s="16">
        <f t="shared" si="75"/>
        <v>-8406.06</v>
      </c>
      <c r="M1858" s="19"/>
      <c r="N1858" s="19"/>
      <c r="O1858" s="19"/>
      <c r="P1858" s="19"/>
    </row>
    <row r="1859" spans="1:16" x14ac:dyDescent="0.25">
      <c r="A1859" s="91">
        <v>3018</v>
      </c>
      <c r="B1859" s="15">
        <v>2014</v>
      </c>
      <c r="C1859" s="1" t="s">
        <v>120</v>
      </c>
      <c r="D1859" s="1" t="s">
        <v>216</v>
      </c>
      <c r="E1859" s="15" t="s">
        <v>217</v>
      </c>
      <c r="F1859" s="1" t="s">
        <v>199</v>
      </c>
      <c r="G1859" s="16">
        <v>-27508</v>
      </c>
      <c r="H1859" s="93">
        <f>'Emission Rates Net-by-Count'!$D$12</f>
        <v>1014</v>
      </c>
      <c r="I1859" s="16">
        <f t="shared" si="75"/>
        <v>-13946.556</v>
      </c>
      <c r="M1859" s="19"/>
      <c r="N1859" s="19"/>
      <c r="O1859" s="19"/>
      <c r="P1859" s="19"/>
    </row>
    <row r="1860" spans="1:16" x14ac:dyDescent="0.25">
      <c r="A1860" s="91">
        <v>3019</v>
      </c>
      <c r="B1860" s="15">
        <v>2014</v>
      </c>
      <c r="C1860" s="1" t="s">
        <v>120</v>
      </c>
      <c r="D1860" s="1" t="s">
        <v>216</v>
      </c>
      <c r="E1860" s="15" t="s">
        <v>217</v>
      </c>
      <c r="F1860" s="1" t="s">
        <v>67</v>
      </c>
      <c r="G1860" s="16">
        <v>-27899</v>
      </c>
      <c r="H1860" s="93">
        <f>'Emission Rates Net-by-Count'!$D$12</f>
        <v>1014</v>
      </c>
      <c r="I1860" s="16">
        <f t="shared" si="75"/>
        <v>-14144.793</v>
      </c>
      <c r="M1860" s="19"/>
      <c r="N1860" s="19"/>
      <c r="O1860" s="19"/>
      <c r="P1860" s="19"/>
    </row>
    <row r="1861" spans="1:16" x14ac:dyDescent="0.25">
      <c r="A1861" s="91">
        <v>3020</v>
      </c>
      <c r="B1861" s="15">
        <v>2014</v>
      </c>
      <c r="C1861" s="1" t="s">
        <v>120</v>
      </c>
      <c r="D1861" s="1" t="s">
        <v>216</v>
      </c>
      <c r="E1861" s="15" t="s">
        <v>217</v>
      </c>
      <c r="F1861" s="1" t="s">
        <v>69</v>
      </c>
      <c r="G1861" s="16">
        <v>-536036</v>
      </c>
      <c r="H1861" s="93">
        <f>'Emission Rates Net-by-Count'!$D$12</f>
        <v>1014</v>
      </c>
      <c r="I1861" s="16">
        <f t="shared" si="75"/>
        <v>-271770.25199999998</v>
      </c>
      <c r="M1861" s="19"/>
      <c r="N1861" s="19"/>
      <c r="O1861" s="19"/>
      <c r="P1861" s="19"/>
    </row>
    <row r="1862" spans="1:16" x14ac:dyDescent="0.25">
      <c r="A1862" s="91">
        <v>3021</v>
      </c>
      <c r="B1862" s="15">
        <v>2014</v>
      </c>
      <c r="C1862" s="1" t="s">
        <v>120</v>
      </c>
      <c r="D1862" s="1" t="s">
        <v>216</v>
      </c>
      <c r="E1862" s="15" t="s">
        <v>217</v>
      </c>
      <c r="F1862" s="1" t="s">
        <v>71</v>
      </c>
      <c r="G1862" s="16">
        <v>-15235</v>
      </c>
      <c r="H1862" s="93">
        <f>'Emission Rates Net-by-Count'!$D$12</f>
        <v>1014</v>
      </c>
      <c r="I1862" s="16">
        <f t="shared" si="75"/>
        <v>-7724.1450000000004</v>
      </c>
      <c r="M1862" s="19"/>
      <c r="N1862" s="19"/>
      <c r="O1862" s="19"/>
      <c r="P1862" s="19"/>
    </row>
    <row r="1863" spans="1:16" x14ac:dyDescent="0.25">
      <c r="A1863" s="91">
        <v>3022</v>
      </c>
      <c r="B1863" s="15">
        <v>2014</v>
      </c>
      <c r="C1863" s="1" t="s">
        <v>120</v>
      </c>
      <c r="D1863" s="1" t="s">
        <v>216</v>
      </c>
      <c r="E1863" s="15" t="s">
        <v>217</v>
      </c>
      <c r="F1863" s="1" t="s">
        <v>72</v>
      </c>
      <c r="G1863" s="16">
        <v>-2600</v>
      </c>
      <c r="H1863" s="93">
        <f>'Emission Rates Net-by-Count'!$D$12</f>
        <v>1014</v>
      </c>
      <c r="I1863" s="16">
        <f t="shared" si="75"/>
        <v>-1318.2</v>
      </c>
      <c r="M1863" s="19"/>
      <c r="N1863" s="19"/>
      <c r="O1863" s="19"/>
      <c r="P1863" s="19"/>
    </row>
    <row r="1864" spans="1:16" x14ac:dyDescent="0.25">
      <c r="A1864" s="91">
        <v>3023</v>
      </c>
      <c r="B1864" s="15">
        <v>2014</v>
      </c>
      <c r="C1864" s="1" t="s">
        <v>120</v>
      </c>
      <c r="D1864" s="1" t="s">
        <v>216</v>
      </c>
      <c r="E1864" s="15" t="s">
        <v>217</v>
      </c>
      <c r="F1864" s="1" t="s">
        <v>133</v>
      </c>
      <c r="G1864" s="16">
        <v>-5071</v>
      </c>
      <c r="H1864" s="93">
        <f>'Emission Rates Net-by-Count'!$D$12</f>
        <v>1014</v>
      </c>
      <c r="I1864" s="16">
        <f t="shared" si="75"/>
        <v>-2570.9969999999998</v>
      </c>
      <c r="M1864" s="19"/>
      <c r="N1864" s="19"/>
      <c r="O1864" s="19"/>
      <c r="P1864" s="19"/>
    </row>
    <row r="1865" spans="1:16" x14ac:dyDescent="0.25">
      <c r="A1865" s="91">
        <v>3024</v>
      </c>
      <c r="B1865" s="15">
        <v>2014</v>
      </c>
      <c r="C1865" s="1" t="s">
        <v>120</v>
      </c>
      <c r="D1865" s="1" t="s">
        <v>216</v>
      </c>
      <c r="E1865" s="15" t="s">
        <v>217</v>
      </c>
      <c r="F1865" s="1" t="s">
        <v>78</v>
      </c>
      <c r="G1865" s="16">
        <v>-332554</v>
      </c>
      <c r="H1865" s="93">
        <f>'Emission Rates Net-by-Count'!$D$12</f>
        <v>1014</v>
      </c>
      <c r="I1865" s="16">
        <f t="shared" si="75"/>
        <v>-168604.878</v>
      </c>
      <c r="M1865" s="19"/>
      <c r="N1865" s="19"/>
      <c r="O1865" s="19"/>
      <c r="P1865" s="19"/>
    </row>
    <row r="1866" spans="1:16" x14ac:dyDescent="0.25">
      <c r="A1866" s="91">
        <v>3025</v>
      </c>
      <c r="B1866" s="15">
        <v>2014</v>
      </c>
      <c r="C1866" s="1" t="s">
        <v>120</v>
      </c>
      <c r="D1866" s="1" t="s">
        <v>216</v>
      </c>
      <c r="E1866" s="15" t="s">
        <v>217</v>
      </c>
      <c r="F1866" s="1" t="s">
        <v>168</v>
      </c>
      <c r="G1866" s="16">
        <v>-24</v>
      </c>
      <c r="H1866" s="93">
        <f>'Emission Rates Net-by-Count'!$D$12</f>
        <v>1014</v>
      </c>
      <c r="I1866" s="16">
        <f t="shared" si="75"/>
        <v>-12.167999999999999</v>
      </c>
      <c r="M1866" s="19"/>
      <c r="N1866" s="19"/>
      <c r="O1866" s="19"/>
      <c r="P1866" s="19"/>
    </row>
    <row r="1867" spans="1:16" x14ac:dyDescent="0.25">
      <c r="A1867" s="91">
        <v>3026</v>
      </c>
      <c r="B1867" s="15">
        <v>2014</v>
      </c>
      <c r="C1867" s="1" t="s">
        <v>120</v>
      </c>
      <c r="D1867" s="1" t="s">
        <v>216</v>
      </c>
      <c r="E1867" s="15" t="s">
        <v>217</v>
      </c>
      <c r="F1867" s="1" t="s">
        <v>208</v>
      </c>
      <c r="G1867" s="16">
        <v>-159</v>
      </c>
      <c r="H1867" s="93">
        <f>'Emission Rates Net-by-Count'!$D$12</f>
        <v>1014</v>
      </c>
      <c r="I1867" s="16">
        <f t="shared" si="75"/>
        <v>-80.613</v>
      </c>
      <c r="M1867" s="19"/>
      <c r="N1867" s="19"/>
      <c r="O1867" s="19"/>
      <c r="P1867" s="19"/>
    </row>
    <row r="1868" spans="1:16" x14ac:dyDescent="0.25">
      <c r="A1868" s="91">
        <v>3027</v>
      </c>
      <c r="B1868" s="15">
        <v>2014</v>
      </c>
      <c r="C1868" s="1" t="s">
        <v>120</v>
      </c>
      <c r="D1868" s="1" t="s">
        <v>216</v>
      </c>
      <c r="E1868" s="15" t="s">
        <v>217</v>
      </c>
      <c r="F1868" s="1" t="s">
        <v>173</v>
      </c>
      <c r="G1868" s="16">
        <v>-159</v>
      </c>
      <c r="H1868" s="93">
        <f>'Emission Rates Net-by-Count'!$D$12</f>
        <v>1014</v>
      </c>
      <c r="I1868" s="16">
        <f t="shared" si="75"/>
        <v>-80.613</v>
      </c>
      <c r="M1868" s="19"/>
      <c r="N1868" s="19"/>
      <c r="O1868" s="19"/>
      <c r="P1868" s="19"/>
    </row>
    <row r="1869" spans="1:16" x14ac:dyDescent="0.25">
      <c r="A1869" s="91">
        <v>3028</v>
      </c>
      <c r="B1869" s="15">
        <v>2014</v>
      </c>
      <c r="C1869" s="1" t="s">
        <v>120</v>
      </c>
      <c r="D1869" s="1" t="s">
        <v>216</v>
      </c>
      <c r="E1869" s="15" t="s">
        <v>217</v>
      </c>
      <c r="F1869" s="1" t="s">
        <v>185</v>
      </c>
      <c r="G1869" s="16">
        <v>-400</v>
      </c>
      <c r="H1869" s="93">
        <f>'Emission Rates Net-by-Count'!$D$12</f>
        <v>1014</v>
      </c>
      <c r="I1869" s="16">
        <f t="shared" si="75"/>
        <v>-202.8</v>
      </c>
      <c r="M1869" s="19"/>
      <c r="N1869" s="19"/>
      <c r="O1869" s="19"/>
      <c r="P1869" s="19"/>
    </row>
    <row r="1870" spans="1:16" x14ac:dyDescent="0.25">
      <c r="A1870" s="91">
        <v>3029</v>
      </c>
      <c r="B1870" s="15">
        <v>2014</v>
      </c>
      <c r="C1870" s="1" t="s">
        <v>120</v>
      </c>
      <c r="D1870" s="1" t="s">
        <v>216</v>
      </c>
      <c r="E1870" s="15" t="s">
        <v>217</v>
      </c>
      <c r="F1870" s="1" t="s">
        <v>81</v>
      </c>
      <c r="G1870" s="16">
        <v>-3481</v>
      </c>
      <c r="H1870" s="93">
        <f>'Emission Rates Net-by-Count'!$D$12</f>
        <v>1014</v>
      </c>
      <c r="I1870" s="16">
        <f t="shared" si="75"/>
        <v>-1764.867</v>
      </c>
      <c r="M1870" s="19"/>
      <c r="N1870" s="19"/>
      <c r="O1870" s="19"/>
      <c r="P1870" s="19"/>
    </row>
    <row r="1871" spans="1:16" x14ac:dyDescent="0.25">
      <c r="A1871" s="91">
        <v>3030</v>
      </c>
      <c r="B1871" s="15">
        <v>2014</v>
      </c>
      <c r="C1871" s="1" t="s">
        <v>120</v>
      </c>
      <c r="D1871" s="1" t="s">
        <v>216</v>
      </c>
      <c r="E1871" s="15" t="s">
        <v>217</v>
      </c>
      <c r="F1871" s="1" t="s">
        <v>82</v>
      </c>
      <c r="G1871" s="16">
        <v>-68236</v>
      </c>
      <c r="H1871" s="93">
        <f>'Emission Rates Net-by-Count'!$D$12</f>
        <v>1014</v>
      </c>
      <c r="I1871" s="16">
        <f t="shared" si="75"/>
        <v>-34595.652000000002</v>
      </c>
      <c r="M1871" s="19"/>
      <c r="N1871" s="19"/>
      <c r="O1871" s="19"/>
      <c r="P1871" s="19"/>
    </row>
    <row r="1872" spans="1:16" x14ac:dyDescent="0.25">
      <c r="A1872" s="91">
        <v>3031</v>
      </c>
      <c r="B1872" s="15">
        <v>2014</v>
      </c>
      <c r="C1872" s="1" t="s">
        <v>120</v>
      </c>
      <c r="D1872" s="1" t="s">
        <v>216</v>
      </c>
      <c r="E1872" s="15" t="s">
        <v>217</v>
      </c>
      <c r="F1872" s="1" t="s">
        <v>83</v>
      </c>
      <c r="G1872" s="16">
        <v>-1855</v>
      </c>
      <c r="H1872" s="93">
        <f>'Emission Rates Net-by-Count'!$D$12</f>
        <v>1014</v>
      </c>
      <c r="I1872" s="16">
        <f t="shared" si="75"/>
        <v>-940.48500000000001</v>
      </c>
      <c r="M1872" s="19"/>
      <c r="N1872" s="19"/>
      <c r="O1872" s="19"/>
      <c r="P1872" s="19"/>
    </row>
    <row r="1873" spans="1:16" x14ac:dyDescent="0.25">
      <c r="A1873" s="91">
        <v>3033</v>
      </c>
      <c r="B1873" s="15">
        <v>2014</v>
      </c>
      <c r="C1873" s="1" t="s">
        <v>120</v>
      </c>
      <c r="D1873" s="1" t="s">
        <v>216</v>
      </c>
      <c r="E1873" s="15" t="s">
        <v>217</v>
      </c>
      <c r="F1873" s="1" t="s">
        <v>85</v>
      </c>
      <c r="G1873" s="16">
        <v>-109675</v>
      </c>
      <c r="H1873" s="93">
        <f>'Emission Rates Net-by-Count'!$D$12</f>
        <v>1014</v>
      </c>
      <c r="I1873" s="16">
        <f t="shared" si="75"/>
        <v>-55605.224999999999</v>
      </c>
      <c r="M1873" s="19"/>
      <c r="N1873" s="19"/>
      <c r="O1873" s="19"/>
      <c r="P1873" s="19"/>
    </row>
    <row r="1874" spans="1:16" x14ac:dyDescent="0.25">
      <c r="A1874" s="91">
        <v>3034</v>
      </c>
      <c r="B1874" s="15">
        <v>2014</v>
      </c>
      <c r="C1874" s="1" t="s">
        <v>120</v>
      </c>
      <c r="D1874" s="1" t="s">
        <v>216</v>
      </c>
      <c r="E1874" s="15" t="s">
        <v>217</v>
      </c>
      <c r="F1874" s="1" t="s">
        <v>87</v>
      </c>
      <c r="G1874" s="16">
        <v>-123272</v>
      </c>
      <c r="H1874" s="93">
        <f>'Emission Rates Net-by-Count'!$D$12</f>
        <v>1014</v>
      </c>
      <c r="I1874" s="16">
        <f t="shared" si="75"/>
        <v>-62498.904000000002</v>
      </c>
      <c r="M1874" s="19"/>
      <c r="N1874" s="19"/>
      <c r="O1874" s="19"/>
      <c r="P1874" s="19"/>
    </row>
    <row r="1875" spans="1:16" x14ac:dyDescent="0.25">
      <c r="A1875" s="91">
        <v>3035</v>
      </c>
      <c r="B1875" s="15">
        <v>2014</v>
      </c>
      <c r="C1875" s="1" t="s">
        <v>120</v>
      </c>
      <c r="D1875" s="1" t="s">
        <v>216</v>
      </c>
      <c r="E1875" s="15" t="s">
        <v>217</v>
      </c>
      <c r="F1875" s="1" t="s">
        <v>88</v>
      </c>
      <c r="G1875" s="16">
        <v>-401453</v>
      </c>
      <c r="H1875" s="93">
        <f>'Emission Rates Net-by-Count'!$D$12</f>
        <v>1014</v>
      </c>
      <c r="I1875" s="16">
        <f t="shared" si="75"/>
        <v>-203536.671</v>
      </c>
      <c r="M1875" s="19"/>
      <c r="N1875" s="19"/>
      <c r="O1875" s="19"/>
      <c r="P1875" s="19"/>
    </row>
    <row r="1876" spans="1:16" x14ac:dyDescent="0.25">
      <c r="A1876" s="91">
        <v>3036</v>
      </c>
      <c r="B1876" s="15">
        <v>2014</v>
      </c>
      <c r="C1876" s="1" t="s">
        <v>120</v>
      </c>
      <c r="D1876" s="1" t="s">
        <v>216</v>
      </c>
      <c r="E1876" s="15" t="s">
        <v>217</v>
      </c>
      <c r="F1876" s="1" t="s">
        <v>91</v>
      </c>
      <c r="G1876" s="16">
        <v>-21430</v>
      </c>
      <c r="H1876" s="93">
        <f>'Emission Rates Net-by-Count'!$D$12</f>
        <v>1014</v>
      </c>
      <c r="I1876" s="16">
        <f t="shared" si="75"/>
        <v>-10865.01</v>
      </c>
      <c r="M1876" s="19"/>
      <c r="N1876" s="19"/>
      <c r="O1876" s="19"/>
      <c r="P1876" s="19"/>
    </row>
    <row r="1877" spans="1:16" x14ac:dyDescent="0.25">
      <c r="A1877" s="91">
        <v>3037</v>
      </c>
      <c r="B1877" s="15">
        <v>2014</v>
      </c>
      <c r="C1877" s="1" t="s">
        <v>120</v>
      </c>
      <c r="D1877" s="1" t="s">
        <v>216</v>
      </c>
      <c r="E1877" s="15" t="s">
        <v>217</v>
      </c>
      <c r="F1877" s="1" t="s">
        <v>93</v>
      </c>
      <c r="G1877" s="16">
        <v>-4593</v>
      </c>
      <c r="H1877" s="93">
        <f>'Emission Rates Net-by-Count'!$D$12</f>
        <v>1014</v>
      </c>
      <c r="I1877" s="16">
        <f t="shared" si="75"/>
        <v>-2328.6509999999998</v>
      </c>
      <c r="M1877" s="19"/>
      <c r="N1877" s="19"/>
      <c r="O1877" s="19"/>
      <c r="P1877" s="19"/>
    </row>
    <row r="1878" spans="1:16" x14ac:dyDescent="0.25">
      <c r="A1878" s="91">
        <v>3038</v>
      </c>
      <c r="B1878" s="15">
        <v>2014</v>
      </c>
      <c r="C1878" s="1" t="s">
        <v>120</v>
      </c>
      <c r="D1878" s="1" t="s">
        <v>216</v>
      </c>
      <c r="E1878" s="15" t="s">
        <v>217</v>
      </c>
      <c r="F1878" s="1" t="s">
        <v>95</v>
      </c>
      <c r="G1878" s="16">
        <v>-20865</v>
      </c>
      <c r="H1878" s="93">
        <f>'Emission Rates Net-by-Count'!$D$12</f>
        <v>1014</v>
      </c>
      <c r="I1878" s="16">
        <f t="shared" ref="I1878:I1888" si="76">(G1878*H1878)/2000</f>
        <v>-10578.555</v>
      </c>
      <c r="M1878" s="19"/>
      <c r="N1878" s="19"/>
      <c r="O1878" s="19"/>
      <c r="P1878" s="19"/>
    </row>
    <row r="1879" spans="1:16" x14ac:dyDescent="0.25">
      <c r="A1879" s="91">
        <v>3039</v>
      </c>
      <c r="B1879" s="15">
        <v>2014</v>
      </c>
      <c r="C1879" s="1" t="s">
        <v>120</v>
      </c>
      <c r="D1879" s="1" t="s">
        <v>216</v>
      </c>
      <c r="E1879" s="15" t="s">
        <v>217</v>
      </c>
      <c r="F1879" s="1" t="s">
        <v>97</v>
      </c>
      <c r="G1879" s="16">
        <v>-210325</v>
      </c>
      <c r="H1879" s="93">
        <f>'Emission Rates Net-by-Count'!$D$12</f>
        <v>1014</v>
      </c>
      <c r="I1879" s="16">
        <f t="shared" si="76"/>
        <v>-106634.77499999999</v>
      </c>
      <c r="M1879" s="19"/>
      <c r="N1879" s="19"/>
      <c r="O1879" s="19"/>
      <c r="P1879" s="19"/>
    </row>
    <row r="1880" spans="1:16" x14ac:dyDescent="0.25">
      <c r="A1880" s="91">
        <v>3041</v>
      </c>
      <c r="B1880" s="15">
        <v>2014</v>
      </c>
      <c r="C1880" s="1" t="s">
        <v>120</v>
      </c>
      <c r="D1880" s="1" t="s">
        <v>216</v>
      </c>
      <c r="E1880" s="15" t="s">
        <v>217</v>
      </c>
      <c r="F1880" s="1" t="s">
        <v>100</v>
      </c>
      <c r="G1880" s="16">
        <v>-12377</v>
      </c>
      <c r="H1880" s="93">
        <f>'Emission Rates Net-by-Count'!$D$12</f>
        <v>1014</v>
      </c>
      <c r="I1880" s="16">
        <f t="shared" si="76"/>
        <v>-6275.1390000000001</v>
      </c>
      <c r="M1880" s="19"/>
      <c r="N1880" s="19"/>
      <c r="O1880" s="19"/>
      <c r="P1880" s="19"/>
    </row>
    <row r="1881" spans="1:16" x14ac:dyDescent="0.25">
      <c r="A1881" s="91">
        <v>3042</v>
      </c>
      <c r="B1881" s="15">
        <v>2014</v>
      </c>
      <c r="C1881" s="1" t="s">
        <v>120</v>
      </c>
      <c r="D1881" s="1" t="s">
        <v>216</v>
      </c>
      <c r="E1881" s="15" t="s">
        <v>217</v>
      </c>
      <c r="F1881" s="1" t="s">
        <v>103</v>
      </c>
      <c r="G1881" s="16">
        <v>-14402</v>
      </c>
      <c r="H1881" s="93">
        <f>'Emission Rates Net-by-Count'!$D$12</f>
        <v>1014</v>
      </c>
      <c r="I1881" s="16">
        <f t="shared" si="76"/>
        <v>-7301.8140000000003</v>
      </c>
      <c r="M1881" s="19"/>
      <c r="N1881" s="19"/>
      <c r="O1881" s="19"/>
      <c r="P1881" s="19"/>
    </row>
    <row r="1882" spans="1:16" x14ac:dyDescent="0.25">
      <c r="A1882" s="91">
        <v>3043</v>
      </c>
      <c r="B1882" s="15">
        <v>2014</v>
      </c>
      <c r="C1882" s="1" t="s">
        <v>120</v>
      </c>
      <c r="D1882" s="1" t="s">
        <v>216</v>
      </c>
      <c r="E1882" s="15" t="s">
        <v>217</v>
      </c>
      <c r="F1882" s="1" t="s">
        <v>152</v>
      </c>
      <c r="G1882" s="16">
        <v>-52930</v>
      </c>
      <c r="H1882" s="93">
        <f>'Emission Rates Net-by-Count'!$D$12</f>
        <v>1014</v>
      </c>
      <c r="I1882" s="16">
        <f t="shared" si="76"/>
        <v>-26835.51</v>
      </c>
      <c r="M1882" s="19"/>
      <c r="N1882" s="19"/>
      <c r="O1882" s="19"/>
      <c r="P1882" s="19"/>
    </row>
    <row r="1883" spans="1:16" x14ac:dyDescent="0.25">
      <c r="A1883" s="91">
        <v>3044</v>
      </c>
      <c r="B1883" s="15">
        <v>2014</v>
      </c>
      <c r="C1883" s="1" t="s">
        <v>120</v>
      </c>
      <c r="D1883" s="1" t="s">
        <v>216</v>
      </c>
      <c r="E1883" s="15" t="s">
        <v>217</v>
      </c>
      <c r="F1883" s="1" t="s">
        <v>186</v>
      </c>
      <c r="G1883" s="16">
        <v>-512</v>
      </c>
      <c r="H1883" s="93">
        <f>'Emission Rates Net-by-Count'!$D$12</f>
        <v>1014</v>
      </c>
      <c r="I1883" s="16">
        <f t="shared" si="76"/>
        <v>-259.584</v>
      </c>
      <c r="M1883" s="19"/>
      <c r="N1883" s="19"/>
      <c r="O1883" s="19"/>
      <c r="P1883" s="19"/>
    </row>
    <row r="1884" spans="1:16" x14ac:dyDescent="0.25">
      <c r="A1884" s="91">
        <v>3045</v>
      </c>
      <c r="B1884" s="15">
        <v>2014</v>
      </c>
      <c r="C1884" s="1" t="s">
        <v>120</v>
      </c>
      <c r="D1884" s="1" t="s">
        <v>216</v>
      </c>
      <c r="E1884" s="15" t="s">
        <v>217</v>
      </c>
      <c r="F1884" s="1" t="s">
        <v>153</v>
      </c>
      <c r="G1884" s="16">
        <v>-36276</v>
      </c>
      <c r="H1884" s="93">
        <f>'Emission Rates Net-by-Count'!$D$12</f>
        <v>1014</v>
      </c>
      <c r="I1884" s="16">
        <f t="shared" si="76"/>
        <v>-18391.932000000001</v>
      </c>
      <c r="M1884" s="19"/>
      <c r="N1884" s="19"/>
      <c r="O1884" s="19"/>
      <c r="P1884" s="19"/>
    </row>
    <row r="1885" spans="1:16" x14ac:dyDescent="0.25">
      <c r="A1885" s="91">
        <v>3046</v>
      </c>
      <c r="B1885" s="15">
        <v>2014</v>
      </c>
      <c r="C1885" s="1" t="s">
        <v>120</v>
      </c>
      <c r="D1885" s="1" t="s">
        <v>216</v>
      </c>
      <c r="E1885" s="15" t="s">
        <v>217</v>
      </c>
      <c r="F1885" s="1" t="s">
        <v>104</v>
      </c>
      <c r="G1885" s="16">
        <v>-302261</v>
      </c>
      <c r="H1885" s="93">
        <f>'Emission Rates Net-by-Count'!$D$12</f>
        <v>1014</v>
      </c>
      <c r="I1885" s="16">
        <f t="shared" si="76"/>
        <v>-153246.32699999999</v>
      </c>
      <c r="M1885" s="19"/>
      <c r="N1885" s="19"/>
      <c r="O1885" s="19"/>
      <c r="P1885" s="19"/>
    </row>
    <row r="1886" spans="1:16" x14ac:dyDescent="0.25">
      <c r="A1886" s="91">
        <v>3047</v>
      </c>
      <c r="B1886" s="15">
        <v>2014</v>
      </c>
      <c r="C1886" s="1" t="s">
        <v>120</v>
      </c>
      <c r="D1886" s="1" t="s">
        <v>216</v>
      </c>
      <c r="E1886" s="15" t="s">
        <v>217</v>
      </c>
      <c r="F1886" s="1" t="s">
        <v>167</v>
      </c>
      <c r="G1886" s="16">
        <v>-20682</v>
      </c>
      <c r="H1886" s="93">
        <f>'Emission Rates Net-by-Count'!$D$12</f>
        <v>1014</v>
      </c>
      <c r="I1886" s="16">
        <f t="shared" si="76"/>
        <v>-10485.773999999999</v>
      </c>
      <c r="M1886" s="19"/>
      <c r="N1886" s="19"/>
      <c r="O1886" s="19"/>
      <c r="P1886" s="19"/>
    </row>
    <row r="1887" spans="1:16" x14ac:dyDescent="0.25">
      <c r="A1887" s="91">
        <v>3048</v>
      </c>
      <c r="B1887" s="15">
        <v>2014</v>
      </c>
      <c r="C1887" s="1" t="s">
        <v>120</v>
      </c>
      <c r="D1887" s="1" t="s">
        <v>216</v>
      </c>
      <c r="E1887" s="15" t="s">
        <v>217</v>
      </c>
      <c r="F1887" s="1" t="s">
        <v>106</v>
      </c>
      <c r="G1887" s="16">
        <v>-311</v>
      </c>
      <c r="H1887" s="93">
        <f>'Emission Rates Net-by-Count'!$D$12</f>
        <v>1014</v>
      </c>
      <c r="I1887" s="16">
        <f t="shared" si="76"/>
        <v>-157.67699999999999</v>
      </c>
      <c r="M1887" s="19"/>
      <c r="N1887" s="19"/>
      <c r="O1887" s="19"/>
      <c r="P1887" s="19"/>
    </row>
    <row r="1888" spans="1:16" x14ac:dyDescent="0.25">
      <c r="A1888" s="91">
        <v>3049</v>
      </c>
      <c r="B1888" s="15">
        <v>2014</v>
      </c>
      <c r="C1888" s="1" t="s">
        <v>120</v>
      </c>
      <c r="D1888" s="1" t="s">
        <v>216</v>
      </c>
      <c r="E1888" s="15" t="s">
        <v>217</v>
      </c>
      <c r="F1888" s="1" t="s">
        <v>203</v>
      </c>
      <c r="G1888" s="16">
        <v>-221200</v>
      </c>
      <c r="H1888" s="93">
        <f>'Emission Rates Net-by-Count'!$D$12</f>
        <v>1014</v>
      </c>
      <c r="I1888" s="16">
        <f t="shared" si="76"/>
        <v>-112148.4</v>
      </c>
      <c r="M1888" s="19"/>
      <c r="N1888" s="19"/>
      <c r="O1888" s="19"/>
      <c r="P1888" s="19"/>
    </row>
    <row r="1889" spans="1:17" x14ac:dyDescent="0.25">
      <c r="A1889" s="91">
        <v>3062</v>
      </c>
      <c r="B1889" s="15">
        <v>2015</v>
      </c>
      <c r="C1889" s="1" t="s">
        <v>0</v>
      </c>
      <c r="D1889" s="1" t="s">
        <v>215</v>
      </c>
      <c r="E1889" s="15" t="s">
        <v>125</v>
      </c>
      <c r="F1889" s="15" t="s">
        <v>2</v>
      </c>
      <c r="G1889" s="16">
        <v>308611.20000000001</v>
      </c>
      <c r="H1889" s="92">
        <v>0</v>
      </c>
      <c r="I1889" s="92">
        <f>(H1889*G1889)/2000</f>
        <v>0</v>
      </c>
      <c r="J1889" s="92"/>
      <c r="K1889" s="17" t="s">
        <v>223</v>
      </c>
      <c r="M1889" s="19"/>
      <c r="N1889" s="19"/>
      <c r="O1889" s="19"/>
      <c r="P1889" s="19"/>
    </row>
    <row r="1890" spans="1:17" x14ac:dyDescent="0.25">
      <c r="A1890" s="91">
        <v>3063</v>
      </c>
      <c r="B1890" s="15">
        <v>2015</v>
      </c>
      <c r="C1890" s="1" t="s">
        <v>0</v>
      </c>
      <c r="D1890" s="15" t="s">
        <v>215</v>
      </c>
      <c r="E1890" s="15" t="s">
        <v>125</v>
      </c>
      <c r="F1890" s="15" t="s">
        <v>4</v>
      </c>
      <c r="G1890" s="16">
        <v>17890.858</v>
      </c>
      <c r="H1890" s="92">
        <v>0</v>
      </c>
      <c r="I1890" s="92">
        <f>(H1890*G1890)/2000</f>
        <v>0</v>
      </c>
      <c r="J1890" s="92"/>
      <c r="K1890" s="17" t="s">
        <v>223</v>
      </c>
      <c r="M1890" s="19"/>
      <c r="N1890" s="19"/>
      <c r="O1890" s="19"/>
      <c r="P1890" s="19"/>
    </row>
    <row r="1891" spans="1:17" x14ac:dyDescent="0.25">
      <c r="A1891" s="91">
        <v>3064</v>
      </c>
      <c r="B1891" s="15">
        <v>2015</v>
      </c>
      <c r="C1891" s="1" t="s">
        <v>0</v>
      </c>
      <c r="D1891" s="15" t="s">
        <v>215</v>
      </c>
      <c r="E1891" s="15" t="s">
        <v>125</v>
      </c>
      <c r="F1891" s="15" t="s">
        <v>5</v>
      </c>
      <c r="G1891" s="16">
        <v>100979.7</v>
      </c>
      <c r="H1891" s="92">
        <v>0</v>
      </c>
      <c r="I1891" s="92">
        <f>(H1891*G1891)/2000</f>
        <v>0</v>
      </c>
      <c r="J1891" s="92"/>
      <c r="K1891" s="17" t="s">
        <v>223</v>
      </c>
      <c r="M1891" s="19"/>
      <c r="N1891" s="19"/>
      <c r="O1891" s="19"/>
      <c r="P1891" s="19"/>
    </row>
    <row r="1892" spans="1:17" x14ac:dyDescent="0.25">
      <c r="A1892" s="91">
        <v>3065</v>
      </c>
      <c r="B1892" s="15">
        <v>2015</v>
      </c>
      <c r="C1892" s="1" t="s">
        <v>0</v>
      </c>
      <c r="D1892" s="15" t="s">
        <v>215</v>
      </c>
      <c r="E1892" s="15" t="s">
        <v>125</v>
      </c>
      <c r="F1892" s="15" t="s">
        <v>6</v>
      </c>
      <c r="G1892" s="16">
        <v>278749.55</v>
      </c>
      <c r="H1892" s="92">
        <v>0</v>
      </c>
      <c r="I1892" s="92">
        <f>(H1892*G1892)/2000</f>
        <v>0</v>
      </c>
      <c r="J1892" s="92"/>
      <c r="K1892" s="17" t="s">
        <v>223</v>
      </c>
      <c r="M1892" s="19"/>
      <c r="N1892" s="19"/>
      <c r="O1892" s="19"/>
      <c r="P1892" s="19"/>
    </row>
    <row r="1893" spans="1:17" x14ac:dyDescent="0.25">
      <c r="A1893" s="91">
        <v>3066</v>
      </c>
      <c r="B1893" s="15">
        <v>2015</v>
      </c>
      <c r="C1893" s="1" t="s">
        <v>7</v>
      </c>
      <c r="D1893" s="1" t="s">
        <v>215</v>
      </c>
      <c r="E1893" s="15" t="s">
        <v>122</v>
      </c>
      <c r="F1893" s="15" t="s">
        <v>8</v>
      </c>
      <c r="G1893" s="16">
        <v>1756858</v>
      </c>
      <c r="H1893" s="92">
        <f t="shared" ref="H1893:H1902" si="77">(I1893*2000)/G1893</f>
        <v>2594.5160621974005</v>
      </c>
      <c r="I1893" s="92">
        <v>2279098.1500000004</v>
      </c>
      <c r="J1893" s="92"/>
      <c r="M1893" s="19"/>
      <c r="N1893" s="19"/>
      <c r="O1893" s="19"/>
      <c r="P1893" s="19"/>
      <c r="Q1893" s="15" t="s">
        <v>260</v>
      </c>
    </row>
    <row r="1894" spans="1:17" x14ac:dyDescent="0.25">
      <c r="A1894" s="91">
        <v>3067</v>
      </c>
      <c r="B1894" s="15">
        <v>2015</v>
      </c>
      <c r="C1894" s="1" t="s">
        <v>7</v>
      </c>
      <c r="D1894" s="1" t="s">
        <v>215</v>
      </c>
      <c r="E1894" s="15" t="s">
        <v>122</v>
      </c>
      <c r="F1894" s="15" t="s">
        <v>9</v>
      </c>
      <c r="G1894" s="16">
        <v>2738174</v>
      </c>
      <c r="H1894" s="92">
        <f t="shared" si="77"/>
        <v>2358.8187967601766</v>
      </c>
      <c r="I1894" s="92">
        <v>3229428.15</v>
      </c>
      <c r="J1894" s="92"/>
      <c r="M1894" s="19"/>
      <c r="N1894" s="19"/>
      <c r="O1894" s="19"/>
      <c r="P1894" s="19"/>
      <c r="Q1894" s="15" t="s">
        <v>260</v>
      </c>
    </row>
    <row r="1895" spans="1:17" x14ac:dyDescent="0.25">
      <c r="A1895" s="91">
        <v>3068</v>
      </c>
      <c r="B1895" s="15">
        <v>2015</v>
      </c>
      <c r="C1895" s="1" t="s">
        <v>11</v>
      </c>
      <c r="D1895" s="1" t="s">
        <v>215</v>
      </c>
      <c r="E1895" s="15" t="s">
        <v>124</v>
      </c>
      <c r="F1895" s="15" t="s">
        <v>12</v>
      </c>
      <c r="G1895" s="16">
        <v>293.68</v>
      </c>
      <c r="H1895" s="16">
        <f t="shared" si="77"/>
        <v>1822.9137276553097</v>
      </c>
      <c r="I1895" s="16">
        <v>267.67665176890569</v>
      </c>
      <c r="K1895" s="17" t="s">
        <v>307</v>
      </c>
      <c r="M1895" s="19"/>
      <c r="N1895" s="19"/>
      <c r="O1895" s="19"/>
      <c r="P1895" s="19"/>
      <c r="Q1895" s="15" t="s">
        <v>261</v>
      </c>
    </row>
    <row r="1896" spans="1:17" x14ac:dyDescent="0.25">
      <c r="A1896" s="91">
        <v>3069</v>
      </c>
      <c r="B1896" s="15">
        <v>2015</v>
      </c>
      <c r="C1896" s="1" t="s">
        <v>11</v>
      </c>
      <c r="D1896" s="1" t="s">
        <v>215</v>
      </c>
      <c r="E1896" s="15" t="s">
        <v>123</v>
      </c>
      <c r="F1896" s="15" t="s">
        <v>10</v>
      </c>
      <c r="G1896" s="16">
        <v>297657.59999999998</v>
      </c>
      <c r="H1896" s="16">
        <f t="shared" si="77"/>
        <v>1058.9334859919586</v>
      </c>
      <c r="I1896" s="16">
        <v>157599.79999999999</v>
      </c>
      <c r="K1896" s="17" t="s">
        <v>123</v>
      </c>
      <c r="M1896" s="19"/>
      <c r="N1896" s="19"/>
      <c r="O1896" s="19"/>
      <c r="P1896" s="19"/>
      <c r="Q1896" s="15" t="s">
        <v>261</v>
      </c>
    </row>
    <row r="1897" spans="1:17" x14ac:dyDescent="0.25">
      <c r="A1897" s="91">
        <v>3070</v>
      </c>
      <c r="B1897" s="15">
        <v>2015</v>
      </c>
      <c r="C1897" s="1" t="s">
        <v>11</v>
      </c>
      <c r="D1897" s="1" t="s">
        <v>215</v>
      </c>
      <c r="E1897" s="15" t="s">
        <v>123</v>
      </c>
      <c r="F1897" s="15" t="s">
        <v>188</v>
      </c>
      <c r="G1897" s="16">
        <v>868466.83199999994</v>
      </c>
      <c r="H1897" s="16">
        <f t="shared" si="77"/>
        <v>1028.8920279686629</v>
      </c>
      <c r="I1897" s="16">
        <v>446779.3</v>
      </c>
      <c r="K1897" s="17" t="s">
        <v>123</v>
      </c>
      <c r="M1897" s="19"/>
      <c r="N1897" s="19"/>
      <c r="O1897" s="19"/>
      <c r="P1897" s="19"/>
      <c r="Q1897" s="15" t="s">
        <v>261</v>
      </c>
    </row>
    <row r="1898" spans="1:17" x14ac:dyDescent="0.25">
      <c r="A1898" s="91">
        <v>3071</v>
      </c>
      <c r="B1898" s="15">
        <v>2015</v>
      </c>
      <c r="C1898" s="1" t="s">
        <v>11</v>
      </c>
      <c r="D1898" s="1" t="s">
        <v>215</v>
      </c>
      <c r="E1898" s="15" t="s">
        <v>123</v>
      </c>
      <c r="F1898" s="15" t="s">
        <v>13</v>
      </c>
      <c r="G1898" s="16">
        <v>623181.11300000001</v>
      </c>
      <c r="H1898" s="92">
        <f t="shared" si="77"/>
        <v>875.14295254323611</v>
      </c>
      <c r="I1898" s="92">
        <v>272686.27960000001</v>
      </c>
      <c r="J1898" s="92"/>
      <c r="K1898" s="111" t="s">
        <v>123</v>
      </c>
      <c r="M1898" s="19"/>
      <c r="N1898" s="19"/>
      <c r="O1898" s="19"/>
      <c r="P1898" s="19"/>
      <c r="Q1898" s="15" t="s">
        <v>261</v>
      </c>
    </row>
    <row r="1899" spans="1:17" x14ac:dyDescent="0.25">
      <c r="A1899" s="91">
        <v>3072</v>
      </c>
      <c r="B1899" s="15">
        <v>2015</v>
      </c>
      <c r="C1899" s="1" t="s">
        <v>11</v>
      </c>
      <c r="D1899" s="1" t="s">
        <v>215</v>
      </c>
      <c r="E1899" s="15" t="s">
        <v>123</v>
      </c>
      <c r="F1899" s="15" t="s">
        <v>14</v>
      </c>
      <c r="G1899" s="16">
        <v>113691.1</v>
      </c>
      <c r="H1899" s="16">
        <f t="shared" si="77"/>
        <v>1576.637719260428</v>
      </c>
      <c r="I1899" s="16">
        <v>89624.838302104617</v>
      </c>
      <c r="J1899" s="92"/>
      <c r="K1899" s="17" t="s">
        <v>123</v>
      </c>
      <c r="M1899" s="19"/>
      <c r="N1899" s="19"/>
      <c r="O1899" s="19"/>
      <c r="P1899" s="19"/>
      <c r="Q1899" s="15" t="s">
        <v>261</v>
      </c>
    </row>
    <row r="1900" spans="1:17" x14ac:dyDescent="0.25">
      <c r="A1900" s="91">
        <v>3073</v>
      </c>
      <c r="B1900" s="15">
        <v>2015</v>
      </c>
      <c r="C1900" s="1" t="s">
        <v>11</v>
      </c>
      <c r="D1900" s="1" t="s">
        <v>215</v>
      </c>
      <c r="E1900" s="15" t="s">
        <v>123</v>
      </c>
      <c r="F1900" s="15" t="s">
        <v>15</v>
      </c>
      <c r="G1900" s="16">
        <v>47603.8</v>
      </c>
      <c r="H1900" s="16">
        <f t="shared" si="77"/>
        <v>1200.1394846629889</v>
      </c>
      <c r="I1900" s="16">
        <v>28565.599999999995</v>
      </c>
      <c r="K1900" s="17" t="s">
        <v>123</v>
      </c>
      <c r="M1900" s="19"/>
      <c r="N1900" s="19"/>
      <c r="O1900" s="19"/>
      <c r="P1900" s="19"/>
      <c r="Q1900" s="15" t="s">
        <v>261</v>
      </c>
    </row>
    <row r="1901" spans="1:17" x14ac:dyDescent="0.25">
      <c r="A1901" s="91">
        <v>3074</v>
      </c>
      <c r="B1901" s="15">
        <v>2015</v>
      </c>
      <c r="C1901" s="1" t="s">
        <v>11</v>
      </c>
      <c r="D1901" s="1" t="s">
        <v>215</v>
      </c>
      <c r="E1901" s="15" t="s">
        <v>123</v>
      </c>
      <c r="F1901" s="15" t="s">
        <v>16</v>
      </c>
      <c r="G1901" s="16">
        <v>39935.4</v>
      </c>
      <c r="H1901" s="16">
        <f t="shared" si="77"/>
        <v>2385.4498602543363</v>
      </c>
      <c r="I1901" s="16">
        <v>47631.947174600515</v>
      </c>
      <c r="J1901" s="92"/>
      <c r="K1901" s="17" t="s">
        <v>123</v>
      </c>
      <c r="M1901" s="19"/>
      <c r="N1901" s="19"/>
      <c r="O1901" s="19"/>
      <c r="P1901" s="19"/>
      <c r="Q1901" s="15" t="s">
        <v>261</v>
      </c>
    </row>
    <row r="1902" spans="1:17" x14ac:dyDescent="0.25">
      <c r="A1902" s="91">
        <v>3075</v>
      </c>
      <c r="B1902" s="15">
        <v>2015</v>
      </c>
      <c r="C1902" s="1" t="s">
        <v>11</v>
      </c>
      <c r="D1902" s="1" t="s">
        <v>215</v>
      </c>
      <c r="E1902" s="15" t="s">
        <v>123</v>
      </c>
      <c r="F1902" s="15" t="s">
        <v>144</v>
      </c>
      <c r="G1902" s="16">
        <v>1498666</v>
      </c>
      <c r="H1902" s="16">
        <f t="shared" si="77"/>
        <v>810.75730015894135</v>
      </c>
      <c r="I1902" s="94">
        <v>607527.19999999995</v>
      </c>
      <c r="K1902" s="17" t="s">
        <v>123</v>
      </c>
      <c r="M1902" s="19"/>
      <c r="N1902" s="19"/>
      <c r="O1902" s="19"/>
      <c r="P1902" s="19"/>
      <c r="Q1902" s="15" t="s">
        <v>261</v>
      </c>
    </row>
    <row r="1903" spans="1:17" x14ac:dyDescent="0.25">
      <c r="A1903" s="91">
        <v>3076</v>
      </c>
      <c r="B1903" s="15">
        <v>2015</v>
      </c>
      <c r="C1903" s="1" t="s">
        <v>11</v>
      </c>
      <c r="D1903" s="1" t="s">
        <v>215</v>
      </c>
      <c r="E1903" s="15" t="s">
        <v>125</v>
      </c>
      <c r="F1903" s="15" t="s">
        <v>17</v>
      </c>
      <c r="G1903" s="16">
        <v>364779.478</v>
      </c>
      <c r="H1903" s="92">
        <v>0</v>
      </c>
      <c r="I1903" s="92">
        <f>(H1903*G1903)/2000</f>
        <v>0</v>
      </c>
      <c r="J1903" s="92"/>
      <c r="K1903" s="17" t="s">
        <v>229</v>
      </c>
      <c r="M1903" s="19"/>
      <c r="N1903" s="19"/>
      <c r="O1903" s="19"/>
      <c r="P1903" s="19"/>
    </row>
    <row r="1904" spans="1:17" x14ac:dyDescent="0.25">
      <c r="A1904" s="91">
        <v>3077</v>
      </c>
      <c r="B1904" s="15">
        <v>2015</v>
      </c>
      <c r="C1904" s="1" t="s">
        <v>11</v>
      </c>
      <c r="D1904" s="1" t="s">
        <v>215</v>
      </c>
      <c r="E1904" s="15" t="s">
        <v>125</v>
      </c>
      <c r="F1904" s="15" t="s">
        <v>189</v>
      </c>
      <c r="G1904" s="16">
        <v>741767.96</v>
      </c>
      <c r="H1904" s="92">
        <v>0</v>
      </c>
      <c r="I1904" s="92">
        <f>(H1904*G1904)/2000</f>
        <v>0</v>
      </c>
      <c r="J1904" s="92"/>
      <c r="K1904" s="17" t="s">
        <v>229</v>
      </c>
      <c r="M1904" s="19"/>
      <c r="N1904" s="19"/>
      <c r="O1904" s="19"/>
      <c r="P1904" s="19"/>
    </row>
    <row r="1905" spans="1:17" x14ac:dyDescent="0.25">
      <c r="A1905" s="91">
        <v>3078</v>
      </c>
      <c r="B1905" s="15">
        <v>2015</v>
      </c>
      <c r="C1905" s="1" t="s">
        <v>11</v>
      </c>
      <c r="D1905" s="1" t="s">
        <v>215</v>
      </c>
      <c r="E1905" s="15" t="s">
        <v>123</v>
      </c>
      <c r="F1905" s="15" t="s">
        <v>156</v>
      </c>
      <c r="G1905" s="16">
        <v>1701035.9</v>
      </c>
      <c r="H1905" s="16">
        <f>(I1905*2000)/G1905</f>
        <v>887.90330644991093</v>
      </c>
      <c r="I1905" s="16">
        <v>755177.7</v>
      </c>
      <c r="K1905" s="17" t="s">
        <v>123</v>
      </c>
      <c r="M1905" s="19"/>
      <c r="N1905" s="19"/>
      <c r="O1905" s="19"/>
      <c r="P1905" s="19"/>
      <c r="Q1905" s="15" t="s">
        <v>261</v>
      </c>
    </row>
    <row r="1906" spans="1:17" x14ac:dyDescent="0.25">
      <c r="A1906" s="91">
        <v>3079</v>
      </c>
      <c r="B1906" s="15">
        <v>2015</v>
      </c>
      <c r="C1906" s="1" t="s">
        <v>11</v>
      </c>
      <c r="D1906" s="15" t="s">
        <v>215</v>
      </c>
      <c r="E1906" s="15" t="s">
        <v>123</v>
      </c>
      <c r="F1906" s="15" t="s">
        <v>155</v>
      </c>
      <c r="G1906" s="16">
        <v>601052.9</v>
      </c>
      <c r="H1906" s="16">
        <f>(I1906*2000)/G1906</f>
        <v>1035.8728824035288</v>
      </c>
      <c r="I1906" s="16">
        <v>311307.2</v>
      </c>
      <c r="K1906" s="17" t="s">
        <v>123</v>
      </c>
      <c r="M1906" s="19"/>
      <c r="N1906" s="19"/>
      <c r="O1906" s="19"/>
      <c r="P1906" s="19"/>
      <c r="Q1906" s="15" t="s">
        <v>261</v>
      </c>
    </row>
    <row r="1907" spans="1:17" x14ac:dyDescent="0.25">
      <c r="A1907" s="91">
        <v>3080</v>
      </c>
      <c r="B1907" s="15">
        <v>2015</v>
      </c>
      <c r="C1907" s="1" t="s">
        <v>11</v>
      </c>
      <c r="D1907" s="1" t="s">
        <v>215</v>
      </c>
      <c r="E1907" s="15" t="s">
        <v>123</v>
      </c>
      <c r="F1907" s="15" t="s">
        <v>18</v>
      </c>
      <c r="G1907" s="16">
        <v>38733.300000000003</v>
      </c>
      <c r="H1907" s="16">
        <f>(I1907*2000)/G1907</f>
        <v>1952.6062775910088</v>
      </c>
      <c r="I1907" s="16">
        <v>37815.442365907918</v>
      </c>
      <c r="J1907" s="92"/>
      <c r="K1907" s="17" t="s">
        <v>123</v>
      </c>
      <c r="M1907" s="19"/>
      <c r="N1907" s="19"/>
      <c r="O1907" s="19"/>
      <c r="P1907" s="19"/>
      <c r="Q1907" s="15" t="s">
        <v>261</v>
      </c>
    </row>
    <row r="1908" spans="1:17" x14ac:dyDescent="0.25">
      <c r="A1908" s="91">
        <v>3081</v>
      </c>
      <c r="B1908" s="15">
        <v>2015</v>
      </c>
      <c r="C1908" s="1" t="s">
        <v>11</v>
      </c>
      <c r="D1908" s="1" t="s">
        <v>215</v>
      </c>
      <c r="E1908" s="15" t="s">
        <v>125</v>
      </c>
      <c r="F1908" s="15" t="s">
        <v>126</v>
      </c>
      <c r="G1908" s="16">
        <v>608885.75</v>
      </c>
      <c r="H1908" s="92">
        <v>0</v>
      </c>
      <c r="I1908" s="92">
        <f>(H1908*G1908)/2000</f>
        <v>0</v>
      </c>
      <c r="J1908" s="92"/>
      <c r="K1908" s="17" t="s">
        <v>229</v>
      </c>
      <c r="M1908" s="19"/>
      <c r="N1908" s="19"/>
      <c r="O1908" s="19"/>
      <c r="P1908" s="19"/>
    </row>
    <row r="1909" spans="1:17" x14ac:dyDescent="0.25">
      <c r="A1909" s="91">
        <v>3082</v>
      </c>
      <c r="B1909" s="15">
        <v>2015</v>
      </c>
      <c r="C1909" s="1" t="s">
        <v>19</v>
      </c>
      <c r="D1909" s="1" t="s">
        <v>219</v>
      </c>
      <c r="E1909" s="15" t="s">
        <v>125</v>
      </c>
      <c r="F1909" s="15" t="s">
        <v>175</v>
      </c>
      <c r="G1909" s="16">
        <v>138.036</v>
      </c>
      <c r="H1909" s="92">
        <v>0</v>
      </c>
      <c r="I1909" s="92">
        <f>(H1909*G1909)/2000</f>
        <v>0</v>
      </c>
      <c r="J1909" s="92"/>
      <c r="K1909" s="17" t="s">
        <v>229</v>
      </c>
      <c r="M1909" s="19"/>
      <c r="N1909" s="19"/>
      <c r="O1909" s="19"/>
      <c r="P1909" s="19"/>
    </row>
    <row r="1910" spans="1:17" x14ac:dyDescent="0.25">
      <c r="A1910" s="91">
        <v>3083</v>
      </c>
      <c r="B1910" s="15">
        <v>2015</v>
      </c>
      <c r="C1910" s="1" t="s">
        <v>19</v>
      </c>
      <c r="D1910" s="1" t="s">
        <v>219</v>
      </c>
      <c r="E1910" s="15" t="s">
        <v>217</v>
      </c>
      <c r="F1910" s="15" t="s">
        <v>127</v>
      </c>
      <c r="G1910" s="16">
        <v>106200</v>
      </c>
      <c r="H1910" s="93">
        <f>'Emission Rates Net-by-Count'!$D$13</f>
        <v>1074</v>
      </c>
      <c r="I1910" s="16">
        <f>(G1910*H1910)/2000</f>
        <v>57029.4</v>
      </c>
      <c r="J1910" s="92"/>
      <c r="K1910" s="17" t="s">
        <v>249</v>
      </c>
      <c r="M1910" s="19"/>
      <c r="N1910" s="19"/>
      <c r="O1910" s="19"/>
      <c r="P1910" s="19"/>
    </row>
    <row r="1911" spans="1:17" x14ac:dyDescent="0.25">
      <c r="A1911" s="91">
        <v>3084</v>
      </c>
      <c r="B1911" s="15">
        <v>2015</v>
      </c>
      <c r="C1911" s="1" t="s">
        <v>19</v>
      </c>
      <c r="D1911" s="1" t="s">
        <v>219</v>
      </c>
      <c r="E1911" s="15" t="s">
        <v>217</v>
      </c>
      <c r="F1911" s="15" t="s">
        <v>20</v>
      </c>
      <c r="G1911" s="16">
        <v>19583.703000000001</v>
      </c>
      <c r="H1911" s="93">
        <f>'Emission Rates Net-by-Count'!$D$13</f>
        <v>1074</v>
      </c>
      <c r="I1911" s="16">
        <f>(G1911*H1911)/2000</f>
        <v>10516.448511000001</v>
      </c>
      <c r="M1911" s="19"/>
      <c r="N1911" s="19"/>
      <c r="O1911" s="19"/>
      <c r="P1911" s="19"/>
    </row>
    <row r="1912" spans="1:17" x14ac:dyDescent="0.25">
      <c r="A1912" s="91">
        <v>3085</v>
      </c>
      <c r="B1912" s="15">
        <v>2015</v>
      </c>
      <c r="C1912" s="1" t="s">
        <v>19</v>
      </c>
      <c r="D1912" s="1" t="s">
        <v>219</v>
      </c>
      <c r="E1912" s="15" t="s">
        <v>125</v>
      </c>
      <c r="F1912" s="15" t="s">
        <v>195</v>
      </c>
      <c r="G1912" s="16">
        <v>1.859</v>
      </c>
      <c r="H1912" s="92">
        <v>0</v>
      </c>
      <c r="I1912" s="92">
        <f>(H1912*G1912)/2000</f>
        <v>0</v>
      </c>
      <c r="J1912" s="92"/>
      <c r="K1912" s="17" t="s">
        <v>226</v>
      </c>
      <c r="M1912" s="19"/>
      <c r="N1912" s="19"/>
      <c r="O1912" s="19"/>
      <c r="P1912" s="19"/>
    </row>
    <row r="1913" spans="1:17" x14ac:dyDescent="0.25">
      <c r="A1913" s="91">
        <v>3086</v>
      </c>
      <c r="B1913" s="15">
        <v>2015</v>
      </c>
      <c r="C1913" s="1" t="s">
        <v>19</v>
      </c>
      <c r="D1913" s="1" t="s">
        <v>219</v>
      </c>
      <c r="E1913" s="15" t="s">
        <v>125</v>
      </c>
      <c r="F1913" s="15" t="s">
        <v>176</v>
      </c>
      <c r="G1913" s="16">
        <v>6365.9970000000003</v>
      </c>
      <c r="H1913" s="92">
        <v>0</v>
      </c>
      <c r="I1913" s="92">
        <f>(H1913*G1913)/2000</f>
        <v>0</v>
      </c>
      <c r="J1913" s="92"/>
      <c r="K1913" s="17" t="s">
        <v>223</v>
      </c>
      <c r="M1913" s="19"/>
      <c r="N1913" s="19"/>
      <c r="O1913" s="19"/>
      <c r="P1913" s="19"/>
    </row>
    <row r="1914" spans="1:17" x14ac:dyDescent="0.25">
      <c r="A1914" s="91">
        <v>3087</v>
      </c>
      <c r="B1914" s="15">
        <v>2015</v>
      </c>
      <c r="C1914" s="1" t="s">
        <v>19</v>
      </c>
      <c r="D1914" s="1" t="s">
        <v>219</v>
      </c>
      <c r="E1914" s="15" t="s">
        <v>230</v>
      </c>
      <c r="F1914" s="15" t="s">
        <v>51</v>
      </c>
      <c r="G1914" s="16">
        <v>-2253</v>
      </c>
      <c r="H1914" s="92">
        <v>0</v>
      </c>
      <c r="I1914" s="92">
        <f>(H1914*G1914)/2000</f>
        <v>0</v>
      </c>
      <c r="J1914" s="92"/>
      <c r="K1914" s="17" t="s">
        <v>231</v>
      </c>
      <c r="M1914" s="19"/>
      <c r="N1914" s="19"/>
      <c r="O1914" s="19"/>
      <c r="P1914" s="19"/>
    </row>
    <row r="1915" spans="1:17" x14ac:dyDescent="0.25">
      <c r="A1915" s="91">
        <v>3088</v>
      </c>
      <c r="B1915" s="15">
        <v>2015</v>
      </c>
      <c r="C1915" s="1" t="s">
        <v>19</v>
      </c>
      <c r="D1915" s="1" t="s">
        <v>219</v>
      </c>
      <c r="E1915" s="15" t="s">
        <v>125</v>
      </c>
      <c r="F1915" s="15" t="s">
        <v>21</v>
      </c>
      <c r="G1915" s="16">
        <v>7000</v>
      </c>
      <c r="H1915" s="92">
        <v>0</v>
      </c>
      <c r="I1915" s="92">
        <f>(H1915*G1915)/2000</f>
        <v>0</v>
      </c>
      <c r="J1915" s="92"/>
      <c r="K1915" s="17" t="s">
        <v>221</v>
      </c>
      <c r="M1915" s="19"/>
      <c r="N1915" s="19"/>
      <c r="O1915" s="19"/>
      <c r="P1915" s="19"/>
    </row>
    <row r="1916" spans="1:17" x14ac:dyDescent="0.25">
      <c r="A1916" s="91">
        <v>3089</v>
      </c>
      <c r="B1916" s="15">
        <v>2015</v>
      </c>
      <c r="C1916" s="1" t="s">
        <v>19</v>
      </c>
      <c r="D1916" s="1" t="s">
        <v>219</v>
      </c>
      <c r="E1916" s="15" t="s">
        <v>217</v>
      </c>
      <c r="F1916" s="15" t="s">
        <v>22</v>
      </c>
      <c r="G1916" s="16">
        <v>343584</v>
      </c>
      <c r="H1916" s="93">
        <f>'Emission Rates Net-by-Count'!$D$13</f>
        <v>1074</v>
      </c>
      <c r="I1916" s="16">
        <f>(G1916*H1916)/2000</f>
        <v>184504.60800000001</v>
      </c>
      <c r="J1916" s="92"/>
      <c r="K1916" s="17" t="s">
        <v>236</v>
      </c>
      <c r="M1916" s="19"/>
      <c r="N1916" s="19"/>
      <c r="O1916" s="19"/>
      <c r="P1916" s="19"/>
    </row>
    <row r="1917" spans="1:17" x14ac:dyDescent="0.25">
      <c r="A1917" s="91">
        <v>3090</v>
      </c>
      <c r="B1917" s="15">
        <v>2015</v>
      </c>
      <c r="C1917" s="1" t="s">
        <v>19</v>
      </c>
      <c r="D1917" s="1" t="s">
        <v>219</v>
      </c>
      <c r="E1917" s="15" t="s">
        <v>125</v>
      </c>
      <c r="F1917" s="15" t="s">
        <v>190</v>
      </c>
      <c r="G1917" s="16">
        <v>22.84</v>
      </c>
      <c r="H1917" s="92">
        <v>0</v>
      </c>
      <c r="I1917" s="92">
        <f>(H1917*G1917)/2000</f>
        <v>0</v>
      </c>
      <c r="J1917" s="92"/>
      <c r="K1917" s="17" t="s">
        <v>221</v>
      </c>
      <c r="M1917" s="19"/>
      <c r="N1917" s="19"/>
      <c r="O1917" s="19"/>
      <c r="P1917" s="19"/>
    </row>
    <row r="1918" spans="1:17" x14ac:dyDescent="0.25">
      <c r="A1918" s="91">
        <v>3091</v>
      </c>
      <c r="B1918" s="15">
        <v>2015</v>
      </c>
      <c r="C1918" s="1" t="s">
        <v>19</v>
      </c>
      <c r="D1918" s="1" t="s">
        <v>219</v>
      </c>
      <c r="E1918" s="15" t="s">
        <v>125</v>
      </c>
      <c r="F1918" s="15" t="s">
        <v>177</v>
      </c>
      <c r="G1918" s="16">
        <v>2299343</v>
      </c>
      <c r="H1918" s="92">
        <v>0</v>
      </c>
      <c r="I1918" s="92">
        <f>(H1918*G1918)/2000</f>
        <v>0</v>
      </c>
      <c r="J1918" s="92"/>
      <c r="K1918" s="17" t="s">
        <v>223</v>
      </c>
      <c r="M1918" s="19"/>
      <c r="N1918" s="19"/>
      <c r="O1918" s="19"/>
      <c r="P1918" s="19"/>
    </row>
    <row r="1919" spans="1:17" x14ac:dyDescent="0.25">
      <c r="A1919" s="91">
        <v>3092</v>
      </c>
      <c r="B1919" s="15">
        <v>2015</v>
      </c>
      <c r="C1919" s="1" t="s">
        <v>19</v>
      </c>
      <c r="D1919" s="1" t="s">
        <v>219</v>
      </c>
      <c r="E1919" s="15" t="s">
        <v>125</v>
      </c>
      <c r="F1919" s="15" t="s">
        <v>23</v>
      </c>
      <c r="G1919" s="16">
        <v>-39940</v>
      </c>
      <c r="H1919" s="92">
        <v>0</v>
      </c>
      <c r="I1919" s="92">
        <f>(H1919*G1919)/2000</f>
        <v>0</v>
      </c>
      <c r="J1919" s="92"/>
      <c r="K1919" s="17" t="s">
        <v>223</v>
      </c>
      <c r="M1919" s="19"/>
      <c r="N1919" s="19"/>
      <c r="O1919" s="19"/>
      <c r="P1919" s="19"/>
    </row>
    <row r="1920" spans="1:17" x14ac:dyDescent="0.25">
      <c r="A1920" s="91">
        <v>3093</v>
      </c>
      <c r="B1920" s="15">
        <v>2015</v>
      </c>
      <c r="C1920" s="1" t="s">
        <v>19</v>
      </c>
      <c r="D1920" s="1" t="s">
        <v>219</v>
      </c>
      <c r="E1920" s="15" t="s">
        <v>125</v>
      </c>
      <c r="F1920" s="15" t="s">
        <v>24</v>
      </c>
      <c r="G1920" s="16">
        <v>-82401</v>
      </c>
      <c r="H1920" s="92">
        <v>0</v>
      </c>
      <c r="I1920" s="92">
        <f>(H1920*G1920)/2000</f>
        <v>0</v>
      </c>
      <c r="J1920" s="92"/>
      <c r="K1920" s="17" t="s">
        <v>223</v>
      </c>
      <c r="M1920" s="19"/>
      <c r="N1920" s="19"/>
      <c r="O1920" s="19"/>
      <c r="P1920" s="19"/>
    </row>
    <row r="1921" spans="1:17" x14ac:dyDescent="0.25">
      <c r="A1921" s="91">
        <v>3094</v>
      </c>
      <c r="B1921" s="15">
        <v>2015</v>
      </c>
      <c r="C1921" s="1" t="s">
        <v>19</v>
      </c>
      <c r="D1921" s="1" t="s">
        <v>219</v>
      </c>
      <c r="E1921" s="15" t="s">
        <v>125</v>
      </c>
      <c r="F1921" s="15" t="s">
        <v>25</v>
      </c>
      <c r="G1921" s="16">
        <v>1094705</v>
      </c>
      <c r="H1921" s="92">
        <v>0</v>
      </c>
      <c r="I1921" s="92">
        <f>(H1921*G1921)/2000</f>
        <v>0</v>
      </c>
      <c r="J1921" s="92"/>
      <c r="K1921" s="17" t="s">
        <v>223</v>
      </c>
      <c r="M1921" s="19"/>
      <c r="N1921" s="19"/>
      <c r="O1921" s="19"/>
      <c r="P1921" s="19"/>
    </row>
    <row r="1922" spans="1:17" x14ac:dyDescent="0.25">
      <c r="A1922" s="91">
        <v>3095</v>
      </c>
      <c r="B1922" s="15">
        <v>2015</v>
      </c>
      <c r="C1922" s="1" t="s">
        <v>19</v>
      </c>
      <c r="D1922" s="1" t="s">
        <v>219</v>
      </c>
      <c r="E1922" s="15" t="s">
        <v>125</v>
      </c>
      <c r="F1922" s="15" t="s">
        <v>191</v>
      </c>
      <c r="G1922" s="16">
        <v>4697.4279999999999</v>
      </c>
      <c r="H1922" s="92">
        <v>0</v>
      </c>
      <c r="I1922" s="92">
        <f>(+G1922*H1922)/2000</f>
        <v>0</v>
      </c>
      <c r="J1922" s="92"/>
      <c r="K1922" s="17" t="s">
        <v>232</v>
      </c>
      <c r="M1922" s="19"/>
      <c r="N1922" s="19"/>
      <c r="O1922" s="19"/>
      <c r="P1922" s="19"/>
    </row>
    <row r="1923" spans="1:17" x14ac:dyDescent="0.25">
      <c r="A1923" s="91">
        <v>3096</v>
      </c>
      <c r="B1923" s="15">
        <v>2015</v>
      </c>
      <c r="C1923" s="1" t="s">
        <v>19</v>
      </c>
      <c r="D1923" s="1" t="s">
        <v>219</v>
      </c>
      <c r="E1923" s="15" t="s">
        <v>125</v>
      </c>
      <c r="F1923" s="15" t="s">
        <v>169</v>
      </c>
      <c r="G1923" s="16">
        <v>4857.8090000000002</v>
      </c>
      <c r="H1923" s="92">
        <v>0</v>
      </c>
      <c r="I1923" s="92">
        <f>(H1923*G1923)/2000</f>
        <v>0</v>
      </c>
      <c r="J1923" s="92"/>
      <c r="K1923" s="17" t="s">
        <v>232</v>
      </c>
      <c r="M1923" s="19"/>
      <c r="N1923" s="19"/>
      <c r="O1923" s="19"/>
      <c r="P1923" s="19"/>
    </row>
    <row r="1924" spans="1:17" x14ac:dyDescent="0.25">
      <c r="A1924" s="91">
        <v>3097</v>
      </c>
      <c r="B1924" s="15">
        <v>2015</v>
      </c>
      <c r="C1924" s="1" t="s">
        <v>19</v>
      </c>
      <c r="D1924" s="1" t="s">
        <v>219</v>
      </c>
      <c r="E1924" s="15" t="s">
        <v>125</v>
      </c>
      <c r="F1924" s="15" t="s">
        <v>161</v>
      </c>
      <c r="G1924" s="16">
        <v>4485.2</v>
      </c>
      <c r="H1924" s="92">
        <v>0</v>
      </c>
      <c r="I1924" s="92">
        <f>(H1924*G1924)/2000</f>
        <v>0</v>
      </c>
      <c r="J1924" s="92"/>
      <c r="K1924" s="17" t="s">
        <v>232</v>
      </c>
      <c r="M1924" s="19"/>
      <c r="N1924" s="19"/>
      <c r="O1924" s="19"/>
      <c r="P1924" s="19"/>
    </row>
    <row r="1925" spans="1:17" x14ac:dyDescent="0.25">
      <c r="A1925" s="91">
        <v>3098</v>
      </c>
      <c r="B1925" s="15">
        <v>2015</v>
      </c>
      <c r="C1925" s="1" t="s">
        <v>19</v>
      </c>
      <c r="D1925" s="1" t="s">
        <v>219</v>
      </c>
      <c r="E1925" s="15" t="s">
        <v>125</v>
      </c>
      <c r="F1925" s="15" t="s">
        <v>162</v>
      </c>
      <c r="G1925" s="16">
        <v>53743</v>
      </c>
      <c r="H1925" s="92">
        <v>0</v>
      </c>
      <c r="I1925" s="92">
        <f>(H1925*G1925)/2000</f>
        <v>0</v>
      </c>
      <c r="J1925" s="92"/>
      <c r="K1925" s="17" t="s">
        <v>223</v>
      </c>
      <c r="M1925" s="19"/>
      <c r="N1925" s="19"/>
      <c r="O1925" s="19"/>
      <c r="P1925" s="19"/>
    </row>
    <row r="1926" spans="1:17" x14ac:dyDescent="0.25">
      <c r="A1926" s="91">
        <v>3099</v>
      </c>
      <c r="B1926" s="15">
        <v>2015</v>
      </c>
      <c r="C1926" s="1" t="s">
        <v>19</v>
      </c>
      <c r="D1926" s="1" t="s">
        <v>219</v>
      </c>
      <c r="E1926" s="15" t="s">
        <v>125</v>
      </c>
      <c r="F1926" s="15" t="s">
        <v>178</v>
      </c>
      <c r="G1926" s="16">
        <v>61.71</v>
      </c>
      <c r="H1926" s="92">
        <v>0</v>
      </c>
      <c r="I1926" s="92">
        <f>(H1926*G1926)/2000</f>
        <v>0</v>
      </c>
      <c r="J1926" s="92"/>
      <c r="K1926" s="17" t="s">
        <v>221</v>
      </c>
      <c r="M1926" s="19"/>
      <c r="N1926" s="19"/>
      <c r="O1926" s="19"/>
      <c r="P1926" s="19"/>
    </row>
    <row r="1927" spans="1:17" x14ac:dyDescent="0.25">
      <c r="A1927" s="91">
        <v>3100</v>
      </c>
      <c r="B1927" s="15">
        <v>2015</v>
      </c>
      <c r="C1927" s="1" t="s">
        <v>19</v>
      </c>
      <c r="D1927" s="1" t="s">
        <v>219</v>
      </c>
      <c r="E1927" s="15" t="s">
        <v>123</v>
      </c>
      <c r="F1927" s="15" t="s">
        <v>192</v>
      </c>
      <c r="G1927" s="16">
        <v>400</v>
      </c>
      <c r="H1927" s="92">
        <f>P1927</f>
        <v>806.28252911890797</v>
      </c>
      <c r="I1927" s="92">
        <f>(+G1927*H1927)/2000</f>
        <v>161.25650582378159</v>
      </c>
      <c r="J1927" s="92"/>
      <c r="K1927" s="17" t="s">
        <v>224</v>
      </c>
      <c r="L1927" s="18">
        <v>5.8439999999999999E-2</v>
      </c>
      <c r="M1927" s="19">
        <v>18449473</v>
      </c>
      <c r="N1927" s="19">
        <f>(M1927*L1927)</f>
        <v>1078187.20212</v>
      </c>
      <c r="O1927" s="19">
        <v>2674465</v>
      </c>
      <c r="P1927" s="19">
        <f>(N1927*2000)/O1927</f>
        <v>806.28252911890797</v>
      </c>
      <c r="Q1927" s="15" t="s">
        <v>255</v>
      </c>
    </row>
    <row r="1928" spans="1:17" x14ac:dyDescent="0.25">
      <c r="A1928" s="91">
        <v>3101</v>
      </c>
      <c r="B1928" s="15">
        <v>2015</v>
      </c>
      <c r="C1928" s="1" t="s">
        <v>19</v>
      </c>
      <c r="D1928" s="1" t="s">
        <v>219</v>
      </c>
      <c r="E1928" s="15" t="s">
        <v>125</v>
      </c>
      <c r="F1928" s="15" t="s">
        <v>145</v>
      </c>
      <c r="G1928" s="16">
        <v>119141</v>
      </c>
      <c r="H1928" s="92">
        <v>0</v>
      </c>
      <c r="I1928" s="92">
        <f t="shared" ref="I1928:I1933" si="78">(H1928*G1928)/2000</f>
        <v>0</v>
      </c>
      <c r="J1928" s="92"/>
      <c r="K1928" s="17" t="s">
        <v>229</v>
      </c>
      <c r="M1928" s="19"/>
      <c r="N1928" s="19"/>
      <c r="O1928" s="19"/>
      <c r="P1928" s="19"/>
    </row>
    <row r="1929" spans="1:17" x14ac:dyDescent="0.25">
      <c r="A1929" s="91">
        <v>3102</v>
      </c>
      <c r="B1929" s="15">
        <v>2015</v>
      </c>
      <c r="C1929" s="1" t="s">
        <v>19</v>
      </c>
      <c r="D1929" s="1" t="s">
        <v>219</v>
      </c>
      <c r="E1929" s="15" t="s">
        <v>125</v>
      </c>
      <c r="F1929" s="15" t="s">
        <v>179</v>
      </c>
      <c r="G1929" s="16">
        <v>129.62800000000001</v>
      </c>
      <c r="H1929" s="92">
        <v>0</v>
      </c>
      <c r="I1929" s="92">
        <f t="shared" si="78"/>
        <v>0</v>
      </c>
      <c r="J1929" s="92"/>
      <c r="K1929" s="17" t="s">
        <v>229</v>
      </c>
      <c r="M1929" s="19"/>
      <c r="N1929" s="19"/>
      <c r="O1929" s="19"/>
      <c r="P1929" s="19"/>
    </row>
    <row r="1930" spans="1:17" x14ac:dyDescent="0.25">
      <c r="A1930" s="91">
        <v>3103</v>
      </c>
      <c r="B1930" s="15">
        <v>2015</v>
      </c>
      <c r="C1930" s="1" t="s">
        <v>19</v>
      </c>
      <c r="D1930" s="1" t="s">
        <v>219</v>
      </c>
      <c r="E1930" s="15" t="s">
        <v>125</v>
      </c>
      <c r="F1930" s="15" t="s">
        <v>193</v>
      </c>
      <c r="G1930" s="16">
        <v>4950.2660000000005</v>
      </c>
      <c r="H1930" s="92">
        <v>0</v>
      </c>
      <c r="I1930" s="92">
        <f t="shared" si="78"/>
        <v>0</v>
      </c>
      <c r="J1930" s="92"/>
      <c r="K1930" s="17" t="s">
        <v>232</v>
      </c>
      <c r="M1930" s="19"/>
      <c r="N1930" s="19"/>
      <c r="O1930" s="19"/>
      <c r="P1930" s="19"/>
    </row>
    <row r="1931" spans="1:17" x14ac:dyDescent="0.25">
      <c r="A1931" s="91">
        <v>3104</v>
      </c>
      <c r="B1931" s="15">
        <v>2015</v>
      </c>
      <c r="C1931" s="1" t="s">
        <v>19</v>
      </c>
      <c r="D1931" s="15" t="s">
        <v>219</v>
      </c>
      <c r="E1931" s="15" t="s">
        <v>125</v>
      </c>
      <c r="F1931" s="15" t="s">
        <v>3</v>
      </c>
      <c r="G1931" s="16">
        <v>4961.1959999999999</v>
      </c>
      <c r="H1931" s="92">
        <v>0</v>
      </c>
      <c r="I1931" s="92">
        <f t="shared" si="78"/>
        <v>0</v>
      </c>
      <c r="J1931" s="92"/>
      <c r="K1931" s="17" t="s">
        <v>223</v>
      </c>
      <c r="M1931" s="19"/>
      <c r="N1931" s="19"/>
      <c r="O1931" s="19"/>
      <c r="P1931" s="19"/>
    </row>
    <row r="1932" spans="1:17" x14ac:dyDescent="0.25">
      <c r="A1932" s="91">
        <v>3105</v>
      </c>
      <c r="B1932" s="15">
        <v>2015</v>
      </c>
      <c r="C1932" s="1" t="s">
        <v>19</v>
      </c>
      <c r="D1932" s="15" t="s">
        <v>219</v>
      </c>
      <c r="E1932" s="15" t="s">
        <v>125</v>
      </c>
      <c r="F1932" s="15" t="s">
        <v>180</v>
      </c>
      <c r="G1932" s="16">
        <v>162.84899999999999</v>
      </c>
      <c r="H1932" s="92">
        <v>0</v>
      </c>
      <c r="I1932" s="92">
        <f t="shared" si="78"/>
        <v>0</v>
      </c>
      <c r="J1932" s="92"/>
      <c r="K1932" s="17" t="s">
        <v>223</v>
      </c>
      <c r="M1932" s="19"/>
      <c r="N1932" s="19"/>
      <c r="O1932" s="19"/>
      <c r="P1932" s="19"/>
    </row>
    <row r="1933" spans="1:17" x14ac:dyDescent="0.25">
      <c r="A1933" s="91">
        <v>3106</v>
      </c>
      <c r="B1933" s="15">
        <v>2015</v>
      </c>
      <c r="C1933" s="1" t="s">
        <v>19</v>
      </c>
      <c r="D1933" s="15" t="s">
        <v>219</v>
      </c>
      <c r="E1933" s="15" t="s">
        <v>125</v>
      </c>
      <c r="F1933" s="15" t="s">
        <v>194</v>
      </c>
      <c r="G1933" s="16">
        <v>11368.796</v>
      </c>
      <c r="H1933" s="92">
        <v>0</v>
      </c>
      <c r="I1933" s="92">
        <f t="shared" si="78"/>
        <v>0</v>
      </c>
      <c r="J1933" s="92"/>
      <c r="K1933" s="17" t="s">
        <v>229</v>
      </c>
      <c r="M1933" s="19"/>
      <c r="N1933" s="19"/>
      <c r="O1933" s="19"/>
      <c r="P1933" s="19"/>
    </row>
    <row r="1934" spans="1:17" x14ac:dyDescent="0.25">
      <c r="A1934" s="91">
        <v>3107</v>
      </c>
      <c r="B1934" s="15">
        <v>2015</v>
      </c>
      <c r="C1934" s="1" t="s">
        <v>19</v>
      </c>
      <c r="D1934" s="1" t="s">
        <v>219</v>
      </c>
      <c r="E1934" s="15" t="s">
        <v>122</v>
      </c>
      <c r="F1934" s="15" t="s">
        <v>204</v>
      </c>
      <c r="G1934" s="16">
        <v>1651177</v>
      </c>
      <c r="H1934" s="92">
        <f>P1934</f>
        <v>2406.7107411405805</v>
      </c>
      <c r="I1934" s="92">
        <f>(G1934*H1934)/2000</f>
        <v>1986952.7107121402</v>
      </c>
      <c r="J1934" s="92"/>
      <c r="K1934" s="17" t="s">
        <v>234</v>
      </c>
      <c r="L1934" s="18">
        <v>0.10711</v>
      </c>
      <c r="M1934" s="19">
        <v>56436446</v>
      </c>
      <c r="N1934" s="19">
        <f>(M1934*L1934)</f>
        <v>6044907.7310600001</v>
      </c>
      <c r="O1934" s="19">
        <v>5023377.0329999998</v>
      </c>
      <c r="P1934" s="19">
        <f>(N1934*2000)/O1934</f>
        <v>2406.7107411405805</v>
      </c>
      <c r="Q1934" s="15" t="s">
        <v>255</v>
      </c>
    </row>
    <row r="1935" spans="1:17" x14ac:dyDescent="0.25">
      <c r="A1935" s="91">
        <v>3108</v>
      </c>
      <c r="B1935" s="15">
        <v>2015</v>
      </c>
      <c r="C1935" s="1" t="s">
        <v>19</v>
      </c>
      <c r="D1935" s="15" t="s">
        <v>219</v>
      </c>
      <c r="E1935" s="15" t="s">
        <v>125</v>
      </c>
      <c r="F1935" s="15" t="s">
        <v>181</v>
      </c>
      <c r="G1935" s="16">
        <v>1619.28</v>
      </c>
      <c r="H1935" s="92">
        <v>0</v>
      </c>
      <c r="I1935" s="92">
        <f t="shared" ref="I1935:I1946" si="79">(H1935*G1935)/2000</f>
        <v>0</v>
      </c>
      <c r="J1935" s="92"/>
      <c r="K1935" s="17" t="s">
        <v>232</v>
      </c>
      <c r="M1935" s="19"/>
      <c r="N1935" s="19"/>
      <c r="O1935" s="19"/>
      <c r="P1935" s="19"/>
    </row>
    <row r="1936" spans="1:17" x14ac:dyDescent="0.25">
      <c r="A1936" s="91">
        <v>3109</v>
      </c>
      <c r="B1936" s="15">
        <v>2015</v>
      </c>
      <c r="C1936" s="1" t="s">
        <v>19</v>
      </c>
      <c r="D1936" s="15" t="s">
        <v>219</v>
      </c>
      <c r="E1936" s="15" t="s">
        <v>125</v>
      </c>
      <c r="F1936" s="15" t="s">
        <v>30</v>
      </c>
      <c r="G1936" s="16">
        <v>3455.4459999999999</v>
      </c>
      <c r="H1936" s="92">
        <v>0</v>
      </c>
      <c r="I1936" s="92">
        <f t="shared" si="79"/>
        <v>0</v>
      </c>
      <c r="J1936" s="92"/>
      <c r="K1936" s="17" t="s">
        <v>232</v>
      </c>
      <c r="M1936" s="19"/>
      <c r="N1936" s="19"/>
      <c r="O1936" s="19"/>
      <c r="P1936" s="19"/>
    </row>
    <row r="1937" spans="1:16" x14ac:dyDescent="0.25">
      <c r="A1937" s="91">
        <v>3110</v>
      </c>
      <c r="B1937" s="15">
        <v>2015</v>
      </c>
      <c r="C1937" s="1" t="s">
        <v>32</v>
      </c>
      <c r="D1937" s="1" t="s">
        <v>219</v>
      </c>
      <c r="E1937" s="15" t="s">
        <v>125</v>
      </c>
      <c r="F1937" s="15" t="s">
        <v>200</v>
      </c>
      <c r="G1937" s="16">
        <v>32656.922999999999</v>
      </c>
      <c r="H1937" s="92">
        <v>0</v>
      </c>
      <c r="I1937" s="92">
        <f t="shared" si="79"/>
        <v>0</v>
      </c>
      <c r="J1937" s="92"/>
      <c r="K1937" s="17" t="s">
        <v>222</v>
      </c>
      <c r="M1937" s="19"/>
      <c r="N1937" s="19"/>
      <c r="O1937" s="19"/>
      <c r="P1937" s="19"/>
    </row>
    <row r="1938" spans="1:16" x14ac:dyDescent="0.25">
      <c r="A1938" s="91">
        <v>3111</v>
      </c>
      <c r="B1938" s="15">
        <v>2015</v>
      </c>
      <c r="C1938" s="1" t="s">
        <v>32</v>
      </c>
      <c r="D1938" s="1" t="s">
        <v>219</v>
      </c>
      <c r="E1938" s="15" t="s">
        <v>125</v>
      </c>
      <c r="F1938" s="15" t="s">
        <v>205</v>
      </c>
      <c r="G1938" s="16">
        <v>62833.254000000001</v>
      </c>
      <c r="H1938" s="92">
        <v>0</v>
      </c>
      <c r="I1938" s="92">
        <f t="shared" si="79"/>
        <v>0</v>
      </c>
      <c r="J1938" s="92"/>
      <c r="K1938" s="17" t="s">
        <v>223</v>
      </c>
      <c r="M1938" s="19"/>
      <c r="N1938" s="19"/>
      <c r="O1938" s="19"/>
      <c r="P1938" s="19"/>
    </row>
    <row r="1939" spans="1:16" x14ac:dyDescent="0.25">
      <c r="A1939" s="91">
        <v>3112</v>
      </c>
      <c r="B1939" s="15">
        <v>2015</v>
      </c>
      <c r="C1939" s="1" t="s">
        <v>32</v>
      </c>
      <c r="D1939" s="1" t="s">
        <v>219</v>
      </c>
      <c r="E1939" s="15" t="s">
        <v>125</v>
      </c>
      <c r="F1939" s="15" t="s">
        <v>237</v>
      </c>
      <c r="G1939" s="16">
        <v>1087.0940000000001</v>
      </c>
      <c r="H1939" s="92">
        <v>0</v>
      </c>
      <c r="I1939" s="92">
        <f t="shared" si="79"/>
        <v>0</v>
      </c>
      <c r="J1939" s="92"/>
      <c r="K1939" s="17" t="s">
        <v>247</v>
      </c>
      <c r="M1939" s="19"/>
      <c r="N1939" s="19"/>
      <c r="O1939" s="19"/>
      <c r="P1939" s="19"/>
    </row>
    <row r="1940" spans="1:16" x14ac:dyDescent="0.25">
      <c r="A1940" s="91">
        <v>3113</v>
      </c>
      <c r="B1940" s="15">
        <v>2015</v>
      </c>
      <c r="C1940" s="1" t="s">
        <v>32</v>
      </c>
      <c r="D1940" s="1" t="s">
        <v>219</v>
      </c>
      <c r="E1940" s="15" t="s">
        <v>125</v>
      </c>
      <c r="F1940" s="15" t="s">
        <v>33</v>
      </c>
      <c r="G1940" s="16">
        <v>744.32</v>
      </c>
      <c r="H1940" s="92">
        <v>0</v>
      </c>
      <c r="I1940" s="92">
        <f t="shared" si="79"/>
        <v>0</v>
      </c>
      <c r="J1940" s="92"/>
      <c r="K1940" s="17" t="s">
        <v>223</v>
      </c>
      <c r="M1940" s="19"/>
      <c r="N1940" s="19"/>
      <c r="O1940" s="19"/>
      <c r="P1940" s="19"/>
    </row>
    <row r="1941" spans="1:16" x14ac:dyDescent="0.25">
      <c r="A1941" s="91">
        <v>3114</v>
      </c>
      <c r="B1941" s="15">
        <v>2015</v>
      </c>
      <c r="C1941" s="1" t="s">
        <v>32</v>
      </c>
      <c r="D1941" s="1" t="s">
        <v>219</v>
      </c>
      <c r="E1941" s="15" t="s">
        <v>125</v>
      </c>
      <c r="F1941" s="15" t="s">
        <v>34</v>
      </c>
      <c r="G1941" s="16">
        <v>36094.142</v>
      </c>
      <c r="H1941" s="92">
        <v>0</v>
      </c>
      <c r="I1941" s="92">
        <f t="shared" si="79"/>
        <v>0</v>
      </c>
      <c r="J1941" s="92"/>
      <c r="K1941" s="17" t="s">
        <v>223</v>
      </c>
      <c r="M1941" s="19"/>
      <c r="N1941" s="19"/>
      <c r="O1941" s="19"/>
      <c r="P1941" s="19"/>
    </row>
    <row r="1942" spans="1:16" x14ac:dyDescent="0.25">
      <c r="A1942" s="91">
        <v>3115</v>
      </c>
      <c r="B1942" s="15">
        <v>2015</v>
      </c>
      <c r="C1942" s="1" t="s">
        <v>32</v>
      </c>
      <c r="D1942" s="1" t="s">
        <v>219</v>
      </c>
      <c r="E1942" s="15" t="s">
        <v>125</v>
      </c>
      <c r="F1942" s="15" t="s">
        <v>196</v>
      </c>
      <c r="G1942" s="16">
        <v>278.68</v>
      </c>
      <c r="H1942" s="92">
        <v>0</v>
      </c>
      <c r="I1942" s="92">
        <f t="shared" si="79"/>
        <v>0</v>
      </c>
      <c r="J1942" s="92"/>
      <c r="K1942" s="17" t="s">
        <v>221</v>
      </c>
      <c r="M1942" s="19"/>
      <c r="N1942" s="19"/>
      <c r="O1942" s="19"/>
      <c r="P1942" s="19"/>
    </row>
    <row r="1943" spans="1:16" x14ac:dyDescent="0.25">
      <c r="A1943" s="91">
        <v>3116</v>
      </c>
      <c r="B1943" s="15">
        <v>2015</v>
      </c>
      <c r="C1943" s="1" t="s">
        <v>32</v>
      </c>
      <c r="D1943" s="1" t="s">
        <v>219</v>
      </c>
      <c r="E1943" s="15" t="s">
        <v>125</v>
      </c>
      <c r="F1943" s="15" t="s">
        <v>35</v>
      </c>
      <c r="G1943" s="16">
        <v>22257.173999999999</v>
      </c>
      <c r="H1943" s="92">
        <v>0</v>
      </c>
      <c r="I1943" s="92">
        <f t="shared" si="79"/>
        <v>0</v>
      </c>
      <c r="J1943" s="92"/>
      <c r="K1943" s="17" t="s">
        <v>223</v>
      </c>
      <c r="M1943" s="19"/>
      <c r="N1943" s="19"/>
      <c r="O1943" s="19"/>
      <c r="P1943" s="19"/>
    </row>
    <row r="1944" spans="1:16" x14ac:dyDescent="0.25">
      <c r="A1944" s="91">
        <v>3117</v>
      </c>
      <c r="B1944" s="15">
        <v>2015</v>
      </c>
      <c r="C1944" s="1" t="s">
        <v>32</v>
      </c>
      <c r="D1944" s="15" t="s">
        <v>219</v>
      </c>
      <c r="E1944" s="15" t="s">
        <v>125</v>
      </c>
      <c r="F1944" s="15" t="s">
        <v>40</v>
      </c>
      <c r="G1944" s="16">
        <v>738.61900000000003</v>
      </c>
      <c r="H1944" s="92">
        <v>0</v>
      </c>
      <c r="I1944" s="92">
        <f t="shared" si="79"/>
        <v>0</v>
      </c>
      <c r="J1944" s="92"/>
      <c r="K1944" s="17" t="s">
        <v>223</v>
      </c>
      <c r="M1944" s="19"/>
      <c r="N1944" s="19"/>
      <c r="O1944" s="19"/>
      <c r="P1944" s="19"/>
    </row>
    <row r="1945" spans="1:16" x14ac:dyDescent="0.25">
      <c r="A1945" s="91">
        <v>3118</v>
      </c>
      <c r="B1945" s="15">
        <v>2015</v>
      </c>
      <c r="C1945" s="1" t="s">
        <v>32</v>
      </c>
      <c r="D1945" s="1" t="s">
        <v>219</v>
      </c>
      <c r="E1945" s="15" t="s">
        <v>125</v>
      </c>
      <c r="F1945" s="15" t="s">
        <v>42</v>
      </c>
      <c r="G1945" s="16">
        <v>52604.395000000004</v>
      </c>
      <c r="H1945" s="92">
        <v>0</v>
      </c>
      <c r="I1945" s="92">
        <f t="shared" si="79"/>
        <v>0</v>
      </c>
      <c r="J1945" s="92"/>
      <c r="K1945" s="17" t="s">
        <v>223</v>
      </c>
      <c r="M1945" s="19"/>
      <c r="N1945" s="19"/>
      <c r="O1945" s="19"/>
      <c r="P1945" s="19"/>
    </row>
    <row r="1946" spans="1:16" x14ac:dyDescent="0.25">
      <c r="A1946" s="91">
        <v>3119</v>
      </c>
      <c r="B1946" s="15">
        <v>2015</v>
      </c>
      <c r="C1946" s="1" t="s">
        <v>32</v>
      </c>
      <c r="D1946" s="15" t="s">
        <v>219</v>
      </c>
      <c r="E1946" s="15" t="s">
        <v>125</v>
      </c>
      <c r="F1946" s="15" t="s">
        <v>43</v>
      </c>
      <c r="G1946" s="16">
        <v>8526.616</v>
      </c>
      <c r="H1946" s="92">
        <v>0</v>
      </c>
      <c r="I1946" s="92">
        <f t="shared" si="79"/>
        <v>0</v>
      </c>
      <c r="J1946" s="92"/>
      <c r="K1946" s="17" t="s">
        <v>223</v>
      </c>
      <c r="M1946" s="19"/>
      <c r="N1946" s="19"/>
      <c r="O1946" s="19"/>
      <c r="P1946" s="19"/>
    </row>
    <row r="1947" spans="1:16" x14ac:dyDescent="0.25">
      <c r="A1947" s="91">
        <v>3121</v>
      </c>
      <c r="B1947" s="15">
        <v>2015</v>
      </c>
      <c r="C1947" s="1" t="s">
        <v>44</v>
      </c>
      <c r="D1947" s="1" t="s">
        <v>216</v>
      </c>
      <c r="E1947" s="15" t="s">
        <v>217</v>
      </c>
      <c r="F1947" s="15" t="s">
        <v>47</v>
      </c>
      <c r="G1947" s="16">
        <v>127355</v>
      </c>
      <c r="H1947" s="93">
        <f>'Emission Rates Net-by-Count'!$D$13</f>
        <v>1074</v>
      </c>
      <c r="I1947" s="16">
        <f t="shared" ref="I1947:I1978" si="80">(G1947*H1947)/2000</f>
        <v>68389.634999999995</v>
      </c>
      <c r="K1947" s="17" t="s">
        <v>238</v>
      </c>
      <c r="M1947" s="19"/>
      <c r="N1947" s="19"/>
      <c r="O1947" s="19"/>
      <c r="P1947" s="19"/>
    </row>
    <row r="1948" spans="1:16" x14ac:dyDescent="0.25">
      <c r="A1948" s="91">
        <v>3122</v>
      </c>
      <c r="B1948" s="15">
        <v>2015</v>
      </c>
      <c r="C1948" s="1" t="s">
        <v>44</v>
      </c>
      <c r="D1948" s="1" t="s">
        <v>216</v>
      </c>
      <c r="E1948" s="15" t="s">
        <v>217</v>
      </c>
      <c r="F1948" s="15" t="s">
        <v>127</v>
      </c>
      <c r="G1948" s="16">
        <v>-30</v>
      </c>
      <c r="H1948" s="93">
        <f>'Emission Rates Net-by-Count'!$D$13</f>
        <v>1074</v>
      </c>
      <c r="I1948" s="16">
        <f t="shared" si="80"/>
        <v>-16.11</v>
      </c>
      <c r="K1948" s="17" t="s">
        <v>238</v>
      </c>
      <c r="M1948" s="19"/>
      <c r="N1948" s="19"/>
      <c r="O1948" s="19"/>
      <c r="P1948" s="19"/>
    </row>
    <row r="1949" spans="1:16" x14ac:dyDescent="0.25">
      <c r="A1949" s="91">
        <v>3123</v>
      </c>
      <c r="B1949" s="15">
        <v>2015</v>
      </c>
      <c r="C1949" s="1" t="s">
        <v>44</v>
      </c>
      <c r="D1949" s="1" t="s">
        <v>216</v>
      </c>
      <c r="E1949" s="15" t="s">
        <v>217</v>
      </c>
      <c r="F1949" s="15" t="s">
        <v>50</v>
      </c>
      <c r="G1949" s="16">
        <v>1200</v>
      </c>
      <c r="H1949" s="93">
        <f>'Emission Rates Net-by-Count'!$D$13</f>
        <v>1074</v>
      </c>
      <c r="I1949" s="16">
        <f t="shared" si="80"/>
        <v>644.4</v>
      </c>
      <c r="K1949" s="17" t="s">
        <v>238</v>
      </c>
      <c r="M1949" s="19"/>
      <c r="N1949" s="19"/>
      <c r="O1949" s="19"/>
      <c r="P1949" s="19"/>
    </row>
    <row r="1950" spans="1:16" x14ac:dyDescent="0.25">
      <c r="A1950" s="91">
        <v>3124</v>
      </c>
      <c r="B1950" s="15">
        <v>2015</v>
      </c>
      <c r="C1950" s="1" t="s">
        <v>44</v>
      </c>
      <c r="D1950" s="1" t="s">
        <v>216</v>
      </c>
      <c r="E1950" s="15" t="s">
        <v>217</v>
      </c>
      <c r="F1950" s="15" t="s">
        <v>51</v>
      </c>
      <c r="G1950" s="16">
        <v>-5721875</v>
      </c>
      <c r="H1950" s="93">
        <f>'Emission Rates Net-by-Count'!$D$13</f>
        <v>1074</v>
      </c>
      <c r="I1950" s="16">
        <f t="shared" si="80"/>
        <v>-3072646.875</v>
      </c>
      <c r="K1950" s="17" t="s">
        <v>239</v>
      </c>
      <c r="M1950" s="19"/>
      <c r="N1950" s="19"/>
      <c r="O1950" s="19"/>
      <c r="P1950" s="19"/>
    </row>
    <row r="1951" spans="1:16" x14ac:dyDescent="0.25">
      <c r="A1951" s="91">
        <v>3125</v>
      </c>
      <c r="B1951" s="15">
        <v>2015</v>
      </c>
      <c r="C1951" s="1" t="s">
        <v>44</v>
      </c>
      <c r="D1951" s="1" t="s">
        <v>216</v>
      </c>
      <c r="E1951" s="15" t="s">
        <v>217</v>
      </c>
      <c r="F1951" s="15" t="s">
        <v>52</v>
      </c>
      <c r="G1951" s="16">
        <v>340839</v>
      </c>
      <c r="H1951" s="93">
        <f>'Emission Rates Net-by-Count'!$D$13</f>
        <v>1074</v>
      </c>
      <c r="I1951" s="16">
        <f t="shared" si="80"/>
        <v>183030.54300000001</v>
      </c>
      <c r="K1951" s="17" t="s">
        <v>238</v>
      </c>
      <c r="M1951" s="19"/>
      <c r="N1951" s="19"/>
      <c r="O1951" s="19"/>
      <c r="P1951" s="19"/>
    </row>
    <row r="1952" spans="1:16" x14ac:dyDescent="0.25">
      <c r="A1952" s="91">
        <v>3126</v>
      </c>
      <c r="B1952" s="15">
        <v>2015</v>
      </c>
      <c r="C1952" s="1" t="s">
        <v>44</v>
      </c>
      <c r="D1952" s="1" t="s">
        <v>216</v>
      </c>
      <c r="E1952" s="15" t="s">
        <v>217</v>
      </c>
      <c r="F1952" s="15" t="s">
        <v>21</v>
      </c>
      <c r="G1952" s="16">
        <v>141462</v>
      </c>
      <c r="H1952" s="93">
        <f>'Emission Rates Net-by-Count'!$D$13</f>
        <v>1074</v>
      </c>
      <c r="I1952" s="16">
        <f t="shared" si="80"/>
        <v>75965.093999999997</v>
      </c>
      <c r="K1952" s="17" t="s">
        <v>238</v>
      </c>
      <c r="M1952" s="19"/>
      <c r="N1952" s="19"/>
      <c r="O1952" s="19"/>
      <c r="P1952" s="19"/>
    </row>
    <row r="1953" spans="1:16" x14ac:dyDescent="0.25">
      <c r="A1953" s="91">
        <v>3127</v>
      </c>
      <c r="B1953" s="15">
        <v>2015</v>
      </c>
      <c r="C1953" s="1" t="s">
        <v>44</v>
      </c>
      <c r="D1953" s="1" t="s">
        <v>216</v>
      </c>
      <c r="E1953" s="15" t="s">
        <v>217</v>
      </c>
      <c r="F1953" s="15" t="s">
        <v>143</v>
      </c>
      <c r="G1953" s="16">
        <v>67</v>
      </c>
      <c r="H1953" s="93">
        <f>'Emission Rates Net-by-Count'!$D$13</f>
        <v>1074</v>
      </c>
      <c r="I1953" s="16">
        <f t="shared" si="80"/>
        <v>35.978999999999999</v>
      </c>
      <c r="K1953" s="17" t="s">
        <v>238</v>
      </c>
      <c r="M1953" s="19"/>
      <c r="N1953" s="19"/>
      <c r="O1953" s="19"/>
      <c r="P1953" s="19"/>
    </row>
    <row r="1954" spans="1:16" x14ac:dyDescent="0.25">
      <c r="A1954" s="91">
        <v>3128</v>
      </c>
      <c r="B1954" s="15">
        <v>2015</v>
      </c>
      <c r="C1954" s="1" t="s">
        <v>44</v>
      </c>
      <c r="D1954" s="1" t="s">
        <v>216</v>
      </c>
      <c r="E1954" s="15" t="s">
        <v>217</v>
      </c>
      <c r="F1954" s="15" t="s">
        <v>240</v>
      </c>
      <c r="G1954" s="16">
        <v>0</v>
      </c>
      <c r="H1954" s="93">
        <f>'Emission Rates Net-by-Count'!$D$13</f>
        <v>1074</v>
      </c>
      <c r="I1954" s="16">
        <f t="shared" si="80"/>
        <v>0</v>
      </c>
      <c r="K1954" s="17" t="s">
        <v>238</v>
      </c>
      <c r="M1954" s="19"/>
      <c r="N1954" s="19"/>
      <c r="O1954" s="19"/>
      <c r="P1954" s="19"/>
    </row>
    <row r="1955" spans="1:16" x14ac:dyDescent="0.25">
      <c r="A1955" s="91">
        <v>3129</v>
      </c>
      <c r="B1955" s="15">
        <v>2015</v>
      </c>
      <c r="C1955" s="1" t="s">
        <v>44</v>
      </c>
      <c r="D1955" s="1" t="s">
        <v>216</v>
      </c>
      <c r="E1955" s="15" t="s">
        <v>217</v>
      </c>
      <c r="F1955" s="15" t="s">
        <v>201</v>
      </c>
      <c r="G1955" s="16">
        <v>12114</v>
      </c>
      <c r="H1955" s="93">
        <f>'Emission Rates Net-by-Count'!$D$13</f>
        <v>1074</v>
      </c>
      <c r="I1955" s="16">
        <f t="shared" si="80"/>
        <v>6505.2179999999998</v>
      </c>
      <c r="K1955" s="17" t="s">
        <v>238</v>
      </c>
      <c r="M1955" s="19"/>
      <c r="N1955" s="19"/>
      <c r="O1955" s="19"/>
      <c r="P1955" s="19"/>
    </row>
    <row r="1956" spans="1:16" x14ac:dyDescent="0.25">
      <c r="A1956" s="91">
        <v>3130</v>
      </c>
      <c r="B1956" s="15">
        <v>2015</v>
      </c>
      <c r="C1956" s="1" t="s">
        <v>44</v>
      </c>
      <c r="D1956" s="1" t="s">
        <v>216</v>
      </c>
      <c r="E1956" s="15" t="s">
        <v>217</v>
      </c>
      <c r="F1956" s="15" t="s">
        <v>55</v>
      </c>
      <c r="G1956" s="16">
        <v>350294</v>
      </c>
      <c r="H1956" s="93">
        <f>'Emission Rates Net-by-Count'!$D$13</f>
        <v>1074</v>
      </c>
      <c r="I1956" s="16">
        <f t="shared" si="80"/>
        <v>188107.878</v>
      </c>
      <c r="K1956" s="17" t="s">
        <v>238</v>
      </c>
      <c r="M1956" s="19"/>
      <c r="N1956" s="19"/>
      <c r="O1956" s="19"/>
      <c r="P1956" s="19"/>
    </row>
    <row r="1957" spans="1:16" x14ac:dyDescent="0.25">
      <c r="A1957" s="91">
        <v>3131</v>
      </c>
      <c r="B1957" s="15">
        <v>2015</v>
      </c>
      <c r="C1957" s="1" t="s">
        <v>44</v>
      </c>
      <c r="D1957" s="1" t="s">
        <v>216</v>
      </c>
      <c r="E1957" s="15" t="s">
        <v>217</v>
      </c>
      <c r="F1957" s="15" t="s">
        <v>241</v>
      </c>
      <c r="G1957" s="16">
        <v>0</v>
      </c>
      <c r="H1957" s="93">
        <f>'Emission Rates Net-by-Count'!$D$13</f>
        <v>1074</v>
      </c>
      <c r="I1957" s="16">
        <f t="shared" si="80"/>
        <v>0</v>
      </c>
      <c r="K1957" s="17" t="s">
        <v>238</v>
      </c>
      <c r="M1957" s="19"/>
      <c r="N1957" s="19"/>
      <c r="O1957" s="19"/>
      <c r="P1957" s="19"/>
    </row>
    <row r="1958" spans="1:16" x14ac:dyDescent="0.25">
      <c r="A1958" s="91">
        <v>3132</v>
      </c>
      <c r="B1958" s="15">
        <v>2015</v>
      </c>
      <c r="C1958" s="1" t="s">
        <v>44</v>
      </c>
      <c r="D1958" s="1" t="s">
        <v>216</v>
      </c>
      <c r="E1958" s="15" t="s">
        <v>217</v>
      </c>
      <c r="F1958" s="15" t="s">
        <v>56</v>
      </c>
      <c r="G1958" s="16">
        <v>779739</v>
      </c>
      <c r="H1958" s="93">
        <f>'Emission Rates Net-by-Count'!$D$13</f>
        <v>1074</v>
      </c>
      <c r="I1958" s="16">
        <f t="shared" si="80"/>
        <v>418719.84299999999</v>
      </c>
      <c r="K1958" s="17" t="s">
        <v>238</v>
      </c>
      <c r="M1958" s="19"/>
      <c r="N1958" s="19"/>
      <c r="O1958" s="19"/>
      <c r="P1958" s="19"/>
    </row>
    <row r="1959" spans="1:16" x14ac:dyDescent="0.25">
      <c r="A1959" s="91">
        <v>3133</v>
      </c>
      <c r="B1959" s="15">
        <v>2015</v>
      </c>
      <c r="C1959" s="1" t="s">
        <v>44</v>
      </c>
      <c r="D1959" s="1" t="s">
        <v>216</v>
      </c>
      <c r="E1959" s="15" t="s">
        <v>217</v>
      </c>
      <c r="F1959" s="15" t="s">
        <v>57</v>
      </c>
      <c r="G1959" s="16">
        <v>857</v>
      </c>
      <c r="H1959" s="93">
        <f>'Emission Rates Net-by-Count'!$D$13</f>
        <v>1074</v>
      </c>
      <c r="I1959" s="16">
        <f t="shared" si="80"/>
        <v>460.209</v>
      </c>
      <c r="K1959" s="17" t="s">
        <v>238</v>
      </c>
      <c r="M1959" s="19"/>
      <c r="N1959" s="19"/>
      <c r="O1959" s="19"/>
      <c r="P1959" s="19"/>
    </row>
    <row r="1960" spans="1:16" x14ac:dyDescent="0.25">
      <c r="A1960" s="91">
        <v>3134</v>
      </c>
      <c r="B1960" s="15">
        <v>2015</v>
      </c>
      <c r="C1960" s="1" t="s">
        <v>44</v>
      </c>
      <c r="D1960" s="1" t="s">
        <v>216</v>
      </c>
      <c r="E1960" s="15" t="s">
        <v>217</v>
      </c>
      <c r="F1960" s="15" t="s">
        <v>171</v>
      </c>
      <c r="G1960" s="16">
        <v>0</v>
      </c>
      <c r="H1960" s="93">
        <f>'Emission Rates Net-by-Count'!$D$13</f>
        <v>1074</v>
      </c>
      <c r="I1960" s="16">
        <f t="shared" si="80"/>
        <v>0</v>
      </c>
      <c r="K1960" s="17" t="s">
        <v>238</v>
      </c>
      <c r="M1960" s="19"/>
      <c r="N1960" s="19"/>
      <c r="O1960" s="19"/>
      <c r="P1960" s="19"/>
    </row>
    <row r="1961" spans="1:16" x14ac:dyDescent="0.25">
      <c r="A1961" s="91">
        <v>3135</v>
      </c>
      <c r="B1961" s="15">
        <v>2015</v>
      </c>
      <c r="C1961" s="1" t="s">
        <v>44</v>
      </c>
      <c r="D1961" s="1" t="s">
        <v>216</v>
      </c>
      <c r="E1961" s="15" t="s">
        <v>217</v>
      </c>
      <c r="F1961" s="15" t="s">
        <v>58</v>
      </c>
      <c r="G1961" s="16">
        <v>507518</v>
      </c>
      <c r="H1961" s="93">
        <f>'Emission Rates Net-by-Count'!$D$13</f>
        <v>1074</v>
      </c>
      <c r="I1961" s="16">
        <f t="shared" si="80"/>
        <v>272537.16600000003</v>
      </c>
      <c r="K1961" s="17" t="s">
        <v>238</v>
      </c>
      <c r="M1961" s="19"/>
      <c r="N1961" s="19"/>
      <c r="O1961" s="19"/>
      <c r="P1961" s="19"/>
    </row>
    <row r="1962" spans="1:16" x14ac:dyDescent="0.25">
      <c r="A1962" s="91">
        <v>3136</v>
      </c>
      <c r="B1962" s="15">
        <v>2015</v>
      </c>
      <c r="C1962" s="1" t="s">
        <v>44</v>
      </c>
      <c r="D1962" s="1" t="s">
        <v>216</v>
      </c>
      <c r="E1962" s="15" t="s">
        <v>217</v>
      </c>
      <c r="F1962" s="15" t="s">
        <v>182</v>
      </c>
      <c r="G1962" s="16">
        <v>5045</v>
      </c>
      <c r="H1962" s="93">
        <f>'Emission Rates Net-by-Count'!$D$13</f>
        <v>1074</v>
      </c>
      <c r="I1962" s="16">
        <f t="shared" si="80"/>
        <v>2709.165</v>
      </c>
      <c r="K1962" s="17" t="s">
        <v>238</v>
      </c>
      <c r="M1962" s="19"/>
      <c r="N1962" s="19"/>
      <c r="O1962" s="19"/>
      <c r="P1962" s="19"/>
    </row>
    <row r="1963" spans="1:16" x14ac:dyDescent="0.25">
      <c r="A1963" s="91">
        <v>3137</v>
      </c>
      <c r="B1963" s="15">
        <v>2015</v>
      </c>
      <c r="C1963" s="1" t="s">
        <v>44</v>
      </c>
      <c r="D1963" s="1" t="s">
        <v>216</v>
      </c>
      <c r="E1963" s="15" t="s">
        <v>217</v>
      </c>
      <c r="F1963" s="15" t="s">
        <v>59</v>
      </c>
      <c r="G1963" s="16">
        <v>2021</v>
      </c>
      <c r="H1963" s="93">
        <f>'Emission Rates Net-by-Count'!$D$13</f>
        <v>1074</v>
      </c>
      <c r="I1963" s="16">
        <f t="shared" si="80"/>
        <v>1085.277</v>
      </c>
      <c r="K1963" s="17" t="s">
        <v>238</v>
      </c>
      <c r="M1963" s="19"/>
      <c r="N1963" s="19"/>
      <c r="O1963" s="19"/>
      <c r="P1963" s="19"/>
    </row>
    <row r="1964" spans="1:16" x14ac:dyDescent="0.25">
      <c r="A1964" s="91">
        <v>3138</v>
      </c>
      <c r="B1964" s="15">
        <v>2015</v>
      </c>
      <c r="C1964" s="1" t="s">
        <v>44</v>
      </c>
      <c r="D1964" s="1" t="s">
        <v>216</v>
      </c>
      <c r="E1964" s="15" t="s">
        <v>217</v>
      </c>
      <c r="F1964" s="15" t="s">
        <v>60</v>
      </c>
      <c r="G1964" s="16">
        <v>2000</v>
      </c>
      <c r="H1964" s="93">
        <f>'Emission Rates Net-by-Count'!$D$13</f>
        <v>1074</v>
      </c>
      <c r="I1964" s="16">
        <f t="shared" si="80"/>
        <v>1074</v>
      </c>
      <c r="K1964" s="17" t="s">
        <v>238</v>
      </c>
      <c r="M1964" s="19"/>
      <c r="N1964" s="19"/>
      <c r="O1964" s="19"/>
      <c r="P1964" s="19"/>
    </row>
    <row r="1965" spans="1:16" x14ac:dyDescent="0.25">
      <c r="A1965" s="91">
        <v>3139</v>
      </c>
      <c r="B1965" s="15">
        <v>2015</v>
      </c>
      <c r="C1965" s="1" t="s">
        <v>44</v>
      </c>
      <c r="D1965" s="1" t="s">
        <v>216</v>
      </c>
      <c r="E1965" s="15" t="s">
        <v>217</v>
      </c>
      <c r="F1965" s="15" t="s">
        <v>61</v>
      </c>
      <c r="G1965" s="16">
        <v>7</v>
      </c>
      <c r="H1965" s="93">
        <f>'Emission Rates Net-by-Count'!$D$13</f>
        <v>1074</v>
      </c>
      <c r="I1965" s="16">
        <f t="shared" si="80"/>
        <v>3.7589999999999999</v>
      </c>
      <c r="K1965" s="17" t="s">
        <v>238</v>
      </c>
      <c r="M1965" s="19"/>
      <c r="N1965" s="19"/>
      <c r="O1965" s="19"/>
      <c r="P1965" s="19"/>
    </row>
    <row r="1966" spans="1:16" x14ac:dyDescent="0.25">
      <c r="A1966" s="91">
        <v>3140</v>
      </c>
      <c r="B1966" s="15">
        <v>2015</v>
      </c>
      <c r="C1966" s="1" t="s">
        <v>44</v>
      </c>
      <c r="D1966" s="1" t="s">
        <v>216</v>
      </c>
      <c r="E1966" s="15" t="s">
        <v>217</v>
      </c>
      <c r="F1966" s="15" t="s">
        <v>62</v>
      </c>
      <c r="G1966" s="16">
        <v>271759</v>
      </c>
      <c r="H1966" s="93">
        <f>'Emission Rates Net-by-Count'!$D$13</f>
        <v>1074</v>
      </c>
      <c r="I1966" s="16">
        <f t="shared" si="80"/>
        <v>145934.58300000001</v>
      </c>
      <c r="K1966" s="17" t="s">
        <v>238</v>
      </c>
      <c r="M1966" s="19"/>
      <c r="N1966" s="19"/>
      <c r="O1966" s="19"/>
      <c r="P1966" s="19"/>
    </row>
    <row r="1967" spans="1:16" x14ac:dyDescent="0.25">
      <c r="A1967" s="91">
        <v>3141</v>
      </c>
      <c r="B1967" s="15">
        <v>2015</v>
      </c>
      <c r="C1967" s="1" t="s">
        <v>44</v>
      </c>
      <c r="D1967" s="1" t="s">
        <v>216</v>
      </c>
      <c r="E1967" s="15" t="s">
        <v>217</v>
      </c>
      <c r="F1967" s="15" t="s">
        <v>183</v>
      </c>
      <c r="G1967" s="16">
        <v>0</v>
      </c>
      <c r="H1967" s="93">
        <f>'Emission Rates Net-by-Count'!$D$13</f>
        <v>1074</v>
      </c>
      <c r="I1967" s="16">
        <f t="shared" si="80"/>
        <v>0</v>
      </c>
      <c r="K1967" s="17" t="s">
        <v>238</v>
      </c>
      <c r="M1967" s="19"/>
      <c r="N1967" s="19"/>
      <c r="O1967" s="19"/>
      <c r="P1967" s="19"/>
    </row>
    <row r="1968" spans="1:16" x14ac:dyDescent="0.25">
      <c r="A1968" s="91">
        <v>3142</v>
      </c>
      <c r="B1968" s="15">
        <v>2015</v>
      </c>
      <c r="C1968" s="1" t="s">
        <v>44</v>
      </c>
      <c r="D1968" s="1" t="s">
        <v>216</v>
      </c>
      <c r="E1968" s="15" t="s">
        <v>217</v>
      </c>
      <c r="F1968" s="15" t="s">
        <v>165</v>
      </c>
      <c r="G1968" s="16">
        <v>2085606</v>
      </c>
      <c r="H1968" s="93">
        <f>'Emission Rates Net-by-Count'!$D$13</f>
        <v>1074</v>
      </c>
      <c r="I1968" s="16">
        <f t="shared" si="80"/>
        <v>1119970.422</v>
      </c>
      <c r="K1968" s="17" t="s">
        <v>238</v>
      </c>
      <c r="M1968" s="19"/>
      <c r="N1968" s="19"/>
      <c r="O1968" s="19"/>
      <c r="P1968" s="19"/>
    </row>
    <row r="1969" spans="1:16" x14ac:dyDescent="0.25">
      <c r="A1969" s="91">
        <v>3143</v>
      </c>
      <c r="B1969" s="15">
        <v>2015</v>
      </c>
      <c r="C1969" s="1" t="s">
        <v>44</v>
      </c>
      <c r="D1969" s="1" t="s">
        <v>216</v>
      </c>
      <c r="E1969" s="15" t="s">
        <v>217</v>
      </c>
      <c r="F1969" s="15" t="s">
        <v>63</v>
      </c>
      <c r="G1969" s="16">
        <v>990</v>
      </c>
      <c r="H1969" s="93">
        <f>'Emission Rates Net-by-Count'!$D$13</f>
        <v>1074</v>
      </c>
      <c r="I1969" s="16">
        <f t="shared" si="80"/>
        <v>531.63</v>
      </c>
      <c r="K1969" s="17" t="s">
        <v>238</v>
      </c>
      <c r="M1969" s="19"/>
      <c r="N1969" s="19"/>
      <c r="O1969" s="19"/>
      <c r="P1969" s="19"/>
    </row>
    <row r="1970" spans="1:16" x14ac:dyDescent="0.25">
      <c r="A1970" s="91">
        <v>3144</v>
      </c>
      <c r="B1970" s="15">
        <v>2015</v>
      </c>
      <c r="C1970" s="1" t="s">
        <v>44</v>
      </c>
      <c r="D1970" s="1" t="s">
        <v>216</v>
      </c>
      <c r="E1970" s="15" t="s">
        <v>217</v>
      </c>
      <c r="F1970" s="15" t="s">
        <v>65</v>
      </c>
      <c r="G1970" s="16">
        <v>10905</v>
      </c>
      <c r="H1970" s="93">
        <f>'Emission Rates Net-by-Count'!$D$13</f>
        <v>1074</v>
      </c>
      <c r="I1970" s="16">
        <f t="shared" si="80"/>
        <v>5855.9849999999997</v>
      </c>
      <c r="K1970" s="17" t="s">
        <v>238</v>
      </c>
      <c r="M1970" s="19"/>
      <c r="N1970" s="19"/>
      <c r="O1970" s="19"/>
      <c r="P1970" s="19"/>
    </row>
    <row r="1971" spans="1:16" x14ac:dyDescent="0.25">
      <c r="A1971" s="91">
        <v>3145</v>
      </c>
      <c r="B1971" s="15">
        <v>2015</v>
      </c>
      <c r="C1971" s="1" t="s">
        <v>44</v>
      </c>
      <c r="D1971" s="1" t="s">
        <v>216</v>
      </c>
      <c r="E1971" s="15" t="s">
        <v>217</v>
      </c>
      <c r="F1971" s="15" t="s">
        <v>202</v>
      </c>
      <c r="G1971" s="16">
        <v>0</v>
      </c>
      <c r="H1971" s="93">
        <f>'Emission Rates Net-by-Count'!$D$13</f>
        <v>1074</v>
      </c>
      <c r="I1971" s="16">
        <f t="shared" si="80"/>
        <v>0</v>
      </c>
      <c r="K1971" s="17" t="s">
        <v>238</v>
      </c>
      <c r="M1971" s="19"/>
      <c r="N1971" s="19"/>
      <c r="O1971" s="19"/>
      <c r="P1971" s="19"/>
    </row>
    <row r="1972" spans="1:16" x14ac:dyDescent="0.25">
      <c r="A1972" s="91">
        <v>3146</v>
      </c>
      <c r="B1972" s="15">
        <v>2015</v>
      </c>
      <c r="C1972" s="1" t="s">
        <v>44</v>
      </c>
      <c r="D1972" s="1" t="s">
        <v>216</v>
      </c>
      <c r="E1972" s="15" t="s">
        <v>217</v>
      </c>
      <c r="F1972" s="15" t="s">
        <v>184</v>
      </c>
      <c r="G1972" s="16">
        <v>183085</v>
      </c>
      <c r="H1972" s="93">
        <f>'Emission Rates Net-by-Count'!$D$13</f>
        <v>1074</v>
      </c>
      <c r="I1972" s="16">
        <f t="shared" si="80"/>
        <v>98316.645000000004</v>
      </c>
      <c r="K1972" s="17" t="s">
        <v>238</v>
      </c>
      <c r="M1972" s="19"/>
      <c r="N1972" s="19"/>
      <c r="O1972" s="19"/>
      <c r="P1972" s="19"/>
    </row>
    <row r="1973" spans="1:16" x14ac:dyDescent="0.25">
      <c r="A1973" s="91">
        <v>3147</v>
      </c>
      <c r="B1973" s="15">
        <v>2015</v>
      </c>
      <c r="C1973" s="1" t="s">
        <v>44</v>
      </c>
      <c r="D1973" s="1" t="s">
        <v>216</v>
      </c>
      <c r="E1973" s="15" t="s">
        <v>217</v>
      </c>
      <c r="F1973" s="15" t="s">
        <v>67</v>
      </c>
      <c r="G1973" s="16">
        <v>14148</v>
      </c>
      <c r="H1973" s="93">
        <f>'Emission Rates Net-by-Count'!$D$13</f>
        <v>1074</v>
      </c>
      <c r="I1973" s="16">
        <f t="shared" si="80"/>
        <v>7597.4759999999997</v>
      </c>
      <c r="K1973" s="17" t="s">
        <v>238</v>
      </c>
      <c r="M1973" s="19"/>
      <c r="N1973" s="19"/>
      <c r="O1973" s="19"/>
      <c r="P1973" s="19"/>
    </row>
    <row r="1974" spans="1:16" x14ac:dyDescent="0.25">
      <c r="A1974" s="91">
        <v>3148</v>
      </c>
      <c r="B1974" s="15">
        <v>2015</v>
      </c>
      <c r="C1974" s="1" t="s">
        <v>44</v>
      </c>
      <c r="D1974" s="1" t="s">
        <v>216</v>
      </c>
      <c r="E1974" s="15" t="s">
        <v>217</v>
      </c>
      <c r="F1974" s="15" t="s">
        <v>69</v>
      </c>
      <c r="G1974" s="16">
        <v>677785</v>
      </c>
      <c r="H1974" s="93">
        <f>'Emission Rates Net-by-Count'!$D$13</f>
        <v>1074</v>
      </c>
      <c r="I1974" s="16">
        <f t="shared" si="80"/>
        <v>363970.54499999998</v>
      </c>
      <c r="K1974" s="17" t="s">
        <v>238</v>
      </c>
      <c r="M1974" s="19"/>
      <c r="N1974" s="19"/>
      <c r="O1974" s="19"/>
      <c r="P1974" s="19"/>
    </row>
    <row r="1975" spans="1:16" x14ac:dyDescent="0.25">
      <c r="A1975" s="91">
        <v>3149</v>
      </c>
      <c r="B1975" s="15">
        <v>2015</v>
      </c>
      <c r="C1975" s="1" t="s">
        <v>44</v>
      </c>
      <c r="D1975" s="1" t="s">
        <v>216</v>
      </c>
      <c r="E1975" s="15" t="s">
        <v>217</v>
      </c>
      <c r="F1975" s="15" t="s">
        <v>71</v>
      </c>
      <c r="G1975" s="16">
        <v>14768</v>
      </c>
      <c r="H1975" s="93">
        <f>'Emission Rates Net-by-Count'!$D$13</f>
        <v>1074</v>
      </c>
      <c r="I1975" s="16">
        <f t="shared" si="80"/>
        <v>7930.4160000000002</v>
      </c>
      <c r="K1975" s="17" t="s">
        <v>238</v>
      </c>
      <c r="M1975" s="19"/>
      <c r="N1975" s="19"/>
      <c r="O1975" s="19"/>
      <c r="P1975" s="19"/>
    </row>
    <row r="1976" spans="1:16" x14ac:dyDescent="0.25">
      <c r="A1976" s="91">
        <v>3150</v>
      </c>
      <c r="B1976" s="15">
        <v>2015</v>
      </c>
      <c r="C1976" s="1" t="s">
        <v>44</v>
      </c>
      <c r="D1976" s="1" t="s">
        <v>216</v>
      </c>
      <c r="E1976" s="15" t="s">
        <v>217</v>
      </c>
      <c r="F1976" s="15" t="s">
        <v>72</v>
      </c>
      <c r="G1976" s="16">
        <v>10400</v>
      </c>
      <c r="H1976" s="93">
        <f>'Emission Rates Net-by-Count'!$D$13</f>
        <v>1074</v>
      </c>
      <c r="I1976" s="16">
        <f t="shared" si="80"/>
        <v>5584.8</v>
      </c>
      <c r="K1976" s="17" t="s">
        <v>238</v>
      </c>
      <c r="M1976" s="19"/>
      <c r="N1976" s="19"/>
      <c r="O1976" s="19"/>
      <c r="P1976" s="19"/>
    </row>
    <row r="1977" spans="1:16" x14ac:dyDescent="0.25">
      <c r="A1977" s="91">
        <v>3151</v>
      </c>
      <c r="B1977" s="15">
        <v>2015</v>
      </c>
      <c r="C1977" s="1" t="s">
        <v>44</v>
      </c>
      <c r="D1977" s="1" t="s">
        <v>216</v>
      </c>
      <c r="E1977" s="15" t="s">
        <v>217</v>
      </c>
      <c r="F1977" s="15" t="s">
        <v>133</v>
      </c>
      <c r="G1977" s="16">
        <v>67092</v>
      </c>
      <c r="H1977" s="93">
        <f>'Emission Rates Net-by-Count'!$D$13</f>
        <v>1074</v>
      </c>
      <c r="I1977" s="16">
        <f t="shared" si="80"/>
        <v>36028.404000000002</v>
      </c>
      <c r="K1977" s="17" t="s">
        <v>238</v>
      </c>
      <c r="M1977" s="19"/>
      <c r="N1977" s="19"/>
      <c r="O1977" s="19"/>
      <c r="P1977" s="19"/>
    </row>
    <row r="1978" spans="1:16" x14ac:dyDescent="0.25">
      <c r="A1978" s="91">
        <v>3153</v>
      </c>
      <c r="B1978" s="15">
        <v>2015</v>
      </c>
      <c r="C1978" s="1" t="s">
        <v>44</v>
      </c>
      <c r="D1978" s="1" t="s">
        <v>216</v>
      </c>
      <c r="E1978" s="15" t="s">
        <v>217</v>
      </c>
      <c r="F1978" s="15" t="s">
        <v>78</v>
      </c>
      <c r="G1978" s="16">
        <v>1304649</v>
      </c>
      <c r="H1978" s="93">
        <f>'Emission Rates Net-by-Count'!$D$13</f>
        <v>1074</v>
      </c>
      <c r="I1978" s="16">
        <f t="shared" si="80"/>
        <v>700596.51300000004</v>
      </c>
      <c r="K1978" s="17" t="s">
        <v>238</v>
      </c>
      <c r="M1978" s="19"/>
      <c r="N1978" s="19"/>
      <c r="O1978" s="19"/>
      <c r="P1978" s="19"/>
    </row>
    <row r="1979" spans="1:16" x14ac:dyDescent="0.25">
      <c r="A1979" s="91">
        <v>3154</v>
      </c>
      <c r="B1979" s="15">
        <v>2015</v>
      </c>
      <c r="C1979" s="1" t="s">
        <v>44</v>
      </c>
      <c r="D1979" s="1" t="s">
        <v>216</v>
      </c>
      <c r="E1979" s="15" t="s">
        <v>217</v>
      </c>
      <c r="F1979" s="15" t="s">
        <v>172</v>
      </c>
      <c r="G1979" s="16">
        <v>0</v>
      </c>
      <c r="H1979" s="93">
        <f>'Emission Rates Net-by-Count'!$D$13</f>
        <v>1074</v>
      </c>
      <c r="I1979" s="16">
        <f t="shared" ref="I1979:I2010" si="81">(G1979*H1979)/2000</f>
        <v>0</v>
      </c>
      <c r="K1979" s="17" t="s">
        <v>238</v>
      </c>
      <c r="M1979" s="19"/>
      <c r="N1979" s="19"/>
      <c r="O1979" s="19"/>
      <c r="P1979" s="19"/>
    </row>
    <row r="1980" spans="1:16" x14ac:dyDescent="0.25">
      <c r="A1980" s="91">
        <v>3155</v>
      </c>
      <c r="B1980" s="15">
        <v>2015</v>
      </c>
      <c r="C1980" s="1" t="s">
        <v>44</v>
      </c>
      <c r="D1980" s="1" t="s">
        <v>216</v>
      </c>
      <c r="E1980" s="15" t="s">
        <v>217</v>
      </c>
      <c r="F1980" s="15" t="s">
        <v>173</v>
      </c>
      <c r="G1980" s="16">
        <v>113998</v>
      </c>
      <c r="H1980" s="93">
        <f>'Emission Rates Net-by-Count'!$D$13</f>
        <v>1074</v>
      </c>
      <c r="I1980" s="16">
        <f t="shared" si="81"/>
        <v>61216.925999999999</v>
      </c>
      <c r="K1980" s="17" t="s">
        <v>238</v>
      </c>
      <c r="M1980" s="19"/>
      <c r="N1980" s="19"/>
      <c r="O1980" s="19"/>
      <c r="P1980" s="19"/>
    </row>
    <row r="1981" spans="1:16" x14ac:dyDescent="0.25">
      <c r="A1981" s="91">
        <v>3156</v>
      </c>
      <c r="B1981" s="15">
        <v>2015</v>
      </c>
      <c r="C1981" s="1" t="s">
        <v>44</v>
      </c>
      <c r="D1981" s="1" t="s">
        <v>216</v>
      </c>
      <c r="E1981" s="15" t="s">
        <v>217</v>
      </c>
      <c r="F1981" s="15" t="s">
        <v>80</v>
      </c>
      <c r="G1981" s="16">
        <v>800</v>
      </c>
      <c r="H1981" s="93">
        <f>'Emission Rates Net-by-Count'!$D$13</f>
        <v>1074</v>
      </c>
      <c r="I1981" s="16">
        <f t="shared" si="81"/>
        <v>429.6</v>
      </c>
      <c r="K1981" s="17" t="s">
        <v>238</v>
      </c>
      <c r="M1981" s="19"/>
      <c r="N1981" s="19"/>
      <c r="O1981" s="19"/>
      <c r="P1981" s="19"/>
    </row>
    <row r="1982" spans="1:16" x14ac:dyDescent="0.25">
      <c r="A1982" s="91">
        <v>3157</v>
      </c>
      <c r="B1982" s="15">
        <v>2015</v>
      </c>
      <c r="C1982" s="1" t="s">
        <v>44</v>
      </c>
      <c r="D1982" s="1" t="s">
        <v>216</v>
      </c>
      <c r="E1982" s="15" t="s">
        <v>217</v>
      </c>
      <c r="F1982" s="15" t="s">
        <v>81</v>
      </c>
      <c r="G1982" s="16">
        <v>300</v>
      </c>
      <c r="H1982" s="93">
        <f>'Emission Rates Net-by-Count'!$D$13</f>
        <v>1074</v>
      </c>
      <c r="I1982" s="16">
        <f t="shared" si="81"/>
        <v>161.1</v>
      </c>
      <c r="K1982" s="17" t="s">
        <v>238</v>
      </c>
      <c r="M1982" s="19"/>
      <c r="N1982" s="19"/>
      <c r="O1982" s="19"/>
      <c r="P1982" s="19"/>
    </row>
    <row r="1983" spans="1:16" x14ac:dyDescent="0.25">
      <c r="A1983" s="91">
        <v>3158</v>
      </c>
      <c r="B1983" s="15">
        <v>2015</v>
      </c>
      <c r="C1983" s="1" t="s">
        <v>44</v>
      </c>
      <c r="D1983" s="1" t="s">
        <v>216</v>
      </c>
      <c r="E1983" s="15" t="s">
        <v>217</v>
      </c>
      <c r="F1983" s="15" t="s">
        <v>82</v>
      </c>
      <c r="G1983" s="16">
        <v>10619</v>
      </c>
      <c r="H1983" s="93">
        <f>'Emission Rates Net-by-Count'!$D$13</f>
        <v>1074</v>
      </c>
      <c r="I1983" s="16">
        <f t="shared" si="81"/>
        <v>5702.4030000000002</v>
      </c>
      <c r="K1983" s="17" t="s">
        <v>238</v>
      </c>
      <c r="M1983" s="19"/>
      <c r="N1983" s="19"/>
      <c r="O1983" s="19"/>
      <c r="P1983" s="19"/>
    </row>
    <row r="1984" spans="1:16" x14ac:dyDescent="0.25">
      <c r="A1984" s="91">
        <v>3159</v>
      </c>
      <c r="B1984" s="15">
        <v>2015</v>
      </c>
      <c r="C1984" s="1" t="s">
        <v>44</v>
      </c>
      <c r="D1984" s="1" t="s">
        <v>216</v>
      </c>
      <c r="E1984" s="15" t="s">
        <v>217</v>
      </c>
      <c r="F1984" s="15" t="s">
        <v>83</v>
      </c>
      <c r="G1984" s="16">
        <v>15430</v>
      </c>
      <c r="H1984" s="93">
        <f>'Emission Rates Net-by-Count'!$D$13</f>
        <v>1074</v>
      </c>
      <c r="I1984" s="16">
        <f t="shared" si="81"/>
        <v>8285.91</v>
      </c>
      <c r="K1984" s="17" t="s">
        <v>238</v>
      </c>
      <c r="M1984" s="19"/>
      <c r="N1984" s="19"/>
      <c r="O1984" s="19"/>
      <c r="P1984" s="19"/>
    </row>
    <row r="1985" spans="1:16" x14ac:dyDescent="0.25">
      <c r="A1985" s="91">
        <v>3160</v>
      </c>
      <c r="B1985" s="15">
        <v>2015</v>
      </c>
      <c r="C1985" s="1" t="s">
        <v>44</v>
      </c>
      <c r="D1985" s="1" t="s">
        <v>216</v>
      </c>
      <c r="E1985" s="15" t="s">
        <v>217</v>
      </c>
      <c r="F1985" s="15" t="s">
        <v>85</v>
      </c>
      <c r="G1985" s="16">
        <v>26590</v>
      </c>
      <c r="H1985" s="93">
        <f>'Emission Rates Net-by-Count'!$D$13</f>
        <v>1074</v>
      </c>
      <c r="I1985" s="16">
        <f t="shared" si="81"/>
        <v>14278.83</v>
      </c>
      <c r="K1985" s="17" t="s">
        <v>238</v>
      </c>
      <c r="M1985" s="19"/>
      <c r="N1985" s="19"/>
      <c r="O1985" s="19"/>
      <c r="P1985" s="19"/>
    </row>
    <row r="1986" spans="1:16" x14ac:dyDescent="0.25">
      <c r="A1986" s="91">
        <v>3161</v>
      </c>
      <c r="B1986" s="15">
        <v>2015</v>
      </c>
      <c r="C1986" s="1" t="s">
        <v>44</v>
      </c>
      <c r="D1986" s="1" t="s">
        <v>216</v>
      </c>
      <c r="E1986" s="15" t="s">
        <v>217</v>
      </c>
      <c r="F1986" s="15" t="s">
        <v>87</v>
      </c>
      <c r="G1986" s="16">
        <v>109691</v>
      </c>
      <c r="H1986" s="93">
        <f>'Emission Rates Net-by-Count'!$D$13</f>
        <v>1074</v>
      </c>
      <c r="I1986" s="16">
        <f t="shared" si="81"/>
        <v>58904.067000000003</v>
      </c>
      <c r="K1986" s="17" t="s">
        <v>238</v>
      </c>
      <c r="M1986" s="19"/>
      <c r="N1986" s="19"/>
      <c r="O1986" s="19"/>
      <c r="P1986" s="19"/>
    </row>
    <row r="1987" spans="1:16" x14ac:dyDescent="0.25">
      <c r="A1987" s="91">
        <v>3162</v>
      </c>
      <c r="B1987" s="15">
        <v>2015</v>
      </c>
      <c r="C1987" s="1" t="s">
        <v>44</v>
      </c>
      <c r="D1987" s="1" t="s">
        <v>216</v>
      </c>
      <c r="E1987" s="15" t="s">
        <v>217</v>
      </c>
      <c r="F1987" s="15" t="s">
        <v>88</v>
      </c>
      <c r="G1987" s="16">
        <v>144388</v>
      </c>
      <c r="H1987" s="93">
        <f>'Emission Rates Net-by-Count'!$D$13</f>
        <v>1074</v>
      </c>
      <c r="I1987" s="16">
        <f t="shared" si="81"/>
        <v>77536.356</v>
      </c>
      <c r="K1987" s="17" t="s">
        <v>238</v>
      </c>
      <c r="M1987" s="19"/>
      <c r="N1987" s="19"/>
      <c r="O1987" s="19"/>
      <c r="P1987" s="19"/>
    </row>
    <row r="1988" spans="1:16" x14ac:dyDescent="0.25">
      <c r="A1988" s="91">
        <v>3163</v>
      </c>
      <c r="B1988" s="15">
        <v>2015</v>
      </c>
      <c r="C1988" s="1" t="s">
        <v>44</v>
      </c>
      <c r="D1988" s="1" t="s">
        <v>216</v>
      </c>
      <c r="E1988" s="15" t="s">
        <v>217</v>
      </c>
      <c r="F1988" s="15" t="s">
        <v>90</v>
      </c>
      <c r="G1988" s="16">
        <v>800</v>
      </c>
      <c r="H1988" s="93">
        <f>'Emission Rates Net-by-Count'!$D$13</f>
        <v>1074</v>
      </c>
      <c r="I1988" s="16">
        <f t="shared" si="81"/>
        <v>429.6</v>
      </c>
      <c r="K1988" s="17" t="s">
        <v>238</v>
      </c>
      <c r="M1988" s="19"/>
      <c r="N1988" s="19"/>
      <c r="O1988" s="19"/>
      <c r="P1988" s="19"/>
    </row>
    <row r="1989" spans="1:16" x14ac:dyDescent="0.25">
      <c r="A1989" s="91">
        <v>3164</v>
      </c>
      <c r="B1989" s="15">
        <v>2015</v>
      </c>
      <c r="C1989" s="1" t="s">
        <v>44</v>
      </c>
      <c r="D1989" s="1" t="s">
        <v>216</v>
      </c>
      <c r="E1989" s="15" t="s">
        <v>217</v>
      </c>
      <c r="F1989" s="15" t="s">
        <v>91</v>
      </c>
      <c r="G1989" s="16">
        <v>12393</v>
      </c>
      <c r="H1989" s="93">
        <f>'Emission Rates Net-by-Count'!$D$13</f>
        <v>1074</v>
      </c>
      <c r="I1989" s="16">
        <f t="shared" si="81"/>
        <v>6655.0410000000002</v>
      </c>
      <c r="K1989" s="17" t="s">
        <v>238</v>
      </c>
      <c r="M1989" s="19"/>
      <c r="N1989" s="19"/>
      <c r="O1989" s="19"/>
      <c r="P1989" s="19"/>
    </row>
    <row r="1990" spans="1:16" x14ac:dyDescent="0.25">
      <c r="A1990" s="91">
        <v>3165</v>
      </c>
      <c r="B1990" s="15">
        <v>2015</v>
      </c>
      <c r="C1990" s="1" t="s">
        <v>44</v>
      </c>
      <c r="D1990" s="1" t="s">
        <v>216</v>
      </c>
      <c r="E1990" s="15" t="s">
        <v>217</v>
      </c>
      <c r="F1990" s="15" t="s">
        <v>93</v>
      </c>
      <c r="G1990" s="16">
        <v>5966</v>
      </c>
      <c r="H1990" s="93">
        <f>'Emission Rates Net-by-Count'!$D$13</f>
        <v>1074</v>
      </c>
      <c r="I1990" s="16">
        <f t="shared" si="81"/>
        <v>3203.7420000000002</v>
      </c>
      <c r="K1990" s="17" t="s">
        <v>238</v>
      </c>
      <c r="M1990" s="19"/>
      <c r="N1990" s="19"/>
      <c r="O1990" s="19"/>
      <c r="P1990" s="19"/>
    </row>
    <row r="1991" spans="1:16" x14ac:dyDescent="0.25">
      <c r="A1991" s="91">
        <v>3166</v>
      </c>
      <c r="B1991" s="15">
        <v>2015</v>
      </c>
      <c r="C1991" s="1" t="s">
        <v>44</v>
      </c>
      <c r="D1991" s="1" t="s">
        <v>216</v>
      </c>
      <c r="E1991" s="15" t="s">
        <v>217</v>
      </c>
      <c r="F1991" s="15" t="s">
        <v>95</v>
      </c>
      <c r="G1991" s="16">
        <v>96380</v>
      </c>
      <c r="H1991" s="93">
        <f>'Emission Rates Net-by-Count'!$D$13</f>
        <v>1074</v>
      </c>
      <c r="I1991" s="16">
        <f t="shared" si="81"/>
        <v>51756.06</v>
      </c>
      <c r="K1991" s="17" t="s">
        <v>238</v>
      </c>
      <c r="M1991" s="19"/>
      <c r="N1991" s="19"/>
      <c r="O1991" s="19"/>
      <c r="P1991" s="19"/>
    </row>
    <row r="1992" spans="1:16" x14ac:dyDescent="0.25">
      <c r="A1992" s="91">
        <v>3167</v>
      </c>
      <c r="B1992" s="15">
        <v>2015</v>
      </c>
      <c r="C1992" s="1" t="s">
        <v>44</v>
      </c>
      <c r="D1992" s="1" t="s">
        <v>216</v>
      </c>
      <c r="E1992" s="15" t="s">
        <v>217</v>
      </c>
      <c r="F1992" s="15" t="s">
        <v>97</v>
      </c>
      <c r="G1992" s="16">
        <v>309247</v>
      </c>
      <c r="H1992" s="93">
        <f>'Emission Rates Net-by-Count'!$D$13</f>
        <v>1074</v>
      </c>
      <c r="I1992" s="16">
        <f t="shared" si="81"/>
        <v>166065.639</v>
      </c>
      <c r="K1992" s="17" t="s">
        <v>238</v>
      </c>
      <c r="M1992" s="19"/>
      <c r="N1992" s="19"/>
      <c r="O1992" s="19"/>
      <c r="P1992" s="19"/>
    </row>
    <row r="1993" spans="1:16" x14ac:dyDescent="0.25">
      <c r="A1993" s="91">
        <v>3168</v>
      </c>
      <c r="B1993" s="15">
        <v>2015</v>
      </c>
      <c r="C1993" s="1" t="s">
        <v>44</v>
      </c>
      <c r="D1993" s="1" t="s">
        <v>216</v>
      </c>
      <c r="E1993" s="15" t="s">
        <v>217</v>
      </c>
      <c r="F1993" s="15" t="s">
        <v>174</v>
      </c>
      <c r="G1993" s="16">
        <v>0</v>
      </c>
      <c r="H1993" s="93">
        <f>'Emission Rates Net-by-Count'!$D$13</f>
        <v>1074</v>
      </c>
      <c r="I1993" s="16">
        <f t="shared" si="81"/>
        <v>0</v>
      </c>
      <c r="K1993" s="17" t="s">
        <v>238</v>
      </c>
      <c r="M1993" s="19"/>
      <c r="N1993" s="19"/>
      <c r="O1993" s="19"/>
      <c r="P1993" s="19"/>
    </row>
    <row r="1994" spans="1:16" x14ac:dyDescent="0.25">
      <c r="A1994" s="91">
        <v>3169</v>
      </c>
      <c r="B1994" s="15">
        <v>2015</v>
      </c>
      <c r="C1994" s="1" t="s">
        <v>44</v>
      </c>
      <c r="D1994" s="1" t="s">
        <v>216</v>
      </c>
      <c r="E1994" s="15" t="s">
        <v>217</v>
      </c>
      <c r="F1994" s="15" t="s">
        <v>100</v>
      </c>
      <c r="G1994" s="16">
        <v>18557</v>
      </c>
      <c r="H1994" s="93">
        <f>'Emission Rates Net-by-Count'!$D$13</f>
        <v>1074</v>
      </c>
      <c r="I1994" s="16">
        <f t="shared" si="81"/>
        <v>9965.1090000000004</v>
      </c>
      <c r="K1994" s="17" t="s">
        <v>238</v>
      </c>
      <c r="M1994" s="19"/>
      <c r="N1994" s="19"/>
      <c r="O1994" s="19"/>
      <c r="P1994" s="19"/>
    </row>
    <row r="1995" spans="1:16" x14ac:dyDescent="0.25">
      <c r="A1995" s="91">
        <v>3170</v>
      </c>
      <c r="B1995" s="15">
        <v>2015</v>
      </c>
      <c r="C1995" s="1" t="s">
        <v>44</v>
      </c>
      <c r="D1995" s="1" t="s">
        <v>216</v>
      </c>
      <c r="E1995" s="15" t="s">
        <v>217</v>
      </c>
      <c r="F1995" s="15" t="s">
        <v>101</v>
      </c>
      <c r="G1995" s="16">
        <v>42837</v>
      </c>
      <c r="H1995" s="93">
        <f>'Emission Rates Net-by-Count'!$D$13</f>
        <v>1074</v>
      </c>
      <c r="I1995" s="16">
        <f t="shared" si="81"/>
        <v>23003.469000000001</v>
      </c>
      <c r="K1995" s="17" t="s">
        <v>238</v>
      </c>
      <c r="M1995" s="19"/>
      <c r="N1995" s="19"/>
      <c r="O1995" s="19"/>
      <c r="P1995" s="19"/>
    </row>
    <row r="1996" spans="1:16" x14ac:dyDescent="0.25">
      <c r="A1996" s="91">
        <v>3171</v>
      </c>
      <c r="B1996" s="15">
        <v>2015</v>
      </c>
      <c r="C1996" s="1" t="s">
        <v>44</v>
      </c>
      <c r="D1996" s="1" t="s">
        <v>216</v>
      </c>
      <c r="E1996" s="15" t="s">
        <v>217</v>
      </c>
      <c r="F1996" s="15" t="s">
        <v>103</v>
      </c>
      <c r="G1996" s="16">
        <v>38385</v>
      </c>
      <c r="H1996" s="93">
        <f>'Emission Rates Net-by-Count'!$D$13</f>
        <v>1074</v>
      </c>
      <c r="I1996" s="16">
        <f t="shared" si="81"/>
        <v>20612.744999999999</v>
      </c>
      <c r="K1996" s="17" t="s">
        <v>238</v>
      </c>
      <c r="M1996" s="19"/>
      <c r="N1996" s="19"/>
      <c r="O1996" s="19"/>
      <c r="P1996" s="19"/>
    </row>
    <row r="1997" spans="1:16" x14ac:dyDescent="0.25">
      <c r="A1997" s="91">
        <v>3172</v>
      </c>
      <c r="B1997" s="15">
        <v>2015</v>
      </c>
      <c r="C1997" s="1" t="s">
        <v>44</v>
      </c>
      <c r="D1997" s="1" t="s">
        <v>216</v>
      </c>
      <c r="E1997" s="15" t="s">
        <v>217</v>
      </c>
      <c r="F1997" s="15" t="s">
        <v>152</v>
      </c>
      <c r="G1997" s="16">
        <v>242781</v>
      </c>
      <c r="H1997" s="93">
        <f>'Emission Rates Net-by-Count'!$D$13</f>
        <v>1074</v>
      </c>
      <c r="I1997" s="16">
        <f t="shared" si="81"/>
        <v>130373.397</v>
      </c>
      <c r="K1997" s="17" t="s">
        <v>238</v>
      </c>
      <c r="M1997" s="19"/>
      <c r="N1997" s="19"/>
      <c r="O1997" s="19"/>
      <c r="P1997" s="19"/>
    </row>
    <row r="1998" spans="1:16" x14ac:dyDescent="0.25">
      <c r="A1998" s="91">
        <v>3173</v>
      </c>
      <c r="B1998" s="15">
        <v>2015</v>
      </c>
      <c r="C1998" s="1" t="s">
        <v>44</v>
      </c>
      <c r="D1998" s="1" t="s">
        <v>216</v>
      </c>
      <c r="E1998" s="15" t="s">
        <v>217</v>
      </c>
      <c r="F1998" s="15" t="s">
        <v>186</v>
      </c>
      <c r="G1998" s="16">
        <v>297</v>
      </c>
      <c r="H1998" s="93">
        <f>'Emission Rates Net-by-Count'!$D$13</f>
        <v>1074</v>
      </c>
      <c r="I1998" s="16">
        <f t="shared" si="81"/>
        <v>159.489</v>
      </c>
      <c r="K1998" s="17" t="s">
        <v>238</v>
      </c>
      <c r="M1998" s="19"/>
      <c r="N1998" s="19"/>
      <c r="O1998" s="19"/>
      <c r="P1998" s="19"/>
    </row>
    <row r="1999" spans="1:16" x14ac:dyDescent="0.25">
      <c r="A1999" s="91">
        <v>3174</v>
      </c>
      <c r="B1999" s="15">
        <v>2015</v>
      </c>
      <c r="C1999" s="1" t="s">
        <v>44</v>
      </c>
      <c r="D1999" s="1" t="s">
        <v>216</v>
      </c>
      <c r="E1999" s="15" t="s">
        <v>217</v>
      </c>
      <c r="F1999" s="15" t="s">
        <v>153</v>
      </c>
      <c r="G1999" s="16">
        <v>57242</v>
      </c>
      <c r="H1999" s="93">
        <f>'Emission Rates Net-by-Count'!$D$13</f>
        <v>1074</v>
      </c>
      <c r="I1999" s="16">
        <f t="shared" si="81"/>
        <v>30738.954000000002</v>
      </c>
      <c r="K1999" s="17" t="s">
        <v>238</v>
      </c>
      <c r="M1999" s="19"/>
      <c r="N1999" s="19"/>
      <c r="O1999" s="19"/>
      <c r="P1999" s="19"/>
    </row>
    <row r="2000" spans="1:16" x14ac:dyDescent="0.25">
      <c r="A2000" s="91">
        <v>3175</v>
      </c>
      <c r="B2000" s="15">
        <v>2015</v>
      </c>
      <c r="C2000" s="1" t="s">
        <v>44</v>
      </c>
      <c r="D2000" s="1" t="s">
        <v>216</v>
      </c>
      <c r="E2000" s="15" t="s">
        <v>217</v>
      </c>
      <c r="F2000" s="15" t="s">
        <v>104</v>
      </c>
      <c r="G2000" s="16">
        <v>1275174</v>
      </c>
      <c r="H2000" s="93">
        <f>'Emission Rates Net-by-Count'!$D$13</f>
        <v>1074</v>
      </c>
      <c r="I2000" s="16">
        <f t="shared" si="81"/>
        <v>684768.43799999997</v>
      </c>
      <c r="K2000" s="17" t="s">
        <v>238</v>
      </c>
      <c r="M2000" s="19"/>
      <c r="N2000" s="19"/>
      <c r="O2000" s="19"/>
      <c r="P2000" s="19"/>
    </row>
    <row r="2001" spans="1:16" x14ac:dyDescent="0.25">
      <c r="A2001" s="91">
        <v>3176</v>
      </c>
      <c r="B2001" s="15">
        <v>2015</v>
      </c>
      <c r="C2001" s="1" t="s">
        <v>44</v>
      </c>
      <c r="D2001" s="1" t="s">
        <v>216</v>
      </c>
      <c r="E2001" s="15" t="s">
        <v>217</v>
      </c>
      <c r="F2001" s="15" t="s">
        <v>167</v>
      </c>
      <c r="G2001" s="16">
        <v>15993</v>
      </c>
      <c r="H2001" s="93">
        <f>'Emission Rates Net-by-Count'!$D$13</f>
        <v>1074</v>
      </c>
      <c r="I2001" s="16">
        <f t="shared" si="81"/>
        <v>8588.241</v>
      </c>
      <c r="K2001" s="17" t="s">
        <v>238</v>
      </c>
      <c r="M2001" s="19"/>
      <c r="N2001" s="19"/>
      <c r="O2001" s="19"/>
      <c r="P2001" s="19"/>
    </row>
    <row r="2002" spans="1:16" x14ac:dyDescent="0.25">
      <c r="A2002" s="91">
        <v>3177</v>
      </c>
      <c r="B2002" s="15">
        <v>2015</v>
      </c>
      <c r="C2002" s="1" t="s">
        <v>44</v>
      </c>
      <c r="D2002" s="1" t="s">
        <v>216</v>
      </c>
      <c r="E2002" s="15" t="s">
        <v>217</v>
      </c>
      <c r="F2002" s="15" t="s">
        <v>106</v>
      </c>
      <c r="G2002" s="16">
        <v>24277</v>
      </c>
      <c r="H2002" s="93">
        <f>'Emission Rates Net-by-Count'!$D$13</f>
        <v>1074</v>
      </c>
      <c r="I2002" s="16">
        <f t="shared" si="81"/>
        <v>13036.749</v>
      </c>
      <c r="K2002" s="17" t="s">
        <v>238</v>
      </c>
      <c r="M2002" s="19"/>
      <c r="N2002" s="19"/>
      <c r="O2002" s="19"/>
      <c r="P2002" s="19"/>
    </row>
    <row r="2003" spans="1:16" x14ac:dyDescent="0.25">
      <c r="A2003" s="91">
        <v>3178</v>
      </c>
      <c r="B2003" s="15">
        <v>2015</v>
      </c>
      <c r="C2003" s="1" t="s">
        <v>44</v>
      </c>
      <c r="D2003" s="1" t="s">
        <v>216</v>
      </c>
      <c r="E2003" s="15" t="s">
        <v>217</v>
      </c>
      <c r="F2003" s="15" t="s">
        <v>203</v>
      </c>
      <c r="G2003" s="16">
        <v>1563318</v>
      </c>
      <c r="H2003" s="93">
        <f>'Emission Rates Net-by-Count'!$D$13</f>
        <v>1074</v>
      </c>
      <c r="I2003" s="16">
        <f t="shared" si="81"/>
        <v>839501.76599999995</v>
      </c>
      <c r="K2003" s="17" t="s">
        <v>238</v>
      </c>
      <c r="M2003" s="19"/>
      <c r="N2003" s="19"/>
      <c r="O2003" s="19"/>
      <c r="P2003" s="19"/>
    </row>
    <row r="2004" spans="1:16" x14ac:dyDescent="0.25">
      <c r="A2004" s="91">
        <v>3179</v>
      </c>
      <c r="B2004" s="15">
        <v>2015</v>
      </c>
      <c r="C2004" s="1" t="s">
        <v>44</v>
      </c>
      <c r="D2004" s="1" t="s">
        <v>216</v>
      </c>
      <c r="E2004" s="15" t="s">
        <v>217</v>
      </c>
      <c r="F2004" s="15" t="s">
        <v>108</v>
      </c>
      <c r="G2004" s="16">
        <v>3</v>
      </c>
      <c r="H2004" s="93">
        <f>'Emission Rates Net-by-Count'!$D$13</f>
        <v>1074</v>
      </c>
      <c r="I2004" s="16">
        <f t="shared" si="81"/>
        <v>1.611</v>
      </c>
      <c r="K2004" s="17" t="s">
        <v>238</v>
      </c>
      <c r="M2004" s="19"/>
      <c r="N2004" s="19"/>
      <c r="O2004" s="19"/>
      <c r="P2004" s="19"/>
    </row>
    <row r="2005" spans="1:16" x14ac:dyDescent="0.25">
      <c r="A2005" s="91">
        <v>3180</v>
      </c>
      <c r="B2005" s="15">
        <v>2015</v>
      </c>
      <c r="C2005" s="1" t="s">
        <v>109</v>
      </c>
      <c r="D2005" s="1" t="s">
        <v>216</v>
      </c>
      <c r="E2005" s="15" t="s">
        <v>217</v>
      </c>
      <c r="F2005" s="15" t="s">
        <v>207</v>
      </c>
      <c r="G2005" s="16">
        <v>22743.040000000001</v>
      </c>
      <c r="H2005" s="93">
        <f>'Emission Rates Net-by-Count'!$D$13</f>
        <v>1074</v>
      </c>
      <c r="I2005" s="16">
        <f t="shared" si="81"/>
        <v>12213.012480000001</v>
      </c>
      <c r="K2005" s="17" t="s">
        <v>302</v>
      </c>
      <c r="M2005" s="19"/>
      <c r="N2005" s="19"/>
      <c r="O2005" s="19"/>
      <c r="P2005" s="19"/>
    </row>
    <row r="2006" spans="1:16" x14ac:dyDescent="0.25">
      <c r="A2006" s="91">
        <v>3181</v>
      </c>
      <c r="B2006" s="15">
        <v>2015</v>
      </c>
      <c r="C2006" s="98" t="s">
        <v>109</v>
      </c>
      <c r="D2006" s="1" t="s">
        <v>216</v>
      </c>
      <c r="E2006" s="15" t="s">
        <v>217</v>
      </c>
      <c r="F2006" s="15" t="s">
        <v>61</v>
      </c>
      <c r="G2006" s="16">
        <v>0</v>
      </c>
      <c r="H2006" s="93">
        <f>'Emission Rates Net-by-Count'!$D$13</f>
        <v>1074</v>
      </c>
      <c r="I2006" s="16">
        <f t="shared" si="81"/>
        <v>0</v>
      </c>
      <c r="K2006" s="17" t="s">
        <v>302</v>
      </c>
      <c r="M2006" s="19"/>
      <c r="N2006" s="19"/>
      <c r="O2006" s="19"/>
      <c r="P2006" s="19"/>
    </row>
    <row r="2007" spans="1:16" x14ac:dyDescent="0.25">
      <c r="A2007" s="91">
        <v>3182</v>
      </c>
      <c r="B2007" s="15">
        <v>2015</v>
      </c>
      <c r="C2007" s="1" t="s">
        <v>113</v>
      </c>
      <c r="D2007" s="1" t="s">
        <v>216</v>
      </c>
      <c r="E2007" s="15" t="s">
        <v>217</v>
      </c>
      <c r="F2007" s="15" t="s">
        <v>111</v>
      </c>
      <c r="G2007" s="16">
        <v>413000</v>
      </c>
      <c r="H2007" s="93">
        <f>'Emission Rates Net-by-Count'!$D$13</f>
        <v>1074</v>
      </c>
      <c r="I2007" s="16">
        <f t="shared" si="81"/>
        <v>221781</v>
      </c>
      <c r="K2007" s="17" t="s">
        <v>303</v>
      </c>
      <c r="M2007" s="19"/>
      <c r="N2007" s="19"/>
      <c r="O2007" s="19"/>
      <c r="P2007" s="19"/>
    </row>
    <row r="2008" spans="1:16" x14ac:dyDescent="0.25">
      <c r="A2008" s="91">
        <v>3183</v>
      </c>
      <c r="B2008" s="15">
        <v>2015</v>
      </c>
      <c r="C2008" s="1" t="s">
        <v>44</v>
      </c>
      <c r="D2008" s="1" t="s">
        <v>216</v>
      </c>
      <c r="E2008" s="15" t="s">
        <v>217</v>
      </c>
      <c r="F2008" s="15" t="s">
        <v>242</v>
      </c>
      <c r="G2008" s="16">
        <v>52886.561999999998</v>
      </c>
      <c r="H2008" s="93">
        <f>'Emission Rates Net-by-Count'!$D$13</f>
        <v>1074</v>
      </c>
      <c r="I2008" s="16">
        <f t="shared" si="81"/>
        <v>28400.083793999998</v>
      </c>
      <c r="K2008" s="17" t="s">
        <v>243</v>
      </c>
      <c r="M2008" s="19"/>
      <c r="N2008" s="19"/>
      <c r="O2008" s="19"/>
      <c r="P2008" s="19"/>
    </row>
    <row r="2009" spans="1:16" x14ac:dyDescent="0.25">
      <c r="A2009" s="91">
        <v>3184</v>
      </c>
      <c r="B2009" s="15">
        <v>2015</v>
      </c>
      <c r="C2009" s="1" t="s">
        <v>113</v>
      </c>
      <c r="D2009" s="1" t="s">
        <v>216</v>
      </c>
      <c r="E2009" s="15" t="s">
        <v>217</v>
      </c>
      <c r="F2009" s="15" t="s">
        <v>111</v>
      </c>
      <c r="G2009" s="16">
        <v>-413000</v>
      </c>
      <c r="H2009" s="93">
        <f>'Emission Rates Net-by-Count'!$D$13</f>
        <v>1074</v>
      </c>
      <c r="I2009" s="16">
        <f t="shared" si="81"/>
        <v>-221781</v>
      </c>
      <c r="K2009" s="17" t="s">
        <v>303</v>
      </c>
      <c r="M2009" s="19"/>
      <c r="N2009" s="19"/>
      <c r="O2009" s="19"/>
      <c r="P2009" s="19"/>
    </row>
    <row r="2010" spans="1:16" x14ac:dyDescent="0.25">
      <c r="A2010" s="91">
        <v>3185</v>
      </c>
      <c r="B2010" s="15">
        <v>2015</v>
      </c>
      <c r="C2010" s="1" t="s">
        <v>120</v>
      </c>
      <c r="D2010" s="1" t="s">
        <v>216</v>
      </c>
      <c r="E2010" s="15" t="s">
        <v>217</v>
      </c>
      <c r="F2010" s="15" t="s">
        <v>47</v>
      </c>
      <c r="G2010" s="16">
        <v>-59334</v>
      </c>
      <c r="H2010" s="93">
        <f>'Emission Rates Net-by-Count'!$D$13</f>
        <v>1074</v>
      </c>
      <c r="I2010" s="16">
        <f t="shared" si="81"/>
        <v>-31862.358</v>
      </c>
      <c r="K2010" s="17" t="s">
        <v>244</v>
      </c>
      <c r="M2010" s="19"/>
      <c r="N2010" s="19"/>
      <c r="O2010" s="19"/>
      <c r="P2010" s="19"/>
    </row>
    <row r="2011" spans="1:16" x14ac:dyDescent="0.25">
      <c r="A2011" s="91">
        <v>3186</v>
      </c>
      <c r="B2011" s="15">
        <v>2015</v>
      </c>
      <c r="C2011" s="1" t="s">
        <v>120</v>
      </c>
      <c r="D2011" s="1" t="s">
        <v>216</v>
      </c>
      <c r="E2011" s="15" t="s">
        <v>217</v>
      </c>
      <c r="F2011" s="15" t="s">
        <v>50</v>
      </c>
      <c r="G2011" s="16">
        <v>-30</v>
      </c>
      <c r="H2011" s="93">
        <f>'Emission Rates Net-by-Count'!$D$13</f>
        <v>1074</v>
      </c>
      <c r="I2011" s="16">
        <f t="shared" ref="I2011:I2042" si="82">(G2011*H2011)/2000</f>
        <v>-16.11</v>
      </c>
      <c r="K2011" s="17" t="s">
        <v>244</v>
      </c>
      <c r="M2011" s="19"/>
      <c r="N2011" s="19"/>
      <c r="O2011" s="19"/>
      <c r="P2011" s="19"/>
    </row>
    <row r="2012" spans="1:16" x14ac:dyDescent="0.25">
      <c r="A2012" s="91">
        <v>3187</v>
      </c>
      <c r="B2012" s="15">
        <v>2015</v>
      </c>
      <c r="C2012" s="1" t="s">
        <v>120</v>
      </c>
      <c r="D2012" s="1" t="s">
        <v>216</v>
      </c>
      <c r="E2012" s="15" t="s">
        <v>217</v>
      </c>
      <c r="F2012" s="15" t="s">
        <v>51</v>
      </c>
      <c r="G2012" s="16">
        <v>5724128</v>
      </c>
      <c r="H2012" s="93">
        <f>'Emission Rates Net-by-Count'!$D$13</f>
        <v>1074</v>
      </c>
      <c r="I2012" s="16">
        <f t="shared" si="82"/>
        <v>3073856.736</v>
      </c>
      <c r="K2012" s="17" t="s">
        <v>244</v>
      </c>
      <c r="M2012" s="19"/>
      <c r="N2012" s="19"/>
      <c r="O2012" s="19"/>
      <c r="P2012" s="19"/>
    </row>
    <row r="2013" spans="1:16" x14ac:dyDescent="0.25">
      <c r="A2013" s="91">
        <v>3188</v>
      </c>
      <c r="B2013" s="15">
        <v>2015</v>
      </c>
      <c r="C2013" s="1" t="s">
        <v>120</v>
      </c>
      <c r="D2013" s="1" t="s">
        <v>216</v>
      </c>
      <c r="E2013" s="15" t="s">
        <v>217</v>
      </c>
      <c r="F2013" s="15" t="s">
        <v>52</v>
      </c>
      <c r="G2013" s="16">
        <v>-303763</v>
      </c>
      <c r="H2013" s="93">
        <f>'Emission Rates Net-by-Count'!$D$13</f>
        <v>1074</v>
      </c>
      <c r="I2013" s="16">
        <f t="shared" si="82"/>
        <v>-163120.731</v>
      </c>
      <c r="K2013" s="17" t="s">
        <v>244</v>
      </c>
      <c r="M2013" s="19"/>
      <c r="N2013" s="19"/>
      <c r="O2013" s="19"/>
      <c r="P2013" s="19"/>
    </row>
    <row r="2014" spans="1:16" x14ac:dyDescent="0.25">
      <c r="A2014" s="91">
        <v>3189</v>
      </c>
      <c r="B2014" s="15">
        <v>2015</v>
      </c>
      <c r="C2014" s="1" t="s">
        <v>120</v>
      </c>
      <c r="D2014" s="1" t="s">
        <v>216</v>
      </c>
      <c r="E2014" s="15" t="s">
        <v>217</v>
      </c>
      <c r="F2014" s="15" t="s">
        <v>21</v>
      </c>
      <c r="G2014" s="16">
        <v>-284002</v>
      </c>
      <c r="H2014" s="93">
        <f>'Emission Rates Net-by-Count'!$D$13</f>
        <v>1074</v>
      </c>
      <c r="I2014" s="16">
        <f t="shared" si="82"/>
        <v>-152509.07399999999</v>
      </c>
      <c r="K2014" s="17" t="s">
        <v>244</v>
      </c>
      <c r="M2014" s="19"/>
      <c r="N2014" s="19"/>
      <c r="O2014" s="19"/>
      <c r="P2014" s="19"/>
    </row>
    <row r="2015" spans="1:16" x14ac:dyDescent="0.25">
      <c r="A2015" s="91">
        <v>3190</v>
      </c>
      <c r="B2015" s="15">
        <v>2015</v>
      </c>
      <c r="C2015" s="1" t="s">
        <v>120</v>
      </c>
      <c r="D2015" s="1" t="s">
        <v>216</v>
      </c>
      <c r="E2015" s="15" t="s">
        <v>217</v>
      </c>
      <c r="F2015" s="15" t="s">
        <v>143</v>
      </c>
      <c r="G2015" s="16">
        <v>-28</v>
      </c>
      <c r="H2015" s="93">
        <f>'Emission Rates Net-by-Count'!$D$13</f>
        <v>1074</v>
      </c>
      <c r="I2015" s="16">
        <f t="shared" si="82"/>
        <v>-15.036</v>
      </c>
      <c r="K2015" s="17" t="s">
        <v>244</v>
      </c>
      <c r="M2015" s="19"/>
      <c r="N2015" s="19"/>
      <c r="O2015" s="19"/>
      <c r="P2015" s="19"/>
    </row>
    <row r="2016" spans="1:16" x14ac:dyDescent="0.25">
      <c r="A2016" s="91">
        <v>3191</v>
      </c>
      <c r="B2016" s="15">
        <v>2015</v>
      </c>
      <c r="C2016" s="1" t="s">
        <v>120</v>
      </c>
      <c r="D2016" s="1" t="s">
        <v>216</v>
      </c>
      <c r="E2016" s="15" t="s">
        <v>217</v>
      </c>
      <c r="F2016" s="15" t="s">
        <v>55</v>
      </c>
      <c r="G2016" s="16">
        <v>-117995</v>
      </c>
      <c r="H2016" s="93">
        <f>'Emission Rates Net-by-Count'!$D$13</f>
        <v>1074</v>
      </c>
      <c r="I2016" s="16">
        <f t="shared" si="82"/>
        <v>-63363.315000000002</v>
      </c>
      <c r="K2016" s="17" t="s">
        <v>244</v>
      </c>
      <c r="M2016" s="19"/>
      <c r="N2016" s="19"/>
      <c r="O2016" s="19"/>
      <c r="P2016" s="19"/>
    </row>
    <row r="2017" spans="1:16" x14ac:dyDescent="0.25">
      <c r="A2017" s="91">
        <v>3192</v>
      </c>
      <c r="B2017" s="15">
        <v>2015</v>
      </c>
      <c r="C2017" s="1" t="s">
        <v>120</v>
      </c>
      <c r="D2017" s="1" t="s">
        <v>216</v>
      </c>
      <c r="E2017" s="15" t="s">
        <v>217</v>
      </c>
      <c r="F2017" s="15" t="s">
        <v>56</v>
      </c>
      <c r="G2017" s="16">
        <v>-176345</v>
      </c>
      <c r="H2017" s="93">
        <f>'Emission Rates Net-by-Count'!$D$13</f>
        <v>1074</v>
      </c>
      <c r="I2017" s="16">
        <f t="shared" si="82"/>
        <v>-94697.264999999999</v>
      </c>
      <c r="K2017" s="17" t="s">
        <v>244</v>
      </c>
      <c r="M2017" s="19"/>
      <c r="N2017" s="19"/>
      <c r="O2017" s="19"/>
      <c r="P2017" s="19"/>
    </row>
    <row r="2018" spans="1:16" x14ac:dyDescent="0.25">
      <c r="A2018" s="91">
        <v>3193</v>
      </c>
      <c r="B2018" s="15">
        <v>2015</v>
      </c>
      <c r="C2018" s="1" t="s">
        <v>120</v>
      </c>
      <c r="D2018" s="1" t="s">
        <v>216</v>
      </c>
      <c r="E2018" s="15" t="s">
        <v>217</v>
      </c>
      <c r="F2018" s="15" t="s">
        <v>57</v>
      </c>
      <c r="G2018" s="16">
        <v>-4207</v>
      </c>
      <c r="H2018" s="93">
        <f>'Emission Rates Net-by-Count'!$D$13</f>
        <v>1074</v>
      </c>
      <c r="I2018" s="16">
        <f t="shared" si="82"/>
        <v>-2259.1590000000001</v>
      </c>
      <c r="K2018" s="17" t="s">
        <v>244</v>
      </c>
      <c r="M2018" s="19"/>
      <c r="N2018" s="19"/>
      <c r="O2018" s="19"/>
      <c r="P2018" s="19"/>
    </row>
    <row r="2019" spans="1:16" x14ac:dyDescent="0.25">
      <c r="A2019" s="91">
        <v>3194</v>
      </c>
      <c r="B2019" s="15">
        <v>2015</v>
      </c>
      <c r="C2019" s="1" t="s">
        <v>120</v>
      </c>
      <c r="D2019" s="1" t="s">
        <v>216</v>
      </c>
      <c r="E2019" s="15" t="s">
        <v>217</v>
      </c>
      <c r="F2019" s="15" t="s">
        <v>58</v>
      </c>
      <c r="G2019" s="16">
        <v>-327954</v>
      </c>
      <c r="H2019" s="93">
        <f>'Emission Rates Net-by-Count'!$D$13</f>
        <v>1074</v>
      </c>
      <c r="I2019" s="16">
        <f t="shared" si="82"/>
        <v>-176111.29800000001</v>
      </c>
      <c r="K2019" s="17" t="s">
        <v>244</v>
      </c>
      <c r="M2019" s="19"/>
      <c r="N2019" s="19"/>
      <c r="O2019" s="19"/>
      <c r="P2019" s="19"/>
    </row>
    <row r="2020" spans="1:16" x14ac:dyDescent="0.25">
      <c r="A2020" s="91">
        <v>3195</v>
      </c>
      <c r="B2020" s="15">
        <v>2015</v>
      </c>
      <c r="C2020" s="1" t="s">
        <v>120</v>
      </c>
      <c r="D2020" s="1" t="s">
        <v>216</v>
      </c>
      <c r="E2020" s="15" t="s">
        <v>217</v>
      </c>
      <c r="F2020" s="15" t="s">
        <v>182</v>
      </c>
      <c r="G2020" s="16">
        <v>-6032</v>
      </c>
      <c r="H2020" s="93">
        <f>'Emission Rates Net-by-Count'!$D$13</f>
        <v>1074</v>
      </c>
      <c r="I2020" s="16">
        <f t="shared" si="82"/>
        <v>-3239.1840000000002</v>
      </c>
      <c r="K2020" s="17" t="s">
        <v>244</v>
      </c>
      <c r="M2020" s="19"/>
      <c r="N2020" s="19"/>
      <c r="O2020" s="19"/>
      <c r="P2020" s="19"/>
    </row>
    <row r="2021" spans="1:16" x14ac:dyDescent="0.25">
      <c r="A2021" s="91">
        <v>3196</v>
      </c>
      <c r="B2021" s="15">
        <v>2015</v>
      </c>
      <c r="C2021" s="1" t="s">
        <v>120</v>
      </c>
      <c r="D2021" s="1" t="s">
        <v>216</v>
      </c>
      <c r="E2021" s="15" t="s">
        <v>217</v>
      </c>
      <c r="F2021" s="15" t="s">
        <v>59</v>
      </c>
      <c r="G2021" s="16">
        <v>-3692</v>
      </c>
      <c r="H2021" s="93">
        <f>'Emission Rates Net-by-Count'!$D$13</f>
        <v>1074</v>
      </c>
      <c r="I2021" s="16">
        <f t="shared" si="82"/>
        <v>-1982.604</v>
      </c>
      <c r="K2021" s="17" t="s">
        <v>244</v>
      </c>
      <c r="M2021" s="19"/>
      <c r="N2021" s="19"/>
      <c r="O2021" s="19"/>
      <c r="P2021" s="19"/>
    </row>
    <row r="2022" spans="1:16" x14ac:dyDescent="0.25">
      <c r="A2022" s="91">
        <v>3197</v>
      </c>
      <c r="B2022" s="15">
        <v>2015</v>
      </c>
      <c r="C2022" s="1" t="s">
        <v>120</v>
      </c>
      <c r="D2022" s="1" t="s">
        <v>216</v>
      </c>
      <c r="E2022" s="15" t="s">
        <v>217</v>
      </c>
      <c r="F2022" s="15" t="s">
        <v>60</v>
      </c>
      <c r="G2022" s="16">
        <v>-5200</v>
      </c>
      <c r="H2022" s="93">
        <f>'Emission Rates Net-by-Count'!$D$13</f>
        <v>1074</v>
      </c>
      <c r="I2022" s="16">
        <f t="shared" si="82"/>
        <v>-2792.4</v>
      </c>
      <c r="K2022" s="17" t="s">
        <v>244</v>
      </c>
      <c r="M2022" s="19"/>
      <c r="N2022" s="19"/>
      <c r="O2022" s="19"/>
      <c r="P2022" s="19"/>
    </row>
    <row r="2023" spans="1:16" x14ac:dyDescent="0.25">
      <c r="A2023" s="91">
        <v>3198</v>
      </c>
      <c r="B2023" s="15">
        <v>2015</v>
      </c>
      <c r="C2023" s="1" t="s">
        <v>44</v>
      </c>
      <c r="D2023" s="1" t="s">
        <v>216</v>
      </c>
      <c r="E2023" s="15" t="s">
        <v>217</v>
      </c>
      <c r="F2023" s="15" t="s">
        <v>61</v>
      </c>
      <c r="G2023" s="16">
        <v>-89</v>
      </c>
      <c r="H2023" s="93">
        <f>'Emission Rates Net-by-Count'!$D$13</f>
        <v>1074</v>
      </c>
      <c r="I2023" s="16">
        <f t="shared" si="82"/>
        <v>-47.792999999999999</v>
      </c>
      <c r="K2023" s="17" t="s">
        <v>244</v>
      </c>
      <c r="M2023" s="19"/>
      <c r="N2023" s="19"/>
      <c r="O2023" s="19"/>
      <c r="P2023" s="19"/>
    </row>
    <row r="2024" spans="1:16" x14ac:dyDescent="0.25">
      <c r="A2024" s="91">
        <v>3199</v>
      </c>
      <c r="B2024" s="15">
        <v>2015</v>
      </c>
      <c r="C2024" s="1" t="s">
        <v>120</v>
      </c>
      <c r="D2024" s="1" t="s">
        <v>216</v>
      </c>
      <c r="E2024" s="15" t="s">
        <v>217</v>
      </c>
      <c r="F2024" s="15" t="s">
        <v>146</v>
      </c>
      <c r="G2024" s="16">
        <v>-902</v>
      </c>
      <c r="H2024" s="93">
        <f>'Emission Rates Net-by-Count'!$D$13</f>
        <v>1074</v>
      </c>
      <c r="I2024" s="16">
        <f t="shared" si="82"/>
        <v>-484.37400000000002</v>
      </c>
      <c r="K2024" s="17" t="s">
        <v>244</v>
      </c>
      <c r="M2024" s="19"/>
      <c r="N2024" s="19"/>
      <c r="O2024" s="19"/>
      <c r="P2024" s="19"/>
    </row>
    <row r="2025" spans="1:16" x14ac:dyDescent="0.25">
      <c r="A2025" s="91">
        <v>3200</v>
      </c>
      <c r="B2025" s="15">
        <v>2015</v>
      </c>
      <c r="C2025" s="1" t="s">
        <v>120</v>
      </c>
      <c r="D2025" s="1" t="s">
        <v>216</v>
      </c>
      <c r="E2025" s="15" t="s">
        <v>217</v>
      </c>
      <c r="F2025" s="15" t="s">
        <v>62</v>
      </c>
      <c r="G2025" s="16">
        <v>-2350</v>
      </c>
      <c r="H2025" s="93">
        <f>'Emission Rates Net-by-Count'!$D$13</f>
        <v>1074</v>
      </c>
      <c r="I2025" s="16">
        <f t="shared" si="82"/>
        <v>-1261.95</v>
      </c>
      <c r="K2025" s="17" t="s">
        <v>244</v>
      </c>
      <c r="M2025" s="19"/>
      <c r="N2025" s="19"/>
      <c r="O2025" s="19"/>
      <c r="P2025" s="19"/>
    </row>
    <row r="2026" spans="1:16" x14ac:dyDescent="0.25">
      <c r="A2026" s="91">
        <v>3201</v>
      </c>
      <c r="B2026" s="15">
        <v>2015</v>
      </c>
      <c r="C2026" s="1" t="s">
        <v>120</v>
      </c>
      <c r="D2026" s="1" t="s">
        <v>216</v>
      </c>
      <c r="E2026" s="15" t="s">
        <v>217</v>
      </c>
      <c r="F2026" s="15" t="s">
        <v>165</v>
      </c>
      <c r="G2026" s="16">
        <v>-1158465</v>
      </c>
      <c r="H2026" s="93">
        <f>'Emission Rates Net-by-Count'!$D$13</f>
        <v>1074</v>
      </c>
      <c r="I2026" s="16">
        <f t="shared" si="82"/>
        <v>-622095.70499999996</v>
      </c>
      <c r="K2026" s="17" t="s">
        <v>244</v>
      </c>
      <c r="M2026" s="19"/>
      <c r="N2026" s="19"/>
      <c r="O2026" s="19"/>
      <c r="P2026" s="19"/>
    </row>
    <row r="2027" spans="1:16" x14ac:dyDescent="0.25">
      <c r="A2027" s="91">
        <v>3202</v>
      </c>
      <c r="B2027" s="15">
        <v>2015</v>
      </c>
      <c r="C2027" s="1" t="s">
        <v>120</v>
      </c>
      <c r="D2027" s="1" t="s">
        <v>216</v>
      </c>
      <c r="E2027" s="15" t="s">
        <v>217</v>
      </c>
      <c r="F2027" s="15" t="s">
        <v>63</v>
      </c>
      <c r="G2027" s="16">
        <v>-346</v>
      </c>
      <c r="H2027" s="93">
        <f>'Emission Rates Net-by-Count'!$D$13</f>
        <v>1074</v>
      </c>
      <c r="I2027" s="16">
        <f t="shared" si="82"/>
        <v>-185.80199999999999</v>
      </c>
      <c r="K2027" s="17" t="s">
        <v>244</v>
      </c>
      <c r="M2027" s="19"/>
      <c r="N2027" s="19"/>
      <c r="O2027" s="19"/>
      <c r="P2027" s="19"/>
    </row>
    <row r="2028" spans="1:16" x14ac:dyDescent="0.25">
      <c r="A2028" s="91">
        <v>3203</v>
      </c>
      <c r="B2028" s="15">
        <v>2015</v>
      </c>
      <c r="C2028" s="1" t="s">
        <v>120</v>
      </c>
      <c r="D2028" s="1" t="s">
        <v>216</v>
      </c>
      <c r="E2028" s="15" t="s">
        <v>217</v>
      </c>
      <c r="F2028" s="15" t="s">
        <v>65</v>
      </c>
      <c r="G2028" s="16">
        <v>-22601</v>
      </c>
      <c r="H2028" s="93">
        <f>'Emission Rates Net-by-Count'!$D$13</f>
        <v>1074</v>
      </c>
      <c r="I2028" s="16">
        <f t="shared" si="82"/>
        <v>-12136.736999999999</v>
      </c>
      <c r="K2028" s="17" t="s">
        <v>244</v>
      </c>
      <c r="M2028" s="19"/>
      <c r="N2028" s="19"/>
      <c r="O2028" s="19"/>
      <c r="P2028" s="19"/>
    </row>
    <row r="2029" spans="1:16" x14ac:dyDescent="0.25">
      <c r="A2029" s="91">
        <v>3204</v>
      </c>
      <c r="B2029" s="15">
        <v>2015</v>
      </c>
      <c r="C2029" s="1" t="s">
        <v>120</v>
      </c>
      <c r="D2029" s="1" t="s">
        <v>216</v>
      </c>
      <c r="E2029" s="15" t="s">
        <v>217</v>
      </c>
      <c r="F2029" s="15" t="s">
        <v>184</v>
      </c>
      <c r="G2029" s="16">
        <v>-154413</v>
      </c>
      <c r="H2029" s="93">
        <f>'Emission Rates Net-by-Count'!$D$13</f>
        <v>1074</v>
      </c>
      <c r="I2029" s="16">
        <f t="shared" si="82"/>
        <v>-82919.781000000003</v>
      </c>
      <c r="K2029" s="17" t="s">
        <v>244</v>
      </c>
      <c r="M2029" s="19"/>
      <c r="N2029" s="19"/>
      <c r="O2029" s="19"/>
      <c r="P2029" s="19"/>
    </row>
    <row r="2030" spans="1:16" x14ac:dyDescent="0.25">
      <c r="A2030" s="91">
        <v>3205</v>
      </c>
      <c r="B2030" s="15">
        <v>2015</v>
      </c>
      <c r="C2030" s="1" t="s">
        <v>120</v>
      </c>
      <c r="D2030" s="1" t="s">
        <v>216</v>
      </c>
      <c r="E2030" s="15" t="s">
        <v>217</v>
      </c>
      <c r="F2030" s="15" t="s">
        <v>199</v>
      </c>
      <c r="G2030" s="16">
        <v>-13980</v>
      </c>
      <c r="H2030" s="93">
        <f>'Emission Rates Net-by-Count'!$D$13</f>
        <v>1074</v>
      </c>
      <c r="I2030" s="16">
        <f t="shared" si="82"/>
        <v>-7507.26</v>
      </c>
      <c r="K2030" s="17" t="s">
        <v>244</v>
      </c>
      <c r="M2030" s="19"/>
      <c r="N2030" s="19"/>
      <c r="O2030" s="19"/>
      <c r="P2030" s="19"/>
    </row>
    <row r="2031" spans="1:16" x14ac:dyDescent="0.25">
      <c r="A2031" s="91">
        <v>3206</v>
      </c>
      <c r="B2031" s="15">
        <v>2015</v>
      </c>
      <c r="C2031" s="1" t="s">
        <v>120</v>
      </c>
      <c r="D2031" s="1" t="s">
        <v>216</v>
      </c>
      <c r="E2031" s="15" t="s">
        <v>217</v>
      </c>
      <c r="F2031" s="15" t="s">
        <v>67</v>
      </c>
      <c r="G2031" s="16">
        <v>-34904</v>
      </c>
      <c r="H2031" s="93">
        <f>'Emission Rates Net-by-Count'!$D$13</f>
        <v>1074</v>
      </c>
      <c r="I2031" s="16">
        <f t="shared" si="82"/>
        <v>-18743.448</v>
      </c>
      <c r="K2031" s="17" t="s">
        <v>244</v>
      </c>
      <c r="M2031" s="19"/>
      <c r="N2031" s="19"/>
      <c r="O2031" s="19"/>
      <c r="P2031" s="19"/>
    </row>
    <row r="2032" spans="1:16" x14ac:dyDescent="0.25">
      <c r="A2032" s="91">
        <v>3207</v>
      </c>
      <c r="B2032" s="15">
        <v>2015</v>
      </c>
      <c r="C2032" s="1" t="s">
        <v>120</v>
      </c>
      <c r="D2032" s="1" t="s">
        <v>216</v>
      </c>
      <c r="E2032" s="15" t="s">
        <v>217</v>
      </c>
      <c r="F2032" s="15" t="s">
        <v>69</v>
      </c>
      <c r="G2032" s="16">
        <v>-465716</v>
      </c>
      <c r="H2032" s="93">
        <f>'Emission Rates Net-by-Count'!$D$13</f>
        <v>1074</v>
      </c>
      <c r="I2032" s="16">
        <f t="shared" si="82"/>
        <v>-250089.492</v>
      </c>
      <c r="K2032" s="17" t="s">
        <v>244</v>
      </c>
      <c r="M2032" s="19"/>
      <c r="N2032" s="19"/>
      <c r="O2032" s="19"/>
      <c r="P2032" s="19"/>
    </row>
    <row r="2033" spans="1:16" x14ac:dyDescent="0.25">
      <c r="A2033" s="91">
        <v>3208</v>
      </c>
      <c r="B2033" s="15">
        <v>2015</v>
      </c>
      <c r="C2033" s="1" t="s">
        <v>120</v>
      </c>
      <c r="D2033" s="1" t="s">
        <v>216</v>
      </c>
      <c r="E2033" s="15" t="s">
        <v>217</v>
      </c>
      <c r="F2033" s="15" t="s">
        <v>71</v>
      </c>
      <c r="G2033" s="16">
        <v>-28166</v>
      </c>
      <c r="H2033" s="93">
        <f>'Emission Rates Net-by-Count'!$D$13</f>
        <v>1074</v>
      </c>
      <c r="I2033" s="16">
        <f t="shared" si="82"/>
        <v>-15125.142</v>
      </c>
      <c r="K2033" s="17" t="s">
        <v>244</v>
      </c>
      <c r="M2033" s="19"/>
      <c r="N2033" s="19"/>
      <c r="O2033" s="19"/>
      <c r="P2033" s="19"/>
    </row>
    <row r="2034" spans="1:16" x14ac:dyDescent="0.25">
      <c r="A2034" s="91">
        <v>3209</v>
      </c>
      <c r="B2034" s="15">
        <v>2015</v>
      </c>
      <c r="C2034" s="1" t="s">
        <v>120</v>
      </c>
      <c r="D2034" s="1" t="s">
        <v>216</v>
      </c>
      <c r="E2034" s="15" t="s">
        <v>217</v>
      </c>
      <c r="F2034" s="15" t="s">
        <v>72</v>
      </c>
      <c r="G2034" s="16">
        <v>-10000</v>
      </c>
      <c r="H2034" s="93">
        <f>'Emission Rates Net-by-Count'!$D$13</f>
        <v>1074</v>
      </c>
      <c r="I2034" s="16">
        <f t="shared" si="82"/>
        <v>-5370</v>
      </c>
      <c r="K2034" s="17" t="s">
        <v>244</v>
      </c>
      <c r="M2034" s="19"/>
      <c r="N2034" s="19"/>
      <c r="O2034" s="19"/>
      <c r="P2034" s="19"/>
    </row>
    <row r="2035" spans="1:16" x14ac:dyDescent="0.25">
      <c r="A2035" s="91">
        <v>3210</v>
      </c>
      <c r="B2035" s="15">
        <v>2015</v>
      </c>
      <c r="C2035" s="1" t="s">
        <v>120</v>
      </c>
      <c r="D2035" s="1" t="s">
        <v>216</v>
      </c>
      <c r="E2035" s="15" t="s">
        <v>217</v>
      </c>
      <c r="F2035" s="15" t="s">
        <v>133</v>
      </c>
      <c r="G2035" s="16">
        <v>-64335</v>
      </c>
      <c r="H2035" s="93">
        <f>'Emission Rates Net-by-Count'!$D$13</f>
        <v>1074</v>
      </c>
      <c r="I2035" s="16">
        <f t="shared" si="82"/>
        <v>-34547.894999999997</v>
      </c>
      <c r="K2035" s="17" t="s">
        <v>244</v>
      </c>
      <c r="M2035" s="19"/>
      <c r="N2035" s="19"/>
      <c r="O2035" s="19"/>
      <c r="P2035" s="19"/>
    </row>
    <row r="2036" spans="1:16" x14ac:dyDescent="0.25">
      <c r="A2036" s="91">
        <v>3211</v>
      </c>
      <c r="B2036" s="15">
        <v>2015</v>
      </c>
      <c r="C2036" s="1" t="s">
        <v>120</v>
      </c>
      <c r="D2036" s="1" t="s">
        <v>216</v>
      </c>
      <c r="E2036" s="15" t="s">
        <v>217</v>
      </c>
      <c r="F2036" s="15" t="s">
        <v>78</v>
      </c>
      <c r="G2036" s="16">
        <v>-799848</v>
      </c>
      <c r="H2036" s="93">
        <f>'Emission Rates Net-by-Count'!$D$13</f>
        <v>1074</v>
      </c>
      <c r="I2036" s="16">
        <f t="shared" si="82"/>
        <v>-429518.37599999999</v>
      </c>
      <c r="K2036" s="17" t="s">
        <v>244</v>
      </c>
      <c r="M2036" s="19"/>
      <c r="N2036" s="19"/>
      <c r="O2036" s="19"/>
      <c r="P2036" s="19"/>
    </row>
    <row r="2037" spans="1:16" x14ac:dyDescent="0.25">
      <c r="A2037" s="91">
        <v>3212</v>
      </c>
      <c r="B2037" s="15">
        <v>2015</v>
      </c>
      <c r="C2037" s="1" t="s">
        <v>120</v>
      </c>
      <c r="D2037" s="1" t="s">
        <v>216</v>
      </c>
      <c r="E2037" s="15" t="s">
        <v>217</v>
      </c>
      <c r="F2037" s="15" t="s">
        <v>168</v>
      </c>
      <c r="G2037" s="16">
        <v>-61</v>
      </c>
      <c r="H2037" s="93">
        <f>'Emission Rates Net-by-Count'!$D$13</f>
        <v>1074</v>
      </c>
      <c r="I2037" s="16">
        <f t="shared" si="82"/>
        <v>-32.756999999999998</v>
      </c>
      <c r="K2037" s="17" t="s">
        <v>244</v>
      </c>
      <c r="M2037" s="19"/>
      <c r="N2037" s="19"/>
      <c r="O2037" s="19"/>
      <c r="P2037" s="19"/>
    </row>
    <row r="2038" spans="1:16" x14ac:dyDescent="0.25">
      <c r="A2038" s="91">
        <v>3213</v>
      </c>
      <c r="B2038" s="15">
        <v>2015</v>
      </c>
      <c r="C2038" s="1" t="s">
        <v>120</v>
      </c>
      <c r="D2038" s="1" t="s">
        <v>216</v>
      </c>
      <c r="E2038" s="15" t="s">
        <v>217</v>
      </c>
      <c r="F2038" s="15" t="s">
        <v>208</v>
      </c>
      <c r="G2038" s="16">
        <v>-1267</v>
      </c>
      <c r="H2038" s="93">
        <f>'Emission Rates Net-by-Count'!$D$13</f>
        <v>1074</v>
      </c>
      <c r="I2038" s="16">
        <f t="shared" si="82"/>
        <v>-680.37900000000002</v>
      </c>
      <c r="K2038" s="17" t="s">
        <v>244</v>
      </c>
      <c r="M2038" s="19"/>
      <c r="N2038" s="19"/>
      <c r="O2038" s="19"/>
      <c r="P2038" s="19"/>
    </row>
    <row r="2039" spans="1:16" x14ac:dyDescent="0.25">
      <c r="A2039" s="91">
        <v>3214</v>
      </c>
      <c r="B2039" s="15">
        <v>2015</v>
      </c>
      <c r="C2039" s="1" t="s">
        <v>120</v>
      </c>
      <c r="D2039" s="1" t="s">
        <v>216</v>
      </c>
      <c r="E2039" s="15" t="s">
        <v>217</v>
      </c>
      <c r="F2039" s="15" t="s">
        <v>173</v>
      </c>
      <c r="G2039" s="16">
        <v>-1748</v>
      </c>
      <c r="H2039" s="93">
        <f>'Emission Rates Net-by-Count'!$D$13</f>
        <v>1074</v>
      </c>
      <c r="I2039" s="16">
        <f t="shared" si="82"/>
        <v>-938.67600000000004</v>
      </c>
      <c r="K2039" s="17" t="s">
        <v>244</v>
      </c>
      <c r="M2039" s="19"/>
      <c r="N2039" s="19"/>
      <c r="O2039" s="19"/>
      <c r="P2039" s="19"/>
    </row>
    <row r="2040" spans="1:16" x14ac:dyDescent="0.25">
      <c r="A2040" s="91">
        <v>3215</v>
      </c>
      <c r="B2040" s="15">
        <v>2015</v>
      </c>
      <c r="C2040" s="1" t="s">
        <v>120</v>
      </c>
      <c r="D2040" s="1" t="s">
        <v>216</v>
      </c>
      <c r="E2040" s="15" t="s">
        <v>217</v>
      </c>
      <c r="F2040" s="15" t="s">
        <v>81</v>
      </c>
      <c r="G2040" s="16">
        <v>-50</v>
      </c>
      <c r="H2040" s="93">
        <f>'Emission Rates Net-by-Count'!$D$13</f>
        <v>1074</v>
      </c>
      <c r="I2040" s="16">
        <f t="shared" si="82"/>
        <v>-26.85</v>
      </c>
      <c r="K2040" s="17" t="s">
        <v>244</v>
      </c>
      <c r="M2040" s="19"/>
      <c r="N2040" s="19"/>
      <c r="O2040" s="19"/>
      <c r="P2040" s="19"/>
    </row>
    <row r="2041" spans="1:16" x14ac:dyDescent="0.25">
      <c r="A2041" s="91">
        <v>3216</v>
      </c>
      <c r="B2041" s="15">
        <v>2015</v>
      </c>
      <c r="C2041" s="1" t="s">
        <v>120</v>
      </c>
      <c r="D2041" s="1" t="s">
        <v>216</v>
      </c>
      <c r="E2041" s="15" t="s">
        <v>217</v>
      </c>
      <c r="F2041" s="15" t="s">
        <v>82</v>
      </c>
      <c r="G2041" s="16">
        <v>-27585</v>
      </c>
      <c r="H2041" s="93">
        <f>'Emission Rates Net-by-Count'!$D$13</f>
        <v>1074</v>
      </c>
      <c r="I2041" s="16">
        <f t="shared" si="82"/>
        <v>-14813.145</v>
      </c>
      <c r="K2041" s="17" t="s">
        <v>244</v>
      </c>
      <c r="M2041" s="19"/>
      <c r="N2041" s="19"/>
      <c r="O2041" s="19"/>
      <c r="P2041" s="19"/>
    </row>
    <row r="2042" spans="1:16" x14ac:dyDescent="0.25">
      <c r="A2042" s="91">
        <v>3217</v>
      </c>
      <c r="B2042" s="15">
        <v>2015</v>
      </c>
      <c r="C2042" s="1" t="s">
        <v>120</v>
      </c>
      <c r="D2042" s="1" t="s">
        <v>216</v>
      </c>
      <c r="E2042" s="15" t="s">
        <v>217</v>
      </c>
      <c r="F2042" s="15" t="s">
        <v>83</v>
      </c>
      <c r="G2042" s="16">
        <v>-1425</v>
      </c>
      <c r="H2042" s="93">
        <f>'Emission Rates Net-by-Count'!$D$13</f>
        <v>1074</v>
      </c>
      <c r="I2042" s="16">
        <f t="shared" si="82"/>
        <v>-765.22500000000002</v>
      </c>
      <c r="K2042" s="17" t="s">
        <v>244</v>
      </c>
      <c r="M2042" s="19"/>
      <c r="N2042" s="19"/>
      <c r="O2042" s="19"/>
      <c r="P2042" s="19"/>
    </row>
    <row r="2043" spans="1:16" x14ac:dyDescent="0.25">
      <c r="A2043" s="91">
        <v>3218</v>
      </c>
      <c r="B2043" s="15">
        <v>2015</v>
      </c>
      <c r="C2043" s="1" t="s">
        <v>120</v>
      </c>
      <c r="D2043" s="1" t="s">
        <v>216</v>
      </c>
      <c r="E2043" s="15" t="s">
        <v>217</v>
      </c>
      <c r="F2043" s="15" t="s">
        <v>85</v>
      </c>
      <c r="G2043" s="16">
        <v>-270353</v>
      </c>
      <c r="H2043" s="93">
        <f>'Emission Rates Net-by-Count'!$D$13</f>
        <v>1074</v>
      </c>
      <c r="I2043" s="16">
        <f t="shared" ref="I2043:I2061" si="83">(G2043*H2043)/2000</f>
        <v>-145179.56099999999</v>
      </c>
      <c r="K2043" s="17" t="s">
        <v>244</v>
      </c>
      <c r="M2043" s="19"/>
      <c r="N2043" s="19"/>
      <c r="O2043" s="19"/>
      <c r="P2043" s="19"/>
    </row>
    <row r="2044" spans="1:16" x14ac:dyDescent="0.25">
      <c r="A2044" s="91">
        <v>3219</v>
      </c>
      <c r="B2044" s="15">
        <v>2015</v>
      </c>
      <c r="C2044" s="1" t="s">
        <v>120</v>
      </c>
      <c r="D2044" s="1" t="s">
        <v>216</v>
      </c>
      <c r="E2044" s="15" t="s">
        <v>217</v>
      </c>
      <c r="F2044" s="15" t="s">
        <v>87</v>
      </c>
      <c r="G2044" s="16">
        <v>-154103</v>
      </c>
      <c r="H2044" s="93">
        <f>'Emission Rates Net-by-Count'!$D$13</f>
        <v>1074</v>
      </c>
      <c r="I2044" s="16">
        <f t="shared" si="83"/>
        <v>-82753.311000000002</v>
      </c>
      <c r="K2044" s="17" t="s">
        <v>244</v>
      </c>
      <c r="M2044" s="19"/>
      <c r="N2044" s="19"/>
      <c r="O2044" s="19"/>
      <c r="P2044" s="19"/>
    </row>
    <row r="2045" spans="1:16" x14ac:dyDescent="0.25">
      <c r="A2045" s="91">
        <v>3220</v>
      </c>
      <c r="B2045" s="15">
        <v>2015</v>
      </c>
      <c r="C2045" s="1" t="s">
        <v>120</v>
      </c>
      <c r="D2045" s="1" t="s">
        <v>216</v>
      </c>
      <c r="E2045" s="15" t="s">
        <v>217</v>
      </c>
      <c r="F2045" s="15" t="s">
        <v>88</v>
      </c>
      <c r="G2045" s="16">
        <v>-165730</v>
      </c>
      <c r="H2045" s="93">
        <f>'Emission Rates Net-by-Count'!$D$13</f>
        <v>1074</v>
      </c>
      <c r="I2045" s="16">
        <f t="shared" si="83"/>
        <v>-88997.01</v>
      </c>
      <c r="K2045" s="17" t="s">
        <v>244</v>
      </c>
      <c r="M2045" s="19"/>
      <c r="N2045" s="19"/>
      <c r="O2045" s="19"/>
      <c r="P2045" s="19"/>
    </row>
    <row r="2046" spans="1:16" x14ac:dyDescent="0.25">
      <c r="A2046" s="91">
        <v>3221</v>
      </c>
      <c r="B2046" s="15">
        <v>2015</v>
      </c>
      <c r="C2046" s="1" t="s">
        <v>120</v>
      </c>
      <c r="D2046" s="1" t="s">
        <v>216</v>
      </c>
      <c r="E2046" s="15" t="s">
        <v>217</v>
      </c>
      <c r="F2046" s="15" t="s">
        <v>90</v>
      </c>
      <c r="G2046" s="16">
        <v>-600</v>
      </c>
      <c r="H2046" s="93">
        <f>'Emission Rates Net-by-Count'!$D$13</f>
        <v>1074</v>
      </c>
      <c r="I2046" s="16">
        <f t="shared" si="83"/>
        <v>-322.2</v>
      </c>
      <c r="K2046" s="17" t="s">
        <v>244</v>
      </c>
      <c r="M2046" s="19"/>
      <c r="N2046" s="19"/>
      <c r="O2046" s="19"/>
      <c r="P2046" s="19"/>
    </row>
    <row r="2047" spans="1:16" x14ac:dyDescent="0.25">
      <c r="A2047" s="91">
        <v>3222</v>
      </c>
      <c r="B2047" s="15">
        <v>2015</v>
      </c>
      <c r="C2047" s="1" t="s">
        <v>120</v>
      </c>
      <c r="D2047" s="1" t="s">
        <v>216</v>
      </c>
      <c r="E2047" s="15" t="s">
        <v>217</v>
      </c>
      <c r="F2047" s="15" t="s">
        <v>91</v>
      </c>
      <c r="G2047" s="16">
        <v>-5067</v>
      </c>
      <c r="H2047" s="93">
        <f>'Emission Rates Net-by-Count'!$D$13</f>
        <v>1074</v>
      </c>
      <c r="I2047" s="16">
        <f t="shared" si="83"/>
        <v>-2720.9789999999998</v>
      </c>
      <c r="K2047" s="17" t="s">
        <v>244</v>
      </c>
      <c r="M2047" s="19"/>
      <c r="N2047" s="19"/>
      <c r="O2047" s="19"/>
      <c r="P2047" s="19"/>
    </row>
    <row r="2048" spans="1:16" x14ac:dyDescent="0.25">
      <c r="A2048" s="91">
        <v>3223</v>
      </c>
      <c r="B2048" s="15">
        <v>2015</v>
      </c>
      <c r="C2048" s="1" t="s">
        <v>120</v>
      </c>
      <c r="D2048" s="1" t="s">
        <v>216</v>
      </c>
      <c r="E2048" s="15" t="s">
        <v>217</v>
      </c>
      <c r="F2048" s="15" t="s">
        <v>93</v>
      </c>
      <c r="G2048" s="16">
        <v>-15711</v>
      </c>
      <c r="H2048" s="93">
        <f>'Emission Rates Net-by-Count'!$D$13</f>
        <v>1074</v>
      </c>
      <c r="I2048" s="16">
        <f t="shared" si="83"/>
        <v>-8436.8070000000007</v>
      </c>
      <c r="K2048" s="17" t="s">
        <v>244</v>
      </c>
      <c r="M2048" s="19"/>
      <c r="N2048" s="19"/>
      <c r="O2048" s="19"/>
      <c r="P2048" s="19"/>
    </row>
    <row r="2049" spans="1:16" x14ac:dyDescent="0.25">
      <c r="A2049" s="91">
        <v>3224</v>
      </c>
      <c r="B2049" s="15">
        <v>2015</v>
      </c>
      <c r="C2049" s="1" t="s">
        <v>120</v>
      </c>
      <c r="D2049" s="1" t="s">
        <v>216</v>
      </c>
      <c r="E2049" s="15" t="s">
        <v>217</v>
      </c>
      <c r="F2049" s="15" t="s">
        <v>95</v>
      </c>
      <c r="G2049" s="16">
        <v>-34982</v>
      </c>
      <c r="H2049" s="93">
        <f>'Emission Rates Net-by-Count'!$D$13</f>
        <v>1074</v>
      </c>
      <c r="I2049" s="16">
        <f t="shared" si="83"/>
        <v>-18785.333999999999</v>
      </c>
      <c r="K2049" s="17" t="s">
        <v>244</v>
      </c>
      <c r="M2049" s="19"/>
      <c r="N2049" s="19"/>
      <c r="O2049" s="19"/>
      <c r="P2049" s="19"/>
    </row>
    <row r="2050" spans="1:16" x14ac:dyDescent="0.25">
      <c r="A2050" s="91">
        <v>3225</v>
      </c>
      <c r="B2050" s="15">
        <v>2015</v>
      </c>
      <c r="C2050" s="1" t="s">
        <v>120</v>
      </c>
      <c r="D2050" s="1" t="s">
        <v>216</v>
      </c>
      <c r="E2050" s="15" t="s">
        <v>217</v>
      </c>
      <c r="F2050" s="15" t="s">
        <v>97</v>
      </c>
      <c r="G2050" s="16">
        <v>-349844</v>
      </c>
      <c r="H2050" s="93">
        <f>'Emission Rates Net-by-Count'!$D$13</f>
        <v>1074</v>
      </c>
      <c r="I2050" s="16">
        <f t="shared" si="83"/>
        <v>-187866.228</v>
      </c>
      <c r="K2050" s="17" t="s">
        <v>244</v>
      </c>
      <c r="M2050" s="19"/>
      <c r="N2050" s="19"/>
      <c r="O2050" s="19"/>
      <c r="P2050" s="19"/>
    </row>
    <row r="2051" spans="1:16" x14ac:dyDescent="0.25">
      <c r="A2051" s="91">
        <v>3226</v>
      </c>
      <c r="B2051" s="15">
        <v>2015</v>
      </c>
      <c r="C2051" s="1" t="s">
        <v>120</v>
      </c>
      <c r="D2051" s="1" t="s">
        <v>216</v>
      </c>
      <c r="E2051" s="15" t="s">
        <v>217</v>
      </c>
      <c r="F2051" s="15" t="s">
        <v>100</v>
      </c>
      <c r="G2051" s="16">
        <v>-7576</v>
      </c>
      <c r="H2051" s="93">
        <f>'Emission Rates Net-by-Count'!$D$13</f>
        <v>1074</v>
      </c>
      <c r="I2051" s="16">
        <f t="shared" si="83"/>
        <v>-4068.3119999999999</v>
      </c>
      <c r="K2051" s="17" t="s">
        <v>244</v>
      </c>
      <c r="M2051" s="19"/>
      <c r="N2051" s="19"/>
      <c r="O2051" s="19"/>
      <c r="P2051" s="19"/>
    </row>
    <row r="2052" spans="1:16" x14ac:dyDescent="0.25">
      <c r="A2052" s="91">
        <v>3227</v>
      </c>
      <c r="B2052" s="15">
        <v>2015</v>
      </c>
      <c r="C2052" s="1" t="s">
        <v>120</v>
      </c>
      <c r="D2052" s="1" t="s">
        <v>216</v>
      </c>
      <c r="E2052" s="15" t="s">
        <v>217</v>
      </c>
      <c r="F2052" s="15" t="s">
        <v>101</v>
      </c>
      <c r="G2052" s="16">
        <v>-200</v>
      </c>
      <c r="H2052" s="93">
        <f>'Emission Rates Net-by-Count'!$D$13</f>
        <v>1074</v>
      </c>
      <c r="I2052" s="16">
        <f t="shared" si="83"/>
        <v>-107.4</v>
      </c>
      <c r="K2052" s="17" t="s">
        <v>244</v>
      </c>
      <c r="M2052" s="19"/>
      <c r="N2052" s="19"/>
      <c r="O2052" s="19"/>
      <c r="P2052" s="19"/>
    </row>
    <row r="2053" spans="1:16" x14ac:dyDescent="0.25">
      <c r="A2053" s="91">
        <v>3228</v>
      </c>
      <c r="B2053" s="15">
        <v>2015</v>
      </c>
      <c r="C2053" s="1" t="s">
        <v>120</v>
      </c>
      <c r="D2053" s="1" t="s">
        <v>216</v>
      </c>
      <c r="E2053" s="15" t="s">
        <v>217</v>
      </c>
      <c r="F2053" s="15" t="s">
        <v>103</v>
      </c>
      <c r="G2053" s="16">
        <v>-15061</v>
      </c>
      <c r="H2053" s="93">
        <f>'Emission Rates Net-by-Count'!$D$13</f>
        <v>1074</v>
      </c>
      <c r="I2053" s="16">
        <f t="shared" si="83"/>
        <v>-8087.7569999999996</v>
      </c>
      <c r="K2053" s="17" t="s">
        <v>244</v>
      </c>
      <c r="M2053" s="19"/>
      <c r="N2053" s="19"/>
      <c r="O2053" s="19"/>
      <c r="P2053" s="19"/>
    </row>
    <row r="2054" spans="1:16" x14ac:dyDescent="0.25">
      <c r="A2054" s="91">
        <v>3229</v>
      </c>
      <c r="B2054" s="15">
        <v>2015</v>
      </c>
      <c r="C2054" s="1" t="s">
        <v>120</v>
      </c>
      <c r="D2054" s="1" t="s">
        <v>216</v>
      </c>
      <c r="E2054" s="15" t="s">
        <v>217</v>
      </c>
      <c r="F2054" s="15" t="s">
        <v>152</v>
      </c>
      <c r="G2054" s="16">
        <v>-70877</v>
      </c>
      <c r="H2054" s="93">
        <f>'Emission Rates Net-by-Count'!$D$13</f>
        <v>1074</v>
      </c>
      <c r="I2054" s="16">
        <f t="shared" si="83"/>
        <v>-38060.949000000001</v>
      </c>
      <c r="K2054" s="17" t="s">
        <v>244</v>
      </c>
      <c r="M2054" s="19"/>
      <c r="N2054" s="19"/>
      <c r="O2054" s="19"/>
      <c r="P2054" s="19"/>
    </row>
    <row r="2055" spans="1:16" x14ac:dyDescent="0.25">
      <c r="A2055" s="91">
        <v>3230</v>
      </c>
      <c r="B2055" s="15">
        <v>2015</v>
      </c>
      <c r="C2055" s="1" t="s">
        <v>120</v>
      </c>
      <c r="D2055" s="1" t="s">
        <v>216</v>
      </c>
      <c r="E2055" s="15" t="s">
        <v>217</v>
      </c>
      <c r="F2055" s="15" t="s">
        <v>186</v>
      </c>
      <c r="G2055" s="16">
        <v>-828</v>
      </c>
      <c r="H2055" s="93">
        <f>'Emission Rates Net-by-Count'!$D$13</f>
        <v>1074</v>
      </c>
      <c r="I2055" s="16">
        <f t="shared" si="83"/>
        <v>-444.63600000000002</v>
      </c>
      <c r="K2055" s="17" t="s">
        <v>244</v>
      </c>
      <c r="M2055" s="19"/>
      <c r="N2055" s="19"/>
      <c r="O2055" s="19"/>
      <c r="P2055" s="19"/>
    </row>
    <row r="2056" spans="1:16" x14ac:dyDescent="0.25">
      <c r="A2056" s="91">
        <v>3231</v>
      </c>
      <c r="B2056" s="15">
        <v>2015</v>
      </c>
      <c r="C2056" s="1" t="s">
        <v>120</v>
      </c>
      <c r="D2056" s="1" t="s">
        <v>216</v>
      </c>
      <c r="E2056" s="15" t="s">
        <v>217</v>
      </c>
      <c r="F2056" s="15" t="s">
        <v>153</v>
      </c>
      <c r="G2056" s="16">
        <v>-41339</v>
      </c>
      <c r="H2056" s="93">
        <f>'Emission Rates Net-by-Count'!$D$13</f>
        <v>1074</v>
      </c>
      <c r="I2056" s="16">
        <f t="shared" si="83"/>
        <v>-22199.043000000001</v>
      </c>
      <c r="K2056" s="17" t="s">
        <v>244</v>
      </c>
      <c r="M2056" s="19"/>
      <c r="N2056" s="19"/>
      <c r="O2056" s="19"/>
      <c r="P2056" s="19"/>
    </row>
    <row r="2057" spans="1:16" x14ac:dyDescent="0.25">
      <c r="A2057" s="91">
        <v>3232</v>
      </c>
      <c r="B2057" s="15">
        <v>2015</v>
      </c>
      <c r="C2057" s="1" t="s">
        <v>120</v>
      </c>
      <c r="D2057" s="1" t="s">
        <v>216</v>
      </c>
      <c r="E2057" s="15" t="s">
        <v>217</v>
      </c>
      <c r="F2057" s="15" t="s">
        <v>104</v>
      </c>
      <c r="G2057" s="16">
        <v>-637562</v>
      </c>
      <c r="H2057" s="93">
        <f>'Emission Rates Net-by-Count'!$D$13</f>
        <v>1074</v>
      </c>
      <c r="I2057" s="16">
        <f t="shared" si="83"/>
        <v>-342370.79399999999</v>
      </c>
      <c r="K2057" s="17" t="s">
        <v>244</v>
      </c>
      <c r="M2057" s="19"/>
      <c r="N2057" s="19"/>
      <c r="O2057" s="19"/>
      <c r="P2057" s="19"/>
    </row>
    <row r="2058" spans="1:16" x14ac:dyDescent="0.25">
      <c r="A2058" s="91">
        <v>3233</v>
      </c>
      <c r="B2058" s="15">
        <v>2015</v>
      </c>
      <c r="C2058" s="1" t="s">
        <v>120</v>
      </c>
      <c r="D2058" s="1" t="s">
        <v>216</v>
      </c>
      <c r="E2058" s="15" t="s">
        <v>217</v>
      </c>
      <c r="F2058" s="15" t="s">
        <v>167</v>
      </c>
      <c r="G2058" s="16">
        <v>-7621</v>
      </c>
      <c r="H2058" s="93">
        <f>'Emission Rates Net-by-Count'!$D$13</f>
        <v>1074</v>
      </c>
      <c r="I2058" s="16">
        <f t="shared" si="83"/>
        <v>-4092.4769999999999</v>
      </c>
      <c r="K2058" s="17" t="s">
        <v>244</v>
      </c>
      <c r="M2058" s="19"/>
      <c r="N2058" s="19"/>
      <c r="O2058" s="19"/>
      <c r="P2058" s="19"/>
    </row>
    <row r="2059" spans="1:16" x14ac:dyDescent="0.25">
      <c r="A2059" s="91">
        <v>3234</v>
      </c>
      <c r="B2059" s="15">
        <v>2015</v>
      </c>
      <c r="C2059" s="1" t="s">
        <v>120</v>
      </c>
      <c r="D2059" s="1" t="s">
        <v>216</v>
      </c>
      <c r="E2059" s="15" t="s">
        <v>217</v>
      </c>
      <c r="F2059" s="15" t="s">
        <v>106</v>
      </c>
      <c r="G2059" s="16">
        <v>-208</v>
      </c>
      <c r="H2059" s="93">
        <f>'Emission Rates Net-by-Count'!$D$13</f>
        <v>1074</v>
      </c>
      <c r="I2059" s="16">
        <f t="shared" si="83"/>
        <v>-111.696</v>
      </c>
      <c r="K2059" s="17" t="s">
        <v>244</v>
      </c>
      <c r="M2059" s="19"/>
      <c r="N2059" s="19"/>
      <c r="O2059" s="19"/>
      <c r="P2059" s="19"/>
    </row>
    <row r="2060" spans="1:16" x14ac:dyDescent="0.25">
      <c r="A2060" s="91">
        <v>3235</v>
      </c>
      <c r="B2060" s="15">
        <v>2015</v>
      </c>
      <c r="C2060" s="1" t="s">
        <v>120</v>
      </c>
      <c r="D2060" s="1" t="s">
        <v>216</v>
      </c>
      <c r="E2060" s="15" t="s">
        <v>217</v>
      </c>
      <c r="F2060" s="15" t="s">
        <v>203</v>
      </c>
      <c r="G2060" s="16">
        <v>-1812075</v>
      </c>
      <c r="H2060" s="93">
        <f>'Emission Rates Net-by-Count'!$D$13</f>
        <v>1074</v>
      </c>
      <c r="I2060" s="16">
        <f t="shared" si="83"/>
        <v>-973084.27500000002</v>
      </c>
      <c r="K2060" s="17" t="s">
        <v>244</v>
      </c>
      <c r="M2060" s="19"/>
      <c r="N2060" s="19"/>
      <c r="O2060" s="19"/>
      <c r="P2060" s="19"/>
    </row>
    <row r="2061" spans="1:16" s="100" customFormat="1" x14ac:dyDescent="0.25">
      <c r="A2061" s="99">
        <v>3236</v>
      </c>
      <c r="B2061" s="100">
        <v>2015</v>
      </c>
      <c r="C2061" s="83" t="s">
        <v>120</v>
      </c>
      <c r="D2061" s="83" t="s">
        <v>216</v>
      </c>
      <c r="E2061" s="100" t="s">
        <v>217</v>
      </c>
      <c r="F2061" s="100" t="s">
        <v>108</v>
      </c>
      <c r="G2061" s="101">
        <v>-2</v>
      </c>
      <c r="H2061" s="102">
        <f>'Emission Rates Net-by-Count'!$D$13</f>
        <v>1074</v>
      </c>
      <c r="I2061" s="101">
        <f t="shared" si="83"/>
        <v>-1.0740000000000001</v>
      </c>
      <c r="J2061" s="101"/>
      <c r="K2061" s="100" t="s">
        <v>244</v>
      </c>
      <c r="L2061" s="103"/>
      <c r="M2061" s="104"/>
      <c r="N2061" s="104"/>
      <c r="O2061" s="104"/>
      <c r="P2061" s="104"/>
    </row>
    <row r="2062" spans="1:16" x14ac:dyDescent="0.25">
      <c r="A2062" s="105">
        <v>3237</v>
      </c>
      <c r="B2062" s="15">
        <v>2016</v>
      </c>
      <c r="C2062" s="1" t="s">
        <v>0</v>
      </c>
      <c r="D2062" s="1" t="s">
        <v>215</v>
      </c>
      <c r="E2062" s="15" t="s">
        <v>125</v>
      </c>
      <c r="F2062" s="1" t="s">
        <v>2</v>
      </c>
      <c r="G2062" s="16">
        <v>358832.6</v>
      </c>
      <c r="H2062" s="92">
        <v>0</v>
      </c>
      <c r="I2062" s="92">
        <f>(H2062*G2062)/2000</f>
        <v>0</v>
      </c>
      <c r="J2062" s="16">
        <f>I2062*9071847</f>
        <v>0</v>
      </c>
      <c r="M2062" s="106"/>
      <c r="N2062" s="19"/>
      <c r="O2062" s="106"/>
      <c r="P2062" s="19"/>
    </row>
    <row r="2063" spans="1:16" x14ac:dyDescent="0.25">
      <c r="A2063" s="91">
        <v>3238</v>
      </c>
      <c r="B2063" s="15">
        <v>2016</v>
      </c>
      <c r="C2063" s="1" t="s">
        <v>0</v>
      </c>
      <c r="D2063" s="1" t="s">
        <v>215</v>
      </c>
      <c r="E2063" s="15" t="s">
        <v>125</v>
      </c>
      <c r="F2063" s="1" t="s">
        <v>4</v>
      </c>
      <c r="G2063" s="16">
        <v>53046.2</v>
      </c>
      <c r="H2063" s="92">
        <v>0</v>
      </c>
      <c r="I2063" s="92">
        <f>(H2063*G2063)/2000</f>
        <v>0</v>
      </c>
      <c r="J2063" s="16">
        <f>(G2063*H2063)/2204.623</f>
        <v>0</v>
      </c>
      <c r="K2063" s="107"/>
      <c r="M2063" s="106"/>
      <c r="N2063" s="19"/>
      <c r="O2063" s="106"/>
      <c r="P2063" s="19"/>
    </row>
    <row r="2064" spans="1:16" x14ac:dyDescent="0.25">
      <c r="A2064" s="91">
        <v>3239</v>
      </c>
      <c r="B2064" s="15">
        <v>2016</v>
      </c>
      <c r="C2064" s="1" t="s">
        <v>0</v>
      </c>
      <c r="D2064" s="1" t="s">
        <v>215</v>
      </c>
      <c r="E2064" s="15" t="s">
        <v>125</v>
      </c>
      <c r="F2064" s="1" t="s">
        <v>5</v>
      </c>
      <c r="G2064" s="16">
        <v>152538</v>
      </c>
      <c r="H2064" s="92">
        <v>0</v>
      </c>
      <c r="I2064" s="92">
        <f>(H2064*G2064)/2000</f>
        <v>0</v>
      </c>
      <c r="J2064" s="16">
        <f>(G2064*H2064)/2204.623</f>
        <v>0</v>
      </c>
      <c r="K2064" s="108"/>
      <c r="P2064" s="19"/>
    </row>
    <row r="2065" spans="1:16" x14ac:dyDescent="0.25">
      <c r="A2065" s="91">
        <v>3240</v>
      </c>
      <c r="B2065" s="15">
        <v>2016</v>
      </c>
      <c r="C2065" s="1" t="s">
        <v>0</v>
      </c>
      <c r="D2065" s="1" t="s">
        <v>215</v>
      </c>
      <c r="E2065" s="15" t="s">
        <v>125</v>
      </c>
      <c r="F2065" s="1" t="s">
        <v>6</v>
      </c>
      <c r="G2065" s="16">
        <v>369104.94</v>
      </c>
      <c r="H2065" s="92">
        <v>0</v>
      </c>
      <c r="I2065" s="92">
        <f>(H2065*G2065)/2000</f>
        <v>0</v>
      </c>
      <c r="J2065" s="16">
        <f>(G2065*H2065)/2204.623</f>
        <v>0</v>
      </c>
      <c r="K2065" s="108"/>
      <c r="P2065" s="19"/>
    </row>
    <row r="2066" spans="1:16" x14ac:dyDescent="0.25">
      <c r="A2066" s="91">
        <v>3241</v>
      </c>
      <c r="B2066" s="15">
        <v>2016</v>
      </c>
      <c r="C2066" s="1" t="s">
        <v>7</v>
      </c>
      <c r="D2066" s="1" t="s">
        <v>215</v>
      </c>
      <c r="E2066" s="15" t="s">
        <v>122</v>
      </c>
      <c r="F2066" s="1" t="s">
        <v>8</v>
      </c>
      <c r="G2066" s="16">
        <v>1958039</v>
      </c>
      <c r="H2066" s="16">
        <f t="shared" ref="H2066:H2077" si="84">(I2066*2000)/G2066</f>
        <v>2336.8605017571153</v>
      </c>
      <c r="I2066" s="16">
        <v>2287832</v>
      </c>
      <c r="J2066" s="93"/>
      <c r="K2066" s="17" t="s">
        <v>305</v>
      </c>
      <c r="P2066" s="19"/>
    </row>
    <row r="2067" spans="1:16" x14ac:dyDescent="0.25">
      <c r="A2067" s="91">
        <v>3242</v>
      </c>
      <c r="B2067" s="15">
        <v>2016</v>
      </c>
      <c r="C2067" s="1" t="s">
        <v>7</v>
      </c>
      <c r="D2067" s="1" t="s">
        <v>215</v>
      </c>
      <c r="E2067" s="15" t="s">
        <v>122</v>
      </c>
      <c r="F2067" s="1" t="s">
        <v>9</v>
      </c>
      <c r="G2067" s="16">
        <v>2571140</v>
      </c>
      <c r="H2067" s="16">
        <f t="shared" si="84"/>
        <v>2171.5425842233408</v>
      </c>
      <c r="I2067" s="16">
        <v>2791670</v>
      </c>
      <c r="J2067" s="93"/>
      <c r="K2067" s="17" t="s">
        <v>305</v>
      </c>
      <c r="P2067" s="19"/>
    </row>
    <row r="2068" spans="1:16" x14ac:dyDescent="0.25">
      <c r="A2068" s="91">
        <v>3243</v>
      </c>
      <c r="B2068" s="15">
        <v>2016</v>
      </c>
      <c r="C2068" s="1" t="s">
        <v>306</v>
      </c>
      <c r="D2068" s="1" t="s">
        <v>215</v>
      </c>
      <c r="E2068" s="15" t="s">
        <v>123</v>
      </c>
      <c r="F2068" s="1" t="s">
        <v>10</v>
      </c>
      <c r="G2068" s="16">
        <f>70580.4+141809.9</f>
        <v>212390.3</v>
      </c>
      <c r="H2068" s="16">
        <f t="shared" si="84"/>
        <v>1075.436710157667</v>
      </c>
      <c r="I2068" s="16">
        <f t="shared" ref="I2068:I2077" si="85">J2068*1.102311</f>
        <v>114206.16275069995</v>
      </c>
      <c r="J2068" s="16">
        <v>103606.11728513999</v>
      </c>
      <c r="P2068" s="19"/>
    </row>
    <row r="2069" spans="1:16" x14ac:dyDescent="0.25">
      <c r="A2069" s="91">
        <v>3244</v>
      </c>
      <c r="B2069" s="15">
        <v>2016</v>
      </c>
      <c r="C2069" s="1" t="s">
        <v>306</v>
      </c>
      <c r="D2069" s="1" t="s">
        <v>215</v>
      </c>
      <c r="E2069" s="15" t="s">
        <v>123</v>
      </c>
      <c r="F2069" s="1" t="s">
        <v>188</v>
      </c>
      <c r="G2069" s="16">
        <f>241740.638+499396.13</f>
        <v>741136.76800000004</v>
      </c>
      <c r="H2069" s="16">
        <f t="shared" si="84"/>
        <v>1052.3786961958094</v>
      </c>
      <c r="I2069" s="16">
        <f t="shared" si="85"/>
        <v>389978.27280530805</v>
      </c>
      <c r="J2069" s="16">
        <v>353782.43781048001</v>
      </c>
      <c r="P2069" s="19"/>
    </row>
    <row r="2070" spans="1:16" x14ac:dyDescent="0.25">
      <c r="A2070" s="91">
        <v>3245</v>
      </c>
      <c r="B2070" s="15">
        <v>2016</v>
      </c>
      <c r="C2070" s="1" t="s">
        <v>306</v>
      </c>
      <c r="D2070" s="1" t="s">
        <v>215</v>
      </c>
      <c r="E2070" s="15" t="s">
        <v>123</v>
      </c>
      <c r="F2070" s="1" t="s">
        <v>13</v>
      </c>
      <c r="G2070" s="16">
        <f>59113.459+358411.399</f>
        <v>417524.85800000001</v>
      </c>
      <c r="H2070" s="16">
        <f t="shared" si="84"/>
        <v>868.74358243637118</v>
      </c>
      <c r="I2070" s="16">
        <f t="shared" si="85"/>
        <v>181361.02044757857</v>
      </c>
      <c r="J2070" s="16">
        <v>164527.99658860211</v>
      </c>
      <c r="P2070" s="19"/>
    </row>
    <row r="2071" spans="1:16" x14ac:dyDescent="0.25">
      <c r="A2071" s="91">
        <v>3246</v>
      </c>
      <c r="B2071" s="15">
        <v>2016</v>
      </c>
      <c r="C2071" s="1" t="s">
        <v>306</v>
      </c>
      <c r="D2071" s="1" t="s">
        <v>215</v>
      </c>
      <c r="E2071" s="15" t="s">
        <v>123</v>
      </c>
      <c r="F2071" s="1" t="s">
        <v>144</v>
      </c>
      <c r="G2071" s="16">
        <f>365531+662944</f>
        <v>1028475</v>
      </c>
      <c r="H2071" s="16">
        <f t="shared" si="84"/>
        <v>825.04107853225662</v>
      </c>
      <c r="I2071" s="16">
        <f t="shared" si="85"/>
        <v>424267.06162173132</v>
      </c>
      <c r="J2071" s="16">
        <v>384888.71255184</v>
      </c>
      <c r="P2071" s="19"/>
    </row>
    <row r="2072" spans="1:16" x14ac:dyDescent="0.25">
      <c r="A2072" s="91">
        <v>3247</v>
      </c>
      <c r="B2072" s="15">
        <v>2016</v>
      </c>
      <c r="C2072" s="1" t="s">
        <v>306</v>
      </c>
      <c r="D2072" s="1" t="s">
        <v>215</v>
      </c>
      <c r="E2072" s="15" t="s">
        <v>123</v>
      </c>
      <c r="F2072" s="1" t="s">
        <v>156</v>
      </c>
      <c r="G2072" s="16">
        <f>393463.5+664483.3</f>
        <v>1057946.8</v>
      </c>
      <c r="H2072" s="16">
        <f t="shared" si="84"/>
        <v>902.32806474225731</v>
      </c>
      <c r="I2072" s="16">
        <f t="shared" si="85"/>
        <v>477307.54432213202</v>
      </c>
      <c r="J2072" s="16">
        <v>433006.24263219</v>
      </c>
      <c r="M2072" s="19"/>
      <c r="N2072" s="19"/>
      <c r="O2072" s="19"/>
      <c r="P2072" s="19"/>
    </row>
    <row r="2073" spans="1:16" x14ac:dyDescent="0.25">
      <c r="A2073" s="91">
        <v>3248</v>
      </c>
      <c r="B2073" s="15">
        <v>2016</v>
      </c>
      <c r="C2073" s="1" t="s">
        <v>306</v>
      </c>
      <c r="D2073" s="1" t="s">
        <v>215</v>
      </c>
      <c r="E2073" s="15" t="s">
        <v>123</v>
      </c>
      <c r="F2073" s="1" t="s">
        <v>155</v>
      </c>
      <c r="G2073" s="16">
        <f>118114.3+276881.9</f>
        <v>394996.2</v>
      </c>
      <c r="H2073" s="16">
        <f t="shared" si="84"/>
        <v>1073.7249160133433</v>
      </c>
      <c r="I2073" s="16">
        <f t="shared" si="85"/>
        <v>212058.6308352949</v>
      </c>
      <c r="J2073" s="16">
        <v>192376.40814188999</v>
      </c>
      <c r="M2073" s="19"/>
      <c r="N2073" s="19"/>
      <c r="O2073" s="19"/>
      <c r="P2073" s="19"/>
    </row>
    <row r="2074" spans="1:16" x14ac:dyDescent="0.25">
      <c r="A2074" s="91">
        <v>3249</v>
      </c>
      <c r="B2074" s="15">
        <v>2016</v>
      </c>
      <c r="C2074" s="1" t="s">
        <v>11</v>
      </c>
      <c r="D2074" s="1" t="s">
        <v>215</v>
      </c>
      <c r="E2074" s="15" t="s">
        <v>293</v>
      </c>
      <c r="F2074" s="1" t="s">
        <v>12</v>
      </c>
      <c r="G2074" s="16">
        <v>196.41</v>
      </c>
      <c r="H2074" s="92">
        <f t="shared" si="84"/>
        <v>1732.2011450560933</v>
      </c>
      <c r="I2074" s="92">
        <f t="shared" si="85"/>
        <v>170.11081345023362</v>
      </c>
      <c r="J2074" s="92">
        <v>154.32197760000003</v>
      </c>
      <c r="K2074" s="17" t="s">
        <v>307</v>
      </c>
      <c r="M2074" s="19"/>
      <c r="N2074" s="19"/>
      <c r="O2074" s="19"/>
      <c r="P2074" s="19"/>
    </row>
    <row r="2075" spans="1:16" x14ac:dyDescent="0.25">
      <c r="A2075" s="91">
        <v>3253</v>
      </c>
      <c r="B2075" s="15">
        <v>2016</v>
      </c>
      <c r="C2075" s="1" t="s">
        <v>11</v>
      </c>
      <c r="D2075" s="1" t="s">
        <v>215</v>
      </c>
      <c r="E2075" s="15" t="s">
        <v>123</v>
      </c>
      <c r="F2075" s="1" t="s">
        <v>14</v>
      </c>
      <c r="G2075" s="16">
        <v>108950.5</v>
      </c>
      <c r="H2075" s="16">
        <f t="shared" si="84"/>
        <v>1751.4121464534605</v>
      </c>
      <c r="I2075" s="16">
        <f t="shared" si="85"/>
        <v>95408.614531088868</v>
      </c>
      <c r="J2075" s="16">
        <v>86553.263580866798</v>
      </c>
      <c r="M2075" s="19"/>
      <c r="N2075" s="19"/>
      <c r="O2075" s="19"/>
      <c r="P2075" s="19"/>
    </row>
    <row r="2076" spans="1:16" x14ac:dyDescent="0.25">
      <c r="A2076" s="91">
        <v>3254</v>
      </c>
      <c r="B2076" s="15">
        <v>2016</v>
      </c>
      <c r="C2076" s="1" t="s">
        <v>11</v>
      </c>
      <c r="D2076" s="1" t="s">
        <v>215</v>
      </c>
      <c r="E2076" s="15" t="s">
        <v>123</v>
      </c>
      <c r="F2076" s="1" t="s">
        <v>15</v>
      </c>
      <c r="G2076" s="16">
        <v>136862.6</v>
      </c>
      <c r="H2076" s="16">
        <f t="shared" si="84"/>
        <v>1240.2361539035342</v>
      </c>
      <c r="I2076" s="16">
        <f t="shared" si="85"/>
        <v>84870.972318618922</v>
      </c>
      <c r="J2076" s="16">
        <v>76993.672673699999</v>
      </c>
      <c r="M2076" s="19"/>
      <c r="N2076" s="19"/>
      <c r="O2076" s="19"/>
      <c r="P2076" s="19"/>
    </row>
    <row r="2077" spans="1:16" x14ac:dyDescent="0.25">
      <c r="A2077" s="91">
        <v>3255</v>
      </c>
      <c r="B2077" s="15">
        <v>2016</v>
      </c>
      <c r="C2077" s="1" t="s">
        <v>11</v>
      </c>
      <c r="D2077" s="1" t="s">
        <v>215</v>
      </c>
      <c r="E2077" s="15" t="s">
        <v>123</v>
      </c>
      <c r="F2077" s="1" t="s">
        <v>16</v>
      </c>
      <c r="G2077" s="16">
        <v>19942.310000000001</v>
      </c>
      <c r="H2077" s="16">
        <f t="shared" si="84"/>
        <v>3345.749389215272</v>
      </c>
      <c r="I2077" s="16">
        <f t="shared" si="85"/>
        <v>33360.985751020809</v>
      </c>
      <c r="J2077" s="16">
        <v>30264.585721289917</v>
      </c>
      <c r="M2077" s="19"/>
      <c r="N2077" s="19"/>
      <c r="O2077" s="19"/>
      <c r="P2077" s="19"/>
    </row>
    <row r="2078" spans="1:16" x14ac:dyDescent="0.25">
      <c r="A2078" s="91">
        <v>3257</v>
      </c>
      <c r="B2078" s="15">
        <v>2016</v>
      </c>
      <c r="C2078" s="1" t="s">
        <v>11</v>
      </c>
      <c r="D2078" s="1" t="s">
        <v>215</v>
      </c>
      <c r="E2078" s="15" t="s">
        <v>125</v>
      </c>
      <c r="F2078" s="1" t="s">
        <v>17</v>
      </c>
      <c r="G2078" s="16">
        <v>417242.31400000001</v>
      </c>
      <c r="H2078" s="92">
        <v>0</v>
      </c>
      <c r="I2078" s="92">
        <f>(H2078*G2078)/2000</f>
        <v>0</v>
      </c>
      <c r="J2078" s="16">
        <f>(G2078*H2078)/2204.623</f>
        <v>0</v>
      </c>
      <c r="M2078" s="19"/>
      <c r="N2078" s="19"/>
      <c r="O2078" s="19"/>
      <c r="P2078" s="19"/>
    </row>
    <row r="2079" spans="1:16" x14ac:dyDescent="0.25">
      <c r="A2079" s="91">
        <v>3258</v>
      </c>
      <c r="B2079" s="15">
        <v>2016</v>
      </c>
      <c r="C2079" s="1" t="s">
        <v>11</v>
      </c>
      <c r="D2079" s="1" t="s">
        <v>215</v>
      </c>
      <c r="E2079" s="15" t="s">
        <v>125</v>
      </c>
      <c r="F2079" s="1" t="s">
        <v>189</v>
      </c>
      <c r="G2079" s="16">
        <v>873260.06099999999</v>
      </c>
      <c r="H2079" s="92">
        <v>0</v>
      </c>
      <c r="I2079" s="92">
        <f>(H2079*G2079)/2000</f>
        <v>0</v>
      </c>
      <c r="J2079" s="16">
        <f>(G2079*H2079)/2204.623</f>
        <v>0</v>
      </c>
      <c r="K2079" s="107"/>
      <c r="M2079" s="19"/>
      <c r="N2079" s="19"/>
      <c r="O2079" s="19"/>
      <c r="P2079" s="19"/>
    </row>
    <row r="2080" spans="1:16" x14ac:dyDescent="0.25">
      <c r="A2080" s="91">
        <v>3261</v>
      </c>
      <c r="B2080" s="15">
        <v>2016</v>
      </c>
      <c r="C2080" s="1" t="s">
        <v>11</v>
      </c>
      <c r="D2080" s="1" t="s">
        <v>215</v>
      </c>
      <c r="E2080" s="15" t="s">
        <v>123</v>
      </c>
      <c r="F2080" s="1" t="s">
        <v>18</v>
      </c>
      <c r="G2080" s="16">
        <v>33783.050000000003</v>
      </c>
      <c r="H2080" s="16">
        <f>(I2080*2000)/G2080</f>
        <v>2930.2857219472094</v>
      </c>
      <c r="I2080" s="16">
        <f>J2080*1.102311</f>
        <v>49496.99452941434</v>
      </c>
      <c r="J2080" s="16">
        <v>44902.930778531954</v>
      </c>
      <c r="M2080" s="19"/>
      <c r="N2080" s="19"/>
      <c r="O2080" s="19"/>
      <c r="P2080" s="19"/>
    </row>
    <row r="2081" spans="1:16" x14ac:dyDescent="0.25">
      <c r="A2081" s="91">
        <v>3262</v>
      </c>
      <c r="B2081" s="15">
        <v>2016</v>
      </c>
      <c r="C2081" s="1" t="s">
        <v>11</v>
      </c>
      <c r="D2081" s="1" t="s">
        <v>215</v>
      </c>
      <c r="E2081" s="15" t="s">
        <v>125</v>
      </c>
      <c r="F2081" s="1" t="s">
        <v>126</v>
      </c>
      <c r="G2081" s="16">
        <v>672199.75300000003</v>
      </c>
      <c r="H2081" s="92">
        <v>0</v>
      </c>
      <c r="I2081" s="92">
        <f t="shared" ref="I2081:I2098" si="86">(H2081*G2081)/2000</f>
        <v>0</v>
      </c>
      <c r="J2081" s="16">
        <f t="shared" ref="J2081:J2117" si="87">(G2081*H2081)/2204.623</f>
        <v>0</v>
      </c>
      <c r="M2081" s="19"/>
      <c r="N2081" s="19"/>
      <c r="O2081" s="19"/>
      <c r="P2081" s="19"/>
    </row>
    <row r="2082" spans="1:16" x14ac:dyDescent="0.25">
      <c r="A2082" s="91">
        <v>3263</v>
      </c>
      <c r="B2082" s="15">
        <v>2016</v>
      </c>
      <c r="C2082" s="1" t="s">
        <v>19</v>
      </c>
      <c r="D2082" s="1" t="s">
        <v>219</v>
      </c>
      <c r="E2082" s="1" t="s">
        <v>125</v>
      </c>
      <c r="F2082" s="1" t="s">
        <v>175</v>
      </c>
      <c r="G2082" s="16">
        <v>147.732</v>
      </c>
      <c r="H2082" s="92">
        <v>0</v>
      </c>
      <c r="I2082" s="92">
        <f t="shared" si="86"/>
        <v>0</v>
      </c>
      <c r="J2082" s="16">
        <f t="shared" si="87"/>
        <v>0</v>
      </c>
      <c r="M2082" s="19"/>
      <c r="N2082" s="19"/>
      <c r="O2082" s="19"/>
      <c r="P2082" s="19"/>
    </row>
    <row r="2083" spans="1:16" x14ac:dyDescent="0.25">
      <c r="A2083" s="91">
        <v>3264</v>
      </c>
      <c r="B2083" s="15">
        <v>2016</v>
      </c>
      <c r="C2083" s="1" t="s">
        <v>19</v>
      </c>
      <c r="D2083" s="1" t="s">
        <v>219</v>
      </c>
      <c r="E2083" s="1" t="s">
        <v>217</v>
      </c>
      <c r="F2083" s="1" t="s">
        <v>20</v>
      </c>
      <c r="G2083" s="16">
        <v>19758.352999999999</v>
      </c>
      <c r="H2083" s="93">
        <f>'Emission Rates Net-by-Count'!$D$14</f>
        <v>895</v>
      </c>
      <c r="I2083" s="92">
        <f t="shared" si="86"/>
        <v>8841.8629674999993</v>
      </c>
      <c r="J2083" s="16">
        <f t="shared" si="87"/>
        <v>8021.201781438368</v>
      </c>
      <c r="K2083" s="17" t="s">
        <v>249</v>
      </c>
      <c r="M2083" s="19"/>
      <c r="N2083" s="19"/>
      <c r="O2083" s="19"/>
      <c r="P2083" s="19"/>
    </row>
    <row r="2084" spans="1:16" x14ac:dyDescent="0.25">
      <c r="A2084" s="91">
        <v>3265</v>
      </c>
      <c r="B2084" s="15">
        <v>2016</v>
      </c>
      <c r="C2084" s="1" t="s">
        <v>19</v>
      </c>
      <c r="D2084" s="1" t="s">
        <v>219</v>
      </c>
      <c r="E2084" s="1" t="s">
        <v>125</v>
      </c>
      <c r="F2084" s="1" t="s">
        <v>195</v>
      </c>
      <c r="G2084" s="16">
        <v>5.2510000000000003</v>
      </c>
      <c r="H2084" s="92">
        <v>0</v>
      </c>
      <c r="I2084" s="92">
        <f t="shared" si="86"/>
        <v>0</v>
      </c>
      <c r="J2084" s="16">
        <f t="shared" si="87"/>
        <v>0</v>
      </c>
      <c r="M2084" s="19"/>
      <c r="N2084" s="19"/>
      <c r="O2084" s="19"/>
      <c r="P2084" s="19"/>
    </row>
    <row r="2085" spans="1:16" x14ac:dyDescent="0.25">
      <c r="A2085" s="91">
        <v>3266</v>
      </c>
      <c r="B2085" s="15">
        <v>2016</v>
      </c>
      <c r="C2085" s="1" t="s">
        <v>19</v>
      </c>
      <c r="D2085" s="1" t="s">
        <v>219</v>
      </c>
      <c r="E2085" s="1" t="s">
        <v>125</v>
      </c>
      <c r="F2085" s="1" t="s">
        <v>176</v>
      </c>
      <c r="G2085" s="16">
        <v>12262.769</v>
      </c>
      <c r="H2085" s="92">
        <v>0</v>
      </c>
      <c r="I2085" s="92">
        <f t="shared" si="86"/>
        <v>0</v>
      </c>
      <c r="J2085" s="16">
        <f t="shared" si="87"/>
        <v>0</v>
      </c>
      <c r="M2085" s="19"/>
      <c r="N2085" s="19"/>
      <c r="O2085" s="19"/>
      <c r="P2085" s="19"/>
    </row>
    <row r="2086" spans="1:16" x14ac:dyDescent="0.25">
      <c r="A2086" s="91">
        <v>3267</v>
      </c>
      <c r="B2086" s="15">
        <v>2016</v>
      </c>
      <c r="C2086" s="1" t="s">
        <v>19</v>
      </c>
      <c r="D2086" s="1" t="s">
        <v>219</v>
      </c>
      <c r="E2086" s="1" t="s">
        <v>230</v>
      </c>
      <c r="F2086" s="1" t="s">
        <v>51</v>
      </c>
      <c r="G2086" s="16">
        <v>0</v>
      </c>
      <c r="H2086" s="92">
        <v>0</v>
      </c>
      <c r="I2086" s="92">
        <f t="shared" si="86"/>
        <v>0</v>
      </c>
      <c r="J2086" s="16">
        <f t="shared" si="87"/>
        <v>0</v>
      </c>
      <c r="K2086" s="17" t="s">
        <v>300</v>
      </c>
      <c r="M2086" s="19"/>
      <c r="N2086" s="19"/>
      <c r="O2086" s="19"/>
      <c r="P2086" s="19"/>
    </row>
    <row r="2087" spans="1:16" x14ac:dyDescent="0.25">
      <c r="A2087" s="91">
        <v>3268</v>
      </c>
      <c r="B2087" s="15">
        <v>2016</v>
      </c>
      <c r="C2087" s="1" t="s">
        <v>19</v>
      </c>
      <c r="D2087" s="1" t="s">
        <v>219</v>
      </c>
      <c r="E2087" s="1" t="s">
        <v>125</v>
      </c>
      <c r="F2087" s="1" t="s">
        <v>21</v>
      </c>
      <c r="G2087" s="16">
        <v>7084</v>
      </c>
      <c r="H2087" s="92">
        <v>0</v>
      </c>
      <c r="I2087" s="92">
        <f t="shared" si="86"/>
        <v>0</v>
      </c>
      <c r="J2087" s="16">
        <f t="shared" si="87"/>
        <v>0</v>
      </c>
      <c r="M2087" s="19"/>
      <c r="N2087" s="19"/>
      <c r="O2087" s="19"/>
      <c r="P2087" s="19"/>
    </row>
    <row r="2088" spans="1:16" x14ac:dyDescent="0.25">
      <c r="A2088" s="91">
        <v>3269</v>
      </c>
      <c r="B2088" s="15">
        <v>2016</v>
      </c>
      <c r="C2088" s="1" t="s">
        <v>19</v>
      </c>
      <c r="D2088" s="1" t="s">
        <v>219</v>
      </c>
      <c r="E2088" s="1" t="s">
        <v>217</v>
      </c>
      <c r="F2088" s="1" t="s">
        <v>22</v>
      </c>
      <c r="G2088" s="16">
        <v>398392</v>
      </c>
      <c r="H2088" s="93">
        <f>'Emission Rates Net-by-Count'!$D$14</f>
        <v>895</v>
      </c>
      <c r="I2088" s="92">
        <f t="shared" si="86"/>
        <v>178280.42</v>
      </c>
      <c r="J2088" s="16">
        <f t="shared" si="87"/>
        <v>161733.2487232511</v>
      </c>
      <c r="K2088" s="17" t="s">
        <v>249</v>
      </c>
      <c r="M2088" s="19"/>
      <c r="N2088" s="19"/>
      <c r="O2088" s="19"/>
      <c r="P2088" s="19"/>
    </row>
    <row r="2089" spans="1:16" x14ac:dyDescent="0.25">
      <c r="A2089" s="91">
        <v>3270</v>
      </c>
      <c r="B2089" s="15">
        <v>2016</v>
      </c>
      <c r="C2089" s="1" t="s">
        <v>19</v>
      </c>
      <c r="D2089" s="1" t="s">
        <v>219</v>
      </c>
      <c r="E2089" s="1" t="s">
        <v>125</v>
      </c>
      <c r="F2089" s="1" t="s">
        <v>190</v>
      </c>
      <c r="G2089" s="16">
        <v>28.61</v>
      </c>
      <c r="H2089" s="92">
        <v>0</v>
      </c>
      <c r="I2089" s="92">
        <f t="shared" si="86"/>
        <v>0</v>
      </c>
      <c r="J2089" s="16">
        <f t="shared" si="87"/>
        <v>0</v>
      </c>
      <c r="M2089" s="19"/>
      <c r="N2089" s="19"/>
      <c r="O2089" s="19"/>
      <c r="P2089" s="19"/>
    </row>
    <row r="2090" spans="1:16" x14ac:dyDescent="0.25">
      <c r="A2090" s="91">
        <v>3271</v>
      </c>
      <c r="B2090" s="15">
        <v>2016</v>
      </c>
      <c r="C2090" s="1" t="s">
        <v>19</v>
      </c>
      <c r="D2090" s="1" t="s">
        <v>219</v>
      </c>
      <c r="E2090" s="1" t="s">
        <v>125</v>
      </c>
      <c r="F2090" s="1" t="s">
        <v>177</v>
      </c>
      <c r="G2090" s="16">
        <v>2313083</v>
      </c>
      <c r="H2090" s="92">
        <v>0</v>
      </c>
      <c r="I2090" s="92">
        <f t="shared" si="86"/>
        <v>0</v>
      </c>
      <c r="J2090" s="16">
        <f t="shared" si="87"/>
        <v>0</v>
      </c>
      <c r="M2090" s="19"/>
      <c r="N2090" s="19"/>
      <c r="O2090" s="19"/>
      <c r="P2090" s="19"/>
    </row>
    <row r="2091" spans="1:16" x14ac:dyDescent="0.25">
      <c r="A2091" s="91">
        <v>3272</v>
      </c>
      <c r="B2091" s="15">
        <v>2016</v>
      </c>
      <c r="C2091" s="1" t="s">
        <v>19</v>
      </c>
      <c r="D2091" s="1" t="s">
        <v>219</v>
      </c>
      <c r="E2091" s="1" t="s">
        <v>125</v>
      </c>
      <c r="F2091" s="1" t="s">
        <v>23</v>
      </c>
      <c r="G2091" s="16">
        <v>-39689</v>
      </c>
      <c r="H2091" s="92">
        <v>0</v>
      </c>
      <c r="I2091" s="92">
        <f t="shared" si="86"/>
        <v>0</v>
      </c>
      <c r="J2091" s="16">
        <f t="shared" si="87"/>
        <v>0</v>
      </c>
      <c r="M2091" s="19"/>
      <c r="N2091" s="19"/>
      <c r="O2091" s="19"/>
      <c r="P2091" s="19"/>
    </row>
    <row r="2092" spans="1:16" x14ac:dyDescent="0.25">
      <c r="A2092" s="91">
        <v>3273</v>
      </c>
      <c r="B2092" s="15">
        <v>2016</v>
      </c>
      <c r="C2092" s="1" t="s">
        <v>19</v>
      </c>
      <c r="D2092" s="1" t="s">
        <v>219</v>
      </c>
      <c r="E2092" s="1" t="s">
        <v>125</v>
      </c>
      <c r="F2092" s="1" t="s">
        <v>24</v>
      </c>
      <c r="G2092" s="16">
        <v>-82394</v>
      </c>
      <c r="H2092" s="92">
        <v>0</v>
      </c>
      <c r="I2092" s="92">
        <f t="shared" si="86"/>
        <v>0</v>
      </c>
      <c r="J2092" s="16">
        <f t="shared" si="87"/>
        <v>0</v>
      </c>
      <c r="M2092" s="19"/>
      <c r="N2092" s="19"/>
      <c r="O2092" s="19"/>
      <c r="P2092" s="19"/>
    </row>
    <row r="2093" spans="1:16" x14ac:dyDescent="0.25">
      <c r="A2093" s="91">
        <v>3274</v>
      </c>
      <c r="B2093" s="15">
        <v>2016</v>
      </c>
      <c r="C2093" s="1" t="s">
        <v>19</v>
      </c>
      <c r="D2093" s="1" t="s">
        <v>219</v>
      </c>
      <c r="E2093" s="1" t="s">
        <v>125</v>
      </c>
      <c r="F2093" s="1" t="s">
        <v>25</v>
      </c>
      <c r="G2093" s="16">
        <v>1120584</v>
      </c>
      <c r="H2093" s="92">
        <v>0</v>
      </c>
      <c r="I2093" s="92">
        <f t="shared" si="86"/>
        <v>0</v>
      </c>
      <c r="J2093" s="16">
        <f t="shared" si="87"/>
        <v>0</v>
      </c>
      <c r="M2093" s="19"/>
      <c r="N2093" s="19"/>
      <c r="O2093" s="19"/>
      <c r="P2093" s="19"/>
    </row>
    <row r="2094" spans="1:16" x14ac:dyDescent="0.25">
      <c r="A2094" s="91">
        <v>3275</v>
      </c>
      <c r="B2094" s="15">
        <v>2016</v>
      </c>
      <c r="C2094" s="1" t="s">
        <v>19</v>
      </c>
      <c r="D2094" s="1" t="s">
        <v>219</v>
      </c>
      <c r="E2094" s="1" t="s">
        <v>125</v>
      </c>
      <c r="F2094" s="1" t="s">
        <v>191</v>
      </c>
      <c r="G2094" s="16">
        <v>4644.826</v>
      </c>
      <c r="H2094" s="92">
        <v>0</v>
      </c>
      <c r="I2094" s="92">
        <f t="shared" si="86"/>
        <v>0</v>
      </c>
      <c r="J2094" s="16">
        <f t="shared" si="87"/>
        <v>0</v>
      </c>
      <c r="M2094" s="19"/>
      <c r="N2094" s="19"/>
      <c r="O2094" s="19"/>
      <c r="P2094" s="19"/>
    </row>
    <row r="2095" spans="1:16" x14ac:dyDescent="0.25">
      <c r="A2095" s="91">
        <v>3276</v>
      </c>
      <c r="B2095" s="15">
        <v>2016</v>
      </c>
      <c r="C2095" s="1" t="s">
        <v>19</v>
      </c>
      <c r="D2095" s="1" t="s">
        <v>219</v>
      </c>
      <c r="E2095" s="1" t="s">
        <v>125</v>
      </c>
      <c r="F2095" s="1" t="s">
        <v>169</v>
      </c>
      <c r="G2095" s="16">
        <v>4514.4679999999998</v>
      </c>
      <c r="H2095" s="92">
        <v>0</v>
      </c>
      <c r="I2095" s="92">
        <f t="shared" si="86"/>
        <v>0</v>
      </c>
      <c r="J2095" s="16">
        <f t="shared" si="87"/>
        <v>0</v>
      </c>
      <c r="M2095" s="19"/>
      <c r="N2095" s="19"/>
      <c r="O2095" s="19"/>
      <c r="P2095" s="19"/>
    </row>
    <row r="2096" spans="1:16" x14ac:dyDescent="0.25">
      <c r="A2096" s="91">
        <v>3277</v>
      </c>
      <c r="B2096" s="15">
        <v>2016</v>
      </c>
      <c r="C2096" s="1" t="s">
        <v>19</v>
      </c>
      <c r="D2096" s="1" t="s">
        <v>219</v>
      </c>
      <c r="E2096" s="1" t="s">
        <v>125</v>
      </c>
      <c r="F2096" s="1" t="s">
        <v>161</v>
      </c>
      <c r="G2096" s="16">
        <v>5137.9570000000003</v>
      </c>
      <c r="H2096" s="92">
        <v>0</v>
      </c>
      <c r="I2096" s="92">
        <f t="shared" si="86"/>
        <v>0</v>
      </c>
      <c r="J2096" s="16">
        <f t="shared" si="87"/>
        <v>0</v>
      </c>
      <c r="M2096" s="19"/>
      <c r="N2096" s="19"/>
      <c r="O2096" s="19"/>
      <c r="P2096" s="19"/>
    </row>
    <row r="2097" spans="1:17" x14ac:dyDescent="0.25">
      <c r="A2097" s="91">
        <v>3278</v>
      </c>
      <c r="B2097" s="15">
        <v>2016</v>
      </c>
      <c r="C2097" s="1" t="s">
        <v>19</v>
      </c>
      <c r="D2097" s="1" t="s">
        <v>219</v>
      </c>
      <c r="E2097" s="1" t="s">
        <v>125</v>
      </c>
      <c r="F2097" s="1" t="s">
        <v>162</v>
      </c>
      <c r="G2097" s="16">
        <v>60243</v>
      </c>
      <c r="H2097" s="92">
        <v>0</v>
      </c>
      <c r="I2097" s="92">
        <f t="shared" si="86"/>
        <v>0</v>
      </c>
      <c r="J2097" s="16">
        <f t="shared" si="87"/>
        <v>0</v>
      </c>
      <c r="M2097" s="19"/>
      <c r="N2097" s="19"/>
      <c r="O2097" s="19"/>
      <c r="P2097" s="19"/>
    </row>
    <row r="2098" spans="1:17" x14ac:dyDescent="0.25">
      <c r="A2098" s="91">
        <v>3279</v>
      </c>
      <c r="B2098" s="15">
        <v>2016</v>
      </c>
      <c r="C2098" s="1" t="s">
        <v>19</v>
      </c>
      <c r="D2098" s="1" t="s">
        <v>219</v>
      </c>
      <c r="E2098" s="1" t="s">
        <v>125</v>
      </c>
      <c r="F2098" s="1" t="s">
        <v>178</v>
      </c>
      <c r="G2098" s="16">
        <v>59.14</v>
      </c>
      <c r="H2098" s="92">
        <v>0</v>
      </c>
      <c r="I2098" s="92">
        <f t="shared" si="86"/>
        <v>0</v>
      </c>
      <c r="J2098" s="16">
        <f t="shared" si="87"/>
        <v>0</v>
      </c>
      <c r="M2098" s="19"/>
      <c r="N2098" s="19"/>
      <c r="O2098" s="19"/>
      <c r="P2098" s="19"/>
    </row>
    <row r="2099" spans="1:17" x14ac:dyDescent="0.25">
      <c r="A2099" s="91">
        <v>3280</v>
      </c>
      <c r="B2099" s="15">
        <v>2016</v>
      </c>
      <c r="C2099" s="1" t="s">
        <v>19</v>
      </c>
      <c r="D2099" s="1" t="s">
        <v>219</v>
      </c>
      <c r="E2099" s="1" t="s">
        <v>123</v>
      </c>
      <c r="F2099" s="1" t="s">
        <v>192</v>
      </c>
      <c r="G2099" s="16">
        <v>200</v>
      </c>
      <c r="H2099" s="92">
        <f>P2099</f>
        <v>807.0783351867201</v>
      </c>
      <c r="I2099" s="92">
        <f>(+G2099*H2099)/2000</f>
        <v>80.707833518672004</v>
      </c>
      <c r="J2099" s="16">
        <f t="shared" si="87"/>
        <v>73.216902407960006</v>
      </c>
      <c r="K2099" s="17" t="s">
        <v>224</v>
      </c>
      <c r="L2099" s="18">
        <v>5.8439999999999999E-2</v>
      </c>
      <c r="M2099" s="19">
        <v>16763165</v>
      </c>
      <c r="N2099" s="19">
        <f>(M2099*L2099)</f>
        <v>979639.36259999999</v>
      </c>
      <c r="O2099" s="19">
        <v>2427619.0299999998</v>
      </c>
      <c r="P2099" s="19">
        <f>(N2099*2000)/O2099</f>
        <v>807.0783351867201</v>
      </c>
      <c r="Q2099" s="15" t="s">
        <v>255</v>
      </c>
    </row>
    <row r="2100" spans="1:17" x14ac:dyDescent="0.25">
      <c r="A2100" s="91">
        <v>3281</v>
      </c>
      <c r="B2100" s="15">
        <v>2016</v>
      </c>
      <c r="C2100" s="1" t="s">
        <v>19</v>
      </c>
      <c r="D2100" s="1" t="s">
        <v>219</v>
      </c>
      <c r="E2100" s="1" t="s">
        <v>125</v>
      </c>
      <c r="F2100" s="1" t="s">
        <v>145</v>
      </c>
      <c r="G2100" s="16">
        <v>126694</v>
      </c>
      <c r="H2100" s="92">
        <v>0</v>
      </c>
      <c r="I2100" s="92">
        <f t="shared" ref="I2100:I2105" si="88">(H2100*G2100)/2000</f>
        <v>0</v>
      </c>
      <c r="J2100" s="16">
        <f t="shared" si="87"/>
        <v>0</v>
      </c>
      <c r="M2100" s="19"/>
      <c r="N2100" s="19"/>
      <c r="O2100" s="19"/>
      <c r="P2100" s="19"/>
    </row>
    <row r="2101" spans="1:17" x14ac:dyDescent="0.25">
      <c r="A2101" s="91">
        <v>3282</v>
      </c>
      <c r="B2101" s="15">
        <v>2016</v>
      </c>
      <c r="C2101" s="1" t="s">
        <v>19</v>
      </c>
      <c r="D2101" s="1" t="s">
        <v>219</v>
      </c>
      <c r="E2101" s="1" t="s">
        <v>125</v>
      </c>
      <c r="F2101" s="1" t="s">
        <v>179</v>
      </c>
      <c r="G2101" s="16">
        <v>128.57599999999999</v>
      </c>
      <c r="H2101" s="92">
        <v>0</v>
      </c>
      <c r="I2101" s="92">
        <f t="shared" si="88"/>
        <v>0</v>
      </c>
      <c r="J2101" s="16">
        <f t="shared" si="87"/>
        <v>0</v>
      </c>
      <c r="M2101" s="19"/>
      <c r="N2101" s="19"/>
      <c r="O2101" s="19"/>
      <c r="P2101" s="19"/>
    </row>
    <row r="2102" spans="1:17" x14ac:dyDescent="0.25">
      <c r="A2102" s="91">
        <v>3283</v>
      </c>
      <c r="B2102" s="15">
        <v>2016</v>
      </c>
      <c r="C2102" s="1" t="s">
        <v>19</v>
      </c>
      <c r="D2102" s="1" t="s">
        <v>219</v>
      </c>
      <c r="E2102" s="1" t="s">
        <v>125</v>
      </c>
      <c r="F2102" s="1" t="s">
        <v>193</v>
      </c>
      <c r="G2102" s="16">
        <v>4372.0810000000001</v>
      </c>
      <c r="H2102" s="92">
        <v>0</v>
      </c>
      <c r="I2102" s="92">
        <f t="shared" si="88"/>
        <v>0</v>
      </c>
      <c r="J2102" s="16">
        <f t="shared" si="87"/>
        <v>0</v>
      </c>
      <c r="M2102" s="19"/>
      <c r="N2102" s="19"/>
      <c r="O2102" s="19"/>
      <c r="P2102" s="19"/>
    </row>
    <row r="2103" spans="1:17" x14ac:dyDescent="0.25">
      <c r="A2103" s="91">
        <v>3284</v>
      </c>
      <c r="B2103" s="15">
        <v>2016</v>
      </c>
      <c r="C2103" s="1" t="s">
        <v>19</v>
      </c>
      <c r="D2103" s="1" t="s">
        <v>219</v>
      </c>
      <c r="E2103" s="1" t="s">
        <v>125</v>
      </c>
      <c r="F2103" s="1" t="s">
        <v>3</v>
      </c>
      <c r="G2103" s="16">
        <v>4450.1899999999996</v>
      </c>
      <c r="H2103" s="92">
        <v>0</v>
      </c>
      <c r="I2103" s="92">
        <f t="shared" si="88"/>
        <v>0</v>
      </c>
      <c r="J2103" s="16">
        <f t="shared" si="87"/>
        <v>0</v>
      </c>
      <c r="M2103" s="19"/>
      <c r="N2103" s="19"/>
      <c r="O2103" s="19"/>
      <c r="P2103" s="19"/>
    </row>
    <row r="2104" spans="1:17" x14ac:dyDescent="0.25">
      <c r="A2104" s="91">
        <v>3285</v>
      </c>
      <c r="B2104" s="15">
        <v>2016</v>
      </c>
      <c r="C2104" s="1" t="s">
        <v>19</v>
      </c>
      <c r="D2104" s="1" t="s">
        <v>219</v>
      </c>
      <c r="E2104" s="1" t="s">
        <v>125</v>
      </c>
      <c r="F2104" s="1" t="s">
        <v>180</v>
      </c>
      <c r="G2104" s="16">
        <v>193.251</v>
      </c>
      <c r="H2104" s="92">
        <v>0</v>
      </c>
      <c r="I2104" s="92">
        <f t="shared" si="88"/>
        <v>0</v>
      </c>
      <c r="J2104" s="16">
        <f t="shared" si="87"/>
        <v>0</v>
      </c>
      <c r="M2104" s="19"/>
      <c r="N2104" s="19"/>
      <c r="O2104" s="19"/>
      <c r="P2104" s="19"/>
    </row>
    <row r="2105" spans="1:17" x14ac:dyDescent="0.25">
      <c r="A2105" s="91">
        <v>3286</v>
      </c>
      <c r="B2105" s="15">
        <v>2016</v>
      </c>
      <c r="C2105" s="1" t="s">
        <v>19</v>
      </c>
      <c r="D2105" s="1" t="s">
        <v>219</v>
      </c>
      <c r="E2105" s="1" t="s">
        <v>125</v>
      </c>
      <c r="F2105" s="1" t="s">
        <v>194</v>
      </c>
      <c r="G2105" s="16">
        <v>11177.98</v>
      </c>
      <c r="H2105" s="92">
        <v>0</v>
      </c>
      <c r="I2105" s="92">
        <f t="shared" si="88"/>
        <v>0</v>
      </c>
      <c r="J2105" s="16">
        <f t="shared" si="87"/>
        <v>0</v>
      </c>
      <c r="M2105" s="19"/>
      <c r="N2105" s="19"/>
      <c r="O2105" s="19"/>
      <c r="P2105" s="19"/>
    </row>
    <row r="2106" spans="1:17" x14ac:dyDescent="0.25">
      <c r="A2106" s="91">
        <v>3287</v>
      </c>
      <c r="B2106" s="15">
        <v>2016</v>
      </c>
      <c r="C2106" s="1" t="s">
        <v>19</v>
      </c>
      <c r="D2106" s="1" t="s">
        <v>219</v>
      </c>
      <c r="E2106" s="1" t="s">
        <v>122</v>
      </c>
      <c r="F2106" s="1" t="s">
        <v>204</v>
      </c>
      <c r="G2106" s="16">
        <f>2533903-962517-2581</f>
        <v>1568805</v>
      </c>
      <c r="H2106" s="109">
        <f>P2106</f>
        <v>2411.0775219632751</v>
      </c>
      <c r="I2106" s="109">
        <f>(+G2106*H2106)/2000</f>
        <v>1891255.235921798</v>
      </c>
      <c r="J2106" s="109">
        <f t="shared" si="87"/>
        <v>1715717.5951823036</v>
      </c>
      <c r="K2106" s="17" t="s">
        <v>234</v>
      </c>
      <c r="L2106" s="18">
        <v>0.10711</v>
      </c>
      <c r="M2106" s="19">
        <v>51512949</v>
      </c>
      <c r="N2106" s="19">
        <f>(M2106*L2106)</f>
        <v>5517551.9673899999</v>
      </c>
      <c r="O2106" s="19">
        <v>4576834.976999999</v>
      </c>
      <c r="P2106" s="19">
        <f>(N2106*2000)/O2106</f>
        <v>2411.0775219632751</v>
      </c>
      <c r="Q2106" s="15" t="s">
        <v>255</v>
      </c>
    </row>
    <row r="2107" spans="1:17" x14ac:dyDescent="0.25">
      <c r="A2107" s="91">
        <v>3288</v>
      </c>
      <c r="B2107" s="15">
        <v>2016</v>
      </c>
      <c r="C2107" s="1" t="s">
        <v>19</v>
      </c>
      <c r="D2107" s="1" t="s">
        <v>219</v>
      </c>
      <c r="E2107" s="1" t="s">
        <v>125</v>
      </c>
      <c r="F2107" s="1" t="s">
        <v>181</v>
      </c>
      <c r="G2107" s="16">
        <v>3115.201</v>
      </c>
      <c r="H2107" s="92">
        <v>0</v>
      </c>
      <c r="I2107" s="92">
        <f t="shared" ref="I2107:I2116" si="89">(H2107*G2107)/2000</f>
        <v>0</v>
      </c>
      <c r="J2107" s="16">
        <f t="shared" si="87"/>
        <v>0</v>
      </c>
      <c r="M2107" s="19"/>
      <c r="N2107" s="19"/>
      <c r="O2107" s="19"/>
      <c r="P2107" s="19"/>
    </row>
    <row r="2108" spans="1:17" x14ac:dyDescent="0.25">
      <c r="A2108" s="91">
        <v>3289</v>
      </c>
      <c r="B2108" s="15">
        <v>2016</v>
      </c>
      <c r="C2108" s="1" t="s">
        <v>19</v>
      </c>
      <c r="D2108" s="1" t="s">
        <v>219</v>
      </c>
      <c r="E2108" s="1" t="s">
        <v>125</v>
      </c>
      <c r="F2108" s="1" t="s">
        <v>30</v>
      </c>
      <c r="G2108" s="16">
        <v>3277.547</v>
      </c>
      <c r="H2108" s="92">
        <v>0</v>
      </c>
      <c r="I2108" s="92">
        <f t="shared" si="89"/>
        <v>0</v>
      </c>
      <c r="J2108" s="16">
        <f t="shared" si="87"/>
        <v>0</v>
      </c>
      <c r="M2108" s="19"/>
      <c r="N2108" s="19"/>
      <c r="O2108" s="19"/>
      <c r="P2108" s="19"/>
    </row>
    <row r="2109" spans="1:17" x14ac:dyDescent="0.25">
      <c r="A2109" s="91">
        <v>3290</v>
      </c>
      <c r="B2109" s="15">
        <v>2016</v>
      </c>
      <c r="C2109" s="1" t="s">
        <v>32</v>
      </c>
      <c r="D2109" s="1" t="s">
        <v>219</v>
      </c>
      <c r="E2109" s="1" t="s">
        <v>125</v>
      </c>
      <c r="F2109" s="1" t="s">
        <v>205</v>
      </c>
      <c r="G2109" s="16">
        <v>166693.777</v>
      </c>
      <c r="H2109" s="92">
        <v>0</v>
      </c>
      <c r="I2109" s="92">
        <f t="shared" si="89"/>
        <v>0</v>
      </c>
      <c r="J2109" s="16">
        <f t="shared" si="87"/>
        <v>0</v>
      </c>
      <c r="M2109" s="19"/>
      <c r="N2109" s="19"/>
      <c r="O2109" s="19"/>
      <c r="P2109" s="19"/>
    </row>
    <row r="2110" spans="1:17" x14ac:dyDescent="0.25">
      <c r="A2110" s="91">
        <v>3291</v>
      </c>
      <c r="B2110" s="15">
        <v>2016</v>
      </c>
      <c r="C2110" s="1" t="s">
        <v>32</v>
      </c>
      <c r="D2110" s="1" t="s">
        <v>219</v>
      </c>
      <c r="E2110" s="1" t="s">
        <v>125</v>
      </c>
      <c r="F2110" s="1" t="s">
        <v>237</v>
      </c>
      <c r="G2110" s="16">
        <v>36724.080999999998</v>
      </c>
      <c r="H2110" s="92">
        <v>0</v>
      </c>
      <c r="I2110" s="92">
        <f t="shared" si="89"/>
        <v>0</v>
      </c>
      <c r="J2110" s="16">
        <f t="shared" si="87"/>
        <v>0</v>
      </c>
      <c r="M2110" s="19"/>
      <c r="N2110" s="19"/>
      <c r="O2110" s="19"/>
      <c r="P2110" s="19"/>
    </row>
    <row r="2111" spans="1:17" x14ac:dyDescent="0.25">
      <c r="A2111" s="91">
        <v>3292</v>
      </c>
      <c r="B2111" s="15">
        <v>2016</v>
      </c>
      <c r="C2111" s="1" t="s">
        <v>32</v>
      </c>
      <c r="D2111" s="1" t="s">
        <v>219</v>
      </c>
      <c r="E2111" s="1" t="s">
        <v>125</v>
      </c>
      <c r="F2111" s="1" t="s">
        <v>34</v>
      </c>
      <c r="G2111" s="16">
        <v>46042.635999999999</v>
      </c>
      <c r="H2111" s="92">
        <v>0</v>
      </c>
      <c r="I2111" s="92">
        <f t="shared" si="89"/>
        <v>0</v>
      </c>
      <c r="J2111" s="16">
        <f t="shared" si="87"/>
        <v>0</v>
      </c>
      <c r="M2111" s="19"/>
      <c r="N2111" s="19"/>
      <c r="O2111" s="19"/>
      <c r="P2111" s="19"/>
    </row>
    <row r="2112" spans="1:17" x14ac:dyDescent="0.25">
      <c r="A2112" s="91">
        <v>3293</v>
      </c>
      <c r="B2112" s="15">
        <v>2016</v>
      </c>
      <c r="C2112" s="1" t="s">
        <v>32</v>
      </c>
      <c r="D2112" s="1" t="s">
        <v>219</v>
      </c>
      <c r="E2112" s="1" t="s">
        <v>125</v>
      </c>
      <c r="F2112" s="1" t="s">
        <v>196</v>
      </c>
      <c r="G2112" s="16">
        <v>292.56</v>
      </c>
      <c r="H2112" s="92">
        <v>0</v>
      </c>
      <c r="I2112" s="92">
        <f t="shared" si="89"/>
        <v>0</v>
      </c>
      <c r="J2112" s="16">
        <f t="shared" si="87"/>
        <v>0</v>
      </c>
      <c r="M2112" s="19"/>
      <c r="N2112" s="19"/>
      <c r="O2112" s="19"/>
      <c r="P2112" s="19"/>
    </row>
    <row r="2113" spans="1:16" x14ac:dyDescent="0.25">
      <c r="A2113" s="91">
        <v>3294</v>
      </c>
      <c r="B2113" s="15">
        <v>2016</v>
      </c>
      <c r="C2113" s="1" t="s">
        <v>32</v>
      </c>
      <c r="D2113" s="1" t="s">
        <v>219</v>
      </c>
      <c r="E2113" s="1" t="s">
        <v>125</v>
      </c>
      <c r="F2113" s="1" t="s">
        <v>35</v>
      </c>
      <c r="G2113" s="16">
        <v>24374.06</v>
      </c>
      <c r="H2113" s="92">
        <v>0</v>
      </c>
      <c r="I2113" s="92">
        <f t="shared" si="89"/>
        <v>0</v>
      </c>
      <c r="J2113" s="16">
        <f t="shared" si="87"/>
        <v>0</v>
      </c>
      <c r="M2113" s="19"/>
      <c r="N2113" s="19"/>
      <c r="O2113" s="19"/>
      <c r="P2113" s="19"/>
    </row>
    <row r="2114" spans="1:16" x14ac:dyDescent="0.25">
      <c r="A2114" s="91">
        <v>3295</v>
      </c>
      <c r="B2114" s="15">
        <v>2016</v>
      </c>
      <c r="C2114" s="1" t="s">
        <v>32</v>
      </c>
      <c r="D2114" s="1" t="s">
        <v>219</v>
      </c>
      <c r="E2114" s="1" t="s">
        <v>125</v>
      </c>
      <c r="F2114" s="1" t="s">
        <v>40</v>
      </c>
      <c r="G2114" s="16">
        <v>907.41</v>
      </c>
      <c r="H2114" s="92">
        <v>0</v>
      </c>
      <c r="I2114" s="92">
        <f t="shared" si="89"/>
        <v>0</v>
      </c>
      <c r="J2114" s="16">
        <f t="shared" si="87"/>
        <v>0</v>
      </c>
      <c r="M2114" s="19"/>
      <c r="N2114" s="19"/>
      <c r="O2114" s="19"/>
      <c r="P2114" s="19"/>
    </row>
    <row r="2115" spans="1:16" x14ac:dyDescent="0.25">
      <c r="A2115" s="91">
        <v>3296</v>
      </c>
      <c r="B2115" s="15">
        <v>2016</v>
      </c>
      <c r="C2115" s="1" t="s">
        <v>32</v>
      </c>
      <c r="D2115" s="1" t="s">
        <v>219</v>
      </c>
      <c r="E2115" s="1" t="s">
        <v>125</v>
      </c>
      <c r="F2115" s="1" t="s">
        <v>42</v>
      </c>
      <c r="G2115" s="16">
        <v>79876.214000000007</v>
      </c>
      <c r="H2115" s="92">
        <v>0</v>
      </c>
      <c r="I2115" s="92">
        <f t="shared" si="89"/>
        <v>0</v>
      </c>
      <c r="J2115" s="16">
        <f t="shared" si="87"/>
        <v>0</v>
      </c>
      <c r="M2115" s="19"/>
      <c r="N2115" s="19"/>
      <c r="O2115" s="19"/>
      <c r="P2115" s="19"/>
    </row>
    <row r="2116" spans="1:16" x14ac:dyDescent="0.25">
      <c r="A2116" s="91">
        <v>3297</v>
      </c>
      <c r="B2116" s="15">
        <v>2016</v>
      </c>
      <c r="C2116" s="1" t="s">
        <v>32</v>
      </c>
      <c r="D2116" s="1" t="s">
        <v>219</v>
      </c>
      <c r="E2116" s="1" t="s">
        <v>125</v>
      </c>
      <c r="F2116" s="1" t="s">
        <v>43</v>
      </c>
      <c r="G2116" s="16">
        <v>11111.191000000001</v>
      </c>
      <c r="H2116" s="92">
        <v>0</v>
      </c>
      <c r="I2116" s="92">
        <f t="shared" si="89"/>
        <v>0</v>
      </c>
      <c r="J2116" s="16">
        <f t="shared" si="87"/>
        <v>0</v>
      </c>
      <c r="M2116" s="19"/>
      <c r="N2116" s="19"/>
      <c r="O2116" s="19"/>
      <c r="P2116" s="19"/>
    </row>
    <row r="2117" spans="1:16" x14ac:dyDescent="0.25">
      <c r="A2117" s="91">
        <v>3297.5</v>
      </c>
      <c r="B2117" s="15">
        <v>2016</v>
      </c>
      <c r="C2117" s="1" t="s">
        <v>19</v>
      </c>
      <c r="D2117" s="1" t="s">
        <v>219</v>
      </c>
      <c r="E2117" s="1" t="s">
        <v>217</v>
      </c>
      <c r="F2117" s="1" t="s">
        <v>313</v>
      </c>
      <c r="G2117" s="16">
        <f>2533903-1568805</f>
        <v>965098</v>
      </c>
      <c r="H2117" s="93">
        <f>'Emission Rates Net-by-Count'!$D$14</f>
        <v>895</v>
      </c>
      <c r="I2117" s="109">
        <f>(+G2117*H2117)/2000</f>
        <v>431881.35499999998</v>
      </c>
      <c r="J2117" s="109">
        <f t="shared" si="87"/>
        <v>391796.10754310375</v>
      </c>
      <c r="K2117" s="17" t="s">
        <v>312</v>
      </c>
      <c r="M2117" s="19"/>
      <c r="N2117" s="19"/>
      <c r="O2117" s="19"/>
      <c r="P2117" s="19"/>
    </row>
    <row r="2118" spans="1:16" x14ac:dyDescent="0.25">
      <c r="A2118" s="91">
        <v>3298</v>
      </c>
      <c r="B2118" s="15">
        <v>2016</v>
      </c>
      <c r="C2118" s="1" t="s">
        <v>417</v>
      </c>
      <c r="D2118" s="1" t="s">
        <v>216</v>
      </c>
      <c r="E2118" s="15" t="s">
        <v>217</v>
      </c>
      <c r="F2118" s="150" t="s">
        <v>47</v>
      </c>
      <c r="G2118" s="151">
        <v>33590</v>
      </c>
      <c r="H2118" s="142">
        <f>IF(G2118&gt;0,'Emission Rates Net-by-Count'!$D$14,'Emission Rates Net-by-Count'!$E$14)</f>
        <v>895</v>
      </c>
      <c r="I2118" s="92">
        <f t="shared" ref="I2118:I2149" si="90">(H2118*G2118)/2000</f>
        <v>15031.525</v>
      </c>
      <c r="J2118" s="16">
        <f t="shared" ref="J2118:J2149" si="91">I2118*0.9071847</f>
        <v>13636.3694976675</v>
      </c>
      <c r="K2118" s="17" t="s">
        <v>238</v>
      </c>
      <c r="M2118" s="19"/>
      <c r="N2118" s="19"/>
      <c r="O2118" s="19"/>
      <c r="P2118" s="19"/>
    </row>
    <row r="2119" spans="1:16" x14ac:dyDescent="0.25">
      <c r="A2119" s="91">
        <v>3299</v>
      </c>
      <c r="B2119" s="15">
        <v>2016</v>
      </c>
      <c r="C2119" s="1" t="s">
        <v>417</v>
      </c>
      <c r="D2119" s="1" t="s">
        <v>216</v>
      </c>
      <c r="E2119" s="15" t="s">
        <v>217</v>
      </c>
      <c r="F2119" s="150" t="s">
        <v>207</v>
      </c>
      <c r="G2119" s="151">
        <v>21796.48</v>
      </c>
      <c r="H2119" s="142">
        <f>IF(G2119&gt;0,'Emission Rates Net-by-Count'!$D$14,'Emission Rates Net-by-Count'!$E$14)</f>
        <v>895</v>
      </c>
      <c r="I2119" s="92">
        <f t="shared" si="90"/>
        <v>9753.9247999999989</v>
      </c>
      <c r="J2119" s="16">
        <f t="shared" si="91"/>
        <v>8848.6113435105581</v>
      </c>
      <c r="K2119" s="17" t="s">
        <v>238</v>
      </c>
      <c r="M2119" s="19"/>
      <c r="N2119" s="110"/>
      <c r="O2119" s="19"/>
      <c r="P2119" s="19"/>
    </row>
    <row r="2120" spans="1:16" x14ac:dyDescent="0.25">
      <c r="A2120" s="91">
        <v>3300</v>
      </c>
      <c r="B2120" s="15">
        <v>2016</v>
      </c>
      <c r="C2120" s="1" t="s">
        <v>417</v>
      </c>
      <c r="D2120" s="1" t="s">
        <v>216</v>
      </c>
      <c r="E2120" s="15" t="s">
        <v>217</v>
      </c>
      <c r="F2120" s="150" t="s">
        <v>50</v>
      </c>
      <c r="G2120" s="151">
        <v>201</v>
      </c>
      <c r="H2120" s="142">
        <f>IF(G2120&gt;0,'Emission Rates Net-by-Count'!$D$14,'Emission Rates Net-by-Count'!$E$14)</f>
        <v>895</v>
      </c>
      <c r="I2120" s="92">
        <f t="shared" si="90"/>
        <v>89.947500000000005</v>
      </c>
      <c r="J2120" s="16">
        <f t="shared" si="91"/>
        <v>81.598995803250006</v>
      </c>
      <c r="K2120" s="17" t="s">
        <v>238</v>
      </c>
      <c r="M2120" s="19"/>
      <c r="N2120" s="19"/>
      <c r="O2120" s="19"/>
      <c r="P2120" s="19"/>
    </row>
    <row r="2121" spans="1:16" x14ac:dyDescent="0.25">
      <c r="A2121" s="91">
        <v>3301</v>
      </c>
      <c r="B2121" s="15">
        <v>2016</v>
      </c>
      <c r="C2121" s="1" t="s">
        <v>417</v>
      </c>
      <c r="D2121" s="1" t="s">
        <v>216</v>
      </c>
      <c r="E2121" s="15" t="s">
        <v>217</v>
      </c>
      <c r="F2121" s="150" t="s">
        <v>51</v>
      </c>
      <c r="G2121" s="151">
        <v>2580</v>
      </c>
      <c r="H2121" s="142">
        <f>IF(G2121&gt;0,'Emission Rates Net-by-Count'!$D$14,'Emission Rates Net-by-Count'!$E$14)</f>
        <v>895</v>
      </c>
      <c r="I2121" s="92">
        <f t="shared" si="90"/>
        <v>1154.55</v>
      </c>
      <c r="J2121" s="16">
        <f t="shared" si="91"/>
        <v>1047.390095385</v>
      </c>
      <c r="K2121" s="17" t="s">
        <v>238</v>
      </c>
      <c r="M2121" s="19"/>
      <c r="N2121" s="19"/>
      <c r="O2121" s="19"/>
      <c r="P2121" s="19"/>
    </row>
    <row r="2122" spans="1:16" x14ac:dyDescent="0.25">
      <c r="A2122" s="91">
        <v>3302</v>
      </c>
      <c r="B2122" s="15">
        <v>2016</v>
      </c>
      <c r="C2122" s="1" t="s">
        <v>417</v>
      </c>
      <c r="D2122" s="1" t="s">
        <v>216</v>
      </c>
      <c r="E2122" s="15" t="s">
        <v>217</v>
      </c>
      <c r="F2122" s="150" t="s">
        <v>52</v>
      </c>
      <c r="G2122" s="151">
        <v>215742</v>
      </c>
      <c r="H2122" s="142">
        <f>IF(G2122&gt;0,'Emission Rates Net-by-Count'!$D$14,'Emission Rates Net-by-Count'!$E$14)</f>
        <v>895</v>
      </c>
      <c r="I2122" s="92">
        <f t="shared" si="90"/>
        <v>96544.544999999998</v>
      </c>
      <c r="J2122" s="16">
        <f t="shared" si="91"/>
        <v>87583.734092461498</v>
      </c>
      <c r="K2122" s="17" t="s">
        <v>238</v>
      </c>
      <c r="M2122" s="19"/>
      <c r="N2122" s="19"/>
      <c r="O2122" s="19"/>
      <c r="P2122" s="19"/>
    </row>
    <row r="2123" spans="1:16" x14ac:dyDescent="0.25">
      <c r="A2123" s="91">
        <v>3303</v>
      </c>
      <c r="B2123" s="15">
        <v>2016</v>
      </c>
      <c r="C2123" s="1" t="s">
        <v>417</v>
      </c>
      <c r="D2123" s="1" t="s">
        <v>216</v>
      </c>
      <c r="E2123" s="15" t="s">
        <v>217</v>
      </c>
      <c r="F2123" s="150" t="s">
        <v>21</v>
      </c>
      <c r="G2123" s="151">
        <v>258423</v>
      </c>
      <c r="H2123" s="142">
        <f>IF(G2123&gt;0,'Emission Rates Net-by-Count'!$D$14,'Emission Rates Net-by-Count'!$E$14)</f>
        <v>895</v>
      </c>
      <c r="I2123" s="92">
        <f t="shared" si="90"/>
        <v>115644.2925</v>
      </c>
      <c r="J2123" s="16">
        <f t="shared" si="91"/>
        <v>104910.73279832474</v>
      </c>
      <c r="K2123" s="17" t="s">
        <v>238</v>
      </c>
      <c r="M2123" s="19"/>
      <c r="N2123" s="19"/>
      <c r="O2123" s="19"/>
      <c r="P2123" s="19"/>
    </row>
    <row r="2124" spans="1:16" x14ac:dyDescent="0.25">
      <c r="A2124" s="91">
        <v>3304</v>
      </c>
      <c r="B2124" s="15">
        <v>2016</v>
      </c>
      <c r="C2124" s="1" t="s">
        <v>417</v>
      </c>
      <c r="D2124" s="1" t="s">
        <v>216</v>
      </c>
      <c r="E2124" s="15" t="s">
        <v>217</v>
      </c>
      <c r="F2124" s="150" t="s">
        <v>159</v>
      </c>
      <c r="G2124" s="151">
        <v>1952.7380000000001</v>
      </c>
      <c r="H2124" s="142">
        <f>IF(G2124&gt;0,'Emission Rates Net-by-Count'!$D$14,'Emission Rates Net-by-Count'!$E$14)</f>
        <v>895</v>
      </c>
      <c r="I2124" s="92">
        <f t="shared" si="90"/>
        <v>873.85025500000006</v>
      </c>
      <c r="J2124" s="16">
        <f t="shared" si="91"/>
        <v>792.74358142709855</v>
      </c>
      <c r="K2124" s="17" t="s">
        <v>238</v>
      </c>
      <c r="M2124" s="19"/>
      <c r="N2124" s="19"/>
      <c r="O2124" s="19"/>
      <c r="P2124" s="19"/>
    </row>
    <row r="2125" spans="1:16" x14ac:dyDescent="0.25">
      <c r="A2125" s="91">
        <v>3305</v>
      </c>
      <c r="B2125" s="15">
        <v>2016</v>
      </c>
      <c r="C2125" s="1" t="s">
        <v>417</v>
      </c>
      <c r="D2125" s="1" t="s">
        <v>216</v>
      </c>
      <c r="E2125" s="15" t="s">
        <v>217</v>
      </c>
      <c r="F2125" s="150" t="s">
        <v>115</v>
      </c>
      <c r="G2125" s="151">
        <v>-159</v>
      </c>
      <c r="H2125" s="142">
        <f>IF(G2125&gt;0,'Emission Rates Net-by-Count'!$D$14,'Emission Rates Net-by-Count'!$E$14)</f>
        <v>1046.0391339805128</v>
      </c>
      <c r="I2125" s="92">
        <f t="shared" si="90"/>
        <v>-83.160111151450764</v>
      </c>
      <c r="J2125" s="16">
        <f t="shared" si="91"/>
        <v>-75.441580486895518</v>
      </c>
      <c r="K2125" s="17" t="s">
        <v>238</v>
      </c>
      <c r="M2125" s="19"/>
      <c r="N2125" s="19"/>
      <c r="O2125" s="19"/>
      <c r="P2125" s="19"/>
    </row>
    <row r="2126" spans="1:16" x14ac:dyDescent="0.25">
      <c r="A2126" s="91">
        <v>3306</v>
      </c>
      <c r="B2126" s="15">
        <v>2016</v>
      </c>
      <c r="C2126" s="1" t="s">
        <v>417</v>
      </c>
      <c r="D2126" s="1" t="s">
        <v>216</v>
      </c>
      <c r="E2126" s="15" t="s">
        <v>217</v>
      </c>
      <c r="F2126" s="150" t="s">
        <v>116</v>
      </c>
      <c r="G2126" s="151">
        <v>39252</v>
      </c>
      <c r="H2126" s="142">
        <f>IF(G2126&gt;0,'Emission Rates Net-by-Count'!$D$14,'Emission Rates Net-by-Count'!$E$14)</f>
        <v>895</v>
      </c>
      <c r="I2126" s="92">
        <f t="shared" si="90"/>
        <v>17565.27</v>
      </c>
      <c r="J2126" s="16">
        <f t="shared" si="91"/>
        <v>15934.944195369</v>
      </c>
      <c r="K2126" s="17" t="s">
        <v>238</v>
      </c>
      <c r="M2126" s="19"/>
      <c r="N2126" s="19"/>
      <c r="O2126" s="19"/>
      <c r="P2126" s="19"/>
    </row>
    <row r="2127" spans="1:16" x14ac:dyDescent="0.25">
      <c r="A2127" s="91">
        <v>3307</v>
      </c>
      <c r="B2127" s="15">
        <v>2016</v>
      </c>
      <c r="C2127" s="1" t="s">
        <v>417</v>
      </c>
      <c r="D2127" s="1" t="s">
        <v>216</v>
      </c>
      <c r="E2127" s="15" t="s">
        <v>217</v>
      </c>
      <c r="F2127" s="150" t="s">
        <v>118</v>
      </c>
      <c r="G2127" s="151">
        <v>5037220.18</v>
      </c>
      <c r="H2127" s="142">
        <f>IF(G2127&gt;0,'Emission Rates Net-by-Count'!$D$14,'Emission Rates Net-by-Count'!$E$14)</f>
        <v>895</v>
      </c>
      <c r="I2127" s="92">
        <f t="shared" si="90"/>
        <v>2254156.0305499998</v>
      </c>
      <c r="J2127" s="16">
        <f t="shared" si="91"/>
        <v>2044935.8623276923</v>
      </c>
      <c r="K2127" s="17" t="s">
        <v>238</v>
      </c>
      <c r="M2127" s="19"/>
      <c r="N2127" s="19"/>
      <c r="O2127" s="19"/>
      <c r="P2127" s="19"/>
    </row>
    <row r="2128" spans="1:16" x14ac:dyDescent="0.25">
      <c r="A2128" s="91">
        <v>3308</v>
      </c>
      <c r="B2128" s="15">
        <v>2016</v>
      </c>
      <c r="C2128" s="1" t="s">
        <v>417</v>
      </c>
      <c r="D2128" s="1" t="s">
        <v>216</v>
      </c>
      <c r="E2128" s="15" t="s">
        <v>217</v>
      </c>
      <c r="F2128" s="150" t="s">
        <v>119</v>
      </c>
      <c r="G2128" s="151">
        <v>194</v>
      </c>
      <c r="H2128" s="142">
        <f>IF(G2128&gt;0,'Emission Rates Net-by-Count'!$D$14,'Emission Rates Net-by-Count'!$E$14)</f>
        <v>895</v>
      </c>
      <c r="I2128" s="92">
        <f t="shared" si="90"/>
        <v>86.814999999999998</v>
      </c>
      <c r="J2128" s="16">
        <f t="shared" si="91"/>
        <v>78.75723973049999</v>
      </c>
      <c r="K2128" s="17" t="s">
        <v>238</v>
      </c>
      <c r="M2128" s="19"/>
      <c r="N2128" s="19"/>
      <c r="O2128" s="19"/>
      <c r="P2128" s="19"/>
    </row>
    <row r="2129" spans="1:16" x14ac:dyDescent="0.25">
      <c r="A2129" s="91">
        <v>3309</v>
      </c>
      <c r="B2129" s="15">
        <v>2016</v>
      </c>
      <c r="C2129" s="1" t="s">
        <v>417</v>
      </c>
      <c r="D2129" s="1" t="s">
        <v>216</v>
      </c>
      <c r="E2129" s="15" t="s">
        <v>217</v>
      </c>
      <c r="F2129" s="150" t="s">
        <v>143</v>
      </c>
      <c r="G2129" s="151">
        <v>15</v>
      </c>
      <c r="H2129" s="142">
        <f>IF(G2129&gt;0,'Emission Rates Net-by-Count'!$D$14,'Emission Rates Net-by-Count'!$E$14)</f>
        <v>895</v>
      </c>
      <c r="I2129" s="92">
        <f t="shared" si="90"/>
        <v>6.7125000000000004</v>
      </c>
      <c r="J2129" s="16">
        <f t="shared" si="91"/>
        <v>6.0894772987500003</v>
      </c>
      <c r="K2129" s="17" t="s">
        <v>238</v>
      </c>
      <c r="M2129" s="19"/>
      <c r="N2129" s="19"/>
      <c r="O2129" s="19"/>
      <c r="P2129" s="19"/>
    </row>
    <row r="2130" spans="1:16" x14ac:dyDescent="0.25">
      <c r="A2130" s="91">
        <v>3310</v>
      </c>
      <c r="B2130" s="15">
        <v>2016</v>
      </c>
      <c r="C2130" s="1" t="s">
        <v>417</v>
      </c>
      <c r="D2130" s="1" t="s">
        <v>216</v>
      </c>
      <c r="E2130" s="15" t="s">
        <v>217</v>
      </c>
      <c r="F2130" s="150" t="s">
        <v>240</v>
      </c>
      <c r="G2130" s="151">
        <v>-39390.894</v>
      </c>
      <c r="H2130" s="142">
        <f>IF(G2130&gt;0,'Emission Rates Net-by-Count'!$D$14,'Emission Rates Net-by-Count'!$E$14)</f>
        <v>1046.0391339805128</v>
      </c>
      <c r="I2130" s="92">
        <f t="shared" si="90"/>
        <v>-20602.208323239087</v>
      </c>
      <c r="J2130" s="16">
        <f t="shared" si="91"/>
        <v>-18690.008177055151</v>
      </c>
      <c r="K2130" s="17" t="s">
        <v>238</v>
      </c>
      <c r="M2130" s="19"/>
      <c r="N2130" s="19"/>
      <c r="O2130" s="19"/>
      <c r="P2130" s="19"/>
    </row>
    <row r="2131" spans="1:16" x14ac:dyDescent="0.25">
      <c r="A2131" s="91">
        <v>3311</v>
      </c>
      <c r="B2131" s="15">
        <v>2016</v>
      </c>
      <c r="C2131" s="1" t="s">
        <v>417</v>
      </c>
      <c r="D2131" s="1" t="s">
        <v>216</v>
      </c>
      <c r="E2131" s="15" t="s">
        <v>217</v>
      </c>
      <c r="F2131" s="150" t="s">
        <v>295</v>
      </c>
      <c r="G2131" s="151">
        <v>17560.87</v>
      </c>
      <c r="H2131" s="142">
        <f>IF(G2131&gt;0,'Emission Rates Net-by-Count'!$D$14,'Emission Rates Net-by-Count'!$E$14)</f>
        <v>895</v>
      </c>
      <c r="I2131" s="92">
        <f t="shared" si="90"/>
        <v>7858.4893249999996</v>
      </c>
      <c r="J2131" s="16">
        <f t="shared" si="91"/>
        <v>7129.101280753327</v>
      </c>
      <c r="K2131" s="17" t="s">
        <v>238</v>
      </c>
      <c r="M2131" s="19"/>
      <c r="N2131" s="19"/>
      <c r="O2131" s="19"/>
      <c r="P2131" s="19"/>
    </row>
    <row r="2132" spans="1:16" x14ac:dyDescent="0.25">
      <c r="A2132" s="91">
        <v>3312</v>
      </c>
      <c r="B2132" s="15">
        <v>2016</v>
      </c>
      <c r="C2132" s="1" t="s">
        <v>417</v>
      </c>
      <c r="D2132" s="1" t="s">
        <v>216</v>
      </c>
      <c r="E2132" s="15" t="s">
        <v>217</v>
      </c>
      <c r="F2132" s="150" t="s">
        <v>201</v>
      </c>
      <c r="G2132" s="151">
        <v>33095</v>
      </c>
      <c r="H2132" s="142">
        <f>IF(G2132&gt;0,'Emission Rates Net-by-Count'!$D$14,'Emission Rates Net-by-Count'!$E$14)</f>
        <v>895</v>
      </c>
      <c r="I2132" s="92">
        <f t="shared" si="90"/>
        <v>14810.012500000001</v>
      </c>
      <c r="J2132" s="16">
        <f t="shared" si="91"/>
        <v>13435.416746808751</v>
      </c>
      <c r="K2132" s="17" t="s">
        <v>238</v>
      </c>
      <c r="M2132" s="19"/>
      <c r="N2132" s="19"/>
      <c r="O2132" s="19"/>
      <c r="P2132" s="19"/>
    </row>
    <row r="2133" spans="1:16" x14ac:dyDescent="0.25">
      <c r="A2133" s="91">
        <v>3313</v>
      </c>
      <c r="B2133" s="15">
        <v>2016</v>
      </c>
      <c r="C2133" s="1" t="s">
        <v>417</v>
      </c>
      <c r="D2133" s="1" t="s">
        <v>216</v>
      </c>
      <c r="E2133" s="15" t="s">
        <v>217</v>
      </c>
      <c r="F2133" s="150" t="s">
        <v>55</v>
      </c>
      <c r="G2133" s="151">
        <v>-29780</v>
      </c>
      <c r="H2133" s="142">
        <f>IF(G2133&gt;0,'Emission Rates Net-by-Count'!$D$14,'Emission Rates Net-by-Count'!$E$14)</f>
        <v>1046.0391339805128</v>
      </c>
      <c r="I2133" s="92">
        <f t="shared" si="90"/>
        <v>-15575.522704969837</v>
      </c>
      <c r="J2133" s="16">
        <f t="shared" si="91"/>
        <v>-14129.875892451249</v>
      </c>
      <c r="K2133" s="17" t="s">
        <v>238</v>
      </c>
      <c r="M2133" s="19"/>
      <c r="N2133" s="19"/>
      <c r="O2133" s="19"/>
      <c r="P2133" s="19"/>
    </row>
    <row r="2134" spans="1:16" x14ac:dyDescent="0.25">
      <c r="A2134" s="91">
        <v>3314</v>
      </c>
      <c r="B2134" s="15">
        <v>2016</v>
      </c>
      <c r="C2134" s="1" t="s">
        <v>417</v>
      </c>
      <c r="D2134" s="1" t="s">
        <v>216</v>
      </c>
      <c r="E2134" s="15" t="s">
        <v>217</v>
      </c>
      <c r="F2134" s="150" t="s">
        <v>56</v>
      </c>
      <c r="G2134" s="151">
        <v>470528</v>
      </c>
      <c r="H2134" s="142">
        <f>IF(G2134&gt;0,'Emission Rates Net-by-Count'!$D$14,'Emission Rates Net-by-Count'!$E$14)</f>
        <v>895</v>
      </c>
      <c r="I2134" s="92">
        <f t="shared" si="90"/>
        <v>210561.28</v>
      </c>
      <c r="J2134" s="16">
        <f t="shared" si="91"/>
        <v>191017.97162841598</v>
      </c>
      <c r="K2134" s="17" t="s">
        <v>238</v>
      </c>
      <c r="M2134" s="19"/>
      <c r="N2134" s="19"/>
      <c r="O2134" s="19"/>
      <c r="P2134" s="19"/>
    </row>
    <row r="2135" spans="1:16" x14ac:dyDescent="0.25">
      <c r="A2135" s="91">
        <v>3315</v>
      </c>
      <c r="B2135" s="15">
        <v>2016</v>
      </c>
      <c r="C2135" s="1" t="s">
        <v>417</v>
      </c>
      <c r="D2135" s="1" t="s">
        <v>216</v>
      </c>
      <c r="E2135" s="15" t="s">
        <v>217</v>
      </c>
      <c r="F2135" s="150" t="s">
        <v>57</v>
      </c>
      <c r="G2135" s="151">
        <v>62405</v>
      </c>
      <c r="H2135" s="142">
        <f>IF(G2135&gt;0,'Emission Rates Net-by-Count'!$D$14,'Emission Rates Net-by-Count'!$E$14)</f>
        <v>895</v>
      </c>
      <c r="I2135" s="92">
        <f t="shared" si="90"/>
        <v>27926.237499999999</v>
      </c>
      <c r="J2135" s="16">
        <f t="shared" si="91"/>
        <v>25334.255388566249</v>
      </c>
      <c r="K2135" s="17" t="s">
        <v>238</v>
      </c>
      <c r="M2135" s="19"/>
      <c r="N2135" s="19"/>
      <c r="O2135" s="19"/>
      <c r="P2135" s="19"/>
    </row>
    <row r="2136" spans="1:16" x14ac:dyDescent="0.25">
      <c r="A2136" s="91">
        <v>3316</v>
      </c>
      <c r="B2136" s="15">
        <v>2016</v>
      </c>
      <c r="C2136" s="1" t="s">
        <v>417</v>
      </c>
      <c r="D2136" s="1" t="s">
        <v>216</v>
      </c>
      <c r="E2136" s="15" t="s">
        <v>217</v>
      </c>
      <c r="F2136" s="150" t="s">
        <v>58</v>
      </c>
      <c r="G2136" s="151">
        <v>122525</v>
      </c>
      <c r="H2136" s="142">
        <f>IF(G2136&gt;0,'Emission Rates Net-by-Count'!$D$14,'Emission Rates Net-by-Count'!$E$14)</f>
        <v>895</v>
      </c>
      <c r="I2136" s="92">
        <f t="shared" si="90"/>
        <v>54829.9375</v>
      </c>
      <c r="J2136" s="16">
        <f t="shared" si="91"/>
        <v>49740.880401956245</v>
      </c>
      <c r="K2136" s="17" t="s">
        <v>238</v>
      </c>
      <c r="M2136" s="19"/>
      <c r="N2136" s="19"/>
      <c r="O2136" s="19"/>
      <c r="P2136" s="19"/>
    </row>
    <row r="2137" spans="1:16" x14ac:dyDescent="0.25">
      <c r="A2137" s="91">
        <v>3317</v>
      </c>
      <c r="B2137" s="15">
        <v>2016</v>
      </c>
      <c r="C2137" s="1" t="s">
        <v>417</v>
      </c>
      <c r="D2137" s="1" t="s">
        <v>216</v>
      </c>
      <c r="E2137" s="15" t="s">
        <v>217</v>
      </c>
      <c r="F2137" s="150" t="s">
        <v>182</v>
      </c>
      <c r="G2137" s="151">
        <v>157</v>
      </c>
      <c r="H2137" s="142">
        <f>IF(G2137&gt;0,'Emission Rates Net-by-Count'!$D$14,'Emission Rates Net-by-Count'!$E$14)</f>
        <v>895</v>
      </c>
      <c r="I2137" s="92">
        <f t="shared" si="90"/>
        <v>70.257499999999993</v>
      </c>
      <c r="J2137" s="16">
        <f t="shared" si="91"/>
        <v>63.736529060249993</v>
      </c>
      <c r="K2137" s="17" t="s">
        <v>238</v>
      </c>
      <c r="M2137" s="19"/>
      <c r="N2137" s="19"/>
      <c r="O2137" s="19"/>
      <c r="P2137" s="19"/>
    </row>
    <row r="2138" spans="1:16" x14ac:dyDescent="0.25">
      <c r="A2138" s="91">
        <v>3318</v>
      </c>
      <c r="B2138" s="15">
        <v>2016</v>
      </c>
      <c r="C2138" s="1" t="s">
        <v>417</v>
      </c>
      <c r="D2138" s="1" t="s">
        <v>216</v>
      </c>
      <c r="E2138" s="15" t="s">
        <v>217</v>
      </c>
      <c r="F2138" s="150" t="s">
        <v>59</v>
      </c>
      <c r="G2138" s="151">
        <v>1009</v>
      </c>
      <c r="H2138" s="142">
        <f>IF(G2138&gt;0,'Emission Rates Net-by-Count'!$D$14,'Emission Rates Net-by-Count'!$E$14)</f>
        <v>895</v>
      </c>
      <c r="I2138" s="92">
        <f t="shared" si="90"/>
        <v>451.52749999999997</v>
      </c>
      <c r="J2138" s="16">
        <f t="shared" si="91"/>
        <v>409.61883962924998</v>
      </c>
      <c r="K2138" s="17" t="s">
        <v>238</v>
      </c>
      <c r="M2138" s="19"/>
      <c r="N2138" s="19"/>
      <c r="O2138" s="19"/>
      <c r="P2138" s="19"/>
    </row>
    <row r="2139" spans="1:16" x14ac:dyDescent="0.25">
      <c r="A2139" s="91">
        <v>3319</v>
      </c>
      <c r="B2139" s="15">
        <v>2016</v>
      </c>
      <c r="C2139" s="1" t="s">
        <v>417</v>
      </c>
      <c r="D2139" s="1" t="s">
        <v>216</v>
      </c>
      <c r="E2139" s="15" t="s">
        <v>217</v>
      </c>
      <c r="F2139" s="150" t="s">
        <v>296</v>
      </c>
      <c r="G2139" s="151">
        <v>-22440.600999999999</v>
      </c>
      <c r="H2139" s="142">
        <f>IF(G2139&gt;0,'Emission Rates Net-by-Count'!$D$14,'Emission Rates Net-by-Count'!$E$14)</f>
        <v>1046.0391339805128</v>
      </c>
      <c r="I2139" s="92">
        <f t="shared" si="90"/>
        <v>-11736.873418021114</v>
      </c>
      <c r="J2139" s="16">
        <f t="shared" si="91"/>
        <v>-10647.511990665458</v>
      </c>
      <c r="K2139" s="17" t="s">
        <v>238</v>
      </c>
      <c r="M2139" s="19"/>
      <c r="N2139" s="19"/>
      <c r="O2139" s="19"/>
      <c r="P2139" s="19"/>
    </row>
    <row r="2140" spans="1:16" x14ac:dyDescent="0.25">
      <c r="A2140" s="91">
        <v>3320</v>
      </c>
      <c r="B2140" s="15">
        <v>2016</v>
      </c>
      <c r="C2140" s="1" t="s">
        <v>417</v>
      </c>
      <c r="D2140" s="1" t="s">
        <v>216</v>
      </c>
      <c r="E2140" s="15" t="s">
        <v>217</v>
      </c>
      <c r="F2140" s="150" t="s">
        <v>60</v>
      </c>
      <c r="G2140" s="151">
        <v>-3825</v>
      </c>
      <c r="H2140" s="142">
        <f>IF(G2140&gt;0,'Emission Rates Net-by-Count'!$D$14,'Emission Rates Net-by-Count'!$E$14)</f>
        <v>1046.0391339805128</v>
      </c>
      <c r="I2140" s="92">
        <f t="shared" si="90"/>
        <v>-2000.5498437377307</v>
      </c>
      <c r="J2140" s="16">
        <f t="shared" si="91"/>
        <v>-1814.86820982626</v>
      </c>
      <c r="K2140" s="17" t="s">
        <v>238</v>
      </c>
      <c r="M2140" s="19"/>
      <c r="N2140" s="19"/>
      <c r="O2140" s="19"/>
      <c r="P2140" s="19"/>
    </row>
    <row r="2141" spans="1:16" x14ac:dyDescent="0.25">
      <c r="A2141" s="91">
        <v>3321</v>
      </c>
      <c r="B2141" s="15">
        <v>2016</v>
      </c>
      <c r="C2141" s="1" t="s">
        <v>417</v>
      </c>
      <c r="D2141" s="1" t="s">
        <v>216</v>
      </c>
      <c r="E2141" s="15" t="s">
        <v>217</v>
      </c>
      <c r="F2141" s="150" t="s">
        <v>61</v>
      </c>
      <c r="G2141" s="151">
        <v>-7</v>
      </c>
      <c r="H2141" s="142">
        <f>IF(G2141&gt;0,'Emission Rates Net-by-Count'!$D$14,'Emission Rates Net-by-Count'!$E$14)</f>
        <v>1046.0391339805128</v>
      </c>
      <c r="I2141" s="92">
        <f t="shared" si="90"/>
        <v>-3.6611369689317947</v>
      </c>
      <c r="J2141" s="16">
        <f t="shared" si="91"/>
        <v>-3.3213274428192996</v>
      </c>
      <c r="K2141" s="17" t="s">
        <v>238</v>
      </c>
      <c r="M2141" s="19"/>
      <c r="N2141" s="19"/>
      <c r="O2141" s="19"/>
      <c r="P2141" s="19"/>
    </row>
    <row r="2142" spans="1:16" x14ac:dyDescent="0.25">
      <c r="A2142" s="91">
        <v>3322</v>
      </c>
      <c r="B2142" s="15">
        <v>2016</v>
      </c>
      <c r="C2142" s="1" t="s">
        <v>417</v>
      </c>
      <c r="D2142" s="1" t="s">
        <v>216</v>
      </c>
      <c r="E2142" s="15" t="s">
        <v>217</v>
      </c>
      <c r="F2142" s="150" t="s">
        <v>146</v>
      </c>
      <c r="G2142" s="151">
        <v>-1642</v>
      </c>
      <c r="H2142" s="142">
        <f>IF(G2142&gt;0,'Emission Rates Net-by-Count'!$D$14,'Emission Rates Net-by-Count'!$E$14)</f>
        <v>1046.0391339805128</v>
      </c>
      <c r="I2142" s="92">
        <f t="shared" si="90"/>
        <v>-858.79812899800095</v>
      </c>
      <c r="J2142" s="16">
        <f t="shared" si="91"/>
        <v>-779.08852301561274</v>
      </c>
      <c r="K2142" s="17" t="s">
        <v>238</v>
      </c>
      <c r="M2142" s="19"/>
      <c r="N2142" s="19"/>
      <c r="O2142" s="19"/>
      <c r="P2142" s="19"/>
    </row>
    <row r="2143" spans="1:16" x14ac:dyDescent="0.25">
      <c r="A2143" s="91">
        <v>3323</v>
      </c>
      <c r="B2143" s="15">
        <v>2016</v>
      </c>
      <c r="C2143" s="1" t="s">
        <v>417</v>
      </c>
      <c r="D2143" s="1" t="s">
        <v>216</v>
      </c>
      <c r="E2143" s="15" t="s">
        <v>217</v>
      </c>
      <c r="F2143" s="150" t="s">
        <v>114</v>
      </c>
      <c r="G2143" s="151">
        <v>18141.771000000001</v>
      </c>
      <c r="H2143" s="142">
        <f>IF(G2143&gt;0,'Emission Rates Net-by-Count'!$D$14,'Emission Rates Net-by-Count'!$E$14)</f>
        <v>895</v>
      </c>
      <c r="I2143" s="92">
        <f t="shared" si="90"/>
        <v>8118.4425224999995</v>
      </c>
      <c r="J2143" s="16">
        <f t="shared" si="91"/>
        <v>7364.926844241405</v>
      </c>
      <c r="K2143" s="17" t="s">
        <v>238</v>
      </c>
      <c r="M2143" s="19"/>
      <c r="N2143" s="19"/>
      <c r="O2143" s="19"/>
      <c r="P2143" s="19"/>
    </row>
    <row r="2144" spans="1:16" x14ac:dyDescent="0.25">
      <c r="A2144" s="91">
        <v>3324</v>
      </c>
      <c r="B2144" s="15">
        <v>2016</v>
      </c>
      <c r="C2144" s="1" t="s">
        <v>417</v>
      </c>
      <c r="D2144" s="1" t="s">
        <v>216</v>
      </c>
      <c r="E2144" s="15" t="s">
        <v>217</v>
      </c>
      <c r="F2144" s="150" t="s">
        <v>62</v>
      </c>
      <c r="G2144" s="151">
        <v>279149</v>
      </c>
      <c r="H2144" s="142">
        <f>IF(G2144&gt;0,'Emission Rates Net-by-Count'!$D$14,'Emission Rates Net-by-Count'!$E$14)</f>
        <v>895</v>
      </c>
      <c r="I2144" s="92">
        <f t="shared" si="90"/>
        <v>124919.17750000001</v>
      </c>
      <c r="J2144" s="16">
        <f t="shared" si="91"/>
        <v>113324.76656458425</v>
      </c>
      <c r="K2144" s="17" t="s">
        <v>238</v>
      </c>
      <c r="M2144" s="19"/>
      <c r="N2144" s="19"/>
      <c r="O2144" s="19"/>
      <c r="P2144" s="19"/>
    </row>
    <row r="2145" spans="1:16" x14ac:dyDescent="0.25">
      <c r="A2145" s="91">
        <v>3325</v>
      </c>
      <c r="B2145" s="15">
        <v>2016</v>
      </c>
      <c r="C2145" s="1" t="s">
        <v>417</v>
      </c>
      <c r="D2145" s="1" t="s">
        <v>216</v>
      </c>
      <c r="E2145" s="15" t="s">
        <v>217</v>
      </c>
      <c r="F2145" s="150" t="s">
        <v>165</v>
      </c>
      <c r="G2145" s="151">
        <v>-287573</v>
      </c>
      <c r="H2145" s="142">
        <f>IF(G2145&gt;0,'Emission Rates Net-by-Count'!$D$14,'Emission Rates Net-by-Count'!$E$14)</f>
        <v>1046.0391339805128</v>
      </c>
      <c r="I2145" s="92">
        <f t="shared" si="90"/>
        <v>-150406.305938089</v>
      </c>
      <c r="J2145" s="16">
        <f t="shared" si="91"/>
        <v>-136446.29953055349</v>
      </c>
      <c r="K2145" s="17" t="s">
        <v>238</v>
      </c>
      <c r="M2145" s="19"/>
      <c r="N2145" s="19"/>
      <c r="O2145" s="19"/>
      <c r="P2145" s="19"/>
    </row>
    <row r="2146" spans="1:16" x14ac:dyDescent="0.25">
      <c r="A2146" s="91">
        <v>3326</v>
      </c>
      <c r="B2146" s="15">
        <v>2016</v>
      </c>
      <c r="C2146" s="1" t="s">
        <v>417</v>
      </c>
      <c r="D2146" s="1" t="s">
        <v>216</v>
      </c>
      <c r="E2146" s="15" t="s">
        <v>217</v>
      </c>
      <c r="F2146" s="150" t="s">
        <v>10</v>
      </c>
      <c r="G2146" s="151">
        <v>-321.65099999999984</v>
      </c>
      <c r="H2146" s="142">
        <f>IF(G2146&gt;0,'Emission Rates Net-by-Count'!$D$14,'Emission Rates Net-by-Count'!$E$14)</f>
        <v>1046.0391339805128</v>
      </c>
      <c r="I2146" s="92">
        <f t="shared" si="90"/>
        <v>-168.2297667419829</v>
      </c>
      <c r="J2146" s="16">
        <f t="shared" si="91"/>
        <v>-152.61547047289574</v>
      </c>
      <c r="K2146" s="17" t="s">
        <v>238</v>
      </c>
      <c r="M2146" s="19"/>
      <c r="N2146" s="19"/>
      <c r="O2146" s="19"/>
      <c r="P2146" s="19"/>
    </row>
    <row r="2147" spans="1:16" x14ac:dyDescent="0.25">
      <c r="A2147" s="91">
        <v>3327</v>
      </c>
      <c r="B2147" s="15">
        <v>2016</v>
      </c>
      <c r="C2147" s="1" t="s">
        <v>417</v>
      </c>
      <c r="D2147" s="1" t="s">
        <v>216</v>
      </c>
      <c r="E2147" s="15" t="s">
        <v>217</v>
      </c>
      <c r="F2147" s="150" t="s">
        <v>65</v>
      </c>
      <c r="G2147" s="151">
        <v>-42733</v>
      </c>
      <c r="H2147" s="142">
        <f>IF(G2147&gt;0,'Emission Rates Net-by-Count'!$D$14,'Emission Rates Net-by-Count'!$E$14)</f>
        <v>1046.0391339805128</v>
      </c>
      <c r="I2147" s="92">
        <f t="shared" si="90"/>
        <v>-22350.195156194626</v>
      </c>
      <c r="J2147" s="16">
        <f t="shared" si="91"/>
        <v>-20275.755087713875</v>
      </c>
      <c r="K2147" s="17" t="s">
        <v>238</v>
      </c>
      <c r="M2147" s="19"/>
      <c r="N2147" s="19"/>
      <c r="O2147" s="19"/>
      <c r="P2147" s="19"/>
    </row>
    <row r="2148" spans="1:16" x14ac:dyDescent="0.25">
      <c r="A2148" s="91">
        <v>3328</v>
      </c>
      <c r="B2148" s="15">
        <v>2016</v>
      </c>
      <c r="C2148" s="1" t="s">
        <v>417</v>
      </c>
      <c r="D2148" s="1" t="s">
        <v>216</v>
      </c>
      <c r="E2148" s="15" t="s">
        <v>217</v>
      </c>
      <c r="F2148" s="150" t="s">
        <v>184</v>
      </c>
      <c r="G2148" s="151">
        <v>80290</v>
      </c>
      <c r="H2148" s="142">
        <f>IF(G2148&gt;0,'Emission Rates Net-by-Count'!$D$14,'Emission Rates Net-by-Count'!$E$14)</f>
        <v>895</v>
      </c>
      <c r="I2148" s="92">
        <f t="shared" si="90"/>
        <v>35929.775000000001</v>
      </c>
      <c r="J2148" s="16">
        <f t="shared" si="91"/>
        <v>32594.942154442499</v>
      </c>
      <c r="K2148" s="17" t="s">
        <v>238</v>
      </c>
      <c r="M2148" s="19"/>
      <c r="N2148" s="19"/>
      <c r="O2148" s="19"/>
      <c r="P2148" s="19"/>
    </row>
    <row r="2149" spans="1:16" x14ac:dyDescent="0.25">
      <c r="A2149" s="91">
        <v>3329</v>
      </c>
      <c r="B2149" s="15">
        <v>2016</v>
      </c>
      <c r="C2149" s="1" t="s">
        <v>417</v>
      </c>
      <c r="D2149" s="1" t="s">
        <v>216</v>
      </c>
      <c r="E2149" s="15" t="s">
        <v>217</v>
      </c>
      <c r="F2149" s="150" t="s">
        <v>188</v>
      </c>
      <c r="G2149" s="151">
        <v>1025.3830000000016</v>
      </c>
      <c r="H2149" s="142">
        <f>IF(G2149&gt;0,'Emission Rates Net-by-Count'!$D$14,'Emission Rates Net-by-Count'!$E$14)</f>
        <v>895</v>
      </c>
      <c r="I2149" s="92">
        <f t="shared" si="90"/>
        <v>458.85889250000071</v>
      </c>
      <c r="J2149" s="16">
        <f t="shared" si="91"/>
        <v>416.26976673494539</v>
      </c>
      <c r="K2149" s="17" t="s">
        <v>238</v>
      </c>
      <c r="M2149" s="19"/>
      <c r="N2149" s="19"/>
      <c r="O2149" s="19"/>
      <c r="P2149" s="19"/>
    </row>
    <row r="2150" spans="1:16" x14ac:dyDescent="0.25">
      <c r="A2150" s="91">
        <v>3330</v>
      </c>
      <c r="B2150" s="15">
        <v>2016</v>
      </c>
      <c r="C2150" s="1" t="s">
        <v>417</v>
      </c>
      <c r="D2150" s="1" t="s">
        <v>216</v>
      </c>
      <c r="E2150" s="15" t="s">
        <v>217</v>
      </c>
      <c r="F2150" s="150" t="s">
        <v>13</v>
      </c>
      <c r="G2150" s="151">
        <v>-2196.0230000000001</v>
      </c>
      <c r="H2150" s="142">
        <f>IF(G2150&gt;0,'Emission Rates Net-by-Count'!$D$14,'Emission Rates Net-by-Count'!$E$14)</f>
        <v>1046.0391339805128</v>
      </c>
      <c r="I2150" s="92">
        <f t="shared" ref="I2150:I2181" si="92">(H2150*G2150)/2000</f>
        <v>-1148.562998560644</v>
      </c>
      <c r="J2150" s="16">
        <f t="shared" ref="J2150:J2181" si="93">I2150*0.9071847</f>
        <v>-1041.9587792803381</v>
      </c>
      <c r="K2150" s="17" t="s">
        <v>238</v>
      </c>
      <c r="M2150" s="19"/>
      <c r="N2150" s="19"/>
      <c r="O2150" s="19"/>
      <c r="P2150" s="19"/>
    </row>
    <row r="2151" spans="1:16" x14ac:dyDescent="0.25">
      <c r="A2151" s="91">
        <v>3331</v>
      </c>
      <c r="B2151" s="15">
        <v>2016</v>
      </c>
      <c r="C2151" s="1" t="s">
        <v>417</v>
      </c>
      <c r="D2151" s="1" t="s">
        <v>216</v>
      </c>
      <c r="E2151" s="15" t="s">
        <v>217</v>
      </c>
      <c r="F2151" s="150" t="s">
        <v>297</v>
      </c>
      <c r="G2151" s="151">
        <v>1209.79</v>
      </c>
      <c r="H2151" s="142">
        <f>IF(G2151&gt;0,'Emission Rates Net-by-Count'!$D$14,'Emission Rates Net-by-Count'!$E$14)</f>
        <v>895</v>
      </c>
      <c r="I2151" s="92">
        <f t="shared" si="92"/>
        <v>541.38102500000002</v>
      </c>
      <c r="J2151" s="16">
        <f t="shared" si="93"/>
        <v>491.13258275031751</v>
      </c>
      <c r="K2151" s="17" t="s">
        <v>238</v>
      </c>
      <c r="M2151" s="19"/>
      <c r="N2151" s="19"/>
      <c r="O2151" s="19"/>
      <c r="P2151" s="19"/>
    </row>
    <row r="2152" spans="1:16" x14ac:dyDescent="0.25">
      <c r="A2152" s="91">
        <v>3332</v>
      </c>
      <c r="B2152" s="15">
        <v>2016</v>
      </c>
      <c r="C2152" s="1" t="s">
        <v>417</v>
      </c>
      <c r="D2152" s="1" t="s">
        <v>216</v>
      </c>
      <c r="E2152" s="15" t="s">
        <v>217</v>
      </c>
      <c r="F2152" s="150" t="s">
        <v>16</v>
      </c>
      <c r="G2152" s="151">
        <v>690.89700000000005</v>
      </c>
      <c r="H2152" s="142">
        <f>IF(G2152&gt;0,'Emission Rates Net-by-Count'!$D$14,'Emission Rates Net-by-Count'!$E$14)</f>
        <v>895</v>
      </c>
      <c r="I2152" s="92">
        <f t="shared" si="92"/>
        <v>309.17640750000004</v>
      </c>
      <c r="J2152" s="16">
        <f t="shared" si="93"/>
        <v>280.48010648496529</v>
      </c>
      <c r="K2152" s="17" t="s">
        <v>238</v>
      </c>
      <c r="M2152" s="19"/>
      <c r="N2152" s="19"/>
      <c r="O2152" s="19"/>
      <c r="P2152" s="19"/>
    </row>
    <row r="2153" spans="1:16" x14ac:dyDescent="0.25">
      <c r="A2153" s="91">
        <v>3333</v>
      </c>
      <c r="B2153" s="15">
        <v>2016</v>
      </c>
      <c r="C2153" s="1" t="s">
        <v>417</v>
      </c>
      <c r="D2153" s="1" t="s">
        <v>216</v>
      </c>
      <c r="E2153" s="15" t="s">
        <v>217</v>
      </c>
      <c r="F2153" s="150" t="s">
        <v>144</v>
      </c>
      <c r="G2153" s="151">
        <v>25209.396000000001</v>
      </c>
      <c r="H2153" s="142">
        <f>IF(G2153&gt;0,'Emission Rates Net-by-Count'!$D$14,'Emission Rates Net-by-Count'!$E$14)</f>
        <v>895</v>
      </c>
      <c r="I2153" s="92">
        <f t="shared" si="92"/>
        <v>11281.204710000002</v>
      </c>
      <c r="J2153" s="16">
        <f t="shared" si="93"/>
        <v>10234.136310479938</v>
      </c>
      <c r="K2153" s="17" t="s">
        <v>238</v>
      </c>
      <c r="M2153" s="19"/>
      <c r="N2153" s="19"/>
      <c r="O2153" s="19"/>
      <c r="P2153" s="19"/>
    </row>
    <row r="2154" spans="1:16" x14ac:dyDescent="0.25">
      <c r="A2154" s="91">
        <v>3334</v>
      </c>
      <c r="B2154" s="15">
        <v>2016</v>
      </c>
      <c r="C2154" s="1" t="s">
        <v>417</v>
      </c>
      <c r="D2154" s="1" t="s">
        <v>216</v>
      </c>
      <c r="E2154" s="15" t="s">
        <v>217</v>
      </c>
      <c r="F2154" s="150" t="s">
        <v>67</v>
      </c>
      <c r="G2154" s="151">
        <v>20</v>
      </c>
      <c r="H2154" s="142">
        <f>IF(G2154&gt;0,'Emission Rates Net-by-Count'!$D$14,'Emission Rates Net-by-Count'!$E$14)</f>
        <v>895</v>
      </c>
      <c r="I2154" s="92">
        <f t="shared" si="92"/>
        <v>8.9499999999999993</v>
      </c>
      <c r="J2154" s="16">
        <f t="shared" si="93"/>
        <v>8.1193030649999987</v>
      </c>
      <c r="K2154" s="17" t="s">
        <v>238</v>
      </c>
      <c r="M2154" s="19"/>
      <c r="N2154" s="19"/>
      <c r="O2154" s="19"/>
      <c r="P2154" s="19"/>
    </row>
    <row r="2155" spans="1:16" x14ac:dyDescent="0.25">
      <c r="A2155" s="91">
        <v>3335</v>
      </c>
      <c r="B2155" s="15">
        <v>2016</v>
      </c>
      <c r="C2155" s="1" t="s">
        <v>417</v>
      </c>
      <c r="D2155" s="1" t="s">
        <v>216</v>
      </c>
      <c r="E2155" s="15" t="s">
        <v>217</v>
      </c>
      <c r="F2155" s="150" t="s">
        <v>294</v>
      </c>
      <c r="G2155" s="151">
        <v>-68</v>
      </c>
      <c r="H2155" s="142">
        <f>IF(G2155&gt;0,'Emission Rates Net-by-Count'!$D$14,'Emission Rates Net-by-Count'!$E$14)</f>
        <v>1046.0391339805128</v>
      </c>
      <c r="I2155" s="92">
        <f t="shared" si="92"/>
        <v>-35.565330555337439</v>
      </c>
      <c r="J2155" s="16">
        <f t="shared" si="93"/>
        <v>-32.264323730244627</v>
      </c>
      <c r="K2155" s="17" t="s">
        <v>238</v>
      </c>
      <c r="M2155" s="19"/>
      <c r="N2155" s="19"/>
      <c r="O2155" s="19"/>
      <c r="P2155" s="19"/>
    </row>
    <row r="2156" spans="1:16" x14ac:dyDescent="0.25">
      <c r="A2156" s="91">
        <v>3336</v>
      </c>
      <c r="B2156" s="15">
        <v>2016</v>
      </c>
      <c r="C2156" s="1" t="s">
        <v>417</v>
      </c>
      <c r="D2156" s="1" t="s">
        <v>216</v>
      </c>
      <c r="E2156" s="15" t="s">
        <v>217</v>
      </c>
      <c r="F2156" s="150" t="s">
        <v>69</v>
      </c>
      <c r="G2156" s="151">
        <v>106424</v>
      </c>
      <c r="H2156" s="142">
        <f>IF(G2156&gt;0,'Emission Rates Net-by-Count'!$D$14,'Emission Rates Net-by-Count'!$E$14)</f>
        <v>895</v>
      </c>
      <c r="I2156" s="92">
        <f t="shared" si="92"/>
        <v>47624.74</v>
      </c>
      <c r="J2156" s="16">
        <f t="shared" si="93"/>
        <v>43204.435469477998</v>
      </c>
      <c r="K2156" s="17" t="s">
        <v>238</v>
      </c>
      <c r="M2156" s="19"/>
      <c r="N2156" s="19"/>
      <c r="O2156" s="19"/>
      <c r="P2156" s="19"/>
    </row>
    <row r="2157" spans="1:16" x14ac:dyDescent="0.25">
      <c r="A2157" s="91">
        <v>3337</v>
      </c>
      <c r="B2157" s="15">
        <v>2016</v>
      </c>
      <c r="C2157" s="1" t="s">
        <v>417</v>
      </c>
      <c r="D2157" s="1" t="s">
        <v>216</v>
      </c>
      <c r="E2157" s="15" t="s">
        <v>217</v>
      </c>
      <c r="F2157" s="150" t="s">
        <v>71</v>
      </c>
      <c r="G2157" s="151">
        <v>-338626</v>
      </c>
      <c r="H2157" s="142">
        <f>IF(G2157&gt;0,'Emission Rates Net-by-Count'!$D$14,'Emission Rates Net-by-Count'!$E$14)</f>
        <v>1046.0391339805128</v>
      </c>
      <c r="I2157" s="92">
        <f t="shared" si="92"/>
        <v>-177108.02389164257</v>
      </c>
      <c r="J2157" s="16">
        <f t="shared" si="93"/>
        <v>-160669.68952173259</v>
      </c>
      <c r="K2157" s="17" t="s">
        <v>238</v>
      </c>
      <c r="M2157" s="19"/>
      <c r="N2157" s="19"/>
      <c r="O2157" s="19"/>
      <c r="P2157" s="19"/>
    </row>
    <row r="2158" spans="1:16" x14ac:dyDescent="0.25">
      <c r="A2158" s="91">
        <v>3338</v>
      </c>
      <c r="B2158" s="15">
        <v>2016</v>
      </c>
      <c r="C2158" s="1" t="s">
        <v>417</v>
      </c>
      <c r="D2158" s="1" t="s">
        <v>216</v>
      </c>
      <c r="E2158" s="15" t="s">
        <v>217</v>
      </c>
      <c r="F2158" s="150" t="s">
        <v>2</v>
      </c>
      <c r="G2158" s="151">
        <v>752.99099999999999</v>
      </c>
      <c r="H2158" s="142">
        <f>IF(G2158&gt;0,'Emission Rates Net-by-Count'!$D$14,'Emission Rates Net-by-Count'!$E$14)</f>
        <v>895</v>
      </c>
      <c r="I2158" s="92">
        <f t="shared" si="92"/>
        <v>336.96347249999997</v>
      </c>
      <c r="J2158" s="16">
        <f t="shared" si="93"/>
        <v>305.68810671087073</v>
      </c>
      <c r="K2158" s="17" t="s">
        <v>238</v>
      </c>
      <c r="M2158" s="19"/>
      <c r="N2158" s="19"/>
      <c r="O2158" s="19"/>
      <c r="P2158" s="19"/>
    </row>
    <row r="2159" spans="1:16" x14ac:dyDescent="0.25">
      <c r="A2159" s="91">
        <v>3339</v>
      </c>
      <c r="B2159" s="15">
        <v>2016</v>
      </c>
      <c r="C2159" s="1" t="s">
        <v>417</v>
      </c>
      <c r="D2159" s="1" t="s">
        <v>216</v>
      </c>
      <c r="E2159" s="15" t="s">
        <v>217</v>
      </c>
      <c r="F2159" s="150" t="s">
        <v>298</v>
      </c>
      <c r="G2159" s="151">
        <v>5932.5579999999973</v>
      </c>
      <c r="H2159" s="142">
        <f>IF(G2159&gt;0,'Emission Rates Net-by-Count'!$D$14,'Emission Rates Net-by-Count'!$E$14)</f>
        <v>895</v>
      </c>
      <c r="I2159" s="92">
        <f t="shared" si="92"/>
        <v>2654.8197049999985</v>
      </c>
      <c r="J2159" s="16">
        <f t="shared" si="93"/>
        <v>2408.4118176345119</v>
      </c>
      <c r="K2159" s="17" t="s">
        <v>238</v>
      </c>
      <c r="M2159" s="19"/>
      <c r="N2159" s="19"/>
      <c r="O2159" s="19"/>
      <c r="P2159" s="19"/>
    </row>
    <row r="2160" spans="1:16" x14ac:dyDescent="0.25">
      <c r="A2160" s="91">
        <v>3340</v>
      </c>
      <c r="B2160" s="15">
        <v>2016</v>
      </c>
      <c r="C2160" s="1" t="s">
        <v>417</v>
      </c>
      <c r="D2160" s="1" t="s">
        <v>216</v>
      </c>
      <c r="E2160" s="15" t="s">
        <v>217</v>
      </c>
      <c r="F2160" s="150" t="s">
        <v>156</v>
      </c>
      <c r="G2160" s="151">
        <v>1351.0280000000002</v>
      </c>
      <c r="H2160" s="142">
        <f>IF(G2160&gt;0,'Emission Rates Net-by-Count'!$D$14,'Emission Rates Net-by-Count'!$E$14)</f>
        <v>895</v>
      </c>
      <c r="I2160" s="92">
        <f t="shared" si="92"/>
        <v>604.58503000000019</v>
      </c>
      <c r="J2160" s="16">
        <f t="shared" si="93"/>
        <v>548.47028906504113</v>
      </c>
      <c r="K2160" s="17" t="s">
        <v>238</v>
      </c>
      <c r="M2160" s="19"/>
      <c r="N2160" s="19"/>
      <c r="O2160" s="19"/>
      <c r="P2160" s="19"/>
    </row>
    <row r="2161" spans="1:16" x14ac:dyDescent="0.25">
      <c r="A2161" s="91">
        <v>3341</v>
      </c>
      <c r="B2161" s="15">
        <v>2016</v>
      </c>
      <c r="C2161" s="1" t="s">
        <v>417</v>
      </c>
      <c r="D2161" s="1" t="s">
        <v>216</v>
      </c>
      <c r="E2161" s="15" t="s">
        <v>217</v>
      </c>
      <c r="F2161" s="150" t="s">
        <v>78</v>
      </c>
      <c r="G2161" s="151">
        <v>-1070455</v>
      </c>
      <c r="H2161" s="142">
        <f>IF(G2161&gt;0,'Emission Rates Net-by-Count'!$D$14,'Emission Rates Net-by-Count'!$E$14)</f>
        <v>1046.0391339805128</v>
      </c>
      <c r="I2161" s="92">
        <f t="shared" si="92"/>
        <v>-559868.91058255499</v>
      </c>
      <c r="J2161" s="16">
        <f t="shared" si="93"/>
        <v>-507904.50968616194</v>
      </c>
      <c r="K2161" s="17" t="s">
        <v>238</v>
      </c>
      <c r="M2161" s="19"/>
      <c r="N2161" s="19"/>
      <c r="O2161" s="19"/>
      <c r="P2161" s="19"/>
    </row>
    <row r="2162" spans="1:16" x14ac:dyDescent="0.25">
      <c r="A2162" s="91">
        <v>3342</v>
      </c>
      <c r="B2162" s="15">
        <v>2016</v>
      </c>
      <c r="C2162" s="1" t="s">
        <v>417</v>
      </c>
      <c r="D2162" s="1" t="s">
        <v>216</v>
      </c>
      <c r="E2162" s="15" t="s">
        <v>217</v>
      </c>
      <c r="F2162" s="150" t="s">
        <v>168</v>
      </c>
      <c r="G2162" s="151">
        <v>-22</v>
      </c>
      <c r="H2162" s="142">
        <f>IF(G2162&gt;0,'Emission Rates Net-by-Count'!$D$14,'Emission Rates Net-by-Count'!$E$14)</f>
        <v>1046.0391339805128</v>
      </c>
      <c r="I2162" s="92">
        <f t="shared" si="92"/>
        <v>-11.50643047378564</v>
      </c>
      <c r="J2162" s="16">
        <f t="shared" si="93"/>
        <v>-10.438457677432083</v>
      </c>
      <c r="K2162" s="17" t="s">
        <v>238</v>
      </c>
      <c r="M2162" s="19"/>
      <c r="N2162" s="19"/>
      <c r="O2162" s="19"/>
      <c r="P2162" s="19"/>
    </row>
    <row r="2163" spans="1:16" x14ac:dyDescent="0.25">
      <c r="A2163" s="91">
        <v>3343</v>
      </c>
      <c r="B2163" s="15">
        <v>2016</v>
      </c>
      <c r="C2163" s="1" t="s">
        <v>417</v>
      </c>
      <c r="D2163" s="1" t="s">
        <v>216</v>
      </c>
      <c r="E2163" s="15" t="s">
        <v>217</v>
      </c>
      <c r="F2163" s="150" t="s">
        <v>208</v>
      </c>
      <c r="G2163" s="151">
        <v>-116</v>
      </c>
      <c r="H2163" s="142">
        <f>IF(G2163&gt;0,'Emission Rates Net-by-Count'!$D$14,'Emission Rates Net-by-Count'!$E$14)</f>
        <v>1046.0391339805128</v>
      </c>
      <c r="I2163" s="92">
        <f t="shared" si="92"/>
        <v>-60.670269770869744</v>
      </c>
      <c r="J2163" s="16">
        <f t="shared" si="93"/>
        <v>-55.039140481005532</v>
      </c>
      <c r="K2163" s="17" t="s">
        <v>238</v>
      </c>
      <c r="M2163" s="19"/>
      <c r="N2163" s="19"/>
      <c r="O2163" s="19"/>
      <c r="P2163" s="19"/>
    </row>
    <row r="2164" spans="1:16" x14ac:dyDescent="0.25">
      <c r="A2164" s="91">
        <v>3344</v>
      </c>
      <c r="B2164" s="15">
        <v>2016</v>
      </c>
      <c r="C2164" s="1" t="s">
        <v>417</v>
      </c>
      <c r="D2164" s="1" t="s">
        <v>216</v>
      </c>
      <c r="E2164" s="15" t="s">
        <v>217</v>
      </c>
      <c r="F2164" s="150" t="s">
        <v>173</v>
      </c>
      <c r="G2164" s="151">
        <v>38701</v>
      </c>
      <c r="H2164" s="142">
        <f>IF(G2164&gt;0,'Emission Rates Net-by-Count'!$D$14,'Emission Rates Net-by-Count'!$E$14)</f>
        <v>895</v>
      </c>
      <c r="I2164" s="92">
        <f t="shared" si="92"/>
        <v>17318.697499999998</v>
      </c>
      <c r="J2164" s="16">
        <f t="shared" si="93"/>
        <v>15711.257395928247</v>
      </c>
      <c r="K2164" s="17" t="s">
        <v>238</v>
      </c>
      <c r="M2164" s="19"/>
      <c r="N2164" s="19"/>
      <c r="O2164" s="19"/>
      <c r="P2164" s="19"/>
    </row>
    <row r="2165" spans="1:16" x14ac:dyDescent="0.25">
      <c r="A2165" s="91">
        <v>3345</v>
      </c>
      <c r="B2165" s="15">
        <v>2016</v>
      </c>
      <c r="C2165" s="1" t="s">
        <v>417</v>
      </c>
      <c r="D2165" s="1" t="s">
        <v>216</v>
      </c>
      <c r="E2165" s="15" t="s">
        <v>217</v>
      </c>
      <c r="F2165" s="150" t="s">
        <v>185</v>
      </c>
      <c r="G2165" s="151">
        <v>1200</v>
      </c>
      <c r="H2165" s="142">
        <f>IF(G2165&gt;0,'Emission Rates Net-by-Count'!$D$14,'Emission Rates Net-by-Count'!$E$14)</f>
        <v>895</v>
      </c>
      <c r="I2165" s="92">
        <f t="shared" si="92"/>
        <v>537</v>
      </c>
      <c r="J2165" s="16">
        <f t="shared" si="93"/>
        <v>487.15818389999998</v>
      </c>
      <c r="K2165" s="17" t="s">
        <v>238</v>
      </c>
      <c r="M2165" s="19"/>
      <c r="N2165" s="19"/>
      <c r="O2165" s="19"/>
      <c r="P2165" s="19"/>
    </row>
    <row r="2166" spans="1:16" x14ac:dyDescent="0.25">
      <c r="A2166" s="91">
        <v>3346</v>
      </c>
      <c r="B2166" s="15">
        <v>2016</v>
      </c>
      <c r="C2166" s="1" t="s">
        <v>417</v>
      </c>
      <c r="D2166" s="1" t="s">
        <v>216</v>
      </c>
      <c r="E2166" s="15" t="s">
        <v>217</v>
      </c>
      <c r="F2166" s="150" t="s">
        <v>81</v>
      </c>
      <c r="G2166" s="151">
        <v>336</v>
      </c>
      <c r="H2166" s="142">
        <f>IF(G2166&gt;0,'Emission Rates Net-by-Count'!$D$14,'Emission Rates Net-by-Count'!$E$14)</f>
        <v>895</v>
      </c>
      <c r="I2166" s="92">
        <f t="shared" si="92"/>
        <v>150.36000000000001</v>
      </c>
      <c r="J2166" s="16">
        <f t="shared" si="93"/>
        <v>136.404291492</v>
      </c>
      <c r="K2166" s="17" t="s">
        <v>304</v>
      </c>
      <c r="M2166" s="19"/>
      <c r="N2166" s="19"/>
      <c r="O2166" s="19"/>
      <c r="P2166" s="19"/>
    </row>
    <row r="2167" spans="1:16" x14ac:dyDescent="0.25">
      <c r="A2167" s="91">
        <v>3347</v>
      </c>
      <c r="B2167" s="15">
        <v>2016</v>
      </c>
      <c r="C2167" s="1" t="s">
        <v>417</v>
      </c>
      <c r="D2167" s="1" t="s">
        <v>216</v>
      </c>
      <c r="E2167" s="15" t="s">
        <v>217</v>
      </c>
      <c r="F2167" s="150" t="s">
        <v>82</v>
      </c>
      <c r="G2167" s="151">
        <v>54623</v>
      </c>
      <c r="H2167" s="142">
        <f>IF(G2167&gt;0,'Emission Rates Net-by-Count'!$D$14,'Emission Rates Net-by-Count'!$E$14)</f>
        <v>895</v>
      </c>
      <c r="I2167" s="92">
        <f t="shared" si="92"/>
        <v>24443.7925</v>
      </c>
      <c r="J2167" s="16">
        <f t="shared" si="93"/>
        <v>22175.034565974747</v>
      </c>
      <c r="K2167" s="17" t="s">
        <v>304</v>
      </c>
      <c r="M2167" s="19"/>
      <c r="N2167" s="19"/>
      <c r="O2167" s="19"/>
      <c r="P2167" s="19"/>
    </row>
    <row r="2168" spans="1:16" x14ac:dyDescent="0.25">
      <c r="A2168" s="91">
        <v>3348</v>
      </c>
      <c r="B2168" s="15">
        <v>2016</v>
      </c>
      <c r="C2168" s="1" t="s">
        <v>417</v>
      </c>
      <c r="D2168" s="1" t="s">
        <v>216</v>
      </c>
      <c r="E2168" s="15" t="s">
        <v>217</v>
      </c>
      <c r="F2168" s="150" t="s">
        <v>83</v>
      </c>
      <c r="G2168" s="151">
        <v>6305</v>
      </c>
      <c r="H2168" s="142">
        <f>IF(G2168&gt;0,'Emission Rates Net-by-Count'!$D$14,'Emission Rates Net-by-Count'!$E$14)</f>
        <v>895</v>
      </c>
      <c r="I2168" s="92">
        <f t="shared" si="92"/>
        <v>2821.4875000000002</v>
      </c>
      <c r="J2168" s="16">
        <f t="shared" si="93"/>
        <v>2559.6102912412503</v>
      </c>
      <c r="K2168" s="17" t="s">
        <v>304</v>
      </c>
      <c r="M2168" s="19"/>
      <c r="N2168" s="19"/>
      <c r="O2168" s="19"/>
      <c r="P2168" s="19"/>
    </row>
    <row r="2169" spans="1:16" x14ac:dyDescent="0.25">
      <c r="A2169" s="91">
        <v>3349</v>
      </c>
      <c r="B2169" s="15">
        <v>2016</v>
      </c>
      <c r="C2169" s="1" t="s">
        <v>417</v>
      </c>
      <c r="D2169" s="1" t="s">
        <v>216</v>
      </c>
      <c r="E2169" s="15" t="s">
        <v>217</v>
      </c>
      <c r="F2169" s="150" t="s">
        <v>111</v>
      </c>
      <c r="G2169" s="151">
        <v>0</v>
      </c>
      <c r="H2169" s="142">
        <f>IF(G2169&gt;0,'Emission Rates Net-by-Count'!$D$14,'Emission Rates Net-by-Count'!$E$14)</f>
        <v>1046.0391339805128</v>
      </c>
      <c r="I2169" s="92">
        <f t="shared" si="92"/>
        <v>0</v>
      </c>
      <c r="J2169" s="16">
        <f t="shared" si="93"/>
        <v>0</v>
      </c>
      <c r="K2169" s="17" t="s">
        <v>304</v>
      </c>
      <c r="M2169" s="19"/>
      <c r="N2169" s="19"/>
      <c r="O2169" s="19"/>
      <c r="P2169" s="19"/>
    </row>
    <row r="2170" spans="1:16" x14ac:dyDescent="0.25">
      <c r="A2170" s="91">
        <v>3350</v>
      </c>
      <c r="B2170" s="15">
        <v>2016</v>
      </c>
      <c r="C2170" s="1" t="s">
        <v>417</v>
      </c>
      <c r="D2170" s="1" t="s">
        <v>216</v>
      </c>
      <c r="E2170" s="15" t="s">
        <v>217</v>
      </c>
      <c r="F2170" s="150" t="s">
        <v>85</v>
      </c>
      <c r="G2170" s="151">
        <v>-393958</v>
      </c>
      <c r="H2170" s="142">
        <f>IF(G2170&gt;0,'Emission Rates Net-by-Count'!$D$14,'Emission Rates Net-by-Count'!$E$14)</f>
        <v>1046.0391339805128</v>
      </c>
      <c r="I2170" s="92">
        <f t="shared" si="92"/>
        <v>-206047.74257234743</v>
      </c>
      <c r="J2170" s="16">
        <f t="shared" si="93"/>
        <v>-186923.35953117223</v>
      </c>
      <c r="K2170" s="17" t="s">
        <v>304</v>
      </c>
      <c r="M2170" s="19"/>
      <c r="N2170" s="19"/>
      <c r="O2170" s="19"/>
      <c r="P2170" s="19"/>
    </row>
    <row r="2171" spans="1:16" x14ac:dyDescent="0.25">
      <c r="A2171" s="91">
        <v>3351</v>
      </c>
      <c r="B2171" s="15">
        <v>2016</v>
      </c>
      <c r="C2171" s="1" t="s">
        <v>417</v>
      </c>
      <c r="D2171" s="1" t="s">
        <v>216</v>
      </c>
      <c r="E2171" s="15" t="s">
        <v>217</v>
      </c>
      <c r="F2171" s="150" t="s">
        <v>87</v>
      </c>
      <c r="G2171" s="151">
        <v>295929</v>
      </c>
      <c r="H2171" s="142">
        <f>IF(G2171&gt;0,'Emission Rates Net-by-Count'!$D$14,'Emission Rates Net-by-Count'!$E$14)</f>
        <v>895</v>
      </c>
      <c r="I2171" s="92">
        <f t="shared" si="92"/>
        <v>132428.22750000001</v>
      </c>
      <c r="J2171" s="16">
        <f t="shared" si="93"/>
        <v>120136.86183611925</v>
      </c>
      <c r="K2171" s="17" t="s">
        <v>304</v>
      </c>
      <c r="M2171" s="19"/>
      <c r="N2171" s="19"/>
      <c r="O2171" s="19"/>
      <c r="P2171" s="19"/>
    </row>
    <row r="2172" spans="1:16" x14ac:dyDescent="0.25">
      <c r="A2172" s="91">
        <v>3352</v>
      </c>
      <c r="B2172" s="15">
        <v>2016</v>
      </c>
      <c r="C2172" s="1" t="s">
        <v>417</v>
      </c>
      <c r="D2172" s="1" t="s">
        <v>216</v>
      </c>
      <c r="E2172" s="15" t="s">
        <v>217</v>
      </c>
      <c r="F2172" s="150" t="s">
        <v>88</v>
      </c>
      <c r="G2172" s="151">
        <v>-1978155</v>
      </c>
      <c r="H2172" s="142">
        <f>IF(G2172&gt;0,'Emission Rates Net-by-Count'!$D$14,'Emission Rates Net-by-Count'!$E$14)</f>
        <v>1046.0391339805128</v>
      </c>
      <c r="I2172" s="92">
        <f t="shared" si="92"/>
        <v>-1034613.7715396106</v>
      </c>
      <c r="J2172" s="16">
        <f t="shared" si="93"/>
        <v>-938585.78395003011</v>
      </c>
      <c r="K2172" s="17" t="s">
        <v>304</v>
      </c>
      <c r="M2172" s="19"/>
      <c r="N2172" s="19"/>
      <c r="O2172" s="19"/>
      <c r="P2172" s="19"/>
    </row>
    <row r="2173" spans="1:16" x14ac:dyDescent="0.25">
      <c r="A2173" s="91">
        <v>3353</v>
      </c>
      <c r="B2173" s="15">
        <v>2016</v>
      </c>
      <c r="C2173" s="1" t="s">
        <v>417</v>
      </c>
      <c r="D2173" s="1" t="s">
        <v>216</v>
      </c>
      <c r="E2173" s="15" t="s">
        <v>217</v>
      </c>
      <c r="F2173" s="150" t="s">
        <v>90</v>
      </c>
      <c r="G2173" s="151">
        <v>-28595</v>
      </c>
      <c r="H2173" s="142">
        <f>IF(G2173&gt;0,'Emission Rates Net-by-Count'!$D$14,'Emission Rates Net-by-Count'!$E$14)</f>
        <v>1046.0391339805128</v>
      </c>
      <c r="I2173" s="92">
        <f t="shared" si="92"/>
        <v>-14955.744518086382</v>
      </c>
      <c r="J2173" s="16">
        <f t="shared" si="93"/>
        <v>-13567.622603916838</v>
      </c>
      <c r="K2173" s="17" t="s">
        <v>304</v>
      </c>
      <c r="M2173" s="19"/>
      <c r="N2173" s="19"/>
      <c r="O2173" s="19"/>
      <c r="P2173" s="19"/>
    </row>
    <row r="2174" spans="1:16" x14ac:dyDescent="0.25">
      <c r="A2174" s="91">
        <v>3354</v>
      </c>
      <c r="B2174" s="15">
        <v>2016</v>
      </c>
      <c r="C2174" s="1" t="s">
        <v>417</v>
      </c>
      <c r="D2174" s="1" t="s">
        <v>216</v>
      </c>
      <c r="E2174" s="15" t="s">
        <v>217</v>
      </c>
      <c r="F2174" s="150" t="s">
        <v>91</v>
      </c>
      <c r="G2174" s="151">
        <v>-21688</v>
      </c>
      <c r="H2174" s="142">
        <f>IF(G2174&gt;0,'Emission Rates Net-by-Count'!$D$14,'Emission Rates Net-by-Count'!$E$14)</f>
        <v>1046.0391339805128</v>
      </c>
      <c r="I2174" s="92">
        <f t="shared" si="92"/>
        <v>-11343.248368884681</v>
      </c>
      <c r="J2174" s="16">
        <f t="shared" si="93"/>
        <v>-10290.421368552137</v>
      </c>
      <c r="K2174" s="17" t="s">
        <v>304</v>
      </c>
      <c r="M2174" s="19"/>
      <c r="N2174" s="19"/>
      <c r="O2174" s="19"/>
      <c r="P2174" s="19"/>
    </row>
    <row r="2175" spans="1:16" x14ac:dyDescent="0.25">
      <c r="A2175" s="91">
        <v>3355</v>
      </c>
      <c r="B2175" s="15">
        <v>2016</v>
      </c>
      <c r="C2175" s="1" t="s">
        <v>417</v>
      </c>
      <c r="D2175" s="1" t="s">
        <v>216</v>
      </c>
      <c r="E2175" s="15" t="s">
        <v>217</v>
      </c>
      <c r="F2175" s="150" t="s">
        <v>93</v>
      </c>
      <c r="G2175" s="151">
        <v>143</v>
      </c>
      <c r="H2175" s="142">
        <f>IF(G2175&gt;0,'Emission Rates Net-by-Count'!$D$14,'Emission Rates Net-by-Count'!$E$14)</f>
        <v>895</v>
      </c>
      <c r="I2175" s="92">
        <f t="shared" si="92"/>
        <v>63.9925</v>
      </c>
      <c r="J2175" s="16">
        <f t="shared" si="93"/>
        <v>58.053016914749996</v>
      </c>
      <c r="K2175" s="17" t="s">
        <v>304</v>
      </c>
      <c r="M2175" s="19"/>
      <c r="N2175" s="19"/>
      <c r="O2175" s="19"/>
      <c r="P2175" s="19"/>
    </row>
    <row r="2176" spans="1:16" x14ac:dyDescent="0.25">
      <c r="A2176" s="91">
        <v>3356</v>
      </c>
      <c r="B2176" s="15">
        <v>2016</v>
      </c>
      <c r="C2176" s="1" t="s">
        <v>417</v>
      </c>
      <c r="D2176" s="1" t="s">
        <v>216</v>
      </c>
      <c r="E2176" s="15" t="s">
        <v>217</v>
      </c>
      <c r="F2176" s="150" t="s">
        <v>95</v>
      </c>
      <c r="G2176" s="151">
        <v>60520</v>
      </c>
      <c r="H2176" s="142">
        <f>IF(G2176&gt;0,'Emission Rates Net-by-Count'!$D$14,'Emission Rates Net-by-Count'!$E$14)</f>
        <v>895</v>
      </c>
      <c r="I2176" s="92">
        <f t="shared" si="92"/>
        <v>27082.7</v>
      </c>
      <c r="J2176" s="16">
        <f t="shared" si="93"/>
        <v>24569.011074689999</v>
      </c>
      <c r="K2176" s="17" t="s">
        <v>304</v>
      </c>
      <c r="M2176" s="19"/>
      <c r="N2176" s="19"/>
      <c r="O2176" s="19"/>
      <c r="P2176" s="19"/>
    </row>
    <row r="2177" spans="1:16" x14ac:dyDescent="0.25">
      <c r="A2177" s="91">
        <v>3357</v>
      </c>
      <c r="B2177" s="15">
        <v>2016</v>
      </c>
      <c r="C2177" s="1" t="s">
        <v>417</v>
      </c>
      <c r="D2177" s="1" t="s">
        <v>216</v>
      </c>
      <c r="E2177" s="15" t="s">
        <v>217</v>
      </c>
      <c r="F2177" s="150" t="s">
        <v>97</v>
      </c>
      <c r="G2177" s="151">
        <v>83099</v>
      </c>
      <c r="H2177" s="142">
        <f>IF(G2177&gt;0,'Emission Rates Net-by-Count'!$D$14,'Emission Rates Net-by-Count'!$E$14)</f>
        <v>895</v>
      </c>
      <c r="I2177" s="92">
        <f t="shared" si="92"/>
        <v>37186.802499999998</v>
      </c>
      <c r="J2177" s="16">
        <f t="shared" si="93"/>
        <v>33735.298269921746</v>
      </c>
      <c r="K2177" s="17" t="s">
        <v>304</v>
      </c>
      <c r="M2177" s="19"/>
      <c r="N2177" s="19"/>
      <c r="O2177" s="19"/>
      <c r="P2177" s="19"/>
    </row>
    <row r="2178" spans="1:16" x14ac:dyDescent="0.25">
      <c r="A2178" s="91">
        <v>3358</v>
      </c>
      <c r="B2178" s="15">
        <v>2016</v>
      </c>
      <c r="C2178" s="1" t="s">
        <v>417</v>
      </c>
      <c r="D2178" s="1" t="s">
        <v>216</v>
      </c>
      <c r="E2178" s="15" t="s">
        <v>217</v>
      </c>
      <c r="F2178" s="150" t="s">
        <v>100</v>
      </c>
      <c r="G2178" s="151">
        <v>19380</v>
      </c>
      <c r="H2178" s="142">
        <f>IF(G2178&gt;0,'Emission Rates Net-by-Count'!$D$14,'Emission Rates Net-by-Count'!$E$14)</f>
        <v>895</v>
      </c>
      <c r="I2178" s="92">
        <f t="shared" si="92"/>
        <v>8672.5499999999993</v>
      </c>
      <c r="J2178" s="16">
        <f t="shared" si="93"/>
        <v>7867.6046699849985</v>
      </c>
      <c r="K2178" s="17" t="s">
        <v>304</v>
      </c>
      <c r="M2178" s="19"/>
      <c r="N2178" s="19"/>
      <c r="O2178" s="19"/>
      <c r="P2178" s="19"/>
    </row>
    <row r="2179" spans="1:16" x14ac:dyDescent="0.25">
      <c r="A2179" s="91">
        <v>3359</v>
      </c>
      <c r="B2179" s="15">
        <v>2016</v>
      </c>
      <c r="C2179" s="1" t="s">
        <v>417</v>
      </c>
      <c r="D2179" s="1" t="s">
        <v>216</v>
      </c>
      <c r="E2179" s="15" t="s">
        <v>217</v>
      </c>
      <c r="F2179" s="150" t="s">
        <v>299</v>
      </c>
      <c r="G2179" s="151">
        <v>3163.4</v>
      </c>
      <c r="H2179" s="142">
        <f>IF(G2179&gt;0,'Emission Rates Net-by-Count'!$D$14,'Emission Rates Net-by-Count'!$E$14)</f>
        <v>895</v>
      </c>
      <c r="I2179" s="92">
        <f t="shared" si="92"/>
        <v>1415.6215</v>
      </c>
      <c r="J2179" s="16">
        <f t="shared" si="93"/>
        <v>1284.23016579105</v>
      </c>
      <c r="K2179" s="17" t="s">
        <v>304</v>
      </c>
      <c r="M2179" s="19"/>
      <c r="N2179" s="19"/>
      <c r="O2179" s="19"/>
      <c r="P2179" s="19"/>
    </row>
    <row r="2180" spans="1:16" x14ac:dyDescent="0.25">
      <c r="A2180" s="91">
        <v>3360</v>
      </c>
      <c r="B2180" s="15">
        <v>2016</v>
      </c>
      <c r="C2180" s="1" t="s">
        <v>417</v>
      </c>
      <c r="D2180" s="1" t="s">
        <v>216</v>
      </c>
      <c r="E2180" s="15" t="s">
        <v>217</v>
      </c>
      <c r="F2180" s="150" t="s">
        <v>101</v>
      </c>
      <c r="G2180" s="151">
        <v>100</v>
      </c>
      <c r="H2180" s="142">
        <f>IF(G2180&gt;0,'Emission Rates Net-by-Count'!$D$14,'Emission Rates Net-by-Count'!$E$14)</f>
        <v>895</v>
      </c>
      <c r="I2180" s="92">
        <f t="shared" si="92"/>
        <v>44.75</v>
      </c>
      <c r="J2180" s="16">
        <f t="shared" si="93"/>
        <v>40.596515324999999</v>
      </c>
      <c r="K2180" s="17" t="s">
        <v>304</v>
      </c>
      <c r="M2180" s="19"/>
      <c r="N2180" s="19"/>
      <c r="O2180" s="19"/>
      <c r="P2180" s="19"/>
    </row>
    <row r="2181" spans="1:16" x14ac:dyDescent="0.25">
      <c r="A2181" s="91">
        <v>3361</v>
      </c>
      <c r="B2181" s="15">
        <v>2016</v>
      </c>
      <c r="C2181" s="1" t="s">
        <v>417</v>
      </c>
      <c r="D2181" s="1" t="s">
        <v>216</v>
      </c>
      <c r="E2181" s="15" t="s">
        <v>217</v>
      </c>
      <c r="F2181" s="150" t="s">
        <v>155</v>
      </c>
      <c r="G2181" s="151">
        <v>4619.1450000000004</v>
      </c>
      <c r="H2181" s="142">
        <f>IF(G2181&gt;0,'Emission Rates Net-by-Count'!$D$14,'Emission Rates Net-by-Count'!$E$14)</f>
        <v>895</v>
      </c>
      <c r="I2181" s="92">
        <f t="shared" si="92"/>
        <v>2067.0673875000002</v>
      </c>
      <c r="J2181" s="16">
        <f t="shared" si="93"/>
        <v>1875.2119078089713</v>
      </c>
      <c r="K2181" s="17" t="s">
        <v>304</v>
      </c>
      <c r="M2181" s="19"/>
      <c r="N2181" s="19"/>
      <c r="O2181" s="19"/>
      <c r="P2181" s="19"/>
    </row>
    <row r="2182" spans="1:16" x14ac:dyDescent="0.25">
      <c r="A2182" s="91">
        <v>3362</v>
      </c>
      <c r="B2182" s="15">
        <v>2016</v>
      </c>
      <c r="C2182" s="1" t="s">
        <v>417</v>
      </c>
      <c r="D2182" s="1" t="s">
        <v>216</v>
      </c>
      <c r="E2182" s="15" t="s">
        <v>217</v>
      </c>
      <c r="F2182" s="150" t="s">
        <v>103</v>
      </c>
      <c r="G2182" s="151">
        <v>25553</v>
      </c>
      <c r="H2182" s="142">
        <f>IF(G2182&gt;0,'Emission Rates Net-by-Count'!$D$14,'Emission Rates Net-by-Count'!$E$14)</f>
        <v>895</v>
      </c>
      <c r="I2182" s="92">
        <f t="shared" ref="I2182:I2193" si="94">(H2182*G2182)/2000</f>
        <v>11434.967500000001</v>
      </c>
      <c r="J2182" s="16">
        <f t="shared" ref="J2182:J2193" si="95">I2182*0.9071847</f>
        <v>10373.627560997251</v>
      </c>
      <c r="K2182" s="17" t="s">
        <v>304</v>
      </c>
      <c r="M2182" s="19"/>
      <c r="N2182" s="19"/>
      <c r="O2182" s="19"/>
      <c r="P2182" s="19"/>
    </row>
    <row r="2183" spans="1:16" x14ac:dyDescent="0.25">
      <c r="A2183" s="91">
        <v>3363</v>
      </c>
      <c r="B2183" s="15">
        <v>2016</v>
      </c>
      <c r="C2183" s="1" t="s">
        <v>417</v>
      </c>
      <c r="D2183" s="1" t="s">
        <v>216</v>
      </c>
      <c r="E2183" s="15" t="s">
        <v>217</v>
      </c>
      <c r="F2183" s="150" t="s">
        <v>152</v>
      </c>
      <c r="G2183" s="151">
        <v>165789</v>
      </c>
      <c r="H2183" s="142">
        <f>IF(G2183&gt;0,'Emission Rates Net-by-Count'!$D$14,'Emission Rates Net-by-Count'!$E$14)</f>
        <v>895</v>
      </c>
      <c r="I2183" s="92">
        <f t="shared" si="94"/>
        <v>74190.577499999999</v>
      </c>
      <c r="J2183" s="16">
        <f t="shared" si="95"/>
        <v>67304.556792164251</v>
      </c>
      <c r="K2183" s="17" t="s">
        <v>302</v>
      </c>
      <c r="M2183" s="19"/>
      <c r="N2183" s="19"/>
      <c r="O2183" s="19"/>
      <c r="P2183" s="19"/>
    </row>
    <row r="2184" spans="1:16" x14ac:dyDescent="0.25">
      <c r="A2184" s="91">
        <v>3364</v>
      </c>
      <c r="B2184" s="15">
        <v>2016</v>
      </c>
      <c r="C2184" s="1" t="s">
        <v>417</v>
      </c>
      <c r="D2184" s="1" t="s">
        <v>216</v>
      </c>
      <c r="E2184" s="15" t="s">
        <v>217</v>
      </c>
      <c r="F2184" s="150" t="s">
        <v>186</v>
      </c>
      <c r="G2184" s="151">
        <v>958</v>
      </c>
      <c r="H2184" s="142">
        <f>IF(G2184&gt;0,'Emission Rates Net-by-Count'!$D$14,'Emission Rates Net-by-Count'!$E$14)</f>
        <v>895</v>
      </c>
      <c r="I2184" s="92">
        <f t="shared" si="94"/>
        <v>428.70499999999998</v>
      </c>
      <c r="J2184" s="16">
        <f t="shared" si="95"/>
        <v>388.91461681349995</v>
      </c>
      <c r="K2184" s="17" t="s">
        <v>302</v>
      </c>
      <c r="M2184" s="19"/>
      <c r="N2184" s="19"/>
      <c r="O2184" s="19"/>
      <c r="P2184" s="19"/>
    </row>
    <row r="2185" spans="1:16" x14ac:dyDescent="0.25">
      <c r="A2185" s="91">
        <v>3365</v>
      </c>
      <c r="B2185" s="15">
        <v>2016</v>
      </c>
      <c r="C2185" s="1" t="s">
        <v>417</v>
      </c>
      <c r="D2185" s="1" t="s">
        <v>216</v>
      </c>
      <c r="E2185" s="15" t="s">
        <v>217</v>
      </c>
      <c r="F2185" s="150" t="s">
        <v>153</v>
      </c>
      <c r="G2185" s="151">
        <v>676328</v>
      </c>
      <c r="H2185" s="142">
        <f>IF(G2185&gt;0,'Emission Rates Net-by-Count'!$D$14,'Emission Rates Net-by-Count'!$E$14)</f>
        <v>895</v>
      </c>
      <c r="I2185" s="92">
        <f t="shared" si="94"/>
        <v>302656.78000000003</v>
      </c>
      <c r="J2185" s="16">
        <f t="shared" si="95"/>
        <v>274565.60016726603</v>
      </c>
      <c r="K2185" s="17" t="s">
        <v>302</v>
      </c>
      <c r="M2185" s="19"/>
      <c r="N2185" s="19"/>
      <c r="O2185" s="19"/>
      <c r="P2185" s="19"/>
    </row>
    <row r="2186" spans="1:16" x14ac:dyDescent="0.25">
      <c r="A2186" s="91">
        <v>3366</v>
      </c>
      <c r="B2186" s="15">
        <v>2016</v>
      </c>
      <c r="C2186" s="1" t="s">
        <v>417</v>
      </c>
      <c r="D2186" s="1" t="s">
        <v>216</v>
      </c>
      <c r="E2186" s="15" t="s">
        <v>217</v>
      </c>
      <c r="F2186" s="150" t="s">
        <v>204</v>
      </c>
      <c r="G2186" s="151">
        <v>-2206</v>
      </c>
      <c r="H2186" s="142">
        <f>IF(G2186&gt;0,'Emission Rates Net-by-Count'!$D$14,'Emission Rates Net-by-Count'!$E$14)</f>
        <v>1046.0391339805128</v>
      </c>
      <c r="I2186" s="92">
        <f t="shared" si="94"/>
        <v>-1153.7811647805056</v>
      </c>
      <c r="J2186" s="16">
        <f t="shared" si="95"/>
        <v>-1046.6926198370536</v>
      </c>
      <c r="K2186" s="17" t="s">
        <v>303</v>
      </c>
      <c r="M2186" s="19"/>
      <c r="N2186" s="19"/>
      <c r="O2186" s="19"/>
      <c r="P2186" s="19"/>
    </row>
    <row r="2187" spans="1:16" x14ac:dyDescent="0.25">
      <c r="A2187" s="91">
        <v>3367</v>
      </c>
      <c r="B2187" s="15">
        <v>2016</v>
      </c>
      <c r="C2187" s="1" t="s">
        <v>417</v>
      </c>
      <c r="D2187" s="1" t="s">
        <v>216</v>
      </c>
      <c r="E2187" s="15" t="s">
        <v>217</v>
      </c>
      <c r="F2187" s="140" t="s">
        <v>104</v>
      </c>
      <c r="G2187" s="141">
        <v>-39336</v>
      </c>
      <c r="H2187" s="142">
        <f>IF(G2187&gt;0,'Emission Rates Net-by-Count'!$D$14,'Emission Rates Net-by-Count'!$E$14)</f>
        <v>1046.0391339805128</v>
      </c>
      <c r="I2187" s="92">
        <f t="shared" si="94"/>
        <v>-20573.497687128725</v>
      </c>
      <c r="J2187" s="16">
        <f t="shared" si="95"/>
        <v>-18663.962327248566</v>
      </c>
      <c r="K2187" s="17" t="s">
        <v>303</v>
      </c>
      <c r="M2187" s="19"/>
      <c r="N2187" s="19"/>
      <c r="O2187" s="19"/>
      <c r="P2187" s="19"/>
    </row>
    <row r="2188" spans="1:16" x14ac:dyDescent="0.25">
      <c r="A2188" s="91">
        <v>3368</v>
      </c>
      <c r="B2188" s="15">
        <v>2016</v>
      </c>
      <c r="C2188" s="1" t="s">
        <v>417</v>
      </c>
      <c r="D2188" s="1" t="s">
        <v>216</v>
      </c>
      <c r="E2188" s="15" t="s">
        <v>217</v>
      </c>
      <c r="F2188" s="140" t="s">
        <v>167</v>
      </c>
      <c r="G2188" s="141">
        <v>-7308</v>
      </c>
      <c r="H2188" s="142">
        <f>IF(G2188&gt;0,'Emission Rates Net-by-Count'!$D$14,'Emission Rates Net-by-Count'!$E$14)</f>
        <v>1046.0391339805128</v>
      </c>
      <c r="I2188" s="92">
        <f t="shared" si="94"/>
        <v>-3822.2269955647939</v>
      </c>
      <c r="J2188" s="16">
        <f t="shared" si="95"/>
        <v>-3467.4658503033488</v>
      </c>
      <c r="K2188" s="17" t="s">
        <v>303</v>
      </c>
      <c r="M2188" s="19"/>
      <c r="N2188" s="19"/>
      <c r="O2188" s="19"/>
      <c r="P2188" s="19"/>
    </row>
    <row r="2189" spans="1:16" x14ac:dyDescent="0.25">
      <c r="A2189" s="91">
        <v>3369</v>
      </c>
      <c r="B2189" s="15">
        <v>2016</v>
      </c>
      <c r="C2189" s="1" t="s">
        <v>417</v>
      </c>
      <c r="D2189" s="1" t="s">
        <v>216</v>
      </c>
      <c r="E2189" s="15" t="s">
        <v>217</v>
      </c>
      <c r="F2189" s="140" t="s">
        <v>106</v>
      </c>
      <c r="G2189" s="141">
        <v>18516</v>
      </c>
      <c r="H2189" s="142">
        <f>IF(G2189&gt;0,'Emission Rates Net-by-Count'!$D$14,'Emission Rates Net-by-Count'!$E$14)</f>
        <v>895</v>
      </c>
      <c r="I2189" s="92">
        <f t="shared" si="94"/>
        <v>8285.91</v>
      </c>
      <c r="J2189" s="16">
        <f t="shared" si="95"/>
        <v>7516.8507775769995</v>
      </c>
      <c r="K2189" s="17" t="s">
        <v>303</v>
      </c>
      <c r="M2189" s="19"/>
      <c r="N2189" s="19"/>
      <c r="O2189" s="19"/>
      <c r="P2189" s="19"/>
    </row>
    <row r="2190" spans="1:16" x14ac:dyDescent="0.25">
      <c r="A2190" s="91">
        <v>3370</v>
      </c>
      <c r="B2190" s="15">
        <v>2016</v>
      </c>
      <c r="C2190" s="1" t="s">
        <v>417</v>
      </c>
      <c r="D2190" s="1" t="s">
        <v>216</v>
      </c>
      <c r="E2190" s="15" t="s">
        <v>217</v>
      </c>
      <c r="F2190" s="140" t="s">
        <v>6</v>
      </c>
      <c r="G2190" s="141">
        <v>5749.4269999999997</v>
      </c>
      <c r="H2190" s="142">
        <f>IF(G2190&gt;0,'Emission Rates Net-by-Count'!$D$14,'Emission Rates Net-by-Count'!$E$14)</f>
        <v>895</v>
      </c>
      <c r="I2190" s="92">
        <f t="shared" si="94"/>
        <v>2572.8685825000002</v>
      </c>
      <c r="J2190" s="16">
        <f t="shared" si="95"/>
        <v>2334.0670131546876</v>
      </c>
      <c r="K2190" s="17" t="s">
        <v>301</v>
      </c>
      <c r="M2190" s="19"/>
      <c r="N2190" s="19"/>
      <c r="O2190" s="19"/>
      <c r="P2190" s="19"/>
    </row>
    <row r="2191" spans="1:16" x14ac:dyDescent="0.25">
      <c r="A2191" s="91">
        <v>3371</v>
      </c>
      <c r="B2191" s="15">
        <v>2016</v>
      </c>
      <c r="C2191" s="1" t="s">
        <v>417</v>
      </c>
      <c r="D2191" s="1" t="s">
        <v>216</v>
      </c>
      <c r="E2191" s="15" t="s">
        <v>217</v>
      </c>
      <c r="F2191" s="140" t="s">
        <v>203</v>
      </c>
      <c r="G2191" s="141">
        <v>192747</v>
      </c>
      <c r="H2191" s="142">
        <f>IF(G2191&gt;0,'Emission Rates Net-by-Count'!$D$14,'Emission Rates Net-by-Count'!$E$14)</f>
        <v>895</v>
      </c>
      <c r="I2191" s="92">
        <f t="shared" si="94"/>
        <v>86254.282500000001</v>
      </c>
      <c r="J2191" s="16">
        <f t="shared" si="95"/>
        <v>78248.565393477751</v>
      </c>
      <c r="K2191" s="17" t="s">
        <v>301</v>
      </c>
      <c r="M2191" s="19"/>
      <c r="N2191" s="19"/>
      <c r="O2191" s="19"/>
      <c r="P2191" s="19"/>
    </row>
    <row r="2192" spans="1:16" x14ac:dyDescent="0.25">
      <c r="A2192" s="91">
        <v>3372</v>
      </c>
      <c r="B2192" s="15">
        <v>2016</v>
      </c>
      <c r="C2192" s="1" t="s">
        <v>417</v>
      </c>
      <c r="D2192" s="1" t="s">
        <v>216</v>
      </c>
      <c r="E2192" s="15" t="s">
        <v>217</v>
      </c>
      <c r="F2192" s="140" t="s">
        <v>18</v>
      </c>
      <c r="G2192" s="141">
        <v>342.471</v>
      </c>
      <c r="H2192" s="142">
        <f>IF(G2192&gt;0,'Emission Rates Net-by-Count'!$D$14,'Emission Rates Net-by-Count'!$E$14)</f>
        <v>895</v>
      </c>
      <c r="I2192" s="92">
        <f t="shared" si="94"/>
        <v>153.25577249999998</v>
      </c>
      <c r="J2192" s="16">
        <f t="shared" si="95"/>
        <v>139.03129199868073</v>
      </c>
      <c r="K2192" s="17" t="s">
        <v>301</v>
      </c>
      <c r="M2192" s="19"/>
      <c r="N2192" s="19"/>
      <c r="O2192" s="19"/>
      <c r="P2192" s="19"/>
    </row>
    <row r="2193" spans="1:16" x14ac:dyDescent="0.25">
      <c r="A2193" s="91">
        <v>3373</v>
      </c>
      <c r="B2193" s="15">
        <v>2016</v>
      </c>
      <c r="C2193" s="1" t="s">
        <v>417</v>
      </c>
      <c r="D2193" s="1" t="s">
        <v>216</v>
      </c>
      <c r="E2193" s="15" t="s">
        <v>217</v>
      </c>
      <c r="F2193" s="140" t="s">
        <v>126</v>
      </c>
      <c r="G2193" s="141">
        <v>-15814.602999999999</v>
      </c>
      <c r="H2193" s="142">
        <f>IF(G2193&gt;0,'Emission Rates Net-by-Count'!$D$14,'Emission Rates Net-by-Count'!$E$14)</f>
        <v>1046.0391339805128</v>
      </c>
      <c r="I2193" s="92">
        <f t="shared" si="94"/>
        <v>-8271.3468131828085</v>
      </c>
      <c r="J2193" s="16">
        <f t="shared" si="95"/>
        <v>-7503.639277313202</v>
      </c>
      <c r="K2193" s="17" t="s">
        <v>301</v>
      </c>
      <c r="M2193" s="19"/>
      <c r="N2193" s="19"/>
      <c r="O2193" s="19"/>
      <c r="P2193" s="19"/>
    </row>
    <row r="2194" spans="1:16" x14ac:dyDescent="0.25">
      <c r="A2194" s="15">
        <v>3449</v>
      </c>
      <c r="B2194" s="15">
        <v>2017</v>
      </c>
      <c r="C2194" s="1" t="s">
        <v>0</v>
      </c>
      <c r="D2194" s="1" t="s">
        <v>215</v>
      </c>
      <c r="E2194" s="15" t="s">
        <v>125</v>
      </c>
      <c r="F2194" s="1" t="s">
        <v>2</v>
      </c>
      <c r="G2194" s="106">
        <v>313112.18</v>
      </c>
      <c r="H2194" s="92">
        <v>0</v>
      </c>
      <c r="I2194" s="92">
        <f t="shared" ref="I2194:I2197" si="96">(H2194*G2194)/2000</f>
        <v>0</v>
      </c>
      <c r="J2194" s="16">
        <f>(G2194*H2194)/2204.623</f>
        <v>0</v>
      </c>
      <c r="M2194" s="19"/>
      <c r="N2194" s="19"/>
      <c r="O2194" s="19"/>
      <c r="P2194" s="19"/>
    </row>
    <row r="2195" spans="1:16" x14ac:dyDescent="0.25">
      <c r="A2195" s="15">
        <v>3450</v>
      </c>
      <c r="B2195" s="15">
        <v>2017</v>
      </c>
      <c r="C2195" s="1" t="s">
        <v>0</v>
      </c>
      <c r="D2195" s="1" t="s">
        <v>215</v>
      </c>
      <c r="E2195" s="15" t="s">
        <v>125</v>
      </c>
      <c r="F2195" s="1" t="s">
        <v>4</v>
      </c>
      <c r="G2195" s="106">
        <v>60898.3</v>
      </c>
      <c r="H2195" s="92">
        <v>0</v>
      </c>
      <c r="I2195" s="92">
        <f t="shared" si="96"/>
        <v>0</v>
      </c>
      <c r="J2195" s="16">
        <f t="shared" ref="J2195:J2197" si="97">(G2195*H2195)/2204.623</f>
        <v>0</v>
      </c>
      <c r="M2195" s="19"/>
      <c r="N2195" s="19"/>
      <c r="O2195" s="19"/>
      <c r="P2195" s="19"/>
    </row>
    <row r="2196" spans="1:16" x14ac:dyDescent="0.25">
      <c r="A2196" s="15">
        <v>3451</v>
      </c>
      <c r="B2196" s="15">
        <v>2017</v>
      </c>
      <c r="C2196" s="1" t="s">
        <v>0</v>
      </c>
      <c r="D2196" s="1" t="s">
        <v>215</v>
      </c>
      <c r="E2196" s="15" t="s">
        <v>125</v>
      </c>
      <c r="F2196" s="1" t="s">
        <v>5</v>
      </c>
      <c r="G2196" s="106">
        <v>135067</v>
      </c>
      <c r="H2196" s="92">
        <v>0</v>
      </c>
      <c r="I2196" s="92">
        <f t="shared" si="96"/>
        <v>0</v>
      </c>
      <c r="J2196" s="16">
        <f t="shared" si="97"/>
        <v>0</v>
      </c>
      <c r="M2196" s="19"/>
      <c r="N2196" s="19"/>
      <c r="O2196" s="19"/>
      <c r="P2196" s="19"/>
    </row>
    <row r="2197" spans="1:16" x14ac:dyDescent="0.25">
      <c r="A2197" s="15">
        <v>3453</v>
      </c>
      <c r="B2197" s="15">
        <v>2017</v>
      </c>
      <c r="C2197" s="1" t="s">
        <v>0</v>
      </c>
      <c r="D2197" s="1" t="s">
        <v>215</v>
      </c>
      <c r="E2197" s="15" t="s">
        <v>125</v>
      </c>
      <c r="F2197" s="1" t="s">
        <v>6</v>
      </c>
      <c r="G2197" s="106">
        <v>355743.79</v>
      </c>
      <c r="H2197" s="92">
        <v>0</v>
      </c>
      <c r="I2197" s="92">
        <f t="shared" si="96"/>
        <v>0</v>
      </c>
      <c r="J2197" s="16">
        <f t="shared" si="97"/>
        <v>0</v>
      </c>
      <c r="M2197" s="19"/>
      <c r="N2197" s="19"/>
      <c r="O2197" s="19"/>
      <c r="P2197" s="19"/>
    </row>
    <row r="2198" spans="1:16" x14ac:dyDescent="0.25">
      <c r="A2198" s="15">
        <v>3454</v>
      </c>
      <c r="B2198" s="15">
        <v>2017</v>
      </c>
      <c r="C2198" s="1" t="s">
        <v>7</v>
      </c>
      <c r="D2198" s="1" t="s">
        <v>215</v>
      </c>
      <c r="E2198" s="15" t="s">
        <v>122</v>
      </c>
      <c r="F2198" s="1" t="s">
        <v>8</v>
      </c>
      <c r="G2198" s="106">
        <v>1908332</v>
      </c>
      <c r="H2198" s="16">
        <v>2441.8001503916635</v>
      </c>
      <c r="I2198" s="16">
        <v>2195144.1646753503</v>
      </c>
      <c r="K2198" s="17" t="s">
        <v>365</v>
      </c>
      <c r="M2198" s="19"/>
      <c r="N2198" s="19"/>
      <c r="O2198" s="19"/>
      <c r="P2198" s="19"/>
    </row>
    <row r="2199" spans="1:16" x14ac:dyDescent="0.25">
      <c r="A2199" s="15">
        <v>3455</v>
      </c>
      <c r="B2199" s="15">
        <v>2017</v>
      </c>
      <c r="C2199" s="1" t="s">
        <v>7</v>
      </c>
      <c r="D2199" s="1" t="s">
        <v>215</v>
      </c>
      <c r="E2199" s="15" t="s">
        <v>122</v>
      </c>
      <c r="F2199" s="1" t="s">
        <v>9</v>
      </c>
      <c r="G2199" s="106">
        <v>2555373</v>
      </c>
      <c r="H2199" s="16">
        <v>2228.0063269695393</v>
      </c>
      <c r="I2199" s="16">
        <v>2712567.6528599248</v>
      </c>
      <c r="K2199" s="17" t="s">
        <v>365</v>
      </c>
      <c r="M2199" s="19"/>
      <c r="N2199" s="19"/>
      <c r="O2199" s="19"/>
      <c r="P2199" s="19"/>
    </row>
    <row r="2200" spans="1:16" x14ac:dyDescent="0.25">
      <c r="A2200" s="15">
        <v>3462</v>
      </c>
      <c r="B2200" s="15">
        <v>2017</v>
      </c>
      <c r="C2200" s="1" t="s">
        <v>11</v>
      </c>
      <c r="D2200" s="1" t="s">
        <v>215</v>
      </c>
      <c r="E2200" s="15" t="s">
        <v>124</v>
      </c>
      <c r="F2200" s="1" t="s">
        <v>12</v>
      </c>
      <c r="G2200" s="106">
        <v>395.71</v>
      </c>
      <c r="H2200" s="16">
        <f t="shared" ref="H2200" si="98">(I2200*2000)/G2200</f>
        <v>1858.9419679082521</v>
      </c>
      <c r="I2200" s="16">
        <f t="shared" ref="I2200" si="99">J2200*1.102311</f>
        <v>367.80096306048716</v>
      </c>
      <c r="J2200" s="92">
        <v>333.66351516086399</v>
      </c>
      <c r="K2200" s="17" t="s">
        <v>366</v>
      </c>
      <c r="M2200" s="19"/>
      <c r="N2200" s="19"/>
      <c r="O2200" s="19"/>
      <c r="P2200" s="19"/>
    </row>
    <row r="2201" spans="1:16" x14ac:dyDescent="0.25">
      <c r="A2201" s="134">
        <v>3462.0010000000002</v>
      </c>
      <c r="B2201" s="15">
        <v>2017</v>
      </c>
      <c r="C2201" s="1" t="s">
        <v>11</v>
      </c>
      <c r="D2201" s="1" t="s">
        <v>215</v>
      </c>
      <c r="E2201" s="15" t="s">
        <v>123</v>
      </c>
      <c r="F2201" s="15" t="s">
        <v>402</v>
      </c>
      <c r="G2201" s="16">
        <v>69341.556666666671</v>
      </c>
      <c r="H2201" s="16">
        <f t="shared" ref="H2201:H2217" si="100">(I2201*2000)/G2201</f>
        <v>1046.0304012398562</v>
      </c>
      <c r="I2201" s="16">
        <f t="shared" ref="I2201:I2217" si="101">J2201*1.102311</f>
        <v>36266.688171314781</v>
      </c>
      <c r="J2201" s="16">
        <v>32900.595359489998</v>
      </c>
      <c r="K2201" s="17" t="s">
        <v>416</v>
      </c>
    </row>
    <row r="2202" spans="1:16" x14ac:dyDescent="0.25">
      <c r="A2202" s="134">
        <v>3462.0020000000004</v>
      </c>
      <c r="B2202" s="15">
        <v>2017</v>
      </c>
      <c r="C2202" s="1" t="s">
        <v>11</v>
      </c>
      <c r="D2202" s="1" t="s">
        <v>215</v>
      </c>
      <c r="E2202" s="15" t="s">
        <v>123</v>
      </c>
      <c r="F2202" s="15" t="s">
        <v>403</v>
      </c>
      <c r="G2202" s="16">
        <v>66479.666666666672</v>
      </c>
      <c r="H2202" s="16">
        <f t="shared" si="100"/>
        <v>1056.8942446081085</v>
      </c>
      <c r="I2202" s="16">
        <f t="shared" si="101"/>
        <v>35130.98854173276</v>
      </c>
      <c r="J2202" s="16">
        <v>31870.305695699997</v>
      </c>
      <c r="K2202" s="17" t="s">
        <v>416</v>
      </c>
    </row>
    <row r="2203" spans="1:16" x14ac:dyDescent="0.25">
      <c r="A2203" s="134">
        <v>3462.0030000000006</v>
      </c>
      <c r="B2203" s="15">
        <v>2017</v>
      </c>
      <c r="C2203" s="1" t="s">
        <v>11</v>
      </c>
      <c r="D2203" s="1" t="s">
        <v>215</v>
      </c>
      <c r="E2203" s="15" t="s">
        <v>123</v>
      </c>
      <c r="F2203" s="15" t="s">
        <v>404</v>
      </c>
      <c r="G2203" s="16">
        <v>69377.666666666672</v>
      </c>
      <c r="H2203" s="16">
        <f t="shared" si="100"/>
        <v>1063.9328111142227</v>
      </c>
      <c r="I2203" s="16">
        <f t="shared" si="101"/>
        <v>36906.587962606085</v>
      </c>
      <c r="J2203" s="16">
        <v>33481.102849019997</v>
      </c>
      <c r="K2203" s="17" t="s">
        <v>416</v>
      </c>
    </row>
    <row r="2204" spans="1:16" x14ac:dyDescent="0.25">
      <c r="A2204" s="134">
        <v>3462.0040000000008</v>
      </c>
      <c r="B2204" s="15">
        <v>2017</v>
      </c>
      <c r="C2204" s="1" t="s">
        <v>11</v>
      </c>
      <c r="D2204" s="1" t="s">
        <v>215</v>
      </c>
      <c r="E2204" s="15" t="s">
        <v>123</v>
      </c>
      <c r="F2204" s="15" t="s">
        <v>405</v>
      </c>
      <c r="G2204" s="16">
        <v>383067.5</v>
      </c>
      <c r="H2204" s="16">
        <f t="shared" si="100"/>
        <v>1005.315445437682</v>
      </c>
      <c r="I2204" s="16">
        <f t="shared" si="101"/>
        <v>192551.83719759961</v>
      </c>
      <c r="J2204" s="16">
        <v>174680.13763592998</v>
      </c>
      <c r="K2204" s="17" t="s">
        <v>416</v>
      </c>
    </row>
    <row r="2205" spans="1:16" x14ac:dyDescent="0.25">
      <c r="A2205" s="134">
        <v>3462.005000000001</v>
      </c>
      <c r="B2205" s="15">
        <v>2017</v>
      </c>
      <c r="C2205" s="1" t="s">
        <v>11</v>
      </c>
      <c r="D2205" s="1" t="s">
        <v>215</v>
      </c>
      <c r="E2205" s="15" t="s">
        <v>123</v>
      </c>
      <c r="F2205" s="15" t="s">
        <v>406</v>
      </c>
      <c r="G2205" s="16">
        <v>381872.5</v>
      </c>
      <c r="H2205" s="16">
        <f t="shared" si="100"/>
        <v>1015.2165279087689</v>
      </c>
      <c r="I2205" s="16">
        <f t="shared" si="101"/>
        <v>193841.63677692067</v>
      </c>
      <c r="J2205" s="16">
        <v>175850.22446199</v>
      </c>
      <c r="K2205" s="17" t="s">
        <v>416</v>
      </c>
    </row>
    <row r="2206" spans="1:16" x14ac:dyDescent="0.25">
      <c r="A2206" s="134">
        <v>3462.0060000000012</v>
      </c>
      <c r="B2206" s="15">
        <v>2017</v>
      </c>
      <c r="C2206" s="1" t="s">
        <v>11</v>
      </c>
      <c r="D2206" s="1" t="s">
        <v>215</v>
      </c>
      <c r="E2206" s="15" t="s">
        <v>123</v>
      </c>
      <c r="F2206" s="15" t="s">
        <v>407</v>
      </c>
      <c r="G2206" s="16">
        <v>18492.38</v>
      </c>
      <c r="H2206" s="16">
        <f t="shared" si="100"/>
        <v>2369.656927571215</v>
      </c>
      <c r="I2206" s="16">
        <f t="shared" si="101"/>
        <v>21910.298187139695</v>
      </c>
      <c r="J2206" s="16">
        <v>19876.693770759517</v>
      </c>
      <c r="K2206" s="17" t="s">
        <v>416</v>
      </c>
    </row>
    <row r="2207" spans="1:16" x14ac:dyDescent="0.25">
      <c r="A2207" s="134">
        <v>3462.0070000000014</v>
      </c>
      <c r="B2207" s="15">
        <v>2017</v>
      </c>
      <c r="C2207" s="1" t="s">
        <v>11</v>
      </c>
      <c r="D2207" s="1" t="s">
        <v>215</v>
      </c>
      <c r="E2207" s="15" t="s">
        <v>123</v>
      </c>
      <c r="F2207" s="15" t="s">
        <v>408</v>
      </c>
      <c r="G2207" s="16">
        <v>11359.81</v>
      </c>
      <c r="H2207" s="16">
        <f t="shared" si="100"/>
        <v>4743.6429433642934</v>
      </c>
      <c r="I2207" s="16">
        <f t="shared" si="101"/>
        <v>26943.441272229567</v>
      </c>
      <c r="J2207" s="16">
        <v>24442.685659700001</v>
      </c>
      <c r="K2207" s="17" t="s">
        <v>416</v>
      </c>
    </row>
    <row r="2208" spans="1:16" x14ac:dyDescent="0.25">
      <c r="A2208" s="134">
        <v>3462.0080000000016</v>
      </c>
      <c r="B2208" s="15">
        <v>2017</v>
      </c>
      <c r="C2208" s="1" t="s">
        <v>11</v>
      </c>
      <c r="D2208" s="1" t="s">
        <v>215</v>
      </c>
      <c r="E2208" s="15" t="s">
        <v>123</v>
      </c>
      <c r="F2208" s="15" t="s">
        <v>409</v>
      </c>
      <c r="G2208" s="16">
        <v>44480.2</v>
      </c>
      <c r="H2208" s="16">
        <f t="shared" si="100"/>
        <v>1892.6194969474604</v>
      </c>
      <c r="I2208" s="16">
        <f t="shared" si="101"/>
        <v>42092.046874061212</v>
      </c>
      <c r="J2208" s="16">
        <v>38185.273370275005</v>
      </c>
      <c r="K2208" s="17" t="s">
        <v>416</v>
      </c>
    </row>
    <row r="2209" spans="1:16" x14ac:dyDescent="0.25">
      <c r="A2209" s="134">
        <v>3462.0090000000018</v>
      </c>
      <c r="B2209" s="15">
        <v>2017</v>
      </c>
      <c r="C2209" s="1" t="s">
        <v>11</v>
      </c>
      <c r="D2209" s="1" t="s">
        <v>215</v>
      </c>
      <c r="E2209" s="15" t="s">
        <v>123</v>
      </c>
      <c r="F2209" s="15" t="s">
        <v>410</v>
      </c>
      <c r="G2209" s="16">
        <v>45383.9</v>
      </c>
      <c r="H2209" s="16">
        <f t="shared" si="100"/>
        <v>1926.9862676248074</v>
      </c>
      <c r="I2209" s="16">
        <f t="shared" si="101"/>
        <v>43727.07603562875</v>
      </c>
      <c r="J2209" s="16">
        <v>39668.547293485004</v>
      </c>
      <c r="K2209" s="17" t="s">
        <v>416</v>
      </c>
    </row>
    <row r="2210" spans="1:16" x14ac:dyDescent="0.25">
      <c r="A2210" s="134">
        <v>3462.010000000002</v>
      </c>
      <c r="B2210" s="15">
        <v>2017</v>
      </c>
      <c r="C2210" s="1" t="s">
        <v>11</v>
      </c>
      <c r="D2210" s="1" t="s">
        <v>215</v>
      </c>
      <c r="E2210" s="15" t="s">
        <v>123</v>
      </c>
      <c r="F2210" s="1" t="s">
        <v>411</v>
      </c>
      <c r="G2210" s="106">
        <v>16507.7</v>
      </c>
      <c r="H2210" s="16">
        <f t="shared" si="100"/>
        <v>1244.4855006775231</v>
      </c>
      <c r="I2210" s="16">
        <f t="shared" si="101"/>
        <v>10271.796649767173</v>
      </c>
      <c r="J2210" s="16">
        <v>9318.4198014599988</v>
      </c>
      <c r="K2210" s="17" t="s">
        <v>416</v>
      </c>
      <c r="M2210" s="19"/>
      <c r="N2210" s="19"/>
      <c r="O2210" s="19"/>
      <c r="P2210" s="19"/>
    </row>
    <row r="2211" spans="1:16" x14ac:dyDescent="0.25">
      <c r="A2211" s="134">
        <v>3462.0110000000022</v>
      </c>
      <c r="B2211" s="15">
        <v>2017</v>
      </c>
      <c r="C2211" s="1" t="s">
        <v>11</v>
      </c>
      <c r="D2211" s="1" t="s">
        <v>215</v>
      </c>
      <c r="E2211" s="15" t="s">
        <v>123</v>
      </c>
      <c r="F2211" s="1" t="s">
        <v>412</v>
      </c>
      <c r="G2211" s="106">
        <v>17879.900000000001</v>
      </c>
      <c r="H2211" s="16">
        <f t="shared" si="100"/>
        <v>1215.8677011308239</v>
      </c>
      <c r="I2211" s="16">
        <f t="shared" si="101"/>
        <v>10869.79645472451</v>
      </c>
      <c r="J2211" s="16">
        <v>9860.9162520599984</v>
      </c>
      <c r="K2211" s="17" t="s">
        <v>416</v>
      </c>
      <c r="M2211" s="19"/>
      <c r="N2211" s="19"/>
      <c r="O2211" s="19"/>
      <c r="P2211" s="19"/>
    </row>
    <row r="2212" spans="1:16" x14ac:dyDescent="0.25">
      <c r="A2212" s="134">
        <v>3462.0120000000024</v>
      </c>
      <c r="B2212" s="15">
        <v>2017</v>
      </c>
      <c r="C2212" s="1" t="s">
        <v>11</v>
      </c>
      <c r="D2212" s="1" t="s">
        <v>215</v>
      </c>
      <c r="E2212" s="15" t="s">
        <v>123</v>
      </c>
      <c r="F2212" s="1" t="s">
        <v>413</v>
      </c>
      <c r="G2212" s="106">
        <v>464326.82799999998</v>
      </c>
      <c r="H2212" s="16">
        <f t="shared" si="100"/>
        <v>833.28403394354575</v>
      </c>
      <c r="I2212" s="16">
        <f t="shared" si="101"/>
        <v>193458.06615202545</v>
      </c>
      <c r="J2212" s="16">
        <v>175502.25494622247</v>
      </c>
      <c r="K2212" s="17" t="s">
        <v>416</v>
      </c>
      <c r="M2212" s="19"/>
      <c r="N2212" s="19"/>
      <c r="O2212" s="19"/>
      <c r="P2212" s="19"/>
    </row>
    <row r="2213" spans="1:16" x14ac:dyDescent="0.25">
      <c r="A2213" s="134">
        <v>3462.0130000000026</v>
      </c>
      <c r="B2213" s="15">
        <v>2017</v>
      </c>
      <c r="C2213" s="1" t="s">
        <v>11</v>
      </c>
      <c r="D2213" s="1" t="s">
        <v>215</v>
      </c>
      <c r="E2213" s="15" t="s">
        <v>123</v>
      </c>
      <c r="F2213" s="1" t="s">
        <v>144</v>
      </c>
      <c r="G2213" s="106">
        <v>1119821</v>
      </c>
      <c r="H2213" s="16">
        <f t="shared" si="100"/>
        <v>816.33895224428784</v>
      </c>
      <c r="I2213" s="16">
        <f t="shared" si="101"/>
        <v>457076.75092057534</v>
      </c>
      <c r="J2213" s="16">
        <v>414653.17040343001</v>
      </c>
      <c r="K2213" s="17" t="s">
        <v>416</v>
      </c>
      <c r="M2213" s="19"/>
      <c r="N2213" s="19"/>
      <c r="O2213" s="19"/>
      <c r="P2213" s="19"/>
    </row>
    <row r="2214" spans="1:16" x14ac:dyDescent="0.25">
      <c r="A2214" s="134">
        <v>3462.0140000000029</v>
      </c>
      <c r="B2214" s="15">
        <v>2017</v>
      </c>
      <c r="C2214" s="1" t="s">
        <v>11</v>
      </c>
      <c r="D2214" s="1" t="s">
        <v>215</v>
      </c>
      <c r="E2214" s="15" t="s">
        <v>123</v>
      </c>
      <c r="F2214" s="1" t="s">
        <v>156</v>
      </c>
      <c r="G2214" s="106">
        <v>915875.39999999991</v>
      </c>
      <c r="H2214" s="16">
        <f t="shared" si="100"/>
        <v>856.71319928697551</v>
      </c>
      <c r="I2214" s="16">
        <f t="shared" si="101"/>
        <v>392321.27204111917</v>
      </c>
      <c r="J2214" s="16">
        <v>355907.97156258003</v>
      </c>
      <c r="K2214" s="17" t="s">
        <v>416</v>
      </c>
      <c r="M2214" s="19"/>
      <c r="N2214" s="19"/>
      <c r="O2214" s="19"/>
      <c r="P2214" s="19"/>
    </row>
    <row r="2215" spans="1:16" x14ac:dyDescent="0.25">
      <c r="A2215" s="134">
        <v>3462.0150000000031</v>
      </c>
      <c r="B2215" s="15">
        <v>2017</v>
      </c>
      <c r="C2215" s="1" t="s">
        <v>11</v>
      </c>
      <c r="D2215" s="1" t="s">
        <v>215</v>
      </c>
      <c r="E2215" s="15" t="s">
        <v>123</v>
      </c>
      <c r="F2215" s="1" t="s">
        <v>155</v>
      </c>
      <c r="G2215" s="106">
        <v>266588.09999999998</v>
      </c>
      <c r="H2215" s="16">
        <f t="shared" si="100"/>
        <v>1036.5703115415258</v>
      </c>
      <c r="I2215" s="16">
        <f t="shared" si="101"/>
        <v>138168.65493513169</v>
      </c>
      <c r="J2215" s="16">
        <v>125344.53065889</v>
      </c>
      <c r="K2215" s="17" t="s">
        <v>416</v>
      </c>
      <c r="M2215" s="19"/>
      <c r="N2215" s="19"/>
      <c r="O2215" s="19"/>
      <c r="P2215" s="19"/>
    </row>
    <row r="2216" spans="1:16" x14ac:dyDescent="0.25">
      <c r="A2216" s="134">
        <v>3462.0160000000033</v>
      </c>
      <c r="B2216" s="15">
        <v>2017</v>
      </c>
      <c r="C2216" s="1" t="s">
        <v>11</v>
      </c>
      <c r="D2216" s="1" t="s">
        <v>215</v>
      </c>
      <c r="E2216" s="15" t="s">
        <v>123</v>
      </c>
      <c r="F2216" s="1" t="s">
        <v>414</v>
      </c>
      <c r="G2216" s="106">
        <v>7642.7</v>
      </c>
      <c r="H2216" s="16">
        <f t="shared" si="100"/>
        <v>3936.5107163485673</v>
      </c>
      <c r="I2216" s="16">
        <f t="shared" si="101"/>
        <v>15042.785225918597</v>
      </c>
      <c r="J2216" s="16">
        <v>13646.58905328768</v>
      </c>
      <c r="K2216" s="17" t="s">
        <v>416</v>
      </c>
      <c r="M2216" s="19"/>
      <c r="N2216" s="19"/>
      <c r="O2216" s="19"/>
      <c r="P2216" s="19"/>
    </row>
    <row r="2217" spans="1:16" x14ac:dyDescent="0.25">
      <c r="A2217" s="134">
        <v>3462.0170000000035</v>
      </c>
      <c r="B2217" s="15">
        <v>2017</v>
      </c>
      <c r="C2217" s="1" t="s">
        <v>11</v>
      </c>
      <c r="D2217" s="1" t="s">
        <v>215</v>
      </c>
      <c r="E2217" s="15" t="s">
        <v>123</v>
      </c>
      <c r="F2217" s="1" t="s">
        <v>415</v>
      </c>
      <c r="G2217" s="106">
        <v>25400.9</v>
      </c>
      <c r="H2217" s="16">
        <f t="shared" si="100"/>
        <v>4661.1800363612656</v>
      </c>
      <c r="I2217" s="16">
        <f t="shared" si="101"/>
        <v>59199.083992804437</v>
      </c>
      <c r="J2217" s="16">
        <v>53704.520768462287</v>
      </c>
      <c r="K2217" s="17" t="s">
        <v>416</v>
      </c>
      <c r="M2217" s="19"/>
      <c r="N2217" s="19"/>
      <c r="O2217" s="19"/>
      <c r="P2217" s="19"/>
    </row>
    <row r="2218" spans="1:16" x14ac:dyDescent="0.25">
      <c r="A2218" s="15">
        <v>3470</v>
      </c>
      <c r="B2218" s="15">
        <v>2017</v>
      </c>
      <c r="C2218" s="1" t="s">
        <v>11</v>
      </c>
      <c r="D2218" s="1" t="s">
        <v>215</v>
      </c>
      <c r="E2218" s="15" t="s">
        <v>125</v>
      </c>
      <c r="F2218" s="1" t="s">
        <v>17</v>
      </c>
      <c r="G2218" s="106">
        <v>345425.18400000001</v>
      </c>
      <c r="H2218" s="92">
        <v>0</v>
      </c>
      <c r="I2218" s="92">
        <f t="shared" ref="I2218:I2219" si="102">(H2218*G2218)/2000</f>
        <v>0</v>
      </c>
      <c r="J2218" s="16">
        <f t="shared" ref="J2218:J2219" si="103">(G2218*H2218)/2204.623</f>
        <v>0</v>
      </c>
      <c r="M2218" s="19"/>
      <c r="N2218" s="19"/>
      <c r="O2218" s="19"/>
      <c r="P2218" s="19"/>
    </row>
    <row r="2219" spans="1:16" x14ac:dyDescent="0.25">
      <c r="A2219" s="15">
        <v>3471</v>
      </c>
      <c r="B2219" s="15">
        <v>2017</v>
      </c>
      <c r="C2219" s="1" t="s">
        <v>11</v>
      </c>
      <c r="D2219" s="1" t="s">
        <v>215</v>
      </c>
      <c r="E2219" s="15" t="s">
        <v>125</v>
      </c>
      <c r="F2219" s="1" t="s">
        <v>189</v>
      </c>
      <c r="G2219" s="106">
        <v>716381.07799999998</v>
      </c>
      <c r="H2219" s="92">
        <v>0</v>
      </c>
      <c r="I2219" s="92">
        <f t="shared" si="102"/>
        <v>0</v>
      </c>
      <c r="J2219" s="16">
        <f t="shared" si="103"/>
        <v>0</v>
      </c>
      <c r="M2219" s="19"/>
      <c r="N2219" s="19"/>
      <c r="O2219" s="19"/>
      <c r="P2219" s="19"/>
    </row>
    <row r="2220" spans="1:16" x14ac:dyDescent="0.25">
      <c r="A2220" s="15">
        <v>3479</v>
      </c>
      <c r="B2220" s="15">
        <v>2017</v>
      </c>
      <c r="C2220" s="1" t="s">
        <v>11</v>
      </c>
      <c r="D2220" s="1" t="s">
        <v>215</v>
      </c>
      <c r="E2220" s="15" t="s">
        <v>125</v>
      </c>
      <c r="F2220" s="1" t="s">
        <v>126</v>
      </c>
      <c r="G2220" s="106">
        <v>612984.08900000004</v>
      </c>
      <c r="H2220" s="92">
        <v>0</v>
      </c>
      <c r="I2220" s="92">
        <f t="shared" ref="I2220:I2243" si="104">(H2220*G2220)/2000</f>
        <v>0</v>
      </c>
      <c r="J2220" s="16">
        <f t="shared" ref="J2220:J2256" si="105">(G2220*H2220)/2204.623</f>
        <v>0</v>
      </c>
      <c r="M2220" s="19"/>
      <c r="N2220" s="19"/>
      <c r="O2220" s="19"/>
      <c r="P2220" s="19"/>
    </row>
    <row r="2221" spans="1:16" x14ac:dyDescent="0.25">
      <c r="A2221" s="15">
        <v>3480</v>
      </c>
      <c r="B2221" s="15">
        <v>2017</v>
      </c>
      <c r="C2221" s="1" t="s">
        <v>19</v>
      </c>
      <c r="D2221" s="1" t="s">
        <v>219</v>
      </c>
      <c r="E2221" s="15" t="s">
        <v>125</v>
      </c>
      <c r="F2221" s="1" t="s">
        <v>175</v>
      </c>
      <c r="G2221" s="106">
        <v>25.266999999999999</v>
      </c>
      <c r="H2221" s="92">
        <v>0</v>
      </c>
      <c r="I2221" s="92">
        <f t="shared" si="104"/>
        <v>0</v>
      </c>
      <c r="J2221" s="16">
        <f t="shared" si="105"/>
        <v>0</v>
      </c>
      <c r="M2221" s="19"/>
      <c r="N2221" s="19"/>
      <c r="O2221" s="19"/>
      <c r="P2221" s="19"/>
    </row>
    <row r="2222" spans="1:16" x14ac:dyDescent="0.25">
      <c r="A2222" s="15">
        <v>3481</v>
      </c>
      <c r="B2222" s="15">
        <v>2017</v>
      </c>
      <c r="C2222" s="1" t="s">
        <v>19</v>
      </c>
      <c r="D2222" s="1" t="s">
        <v>219</v>
      </c>
      <c r="E2222" s="15" t="s">
        <v>217</v>
      </c>
      <c r="F2222" s="1" t="s">
        <v>20</v>
      </c>
      <c r="G2222" s="106">
        <v>21209.738000000001</v>
      </c>
      <c r="H2222" s="93">
        <f>'Emission Rates Net-by-Count'!$D$15</f>
        <v>1004</v>
      </c>
      <c r="I2222" s="92">
        <f t="shared" si="104"/>
        <v>10647.288476</v>
      </c>
      <c r="J2222" s="16">
        <f t="shared" si="105"/>
        <v>9659.0559710208945</v>
      </c>
      <c r="M2222" s="19"/>
      <c r="N2222" s="19"/>
      <c r="O2222" s="19"/>
      <c r="P2222" s="19"/>
    </row>
    <row r="2223" spans="1:16" x14ac:dyDescent="0.25">
      <c r="A2223" s="15">
        <v>3482</v>
      </c>
      <c r="B2223" s="15">
        <v>2017</v>
      </c>
      <c r="C2223" s="1" t="s">
        <v>19</v>
      </c>
      <c r="D2223" s="1" t="s">
        <v>219</v>
      </c>
      <c r="E2223" s="15" t="s">
        <v>125</v>
      </c>
      <c r="F2223" s="1" t="s">
        <v>195</v>
      </c>
      <c r="G2223" s="106">
        <v>4.5519999999999996</v>
      </c>
      <c r="H2223" s="92">
        <v>0</v>
      </c>
      <c r="I2223" s="92">
        <f t="shared" si="104"/>
        <v>0</v>
      </c>
      <c r="J2223" s="16">
        <f t="shared" si="105"/>
        <v>0</v>
      </c>
      <c r="M2223" s="19"/>
      <c r="N2223" s="19"/>
      <c r="O2223" s="19"/>
      <c r="P2223" s="19"/>
    </row>
    <row r="2224" spans="1:16" x14ac:dyDescent="0.25">
      <c r="A2224" s="15">
        <v>3483</v>
      </c>
      <c r="B2224" s="15">
        <v>2017</v>
      </c>
      <c r="C2224" s="1" t="s">
        <v>19</v>
      </c>
      <c r="D2224" s="1" t="s">
        <v>219</v>
      </c>
      <c r="E2224" s="15" t="s">
        <v>125</v>
      </c>
      <c r="F2224" s="1" t="s">
        <v>176</v>
      </c>
      <c r="G2224" s="106">
        <v>11718.129000000001</v>
      </c>
      <c r="H2224" s="92">
        <v>0</v>
      </c>
      <c r="I2224" s="92">
        <f t="shared" si="104"/>
        <v>0</v>
      </c>
      <c r="J2224" s="16">
        <f t="shared" si="105"/>
        <v>0</v>
      </c>
      <c r="M2224" s="19"/>
      <c r="N2224" s="19"/>
      <c r="O2224" s="19"/>
      <c r="P2224" s="19"/>
    </row>
    <row r="2225" spans="1:16" x14ac:dyDescent="0.25">
      <c r="A2225" s="15">
        <v>3484</v>
      </c>
      <c r="B2225" s="15">
        <v>2017</v>
      </c>
      <c r="C2225" s="1" t="s">
        <v>19</v>
      </c>
      <c r="D2225" s="1" t="s">
        <v>219</v>
      </c>
      <c r="E2225" s="15" t="s">
        <v>125</v>
      </c>
      <c r="F2225" s="1" t="s">
        <v>351</v>
      </c>
      <c r="G2225" s="106">
        <v>1.3180000000000001</v>
      </c>
      <c r="H2225" s="92">
        <v>0</v>
      </c>
      <c r="I2225" s="92">
        <f t="shared" si="104"/>
        <v>0</v>
      </c>
      <c r="J2225" s="16">
        <f t="shared" si="105"/>
        <v>0</v>
      </c>
      <c r="M2225" s="19"/>
      <c r="N2225" s="19"/>
      <c r="O2225" s="19"/>
      <c r="P2225" s="19"/>
    </row>
    <row r="2226" spans="1:16" x14ac:dyDescent="0.25">
      <c r="A2226" s="15">
        <v>3486</v>
      </c>
      <c r="B2226" s="15">
        <v>2017</v>
      </c>
      <c r="C2226" s="1" t="s">
        <v>19</v>
      </c>
      <c r="D2226" s="1" t="s">
        <v>219</v>
      </c>
      <c r="E2226" s="15" t="s">
        <v>217</v>
      </c>
      <c r="F2226" s="1" t="s">
        <v>21</v>
      </c>
      <c r="G2226" s="106">
        <v>7000</v>
      </c>
      <c r="H2226" s="15">
        <v>1004</v>
      </c>
      <c r="I2226" s="92">
        <f t="shared" si="104"/>
        <v>3514</v>
      </c>
      <c r="J2226" s="16">
        <f t="shared" si="105"/>
        <v>3187.8466295597932</v>
      </c>
      <c r="M2226" s="19"/>
      <c r="N2226" s="19"/>
      <c r="O2226" s="19"/>
      <c r="P2226" s="19"/>
    </row>
    <row r="2227" spans="1:16" x14ac:dyDescent="0.25">
      <c r="A2227" s="15">
        <v>3487</v>
      </c>
      <c r="B2227" s="15">
        <v>2017</v>
      </c>
      <c r="C2227" s="1" t="s">
        <v>19</v>
      </c>
      <c r="D2227" s="1" t="s">
        <v>219</v>
      </c>
      <c r="E2227" s="15" t="s">
        <v>217</v>
      </c>
      <c r="F2227" s="1" t="s">
        <v>22</v>
      </c>
      <c r="G2227" s="106">
        <v>241574</v>
      </c>
      <c r="H2227" s="93">
        <f>'Emission Rates Net-by-Count'!$D$15</f>
        <v>1004</v>
      </c>
      <c r="I2227" s="92">
        <f t="shared" si="104"/>
        <v>121270.148</v>
      </c>
      <c r="J2227" s="16">
        <f t="shared" si="105"/>
        <v>110014.40881275393</v>
      </c>
      <c r="M2227" s="19"/>
      <c r="N2227" s="19"/>
      <c r="O2227" s="19"/>
      <c r="P2227" s="19"/>
    </row>
    <row r="2228" spans="1:16" x14ac:dyDescent="0.25">
      <c r="A2228" s="15">
        <v>3488</v>
      </c>
      <c r="B2228" s="15">
        <v>2017</v>
      </c>
      <c r="C2228" s="1" t="s">
        <v>19</v>
      </c>
      <c r="D2228" s="1" t="s">
        <v>219</v>
      </c>
      <c r="E2228" s="15" t="s">
        <v>125</v>
      </c>
      <c r="F2228" s="1" t="s">
        <v>190</v>
      </c>
      <c r="G2228" s="106">
        <v>29.26</v>
      </c>
      <c r="H2228" s="92">
        <v>0</v>
      </c>
      <c r="I2228" s="92">
        <f t="shared" si="104"/>
        <v>0</v>
      </c>
      <c r="J2228" s="16">
        <f t="shared" si="105"/>
        <v>0</v>
      </c>
      <c r="M2228" s="19"/>
      <c r="N2228" s="19"/>
      <c r="O2228" s="19"/>
      <c r="P2228" s="19"/>
    </row>
    <row r="2229" spans="1:16" x14ac:dyDescent="0.25">
      <c r="A2229" s="15">
        <v>3489</v>
      </c>
      <c r="B2229" s="15">
        <v>2017</v>
      </c>
      <c r="C2229" s="1" t="s">
        <v>19</v>
      </c>
      <c r="D2229" s="1" t="s">
        <v>219</v>
      </c>
      <c r="E2229" s="15" t="s">
        <v>125</v>
      </c>
      <c r="F2229" s="1" t="s">
        <v>177</v>
      </c>
      <c r="G2229" s="106">
        <v>2315054</v>
      </c>
      <c r="H2229" s="92">
        <v>0</v>
      </c>
      <c r="I2229" s="92">
        <f t="shared" si="104"/>
        <v>0</v>
      </c>
      <c r="J2229" s="16">
        <f t="shared" si="105"/>
        <v>0</v>
      </c>
      <c r="M2229" s="19"/>
      <c r="N2229" s="19"/>
      <c r="O2229" s="19"/>
      <c r="P2229" s="19"/>
    </row>
    <row r="2230" spans="1:16" x14ac:dyDescent="0.25">
      <c r="A2230" s="15">
        <v>3490</v>
      </c>
      <c r="B2230" s="15">
        <v>2017</v>
      </c>
      <c r="C2230" s="1" t="s">
        <v>19</v>
      </c>
      <c r="D2230" s="1" t="s">
        <v>219</v>
      </c>
      <c r="E2230" s="15" t="s">
        <v>125</v>
      </c>
      <c r="F2230" s="1" t="s">
        <v>23</v>
      </c>
      <c r="G2230" s="106">
        <v>-39402</v>
      </c>
      <c r="H2230" s="92">
        <v>0</v>
      </c>
      <c r="I2230" s="92">
        <f t="shared" si="104"/>
        <v>0</v>
      </c>
      <c r="J2230" s="16">
        <f t="shared" si="105"/>
        <v>0</v>
      </c>
      <c r="M2230" s="19"/>
      <c r="N2230" s="19"/>
      <c r="O2230" s="19"/>
      <c r="P2230" s="19"/>
    </row>
    <row r="2231" spans="1:16" x14ac:dyDescent="0.25">
      <c r="A2231" s="15">
        <v>3491</v>
      </c>
      <c r="B2231" s="15">
        <v>2017</v>
      </c>
      <c r="C2231" s="1" t="s">
        <v>19</v>
      </c>
      <c r="D2231" s="1" t="s">
        <v>219</v>
      </c>
      <c r="E2231" s="15" t="s">
        <v>125</v>
      </c>
      <c r="F2231" s="1" t="s">
        <v>24</v>
      </c>
      <c r="G2231" s="106">
        <v>-81794</v>
      </c>
      <c r="H2231" s="92">
        <v>0</v>
      </c>
      <c r="I2231" s="92">
        <f t="shared" si="104"/>
        <v>0</v>
      </c>
      <c r="J2231" s="16">
        <f t="shared" si="105"/>
        <v>0</v>
      </c>
      <c r="M2231" s="19"/>
      <c r="N2231" s="19"/>
      <c r="O2231" s="19"/>
      <c r="P2231" s="19"/>
    </row>
    <row r="2232" spans="1:16" x14ac:dyDescent="0.25">
      <c r="A2232" s="15">
        <v>3492</v>
      </c>
      <c r="B2232" s="15">
        <v>2017</v>
      </c>
      <c r="C2232" s="1" t="s">
        <v>19</v>
      </c>
      <c r="D2232" s="1" t="s">
        <v>219</v>
      </c>
      <c r="E2232" s="15" t="s">
        <v>125</v>
      </c>
      <c r="F2232" s="1" t="s">
        <v>25</v>
      </c>
      <c r="G2232" s="106">
        <v>1111775</v>
      </c>
      <c r="H2232" s="92">
        <v>0</v>
      </c>
      <c r="I2232" s="92">
        <f t="shared" si="104"/>
        <v>0</v>
      </c>
      <c r="J2232" s="16">
        <f t="shared" si="105"/>
        <v>0</v>
      </c>
      <c r="M2232" s="19"/>
      <c r="N2232" s="19"/>
      <c r="O2232" s="19"/>
      <c r="P2232" s="19"/>
    </row>
    <row r="2233" spans="1:16" x14ac:dyDescent="0.25">
      <c r="A2233" s="15">
        <v>3493</v>
      </c>
      <c r="B2233" s="15">
        <v>2017</v>
      </c>
      <c r="C2233" s="1" t="s">
        <v>19</v>
      </c>
      <c r="D2233" s="1" t="s">
        <v>219</v>
      </c>
      <c r="E2233" s="15" t="s">
        <v>125</v>
      </c>
      <c r="F2233" s="1" t="s">
        <v>191</v>
      </c>
      <c r="G2233" s="106">
        <v>4820.6949999999997</v>
      </c>
      <c r="H2233" s="92">
        <v>0</v>
      </c>
      <c r="I2233" s="92">
        <f t="shared" si="104"/>
        <v>0</v>
      </c>
      <c r="J2233" s="16">
        <f t="shared" si="105"/>
        <v>0</v>
      </c>
      <c r="M2233" s="19"/>
      <c r="N2233" s="19"/>
      <c r="O2233" s="19"/>
      <c r="P2233" s="19"/>
    </row>
    <row r="2234" spans="1:16" x14ac:dyDescent="0.25">
      <c r="A2234" s="15">
        <v>3494</v>
      </c>
      <c r="B2234" s="15">
        <v>2017</v>
      </c>
      <c r="C2234" s="1" t="s">
        <v>19</v>
      </c>
      <c r="D2234" s="1" t="s">
        <v>219</v>
      </c>
      <c r="E2234" s="15" t="s">
        <v>125</v>
      </c>
      <c r="F2234" s="1" t="s">
        <v>169</v>
      </c>
      <c r="G2234" s="106">
        <v>4647.7740000000003</v>
      </c>
      <c r="H2234" s="92">
        <v>0</v>
      </c>
      <c r="I2234" s="92">
        <f t="shared" si="104"/>
        <v>0</v>
      </c>
      <c r="J2234" s="16">
        <f t="shared" si="105"/>
        <v>0</v>
      </c>
      <c r="M2234" s="19"/>
      <c r="N2234" s="19"/>
      <c r="O2234" s="19"/>
      <c r="P2234" s="19"/>
    </row>
    <row r="2235" spans="1:16" x14ac:dyDescent="0.25">
      <c r="A2235" s="15">
        <v>3495</v>
      </c>
      <c r="B2235" s="15">
        <v>2017</v>
      </c>
      <c r="C2235" s="1" t="s">
        <v>19</v>
      </c>
      <c r="D2235" s="1" t="s">
        <v>219</v>
      </c>
      <c r="E2235" s="15" t="s">
        <v>125</v>
      </c>
      <c r="F2235" s="1" t="s">
        <v>161</v>
      </c>
      <c r="G2235" s="106">
        <v>5378.7089999999998</v>
      </c>
      <c r="H2235" s="92">
        <v>0</v>
      </c>
      <c r="I2235" s="92">
        <f t="shared" si="104"/>
        <v>0</v>
      </c>
      <c r="J2235" s="16">
        <f t="shared" si="105"/>
        <v>0</v>
      </c>
      <c r="M2235" s="19"/>
      <c r="N2235" s="19"/>
      <c r="O2235" s="19"/>
      <c r="P2235" s="19"/>
    </row>
    <row r="2236" spans="1:16" x14ac:dyDescent="0.25">
      <c r="A2236" s="15">
        <v>3496</v>
      </c>
      <c r="B2236" s="15">
        <v>2017</v>
      </c>
      <c r="C2236" s="1" t="s">
        <v>19</v>
      </c>
      <c r="D2236" s="1" t="s">
        <v>219</v>
      </c>
      <c r="E2236" s="15" t="s">
        <v>125</v>
      </c>
      <c r="F2236" s="1" t="s">
        <v>162</v>
      </c>
      <c r="G2236" s="106">
        <v>49501</v>
      </c>
      <c r="H2236" s="92">
        <v>0</v>
      </c>
      <c r="I2236" s="92">
        <f t="shared" si="104"/>
        <v>0</v>
      </c>
      <c r="J2236" s="16">
        <f t="shared" si="105"/>
        <v>0</v>
      </c>
      <c r="M2236" s="19"/>
      <c r="N2236" s="19"/>
      <c r="O2236" s="19"/>
      <c r="P2236" s="19"/>
    </row>
    <row r="2237" spans="1:16" x14ac:dyDescent="0.25">
      <c r="A2237" s="15">
        <v>3497</v>
      </c>
      <c r="B2237" s="15">
        <v>2017</v>
      </c>
      <c r="C2237" s="1" t="s">
        <v>19</v>
      </c>
      <c r="D2237" s="1" t="s">
        <v>219</v>
      </c>
      <c r="E2237" s="15" t="s">
        <v>125</v>
      </c>
      <c r="F2237" s="1" t="s">
        <v>178</v>
      </c>
      <c r="G2237" s="106">
        <v>61.43</v>
      </c>
      <c r="H2237" s="92">
        <v>0</v>
      </c>
      <c r="I2237" s="92">
        <f t="shared" si="104"/>
        <v>0</v>
      </c>
      <c r="J2237" s="16">
        <f t="shared" si="105"/>
        <v>0</v>
      </c>
      <c r="M2237" s="19"/>
      <c r="N2237" s="19"/>
      <c r="O2237" s="19"/>
      <c r="P2237" s="19"/>
    </row>
    <row r="2238" spans="1:16" x14ac:dyDescent="0.25">
      <c r="A2238" s="15">
        <v>3498</v>
      </c>
      <c r="B2238" s="15">
        <v>2017</v>
      </c>
      <c r="C2238" s="1" t="s">
        <v>19</v>
      </c>
      <c r="D2238" s="1" t="s">
        <v>219</v>
      </c>
      <c r="E2238" s="15" t="s">
        <v>125</v>
      </c>
      <c r="F2238" s="1" t="s">
        <v>145</v>
      </c>
      <c r="G2238" s="106">
        <v>110067</v>
      </c>
      <c r="H2238" s="92">
        <v>0</v>
      </c>
      <c r="I2238" s="92">
        <f t="shared" si="104"/>
        <v>0</v>
      </c>
      <c r="J2238" s="16">
        <f t="shared" si="105"/>
        <v>0</v>
      </c>
      <c r="M2238" s="19"/>
      <c r="N2238" s="19"/>
      <c r="O2238" s="19"/>
      <c r="P2238" s="19"/>
    </row>
    <row r="2239" spans="1:16" x14ac:dyDescent="0.25">
      <c r="A2239" s="15">
        <v>3499</v>
      </c>
      <c r="B2239" s="15">
        <v>2017</v>
      </c>
      <c r="C2239" s="1" t="s">
        <v>19</v>
      </c>
      <c r="D2239" s="1" t="s">
        <v>219</v>
      </c>
      <c r="E2239" s="15" t="s">
        <v>125</v>
      </c>
      <c r="F2239" s="1" t="s">
        <v>179</v>
      </c>
      <c r="G2239" s="106">
        <v>92.218999999999994</v>
      </c>
      <c r="H2239" s="92">
        <v>0</v>
      </c>
      <c r="I2239" s="92">
        <f t="shared" si="104"/>
        <v>0</v>
      </c>
      <c r="J2239" s="16">
        <f t="shared" si="105"/>
        <v>0</v>
      </c>
      <c r="M2239" s="19"/>
      <c r="N2239" s="19"/>
      <c r="O2239" s="19"/>
      <c r="P2239" s="19"/>
    </row>
    <row r="2240" spans="1:16" x14ac:dyDescent="0.25">
      <c r="A2240" s="15">
        <v>3500</v>
      </c>
      <c r="B2240" s="15">
        <v>2017</v>
      </c>
      <c r="C2240" s="1" t="s">
        <v>19</v>
      </c>
      <c r="D2240" s="1" t="s">
        <v>219</v>
      </c>
      <c r="E2240" s="15" t="s">
        <v>125</v>
      </c>
      <c r="F2240" s="1" t="s">
        <v>193</v>
      </c>
      <c r="G2240" s="106">
        <v>4857.9250000000002</v>
      </c>
      <c r="H2240" s="92">
        <v>0</v>
      </c>
      <c r="I2240" s="92">
        <f t="shared" si="104"/>
        <v>0</v>
      </c>
      <c r="J2240" s="16">
        <f t="shared" si="105"/>
        <v>0</v>
      </c>
      <c r="M2240" s="19"/>
      <c r="N2240" s="19"/>
      <c r="O2240" s="19"/>
      <c r="P2240" s="19"/>
    </row>
    <row r="2241" spans="1:17" x14ac:dyDescent="0.25">
      <c r="A2241" s="15">
        <v>3501</v>
      </c>
      <c r="B2241" s="15">
        <v>2017</v>
      </c>
      <c r="C2241" s="1" t="s">
        <v>19</v>
      </c>
      <c r="D2241" s="1" t="s">
        <v>219</v>
      </c>
      <c r="E2241" s="15" t="s">
        <v>125</v>
      </c>
      <c r="F2241" s="1" t="s">
        <v>3</v>
      </c>
      <c r="G2241" s="106">
        <v>6319.2089999999998</v>
      </c>
      <c r="H2241" s="92">
        <v>0</v>
      </c>
      <c r="I2241" s="92">
        <f t="shared" si="104"/>
        <v>0</v>
      </c>
      <c r="J2241" s="16">
        <f t="shared" si="105"/>
        <v>0</v>
      </c>
      <c r="M2241" s="19"/>
      <c r="N2241" s="19"/>
      <c r="O2241" s="19"/>
      <c r="P2241" s="19"/>
    </row>
    <row r="2242" spans="1:17" x14ac:dyDescent="0.25">
      <c r="A2242" s="15">
        <v>3502</v>
      </c>
      <c r="B2242" s="15">
        <v>2017</v>
      </c>
      <c r="C2242" s="1" t="s">
        <v>19</v>
      </c>
      <c r="D2242" s="1" t="s">
        <v>219</v>
      </c>
      <c r="E2242" s="15" t="s">
        <v>125</v>
      </c>
      <c r="F2242" s="1" t="s">
        <v>180</v>
      </c>
      <c r="G2242" s="106">
        <v>126.348</v>
      </c>
      <c r="H2242" s="92">
        <v>0</v>
      </c>
      <c r="I2242" s="92">
        <f t="shared" si="104"/>
        <v>0</v>
      </c>
      <c r="J2242" s="16">
        <f t="shared" si="105"/>
        <v>0</v>
      </c>
      <c r="M2242" s="19"/>
      <c r="N2242" s="19"/>
      <c r="O2242" s="19"/>
      <c r="P2242" s="19"/>
    </row>
    <row r="2243" spans="1:17" x14ac:dyDescent="0.25">
      <c r="A2243" s="15">
        <v>3503</v>
      </c>
      <c r="B2243" s="15">
        <v>2017</v>
      </c>
      <c r="C2243" s="1" t="s">
        <v>19</v>
      </c>
      <c r="D2243" s="1" t="s">
        <v>219</v>
      </c>
      <c r="E2243" s="15" t="s">
        <v>125</v>
      </c>
      <c r="F2243" s="1" t="s">
        <v>194</v>
      </c>
      <c r="G2243" s="106">
        <v>9505.4670000000006</v>
      </c>
      <c r="H2243" s="92">
        <v>0</v>
      </c>
      <c r="I2243" s="92">
        <f t="shared" si="104"/>
        <v>0</v>
      </c>
      <c r="J2243" s="16">
        <f t="shared" si="105"/>
        <v>0</v>
      </c>
      <c r="M2243" s="19"/>
      <c r="N2243" s="19"/>
      <c r="O2243" s="19"/>
      <c r="P2243" s="19"/>
    </row>
    <row r="2244" spans="1:17" x14ac:dyDescent="0.25">
      <c r="A2244" s="15">
        <v>3504</v>
      </c>
      <c r="B2244" s="152">
        <v>2017</v>
      </c>
      <c r="C2244" s="1" t="s">
        <v>19</v>
      </c>
      <c r="D2244" s="1" t="s">
        <v>219</v>
      </c>
      <c r="E2244" s="152" t="s">
        <v>122</v>
      </c>
      <c r="F2244" s="1" t="s">
        <v>204</v>
      </c>
      <c r="G2244" s="153">
        <v>2070958</v>
      </c>
      <c r="H2244" s="154">
        <f>P2244</f>
        <v>2365.2641402111894</v>
      </c>
      <c r="I2244" s="92">
        <f>(+G2244*H2244)/2000</f>
        <v>2449181.3466417422</v>
      </c>
      <c r="J2244" s="92">
        <f t="shared" si="105"/>
        <v>2221859.5620582225</v>
      </c>
      <c r="K2244" s="111" t="s">
        <v>234</v>
      </c>
      <c r="L2244" s="18">
        <v>0.10711</v>
      </c>
      <c r="M2244" s="19">
        <v>60414756</v>
      </c>
      <c r="N2244" s="19">
        <f>(M2244*L2244)</f>
        <v>6471024.51516</v>
      </c>
      <c r="O2244" s="19">
        <v>5471714.051</v>
      </c>
      <c r="P2244" s="19">
        <f>(N2244*2000)/O2244</f>
        <v>2365.2641402111894</v>
      </c>
      <c r="Q2244" s="15" t="s">
        <v>255</v>
      </c>
    </row>
    <row r="2245" spans="1:17" x14ac:dyDescent="0.25">
      <c r="A2245" s="15">
        <v>3504.5</v>
      </c>
      <c r="B2245" s="15">
        <v>2017</v>
      </c>
      <c r="C2245" s="1" t="s">
        <v>19</v>
      </c>
      <c r="D2245" s="1" t="s">
        <v>219</v>
      </c>
      <c r="E2245" s="152" t="s">
        <v>217</v>
      </c>
      <c r="F2245" s="1" t="s">
        <v>313</v>
      </c>
      <c r="G2245" s="153">
        <f>3327741-G2244</f>
        <v>1256783</v>
      </c>
      <c r="H2245" s="93">
        <f>'Emission Rates Net-by-Count'!$D$15</f>
        <v>1004</v>
      </c>
      <c r="I2245" s="92">
        <f t="shared" ref="I2245:I2256" si="106">(H2245*G2245)/2000</f>
        <v>630905.06599999999</v>
      </c>
      <c r="J2245" s="16">
        <f t="shared" si="105"/>
        <v>572347.35009114933</v>
      </c>
      <c r="M2245" s="19"/>
      <c r="N2245" s="19"/>
      <c r="O2245" s="19"/>
      <c r="P2245" s="19"/>
    </row>
    <row r="2246" spans="1:17" x14ac:dyDescent="0.25">
      <c r="A2246" s="15">
        <v>3505</v>
      </c>
      <c r="B2246" s="15">
        <v>2017</v>
      </c>
      <c r="C2246" s="1" t="s">
        <v>19</v>
      </c>
      <c r="D2246" s="1" t="s">
        <v>219</v>
      </c>
      <c r="E2246" s="15" t="s">
        <v>125</v>
      </c>
      <c r="F2246" s="1" t="s">
        <v>181</v>
      </c>
      <c r="G2246" s="106">
        <v>2344.8380000000002</v>
      </c>
      <c r="H2246" s="92">
        <v>0</v>
      </c>
      <c r="I2246" s="92">
        <f t="shared" si="106"/>
        <v>0</v>
      </c>
      <c r="J2246" s="16">
        <f t="shared" si="105"/>
        <v>0</v>
      </c>
      <c r="M2246" s="19"/>
      <c r="N2246" s="19"/>
      <c r="O2246" s="19"/>
      <c r="P2246" s="19"/>
    </row>
    <row r="2247" spans="1:17" x14ac:dyDescent="0.25">
      <c r="A2247" s="15">
        <v>3506</v>
      </c>
      <c r="B2247" s="15">
        <v>2017</v>
      </c>
      <c r="C2247" s="1" t="s">
        <v>19</v>
      </c>
      <c r="D2247" s="1" t="s">
        <v>219</v>
      </c>
      <c r="E2247" s="15" t="s">
        <v>125</v>
      </c>
      <c r="F2247" s="1" t="s">
        <v>30</v>
      </c>
      <c r="G2247" s="106">
        <v>2323.34</v>
      </c>
      <c r="H2247" s="92">
        <v>0</v>
      </c>
      <c r="I2247" s="92">
        <f t="shared" si="106"/>
        <v>0</v>
      </c>
      <c r="J2247" s="16">
        <f t="shared" si="105"/>
        <v>0</v>
      </c>
      <c r="M2247" s="19"/>
      <c r="N2247" s="19"/>
      <c r="O2247" s="19"/>
      <c r="P2247" s="19"/>
    </row>
    <row r="2248" spans="1:17" x14ac:dyDescent="0.25">
      <c r="A2248" s="15">
        <v>3507</v>
      </c>
      <c r="B2248" s="15">
        <v>2017</v>
      </c>
      <c r="C2248" s="1" t="s">
        <v>32</v>
      </c>
      <c r="D2248" s="1" t="s">
        <v>219</v>
      </c>
      <c r="E2248" s="15" t="s">
        <v>125</v>
      </c>
      <c r="F2248" s="1" t="s">
        <v>205</v>
      </c>
      <c r="G2248" s="106">
        <v>128751.664</v>
      </c>
      <c r="H2248" s="92">
        <v>0</v>
      </c>
      <c r="I2248" s="92">
        <f t="shared" si="106"/>
        <v>0</v>
      </c>
      <c r="J2248" s="16">
        <f t="shared" si="105"/>
        <v>0</v>
      </c>
      <c r="M2248" s="19"/>
      <c r="N2248" s="19"/>
      <c r="O2248" s="19"/>
      <c r="P2248" s="19"/>
    </row>
    <row r="2249" spans="1:17" x14ac:dyDescent="0.25">
      <c r="A2249" s="15">
        <v>3508</v>
      </c>
      <c r="B2249" s="15">
        <v>2017</v>
      </c>
      <c r="C2249" s="1" t="s">
        <v>32</v>
      </c>
      <c r="D2249" s="1" t="s">
        <v>219</v>
      </c>
      <c r="E2249" s="15" t="s">
        <v>125</v>
      </c>
      <c r="F2249" s="1" t="s">
        <v>237</v>
      </c>
      <c r="G2249" s="106">
        <v>36228.803999999996</v>
      </c>
      <c r="H2249" s="92">
        <v>0</v>
      </c>
      <c r="I2249" s="92">
        <f t="shared" si="106"/>
        <v>0</v>
      </c>
      <c r="J2249" s="16">
        <f t="shared" si="105"/>
        <v>0</v>
      </c>
      <c r="M2249" s="19"/>
      <c r="N2249" s="19"/>
      <c r="O2249" s="19"/>
      <c r="P2249" s="19"/>
    </row>
    <row r="2250" spans="1:17" x14ac:dyDescent="0.25">
      <c r="A2250" s="15">
        <v>3509</v>
      </c>
      <c r="B2250" s="15">
        <v>2017</v>
      </c>
      <c r="C2250" s="1" t="s">
        <v>32</v>
      </c>
      <c r="D2250" s="1" t="s">
        <v>219</v>
      </c>
      <c r="E2250" s="15" t="s">
        <v>125</v>
      </c>
      <c r="F2250" s="1" t="s">
        <v>352</v>
      </c>
      <c r="G2250" s="106">
        <v>81.850999999999999</v>
      </c>
      <c r="H2250" s="92">
        <v>0</v>
      </c>
      <c r="I2250" s="92">
        <f t="shared" si="106"/>
        <v>0</v>
      </c>
      <c r="J2250" s="16">
        <f t="shared" si="105"/>
        <v>0</v>
      </c>
      <c r="M2250" s="19"/>
      <c r="N2250" s="19"/>
      <c r="O2250" s="19"/>
      <c r="P2250" s="19"/>
    </row>
    <row r="2251" spans="1:17" x14ac:dyDescent="0.25">
      <c r="A2251" s="15">
        <v>3510</v>
      </c>
      <c r="B2251" s="15">
        <v>2017</v>
      </c>
      <c r="C2251" s="1" t="s">
        <v>32</v>
      </c>
      <c r="D2251" s="1" t="s">
        <v>219</v>
      </c>
      <c r="E2251" s="15" t="s">
        <v>125</v>
      </c>
      <c r="F2251" s="1" t="s">
        <v>34</v>
      </c>
      <c r="G2251" s="106">
        <v>42816.692999999999</v>
      </c>
      <c r="H2251" s="92">
        <v>0</v>
      </c>
      <c r="I2251" s="92">
        <f t="shared" si="106"/>
        <v>0</v>
      </c>
      <c r="J2251" s="16">
        <f t="shared" si="105"/>
        <v>0</v>
      </c>
      <c r="M2251" s="19"/>
      <c r="N2251" s="19"/>
      <c r="O2251" s="19"/>
      <c r="P2251" s="19"/>
    </row>
    <row r="2252" spans="1:17" x14ac:dyDescent="0.25">
      <c r="A2252" s="15">
        <v>3511</v>
      </c>
      <c r="B2252" s="15">
        <v>2017</v>
      </c>
      <c r="C2252" s="1" t="s">
        <v>32</v>
      </c>
      <c r="D2252" s="1" t="s">
        <v>219</v>
      </c>
      <c r="E2252" s="15" t="s">
        <v>125</v>
      </c>
      <c r="F2252" s="1" t="s">
        <v>196</v>
      </c>
      <c r="G2252" s="106">
        <v>309.72000000000003</v>
      </c>
      <c r="H2252" s="92">
        <v>0</v>
      </c>
      <c r="I2252" s="92">
        <f t="shared" si="106"/>
        <v>0</v>
      </c>
      <c r="J2252" s="16">
        <f t="shared" si="105"/>
        <v>0</v>
      </c>
      <c r="M2252" s="19"/>
      <c r="N2252" s="19"/>
      <c r="O2252" s="19"/>
      <c r="P2252" s="19"/>
    </row>
    <row r="2253" spans="1:17" x14ac:dyDescent="0.25">
      <c r="A2253" s="15">
        <v>3512</v>
      </c>
      <c r="B2253" s="15">
        <v>2017</v>
      </c>
      <c r="C2253" s="1" t="s">
        <v>32</v>
      </c>
      <c r="D2253" s="1" t="s">
        <v>219</v>
      </c>
      <c r="E2253" s="15" t="s">
        <v>125</v>
      </c>
      <c r="F2253" s="1" t="s">
        <v>35</v>
      </c>
      <c r="G2253" s="106">
        <v>21012.012999999999</v>
      </c>
      <c r="H2253" s="92">
        <v>0</v>
      </c>
      <c r="I2253" s="92">
        <f t="shared" si="106"/>
        <v>0</v>
      </c>
      <c r="J2253" s="16">
        <f t="shared" si="105"/>
        <v>0</v>
      </c>
      <c r="M2253" s="19"/>
      <c r="N2253" s="19"/>
      <c r="O2253" s="19"/>
      <c r="P2253" s="19"/>
    </row>
    <row r="2254" spans="1:17" x14ac:dyDescent="0.25">
      <c r="A2254" s="15">
        <v>3513</v>
      </c>
      <c r="B2254" s="15">
        <v>2017</v>
      </c>
      <c r="C2254" s="1" t="s">
        <v>32</v>
      </c>
      <c r="D2254" s="1" t="s">
        <v>219</v>
      </c>
      <c r="E2254" s="15" t="s">
        <v>125</v>
      </c>
      <c r="F2254" s="1" t="s">
        <v>40</v>
      </c>
      <c r="G2254" s="106">
        <v>985.77700000000004</v>
      </c>
      <c r="H2254" s="92">
        <v>0</v>
      </c>
      <c r="I2254" s="92">
        <f t="shared" si="106"/>
        <v>0</v>
      </c>
      <c r="J2254" s="16">
        <f t="shared" si="105"/>
        <v>0</v>
      </c>
      <c r="M2254" s="19"/>
      <c r="N2254" s="19"/>
      <c r="O2254" s="19"/>
      <c r="P2254" s="19"/>
    </row>
    <row r="2255" spans="1:17" x14ac:dyDescent="0.25">
      <c r="A2255" s="15">
        <v>3514</v>
      </c>
      <c r="B2255" s="15">
        <v>2017</v>
      </c>
      <c r="C2255" s="1" t="s">
        <v>32</v>
      </c>
      <c r="D2255" s="1" t="s">
        <v>219</v>
      </c>
      <c r="E2255" s="15" t="s">
        <v>125</v>
      </c>
      <c r="F2255" s="1" t="s">
        <v>42</v>
      </c>
      <c r="G2255" s="106">
        <v>77848.698999999993</v>
      </c>
      <c r="H2255" s="92">
        <v>0</v>
      </c>
      <c r="I2255" s="92">
        <f t="shared" si="106"/>
        <v>0</v>
      </c>
      <c r="J2255" s="16">
        <f t="shared" si="105"/>
        <v>0</v>
      </c>
      <c r="M2255" s="19"/>
      <c r="N2255" s="19"/>
      <c r="O2255" s="19"/>
      <c r="P2255" s="19"/>
    </row>
    <row r="2256" spans="1:17" x14ac:dyDescent="0.25">
      <c r="A2256" s="15">
        <v>3515</v>
      </c>
      <c r="B2256" s="15">
        <v>2017</v>
      </c>
      <c r="C2256" s="1" t="s">
        <v>32</v>
      </c>
      <c r="D2256" s="1" t="s">
        <v>219</v>
      </c>
      <c r="E2256" s="15" t="s">
        <v>125</v>
      </c>
      <c r="F2256" s="1" t="s">
        <v>43</v>
      </c>
      <c r="G2256" s="106">
        <v>13647.43</v>
      </c>
      <c r="H2256" s="92">
        <v>0</v>
      </c>
      <c r="I2256" s="92">
        <f t="shared" si="106"/>
        <v>0</v>
      </c>
      <c r="J2256" s="16">
        <f t="shared" si="105"/>
        <v>0</v>
      </c>
      <c r="M2256" s="19"/>
      <c r="N2256" s="19"/>
      <c r="O2256" s="19"/>
      <c r="P2256" s="19"/>
    </row>
    <row r="2257" spans="1:16" x14ac:dyDescent="0.25">
      <c r="A2257" s="15"/>
      <c r="B2257" s="15">
        <v>2017</v>
      </c>
      <c r="C2257" s="1" t="s">
        <v>417</v>
      </c>
      <c r="D2257" s="1" t="s">
        <v>216</v>
      </c>
      <c r="E2257" s="15" t="s">
        <v>217</v>
      </c>
      <c r="F2257" s="140" t="s">
        <v>47</v>
      </c>
      <c r="G2257" s="106">
        <v>55283</v>
      </c>
      <c r="H2257" s="142">
        <f>IF(G2257&gt;0,'Emission Rates Net-by-Count'!$D$15,'Emission Rates Net-by-Count'!$E$15)</f>
        <v>1004</v>
      </c>
      <c r="I2257" s="92">
        <f t="shared" ref="I2257" si="107">(H2257*G2257)/2000</f>
        <v>27752.065999999999</v>
      </c>
      <c r="J2257" s="16">
        <f t="shared" ref="J2257" si="108">(G2257*H2257)/2204.623</f>
        <v>25176.246460279148</v>
      </c>
      <c r="M2257" s="19"/>
      <c r="N2257" s="19"/>
      <c r="O2257" s="19"/>
      <c r="P2257" s="19"/>
    </row>
    <row r="2258" spans="1:16" x14ac:dyDescent="0.25">
      <c r="A2258" s="15"/>
      <c r="B2258" s="15">
        <v>2017</v>
      </c>
      <c r="C2258" s="1" t="s">
        <v>417</v>
      </c>
      <c r="D2258" s="1" t="s">
        <v>216</v>
      </c>
      <c r="E2258" s="15" t="s">
        <v>217</v>
      </c>
      <c r="F2258" s="140" t="s">
        <v>207</v>
      </c>
      <c r="G2258" s="106">
        <v>21064.639999999999</v>
      </c>
      <c r="H2258" s="142">
        <f>IF(G2258&gt;0,'Emission Rates Net-by-Count'!$D$15,'Emission Rates Net-by-Count'!$E$15)</f>
        <v>1004</v>
      </c>
      <c r="I2258" s="92">
        <f t="shared" ref="I2258:I2321" si="109">(H2258*G2258)/2000</f>
        <v>10574.449279999999</v>
      </c>
      <c r="J2258" s="16">
        <f t="shared" ref="J2258:J2321" si="110">(G2258*H2258)/2204.623</f>
        <v>9592.9773752700567</v>
      </c>
      <c r="M2258" s="19"/>
      <c r="N2258" s="19"/>
      <c r="O2258" s="19"/>
      <c r="P2258" s="19"/>
    </row>
    <row r="2259" spans="1:16" x14ac:dyDescent="0.25">
      <c r="A2259" s="15"/>
      <c r="B2259" s="15">
        <v>2017</v>
      </c>
      <c r="C2259" s="1" t="s">
        <v>417</v>
      </c>
      <c r="D2259" s="1" t="s">
        <v>216</v>
      </c>
      <c r="E2259" s="15" t="s">
        <v>217</v>
      </c>
      <c r="F2259" s="140" t="s">
        <v>50</v>
      </c>
      <c r="G2259" s="106">
        <v>-2600</v>
      </c>
      <c r="H2259" s="142">
        <f>IF(G2259&gt;0,'Emission Rates Net-by-Count'!$D$15,'Emission Rates Net-by-Count'!$E$15)</f>
        <v>1092.2703265173072</v>
      </c>
      <c r="I2259" s="92">
        <f t="shared" si="109"/>
        <v>-1419.9514244724994</v>
      </c>
      <c r="J2259" s="16">
        <f t="shared" si="110"/>
        <v>-1288.1580428694606</v>
      </c>
      <c r="M2259" s="19"/>
      <c r="N2259" s="19"/>
      <c r="O2259" s="19"/>
      <c r="P2259" s="19"/>
    </row>
    <row r="2260" spans="1:16" x14ac:dyDescent="0.25">
      <c r="A2260" s="15"/>
      <c r="B2260" s="15">
        <v>2017</v>
      </c>
      <c r="C2260" s="1" t="s">
        <v>417</v>
      </c>
      <c r="D2260" s="1" t="s">
        <v>216</v>
      </c>
      <c r="E2260" s="15" t="s">
        <v>217</v>
      </c>
      <c r="F2260" s="140" t="s">
        <v>52</v>
      </c>
      <c r="G2260" s="106">
        <v>217861</v>
      </c>
      <c r="H2260" s="142">
        <f>IF(G2260&gt;0,'Emission Rates Net-by-Count'!$D$15,'Emission Rates Net-by-Count'!$E$15)</f>
        <v>1004</v>
      </c>
      <c r="I2260" s="92">
        <f t="shared" si="109"/>
        <v>109366.22199999999</v>
      </c>
      <c r="J2260" s="16">
        <f t="shared" si="110"/>
        <v>99215.350651789442</v>
      </c>
      <c r="M2260" s="19"/>
      <c r="N2260" s="19"/>
      <c r="O2260" s="19"/>
      <c r="P2260" s="19"/>
    </row>
    <row r="2261" spans="1:16" x14ac:dyDescent="0.25">
      <c r="A2261" s="15"/>
      <c r="B2261" s="15">
        <v>2017</v>
      </c>
      <c r="C2261" s="1" t="s">
        <v>417</v>
      </c>
      <c r="D2261" s="1" t="s">
        <v>216</v>
      </c>
      <c r="E2261" s="15" t="s">
        <v>217</v>
      </c>
      <c r="F2261" s="140" t="s">
        <v>21</v>
      </c>
      <c r="G2261" s="106">
        <v>98054</v>
      </c>
      <c r="H2261" s="142">
        <f>IF(G2261&gt;0,'Emission Rates Net-by-Count'!$D$15,'Emission Rates Net-by-Count'!$E$15)</f>
        <v>1004</v>
      </c>
      <c r="I2261" s="92">
        <f t="shared" si="109"/>
        <v>49223.108</v>
      </c>
      <c r="J2261" s="16">
        <f t="shared" si="110"/>
        <v>44654.444773550851</v>
      </c>
      <c r="M2261" s="19"/>
      <c r="N2261" s="19"/>
      <c r="O2261" s="19"/>
      <c r="P2261" s="19"/>
    </row>
    <row r="2262" spans="1:16" x14ac:dyDescent="0.25">
      <c r="A2262" s="15"/>
      <c r="B2262" s="15">
        <v>2017</v>
      </c>
      <c r="C2262" s="1" t="s">
        <v>417</v>
      </c>
      <c r="D2262" s="1" t="s">
        <v>216</v>
      </c>
      <c r="E2262" s="15" t="s">
        <v>217</v>
      </c>
      <c r="F2262" s="140" t="s">
        <v>159</v>
      </c>
      <c r="G2262" s="106">
        <v>22036.59</v>
      </c>
      <c r="H2262" s="142">
        <f>IF(G2262&gt;0,'Emission Rates Net-by-Count'!$D$15,'Emission Rates Net-by-Count'!$E$15)</f>
        <v>1004</v>
      </c>
      <c r="I2262" s="92">
        <f t="shared" si="109"/>
        <v>11062.368179999999</v>
      </c>
      <c r="J2262" s="16">
        <f t="shared" si="110"/>
        <v>10035.609879784435</v>
      </c>
      <c r="M2262" s="19"/>
      <c r="N2262" s="19"/>
      <c r="O2262" s="19"/>
      <c r="P2262" s="19"/>
    </row>
    <row r="2263" spans="1:16" x14ac:dyDescent="0.25">
      <c r="A2263" s="15"/>
      <c r="B2263" s="15">
        <v>2017</v>
      </c>
      <c r="C2263" s="1" t="s">
        <v>417</v>
      </c>
      <c r="D2263" s="1" t="s">
        <v>216</v>
      </c>
      <c r="E2263" s="15" t="s">
        <v>217</v>
      </c>
      <c r="F2263" s="140" t="s">
        <v>115</v>
      </c>
      <c r="G2263" s="106">
        <v>159</v>
      </c>
      <c r="H2263" s="142">
        <f>IF(G2263&gt;0,'Emission Rates Net-by-Count'!$D$15,'Emission Rates Net-by-Count'!$E$15)</f>
        <v>1004</v>
      </c>
      <c r="I2263" s="92">
        <f t="shared" si="109"/>
        <v>79.817999999999998</v>
      </c>
      <c r="J2263" s="16">
        <f t="shared" si="110"/>
        <v>72.409659157143878</v>
      </c>
      <c r="M2263" s="19"/>
      <c r="N2263" s="19"/>
      <c r="O2263" s="19"/>
      <c r="P2263" s="19"/>
    </row>
    <row r="2264" spans="1:16" x14ac:dyDescent="0.25">
      <c r="A2264" s="15"/>
      <c r="B2264" s="15">
        <v>2017</v>
      </c>
      <c r="C2264" s="1" t="s">
        <v>417</v>
      </c>
      <c r="D2264" s="1" t="s">
        <v>216</v>
      </c>
      <c r="E2264" s="15" t="s">
        <v>217</v>
      </c>
      <c r="F2264" s="140" t="s">
        <v>116</v>
      </c>
      <c r="G2264" s="106">
        <v>86309</v>
      </c>
      <c r="H2264" s="142">
        <f>IF(G2264&gt;0,'Emission Rates Net-by-Count'!$D$15,'Emission Rates Net-by-Count'!$E$15)</f>
        <v>1004</v>
      </c>
      <c r="I2264" s="92">
        <f t="shared" si="109"/>
        <v>43327.118000000002</v>
      </c>
      <c r="J2264" s="16">
        <f t="shared" si="110"/>
        <v>39305.693535810882</v>
      </c>
      <c r="M2264" s="19"/>
      <c r="N2264" s="19"/>
      <c r="O2264" s="19"/>
      <c r="P2264" s="19"/>
    </row>
    <row r="2265" spans="1:16" x14ac:dyDescent="0.25">
      <c r="A2265" s="15"/>
      <c r="B2265" s="15">
        <v>2017</v>
      </c>
      <c r="C2265" s="1" t="s">
        <v>417</v>
      </c>
      <c r="D2265" s="1" t="s">
        <v>216</v>
      </c>
      <c r="E2265" s="15" t="s">
        <v>217</v>
      </c>
      <c r="F2265" s="140" t="s">
        <v>117</v>
      </c>
      <c r="G2265" s="106">
        <v>17365</v>
      </c>
      <c r="H2265" s="142">
        <f>IF(G2265&gt;0,'Emission Rates Net-by-Count'!$D$15,'Emission Rates Net-by-Count'!$E$15)</f>
        <v>1004</v>
      </c>
      <c r="I2265" s="92">
        <f t="shared" si="109"/>
        <v>8717.23</v>
      </c>
      <c r="J2265" s="16">
        <f t="shared" si="110"/>
        <v>7908.1366746151152</v>
      </c>
      <c r="M2265" s="19"/>
      <c r="N2265" s="19"/>
      <c r="O2265" s="19"/>
      <c r="P2265" s="19"/>
    </row>
    <row r="2266" spans="1:16" x14ac:dyDescent="0.25">
      <c r="A2266" s="15"/>
      <c r="B2266" s="15">
        <v>2017</v>
      </c>
      <c r="C2266" s="1" t="s">
        <v>417</v>
      </c>
      <c r="D2266" s="1" t="s">
        <v>216</v>
      </c>
      <c r="E2266" s="15" t="s">
        <v>217</v>
      </c>
      <c r="F2266" s="140" t="s">
        <v>118</v>
      </c>
      <c r="G2266" s="106">
        <v>38848.949999999997</v>
      </c>
      <c r="H2266" s="142">
        <f>IF(G2266&gt;0,'Emission Rates Net-by-Count'!$D$15,'Emission Rates Net-by-Count'!$E$15)</f>
        <v>1004</v>
      </c>
      <c r="I2266" s="92">
        <f t="shared" si="109"/>
        <v>19502.172899999998</v>
      </c>
      <c r="J2266" s="16">
        <f t="shared" si="110"/>
        <v>17692.070617062418</v>
      </c>
      <c r="M2266" s="19"/>
      <c r="N2266" s="19"/>
      <c r="O2266" s="19"/>
      <c r="P2266" s="19"/>
    </row>
    <row r="2267" spans="1:16" x14ac:dyDescent="0.25">
      <c r="A2267" s="15"/>
      <c r="B2267" s="15">
        <v>2017</v>
      </c>
      <c r="C2267" s="1" t="s">
        <v>417</v>
      </c>
      <c r="D2267" s="1" t="s">
        <v>216</v>
      </c>
      <c r="E2267" s="15" t="s">
        <v>217</v>
      </c>
      <c r="F2267" s="140" t="s">
        <v>119</v>
      </c>
      <c r="G2267" s="106">
        <v>8707</v>
      </c>
      <c r="H2267" s="142">
        <f>IF(G2267&gt;0,'Emission Rates Net-by-Count'!$D$15,'Emission Rates Net-by-Count'!$E$15)</f>
        <v>1004</v>
      </c>
      <c r="I2267" s="92">
        <f t="shared" si="109"/>
        <v>4370.9139999999998</v>
      </c>
      <c r="J2267" s="16">
        <f t="shared" si="110"/>
        <v>3965.225800511017</v>
      </c>
      <c r="M2267" s="19"/>
      <c r="N2267" s="19"/>
      <c r="O2267" s="19"/>
      <c r="P2267" s="19"/>
    </row>
    <row r="2268" spans="1:16" x14ac:dyDescent="0.25">
      <c r="A2268" s="15"/>
      <c r="B2268" s="15">
        <v>2017</v>
      </c>
      <c r="C2268" s="1" t="s">
        <v>417</v>
      </c>
      <c r="D2268" s="1" t="s">
        <v>216</v>
      </c>
      <c r="E2268" s="15" t="s">
        <v>217</v>
      </c>
      <c r="F2268" s="140" t="s">
        <v>143</v>
      </c>
      <c r="G2268" s="106">
        <v>409</v>
      </c>
      <c r="H2268" s="142">
        <f>IF(G2268&gt;0,'Emission Rates Net-by-Count'!$D$15,'Emission Rates Net-by-Count'!$E$15)</f>
        <v>1004</v>
      </c>
      <c r="I2268" s="92">
        <f t="shared" si="109"/>
        <v>205.31800000000001</v>
      </c>
      <c r="J2268" s="16">
        <f t="shared" si="110"/>
        <v>186.26132449856505</v>
      </c>
      <c r="M2268" s="19"/>
      <c r="N2268" s="19"/>
      <c r="O2268" s="19"/>
      <c r="P2268" s="19"/>
    </row>
    <row r="2269" spans="1:16" x14ac:dyDescent="0.25">
      <c r="A2269" s="15"/>
      <c r="B2269" s="15">
        <v>2017</v>
      </c>
      <c r="C2269" s="1" t="s">
        <v>417</v>
      </c>
      <c r="D2269" s="1" t="s">
        <v>216</v>
      </c>
      <c r="E2269" s="15" t="s">
        <v>217</v>
      </c>
      <c r="F2269" s="140" t="s">
        <v>240</v>
      </c>
      <c r="G2269" s="106">
        <v>33124.885999999999</v>
      </c>
      <c r="H2269" s="142">
        <f>IF(G2269&gt;0,'Emission Rates Net-by-Count'!$D$15,'Emission Rates Net-by-Count'!$E$15)</f>
        <v>1004</v>
      </c>
      <c r="I2269" s="92">
        <f t="shared" si="109"/>
        <v>16628.692771999999</v>
      </c>
      <c r="J2269" s="16">
        <f t="shared" si="110"/>
        <v>15085.293741378911</v>
      </c>
      <c r="M2269" s="19"/>
      <c r="N2269" s="19"/>
      <c r="O2269" s="19"/>
      <c r="P2269" s="19"/>
    </row>
    <row r="2270" spans="1:16" x14ac:dyDescent="0.25">
      <c r="A2270" s="15"/>
      <c r="B2270" s="15">
        <v>2017</v>
      </c>
      <c r="C2270" s="1" t="s">
        <v>417</v>
      </c>
      <c r="D2270" s="1" t="s">
        <v>216</v>
      </c>
      <c r="E2270" s="15" t="s">
        <v>217</v>
      </c>
      <c r="F2270" s="140" t="s">
        <v>295</v>
      </c>
      <c r="G2270" s="106">
        <v>-8712.773000000001</v>
      </c>
      <c r="H2270" s="142">
        <f>IF(G2270&gt;0,'Emission Rates Net-by-Count'!$D$15,'Emission Rates Net-by-Count'!$E$15)</f>
        <v>1092.2703265173072</v>
      </c>
      <c r="I2270" s="92">
        <f t="shared" si="109"/>
        <v>-4758.3517047905898</v>
      </c>
      <c r="J2270" s="16">
        <f t="shared" si="110"/>
        <v>-4316.7033137099534</v>
      </c>
      <c r="M2270" s="19"/>
      <c r="N2270" s="19"/>
      <c r="O2270" s="19"/>
      <c r="P2270" s="19"/>
    </row>
    <row r="2271" spans="1:16" x14ac:dyDescent="0.25">
      <c r="A2271" s="15"/>
      <c r="B2271" s="15">
        <v>2017</v>
      </c>
      <c r="C2271" s="1" t="s">
        <v>417</v>
      </c>
      <c r="D2271" s="1" t="s">
        <v>216</v>
      </c>
      <c r="E2271" s="15" t="s">
        <v>217</v>
      </c>
      <c r="F2271" s="140" t="s">
        <v>201</v>
      </c>
      <c r="G2271" s="106">
        <v>23659</v>
      </c>
      <c r="H2271" s="142">
        <f>IF(G2271&gt;0,'Emission Rates Net-by-Count'!$D$15,'Emission Rates Net-by-Count'!$E$15)</f>
        <v>1004</v>
      </c>
      <c r="I2271" s="92">
        <f t="shared" si="109"/>
        <v>11876.817999999999</v>
      </c>
      <c r="J2271" s="16">
        <f t="shared" si="110"/>
        <v>10774.466201250736</v>
      </c>
      <c r="M2271" s="19"/>
      <c r="N2271" s="19"/>
      <c r="O2271" s="19"/>
      <c r="P2271" s="19"/>
    </row>
    <row r="2272" spans="1:16" x14ac:dyDescent="0.25">
      <c r="A2272" s="15"/>
      <c r="B2272" s="15">
        <v>2017</v>
      </c>
      <c r="C2272" s="1" t="s">
        <v>417</v>
      </c>
      <c r="D2272" s="1" t="s">
        <v>216</v>
      </c>
      <c r="E2272" s="15" t="s">
        <v>217</v>
      </c>
      <c r="F2272" s="140" t="s">
        <v>55</v>
      </c>
      <c r="G2272" s="106">
        <v>-252611</v>
      </c>
      <c r="H2272" s="142">
        <f>IF(G2272&gt;0,'Emission Rates Net-by-Count'!$D$15,'Emission Rates Net-by-Count'!$E$15)</f>
        <v>1092.2703265173072</v>
      </c>
      <c r="I2272" s="92">
        <f t="shared" si="109"/>
        <v>-137959.74972593176</v>
      </c>
      <c r="J2272" s="16">
        <f t="shared" si="110"/>
        <v>-125154.95821819128</v>
      </c>
      <c r="M2272" s="19"/>
      <c r="N2272" s="19"/>
      <c r="O2272" s="19"/>
      <c r="P2272" s="19"/>
    </row>
    <row r="2273" spans="1:16" x14ac:dyDescent="0.25">
      <c r="A2273" s="15"/>
      <c r="B2273" s="15">
        <v>2017</v>
      </c>
      <c r="C2273" s="1" t="s">
        <v>417</v>
      </c>
      <c r="D2273" s="1" t="s">
        <v>216</v>
      </c>
      <c r="E2273" s="15" t="s">
        <v>217</v>
      </c>
      <c r="F2273" s="140" t="s">
        <v>56</v>
      </c>
      <c r="G2273" s="106">
        <v>157955</v>
      </c>
      <c r="H2273" s="142">
        <f>IF(G2273&gt;0,'Emission Rates Net-by-Count'!$D$15,'Emission Rates Net-by-Count'!$E$15)</f>
        <v>1004</v>
      </c>
      <c r="I2273" s="92">
        <f t="shared" si="109"/>
        <v>79293.41</v>
      </c>
      <c r="J2273" s="16">
        <f t="shared" si="110"/>
        <v>71933.759196016734</v>
      </c>
      <c r="M2273" s="19"/>
      <c r="N2273" s="19"/>
      <c r="O2273" s="19"/>
      <c r="P2273" s="19"/>
    </row>
    <row r="2274" spans="1:16" x14ac:dyDescent="0.25">
      <c r="A2274" s="15"/>
      <c r="B2274" s="15">
        <v>2017</v>
      </c>
      <c r="C2274" s="1" t="s">
        <v>417</v>
      </c>
      <c r="D2274" s="1" t="s">
        <v>216</v>
      </c>
      <c r="E2274" s="15" t="s">
        <v>217</v>
      </c>
      <c r="F2274" s="140" t="s">
        <v>57</v>
      </c>
      <c r="G2274" s="106">
        <v>-52667</v>
      </c>
      <c r="H2274" s="142">
        <f>IF(G2274&gt;0,'Emission Rates Net-by-Count'!$D$15,'Emission Rates Net-by-Count'!$E$15)</f>
        <v>1092.2703265173072</v>
      </c>
      <c r="I2274" s="92">
        <f t="shared" si="109"/>
        <v>-28763.300643343511</v>
      </c>
      <c r="J2274" s="16">
        <f t="shared" si="110"/>
        <v>-26093.622939925339</v>
      </c>
      <c r="M2274" s="19"/>
      <c r="N2274" s="19"/>
      <c r="O2274" s="19"/>
      <c r="P2274" s="19"/>
    </row>
    <row r="2275" spans="1:16" x14ac:dyDescent="0.25">
      <c r="A2275" s="15"/>
      <c r="B2275" s="15">
        <v>2017</v>
      </c>
      <c r="C2275" s="1" t="s">
        <v>417</v>
      </c>
      <c r="D2275" s="1" t="s">
        <v>216</v>
      </c>
      <c r="E2275" s="15" t="s">
        <v>217</v>
      </c>
      <c r="F2275" s="140" t="s">
        <v>58</v>
      </c>
      <c r="G2275" s="106">
        <v>312832</v>
      </c>
      <c r="H2275" s="142">
        <f>IF(G2275&gt;0,'Emission Rates Net-by-Count'!$D$15,'Emission Rates Net-by-Count'!$E$15)</f>
        <v>1004</v>
      </c>
      <c r="I2275" s="92">
        <f t="shared" si="109"/>
        <v>157041.66399999999</v>
      </c>
      <c r="J2275" s="16">
        <f t="shared" si="110"/>
        <v>142465.7766883499</v>
      </c>
      <c r="M2275" s="19"/>
      <c r="N2275" s="19"/>
      <c r="O2275" s="19"/>
      <c r="P2275" s="19"/>
    </row>
    <row r="2276" spans="1:16" x14ac:dyDescent="0.25">
      <c r="A2276" s="15"/>
      <c r="B2276" s="15">
        <v>2017</v>
      </c>
      <c r="C2276" s="1" t="s">
        <v>417</v>
      </c>
      <c r="D2276" s="1" t="s">
        <v>216</v>
      </c>
      <c r="E2276" s="15" t="s">
        <v>217</v>
      </c>
      <c r="F2276" s="140" t="s">
        <v>182</v>
      </c>
      <c r="G2276" s="106">
        <v>-2830</v>
      </c>
      <c r="H2276" s="142">
        <f>IF(G2276&gt;0,'Emission Rates Net-by-Count'!$D$15,'Emission Rates Net-by-Count'!$E$15)</f>
        <v>1092.2703265173072</v>
      </c>
      <c r="I2276" s="92">
        <f t="shared" si="109"/>
        <v>-1545.5625120219897</v>
      </c>
      <c r="J2276" s="16">
        <f t="shared" si="110"/>
        <v>-1402.1104851232976</v>
      </c>
      <c r="M2276" s="19"/>
      <c r="N2276" s="19"/>
      <c r="O2276" s="19"/>
      <c r="P2276" s="19"/>
    </row>
    <row r="2277" spans="1:16" x14ac:dyDescent="0.25">
      <c r="A2277" s="15"/>
      <c r="B2277" s="15">
        <v>2017</v>
      </c>
      <c r="C2277" s="1" t="s">
        <v>417</v>
      </c>
      <c r="D2277" s="1" t="s">
        <v>216</v>
      </c>
      <c r="E2277" s="15" t="s">
        <v>217</v>
      </c>
      <c r="F2277" s="140" t="s">
        <v>59</v>
      </c>
      <c r="G2277" s="106">
        <v>-7310</v>
      </c>
      <c r="H2277" s="142">
        <f>IF(G2277&gt;0,'Emission Rates Net-by-Count'!$D$15,'Emission Rates Net-by-Count'!$E$15)</f>
        <v>1092.2703265173072</v>
      </c>
      <c r="I2277" s="92">
        <f t="shared" si="109"/>
        <v>-3992.2480434207582</v>
      </c>
      <c r="J2277" s="16">
        <f t="shared" si="110"/>
        <v>-3621.7058820675988</v>
      </c>
      <c r="M2277" s="19"/>
      <c r="N2277" s="19"/>
      <c r="O2277" s="19"/>
      <c r="P2277" s="19"/>
    </row>
    <row r="2278" spans="1:16" x14ac:dyDescent="0.25">
      <c r="A2278" s="15"/>
      <c r="B2278" s="15">
        <v>2017</v>
      </c>
      <c r="C2278" s="1" t="s">
        <v>417</v>
      </c>
      <c r="D2278" s="1" t="s">
        <v>216</v>
      </c>
      <c r="E2278" s="15" t="s">
        <v>217</v>
      </c>
      <c r="F2278" s="140" t="s">
        <v>296</v>
      </c>
      <c r="G2278" s="230">
        <v>105630.905</v>
      </c>
      <c r="H2278" s="231">
        <f>IF(G2278&gt;0,'Emission Rates Net-by-Count'!$D$15,0)</f>
        <v>1004</v>
      </c>
      <c r="I2278" s="92">
        <f t="shared" si="109"/>
        <v>53026.714310000003</v>
      </c>
      <c r="J2278" s="16">
        <f t="shared" si="110"/>
        <v>48105.017783085816</v>
      </c>
      <c r="M2278" s="19"/>
      <c r="N2278" s="19"/>
      <c r="O2278" s="19"/>
      <c r="P2278" s="19"/>
    </row>
    <row r="2279" spans="1:16" x14ac:dyDescent="0.25">
      <c r="A2279" s="15"/>
      <c r="B2279" s="15">
        <v>2017</v>
      </c>
      <c r="C2279" s="1" t="s">
        <v>417</v>
      </c>
      <c r="D2279" s="1" t="s">
        <v>216</v>
      </c>
      <c r="E2279" s="15" t="s">
        <v>217</v>
      </c>
      <c r="F2279" s="140" t="s">
        <v>60</v>
      </c>
      <c r="G2279" s="106">
        <v>-8000</v>
      </c>
      <c r="H2279" s="142">
        <f>IF(G2279&gt;0,'Emission Rates Net-by-Count'!$D$15,'Emission Rates Net-by-Count'!$E$15)</f>
        <v>1092.2703265173072</v>
      </c>
      <c r="I2279" s="92">
        <f t="shared" si="109"/>
        <v>-4369.081306069229</v>
      </c>
      <c r="J2279" s="16">
        <f t="shared" si="110"/>
        <v>-3963.5632088291095</v>
      </c>
      <c r="M2279" s="19"/>
      <c r="N2279" s="19"/>
      <c r="O2279" s="19"/>
      <c r="P2279" s="19"/>
    </row>
    <row r="2280" spans="1:16" x14ac:dyDescent="0.25">
      <c r="A2280" s="15"/>
      <c r="B2280" s="15">
        <v>2017</v>
      </c>
      <c r="C2280" s="1" t="s">
        <v>417</v>
      </c>
      <c r="D2280" s="1" t="s">
        <v>216</v>
      </c>
      <c r="E2280" s="15" t="s">
        <v>217</v>
      </c>
      <c r="F2280" s="140" t="s">
        <v>114</v>
      </c>
      <c r="G2280" s="106">
        <v>-25311.027999999998</v>
      </c>
      <c r="H2280" s="142">
        <f>IF(G2280&gt;0,'Emission Rates Net-by-Count'!$D$15,'Emission Rates Net-by-Count'!$E$15)</f>
        <v>1092.2703265173072</v>
      </c>
      <c r="I2280" s="92">
        <f t="shared" si="109"/>
        <v>-13823.242409024353</v>
      </c>
      <c r="J2280" s="16">
        <f t="shared" si="110"/>
        <v>-12540.232419805428</v>
      </c>
      <c r="M2280" s="19"/>
      <c r="N2280" s="19"/>
      <c r="O2280" s="19"/>
      <c r="P2280" s="19"/>
    </row>
    <row r="2281" spans="1:16" x14ac:dyDescent="0.25">
      <c r="A2281" s="15"/>
      <c r="B2281" s="15">
        <v>2017</v>
      </c>
      <c r="C2281" s="1" t="s">
        <v>417</v>
      </c>
      <c r="D2281" s="1" t="s">
        <v>216</v>
      </c>
      <c r="E2281" s="15" t="s">
        <v>217</v>
      </c>
      <c r="F2281" s="140" t="s">
        <v>62</v>
      </c>
      <c r="G2281" s="106">
        <v>212117</v>
      </c>
      <c r="H2281" s="142">
        <f>IF(G2281&gt;0,'Emission Rates Net-by-Count'!$D$15,'Emission Rates Net-by-Count'!$E$15)</f>
        <v>1004</v>
      </c>
      <c r="I2281" s="92">
        <f t="shared" si="109"/>
        <v>106482.734</v>
      </c>
      <c r="J2281" s="16">
        <f t="shared" si="110"/>
        <v>96599.494788904951</v>
      </c>
      <c r="M2281" s="19"/>
      <c r="N2281" s="19"/>
      <c r="O2281" s="19"/>
      <c r="P2281" s="19"/>
    </row>
    <row r="2282" spans="1:16" x14ac:dyDescent="0.25">
      <c r="A2282" s="15"/>
      <c r="B2282" s="15">
        <v>2017</v>
      </c>
      <c r="C2282" s="1" t="s">
        <v>417</v>
      </c>
      <c r="D2282" s="1" t="s">
        <v>216</v>
      </c>
      <c r="E2282" s="15" t="s">
        <v>217</v>
      </c>
      <c r="F2282" s="140" t="s">
        <v>25</v>
      </c>
      <c r="G2282" s="106">
        <v>20574.114999999991</v>
      </c>
      <c r="H2282" s="142">
        <f>IF(G2282&gt;0,'Emission Rates Net-by-Count'!$D$15,'Emission Rates Net-by-Count'!$E$15)</f>
        <v>1004</v>
      </c>
      <c r="I2282" s="92">
        <f t="shared" si="109"/>
        <v>10328.205729999994</v>
      </c>
      <c r="J2282" s="16">
        <f t="shared" si="110"/>
        <v>9369.5890227036507</v>
      </c>
      <c r="M2282" s="19"/>
      <c r="N2282" s="19"/>
      <c r="O2282" s="19"/>
      <c r="P2282" s="19"/>
    </row>
    <row r="2283" spans="1:16" x14ac:dyDescent="0.25">
      <c r="A2283" s="15"/>
      <c r="B2283" s="15">
        <v>2017</v>
      </c>
      <c r="C2283" s="1" t="s">
        <v>417</v>
      </c>
      <c r="D2283" s="1" t="s">
        <v>216</v>
      </c>
      <c r="E2283" s="15" t="s">
        <v>217</v>
      </c>
      <c r="F2283" s="140" t="s">
        <v>165</v>
      </c>
      <c r="G2283" s="106">
        <v>475784</v>
      </c>
      <c r="H2283" s="142">
        <f>IF(G2283&gt;0,'Emission Rates Net-by-Count'!$D$15,'Emission Rates Net-by-Count'!$E$15)</f>
        <v>1004</v>
      </c>
      <c r="I2283" s="92">
        <f t="shared" si="109"/>
        <v>238843.568</v>
      </c>
      <c r="J2283" s="16">
        <f t="shared" si="110"/>
        <v>216675.20297121094</v>
      </c>
      <c r="M2283" s="19"/>
      <c r="N2283" s="19"/>
      <c r="O2283" s="19"/>
      <c r="P2283" s="19"/>
    </row>
    <row r="2284" spans="1:16" x14ac:dyDescent="0.25">
      <c r="A2284" s="15"/>
      <c r="B2284" s="15">
        <v>2017</v>
      </c>
      <c r="C2284" s="1" t="s">
        <v>417</v>
      </c>
      <c r="D2284" s="1" t="s">
        <v>216</v>
      </c>
      <c r="E2284" s="15" t="s">
        <v>217</v>
      </c>
      <c r="F2284" s="140" t="s">
        <v>10</v>
      </c>
      <c r="G2284" s="230">
        <v>1723.08</v>
      </c>
      <c r="H2284" s="231">
        <f>IF(G2284&gt;0,'Emission Rates Net-by-Count'!$D$15,0)</f>
        <v>1004</v>
      </c>
      <c r="I2284" s="92">
        <f t="shared" si="109"/>
        <v>864.98615999999993</v>
      </c>
      <c r="J2284" s="16">
        <f t="shared" si="110"/>
        <v>784.70211006598402</v>
      </c>
      <c r="M2284" s="19"/>
      <c r="N2284" s="19"/>
      <c r="O2284" s="19"/>
      <c r="P2284" s="19"/>
    </row>
    <row r="2285" spans="1:16" x14ac:dyDescent="0.25">
      <c r="A2285" s="15"/>
      <c r="B2285" s="15">
        <v>2017</v>
      </c>
      <c r="C2285" s="1" t="s">
        <v>417</v>
      </c>
      <c r="D2285" s="1" t="s">
        <v>216</v>
      </c>
      <c r="E2285" s="15" t="s">
        <v>217</v>
      </c>
      <c r="F2285" s="140" t="s">
        <v>353</v>
      </c>
      <c r="G2285" s="106">
        <v>60</v>
      </c>
      <c r="H2285" s="142">
        <f>IF(G2285&gt;0,'Emission Rates Net-by-Count'!$D$15,'Emission Rates Net-by-Count'!$E$15)</f>
        <v>1004</v>
      </c>
      <c r="I2285" s="92">
        <f t="shared" si="109"/>
        <v>30.12</v>
      </c>
      <c r="J2285" s="16">
        <f t="shared" si="110"/>
        <v>27.324399681941085</v>
      </c>
      <c r="M2285" s="19"/>
      <c r="N2285" s="19"/>
      <c r="O2285" s="19"/>
      <c r="P2285" s="19"/>
    </row>
    <row r="2286" spans="1:16" x14ac:dyDescent="0.25">
      <c r="A2286" s="15"/>
      <c r="B2286" s="15">
        <v>2017</v>
      </c>
      <c r="C2286" s="1" t="s">
        <v>417</v>
      </c>
      <c r="D2286" s="1" t="s">
        <v>216</v>
      </c>
      <c r="E2286" s="15" t="s">
        <v>217</v>
      </c>
      <c r="F2286" s="140" t="s">
        <v>63</v>
      </c>
      <c r="G2286" s="106">
        <v>-296</v>
      </c>
      <c r="H2286" s="142">
        <f>IF(G2286&gt;0,'Emission Rates Net-by-Count'!$D$15,'Emission Rates Net-by-Count'!$E$15)</f>
        <v>1092.2703265173072</v>
      </c>
      <c r="I2286" s="92">
        <f t="shared" si="109"/>
        <v>-161.65600832456147</v>
      </c>
      <c r="J2286" s="16">
        <f t="shared" si="110"/>
        <v>-146.65183872667706</v>
      </c>
      <c r="M2286" s="19"/>
      <c r="N2286" s="19"/>
      <c r="O2286" s="19"/>
      <c r="P2286" s="19"/>
    </row>
    <row r="2287" spans="1:16" x14ac:dyDescent="0.25">
      <c r="A2287" s="15"/>
      <c r="B2287" s="15">
        <v>2017</v>
      </c>
      <c r="C2287" s="1" t="s">
        <v>417</v>
      </c>
      <c r="D2287" s="1" t="s">
        <v>216</v>
      </c>
      <c r="E2287" s="15" t="s">
        <v>217</v>
      </c>
      <c r="F2287" s="140" t="s">
        <v>65</v>
      </c>
      <c r="G2287" s="106">
        <v>-63712</v>
      </c>
      <c r="H2287" s="142">
        <f>IF(G2287&gt;0,'Emission Rates Net-by-Count'!$D$15,'Emission Rates Net-by-Count'!$E$15)</f>
        <v>1092.2703265173072</v>
      </c>
      <c r="I2287" s="92">
        <f t="shared" si="109"/>
        <v>-34795.363521535335</v>
      </c>
      <c r="J2287" s="16">
        <f t="shared" si="110"/>
        <v>-31565.817395115024</v>
      </c>
      <c r="M2287" s="19"/>
      <c r="N2287" s="19"/>
      <c r="O2287" s="19"/>
      <c r="P2287" s="19"/>
    </row>
    <row r="2288" spans="1:16" x14ac:dyDescent="0.25">
      <c r="A2288" s="15"/>
      <c r="B2288" s="15">
        <v>2017</v>
      </c>
      <c r="C2288" s="1" t="s">
        <v>417</v>
      </c>
      <c r="D2288" s="1" t="s">
        <v>216</v>
      </c>
      <c r="E2288" s="15" t="s">
        <v>217</v>
      </c>
      <c r="F2288" s="140" t="s">
        <v>184</v>
      </c>
      <c r="G2288" s="106">
        <v>149950</v>
      </c>
      <c r="H2288" s="142">
        <f>IF(G2288&gt;0,'Emission Rates Net-by-Count'!$D$15,'Emission Rates Net-by-Count'!$E$15)</f>
        <v>1004</v>
      </c>
      <c r="I2288" s="92">
        <f t="shared" si="109"/>
        <v>75274.899999999994</v>
      </c>
      <c r="J2288" s="16">
        <f t="shared" si="110"/>
        <v>68288.22887178442</v>
      </c>
      <c r="M2288" s="19"/>
      <c r="N2288" s="19"/>
      <c r="O2288" s="19"/>
      <c r="P2288" s="19"/>
    </row>
    <row r="2289" spans="1:16" x14ac:dyDescent="0.25">
      <c r="A2289" s="15"/>
      <c r="B2289" s="15">
        <v>2017</v>
      </c>
      <c r="C2289" s="1" t="s">
        <v>417</v>
      </c>
      <c r="D2289" s="1" t="s">
        <v>216</v>
      </c>
      <c r="E2289" s="15" t="s">
        <v>217</v>
      </c>
      <c r="F2289" s="140" t="s">
        <v>188</v>
      </c>
      <c r="G2289" s="230">
        <v>70220.598999999987</v>
      </c>
      <c r="H2289" s="231">
        <f>IF(G2289&gt;0,'Emission Rates Net-by-Count'!$D$15,0)</f>
        <v>1004</v>
      </c>
      <c r="I2289" s="92">
        <f t="shared" si="109"/>
        <v>35250.740697999994</v>
      </c>
      <c r="J2289" s="16">
        <f t="shared" si="110"/>
        <v>31978.928549688531</v>
      </c>
      <c r="M2289" s="19"/>
      <c r="N2289" s="19"/>
      <c r="O2289" s="19"/>
      <c r="P2289" s="19"/>
    </row>
    <row r="2290" spans="1:16" x14ac:dyDescent="0.25">
      <c r="A2290" s="15"/>
      <c r="B2290" s="15">
        <v>2017</v>
      </c>
      <c r="C2290" s="1" t="s">
        <v>417</v>
      </c>
      <c r="D2290" s="1" t="s">
        <v>216</v>
      </c>
      <c r="E2290" s="15" t="s">
        <v>217</v>
      </c>
      <c r="F2290" s="140" t="s">
        <v>13</v>
      </c>
      <c r="G2290" s="230">
        <v>214.42699999999999</v>
      </c>
      <c r="H2290" s="231">
        <f>IF(G2290&gt;0,'Emission Rates Net-by-Count'!$D$15,0)</f>
        <v>1004</v>
      </c>
      <c r="I2290" s="92">
        <f t="shared" si="109"/>
        <v>107.642354</v>
      </c>
      <c r="J2290" s="16">
        <f t="shared" si="110"/>
        <v>97.651484176659679</v>
      </c>
      <c r="M2290" s="19"/>
      <c r="N2290" s="19"/>
      <c r="O2290" s="19"/>
      <c r="P2290" s="19"/>
    </row>
    <row r="2291" spans="1:16" x14ac:dyDescent="0.25">
      <c r="A2291" s="15"/>
      <c r="B2291" s="15">
        <v>2017</v>
      </c>
      <c r="C2291" s="1" t="s">
        <v>417</v>
      </c>
      <c r="D2291" s="1" t="s">
        <v>216</v>
      </c>
      <c r="E2291" s="15" t="s">
        <v>217</v>
      </c>
      <c r="F2291" s="140" t="s">
        <v>297</v>
      </c>
      <c r="G2291" s="230">
        <v>8211.0470000000023</v>
      </c>
      <c r="H2291" s="231">
        <f>IF(G2291&gt;0,'Emission Rates Net-by-Count'!$D$15,0)</f>
        <v>1004</v>
      </c>
      <c r="I2291" s="92">
        <f t="shared" si="109"/>
        <v>4121.9455940000007</v>
      </c>
      <c r="J2291" s="16">
        <f t="shared" si="110"/>
        <v>3739.3655005867226</v>
      </c>
      <c r="M2291" s="19"/>
      <c r="N2291" s="19"/>
      <c r="O2291" s="19"/>
      <c r="P2291" s="19"/>
    </row>
    <row r="2292" spans="1:16" x14ac:dyDescent="0.25">
      <c r="A2292" s="15"/>
      <c r="B2292" s="15">
        <v>2017</v>
      </c>
      <c r="C2292" s="1" t="s">
        <v>417</v>
      </c>
      <c r="D2292" s="1" t="s">
        <v>216</v>
      </c>
      <c r="E2292" s="15" t="s">
        <v>217</v>
      </c>
      <c r="F2292" s="140" t="s">
        <v>16</v>
      </c>
      <c r="G2292" s="230">
        <v>6813.1130000000003</v>
      </c>
      <c r="H2292" s="231">
        <f>IF(G2292&gt;0,'Emission Rates Net-by-Count'!$D$15,0)</f>
        <v>1004</v>
      </c>
      <c r="I2292" s="92">
        <f t="shared" si="109"/>
        <v>3420.1827260000005</v>
      </c>
      <c r="J2292" s="16">
        <f t="shared" si="110"/>
        <v>3102.7370448371448</v>
      </c>
      <c r="M2292" s="19"/>
      <c r="N2292" s="19"/>
      <c r="O2292" s="19"/>
      <c r="P2292" s="19"/>
    </row>
    <row r="2293" spans="1:16" x14ac:dyDescent="0.25">
      <c r="A2293" s="15"/>
      <c r="B2293" s="15">
        <v>2017</v>
      </c>
      <c r="C2293" s="1" t="s">
        <v>417</v>
      </c>
      <c r="D2293" s="1" t="s">
        <v>216</v>
      </c>
      <c r="E2293" s="15" t="s">
        <v>217</v>
      </c>
      <c r="F2293" s="140" t="s">
        <v>144</v>
      </c>
      <c r="G2293" s="230">
        <v>-40989.185000000005</v>
      </c>
      <c r="H2293" s="231">
        <f>IF(G2293&gt;0,'Emission Rates Net-by-Count'!$D$15,0)</f>
        <v>0</v>
      </c>
      <c r="I2293" s="92">
        <f t="shared" si="109"/>
        <v>0</v>
      </c>
      <c r="J2293" s="16">
        <f t="shared" si="110"/>
        <v>0</v>
      </c>
      <c r="M2293" s="19"/>
      <c r="N2293" s="19"/>
      <c r="O2293" s="19"/>
      <c r="P2293" s="19"/>
    </row>
    <row r="2294" spans="1:16" x14ac:dyDescent="0.25">
      <c r="A2294" s="15"/>
      <c r="B2294" s="15">
        <v>2017</v>
      </c>
      <c r="C2294" s="1" t="s">
        <v>417</v>
      </c>
      <c r="D2294" s="1" t="s">
        <v>216</v>
      </c>
      <c r="E2294" s="15" t="s">
        <v>217</v>
      </c>
      <c r="F2294" s="140" t="s">
        <v>67</v>
      </c>
      <c r="G2294" s="106">
        <v>-4</v>
      </c>
      <c r="H2294" s="142">
        <f>IF(G2294&gt;0,'Emission Rates Net-by-Count'!$D$15,'Emission Rates Net-by-Count'!$E$15)</f>
        <v>1092.2703265173072</v>
      </c>
      <c r="I2294" s="92">
        <f t="shared" si="109"/>
        <v>-2.1845406530346145</v>
      </c>
      <c r="J2294" s="16">
        <f t="shared" si="110"/>
        <v>-1.9817816044145546</v>
      </c>
      <c r="M2294" s="19"/>
      <c r="N2294" s="19"/>
      <c r="O2294" s="19"/>
      <c r="P2294" s="19"/>
    </row>
    <row r="2295" spans="1:16" x14ac:dyDescent="0.25">
      <c r="A2295" s="15"/>
      <c r="B2295" s="15">
        <v>2017</v>
      </c>
      <c r="C2295" s="1" t="s">
        <v>417</v>
      </c>
      <c r="D2295" s="1" t="s">
        <v>216</v>
      </c>
      <c r="E2295" s="15" t="s">
        <v>217</v>
      </c>
      <c r="F2295" s="140" t="s">
        <v>294</v>
      </c>
      <c r="G2295" s="106">
        <v>-202</v>
      </c>
      <c r="H2295" s="142">
        <f>IF(G2295&gt;0,'Emission Rates Net-by-Count'!$D$15,'Emission Rates Net-by-Count'!$E$15)</f>
        <v>1092.2703265173072</v>
      </c>
      <c r="I2295" s="92">
        <f t="shared" si="109"/>
        <v>-110.31930297824803</v>
      </c>
      <c r="J2295" s="16">
        <f t="shared" si="110"/>
        <v>-100.07997102293501</v>
      </c>
      <c r="M2295" s="19"/>
      <c r="N2295" s="19"/>
      <c r="O2295" s="19"/>
      <c r="P2295" s="19"/>
    </row>
    <row r="2296" spans="1:16" x14ac:dyDescent="0.25">
      <c r="A2296" s="15"/>
      <c r="B2296" s="15">
        <v>2017</v>
      </c>
      <c r="C2296" s="1" t="s">
        <v>417</v>
      </c>
      <c r="D2296" s="1" t="s">
        <v>216</v>
      </c>
      <c r="E2296" s="15" t="s">
        <v>217</v>
      </c>
      <c r="F2296" s="140" t="s">
        <v>69</v>
      </c>
      <c r="G2296" s="106">
        <v>731570</v>
      </c>
      <c r="H2296" s="142">
        <f>IF(G2296&gt;0,'Emission Rates Net-by-Count'!$D$15,'Emission Rates Net-by-Count'!$E$15)</f>
        <v>1004</v>
      </c>
      <c r="I2296" s="92">
        <f t="shared" si="109"/>
        <v>367248.14</v>
      </c>
      <c r="J2296" s="16">
        <f t="shared" si="110"/>
        <v>333161.85125529399</v>
      </c>
      <c r="M2296" s="19"/>
      <c r="N2296" s="19"/>
      <c r="O2296" s="19"/>
      <c r="P2296" s="19"/>
    </row>
    <row r="2297" spans="1:16" x14ac:dyDescent="0.25">
      <c r="A2297" s="15"/>
      <c r="B2297" s="15">
        <v>2017</v>
      </c>
      <c r="C2297" s="1" t="s">
        <v>417</v>
      </c>
      <c r="D2297" s="1" t="s">
        <v>216</v>
      </c>
      <c r="E2297" s="15" t="s">
        <v>217</v>
      </c>
      <c r="F2297" s="140" t="s">
        <v>71</v>
      </c>
      <c r="G2297" s="106">
        <v>-40797</v>
      </c>
      <c r="H2297" s="142">
        <f>IF(G2297&gt;0,'Emission Rates Net-by-Count'!$D$15,'Emission Rates Net-by-Count'!$E$15)</f>
        <v>1092.2703265173072</v>
      </c>
      <c r="I2297" s="92">
        <f t="shared" si="109"/>
        <v>-22280.676255463291</v>
      </c>
      <c r="J2297" s="16">
        <f t="shared" si="110"/>
        <v>-20212.686028825148</v>
      </c>
      <c r="M2297" s="19"/>
      <c r="N2297" s="19"/>
      <c r="O2297" s="19"/>
      <c r="P2297" s="19"/>
    </row>
    <row r="2298" spans="1:16" x14ac:dyDescent="0.25">
      <c r="A2298" s="15"/>
      <c r="B2298" s="15">
        <v>2017</v>
      </c>
      <c r="C2298" s="1" t="s">
        <v>417</v>
      </c>
      <c r="D2298" s="1" t="s">
        <v>216</v>
      </c>
      <c r="E2298" s="15" t="s">
        <v>217</v>
      </c>
      <c r="F2298" s="140" t="s">
        <v>72</v>
      </c>
      <c r="G2298" s="106">
        <v>30000</v>
      </c>
      <c r="H2298" s="142">
        <f>IF(G2298&gt;0,'Emission Rates Net-by-Count'!$D$15,'Emission Rates Net-by-Count'!$E$15)</f>
        <v>1004</v>
      </c>
      <c r="I2298" s="92">
        <f t="shared" si="109"/>
        <v>15060</v>
      </c>
      <c r="J2298" s="16">
        <f t="shared" si="110"/>
        <v>13662.199840970543</v>
      </c>
      <c r="M2298" s="19"/>
      <c r="N2298" s="19"/>
      <c r="O2298" s="19"/>
      <c r="P2298" s="19"/>
    </row>
    <row r="2299" spans="1:16" x14ac:dyDescent="0.25">
      <c r="A2299" s="15"/>
      <c r="B2299" s="15">
        <v>2017</v>
      </c>
      <c r="C2299" s="1" t="s">
        <v>417</v>
      </c>
      <c r="D2299" s="1" t="s">
        <v>216</v>
      </c>
      <c r="E2299" s="15" t="s">
        <v>217</v>
      </c>
      <c r="F2299" s="140" t="s">
        <v>2</v>
      </c>
      <c r="G2299" s="230">
        <v>2625.971</v>
      </c>
      <c r="H2299" s="231">
        <f>IF(G2299&gt;0,'Emission Rates Net-by-Count'!$D$15,0)</f>
        <v>1004</v>
      </c>
      <c r="I2299" s="92">
        <f t="shared" si="109"/>
        <v>1318.2374420000001</v>
      </c>
      <c r="J2299" s="16">
        <f t="shared" si="110"/>
        <v>1195.8846859531086</v>
      </c>
      <c r="M2299" s="19"/>
      <c r="N2299" s="19"/>
      <c r="O2299" s="19"/>
      <c r="P2299" s="19"/>
    </row>
    <row r="2300" spans="1:16" x14ac:dyDescent="0.25">
      <c r="A2300" s="15"/>
      <c r="B2300" s="15">
        <v>2017</v>
      </c>
      <c r="C2300" s="1" t="s">
        <v>417</v>
      </c>
      <c r="D2300" s="1" t="s">
        <v>216</v>
      </c>
      <c r="E2300" s="15" t="s">
        <v>217</v>
      </c>
      <c r="F2300" s="140" t="s">
        <v>298</v>
      </c>
      <c r="G2300" s="106">
        <v>110530.56299999999</v>
      </c>
      <c r="H2300" s="142">
        <f>IF(G2300&gt;0,'Emission Rates Net-by-Count'!$D$15,'Emission Rates Net-by-Count'!$E$15)</f>
        <v>1004</v>
      </c>
      <c r="I2300" s="92">
        <f t="shared" si="109"/>
        <v>55486.342625999998</v>
      </c>
      <c r="J2300" s="16">
        <f t="shared" si="110"/>
        <v>50336.354674699476</v>
      </c>
      <c r="M2300" s="19"/>
      <c r="N2300" s="19"/>
      <c r="O2300" s="19"/>
      <c r="P2300" s="19"/>
    </row>
    <row r="2301" spans="1:16" x14ac:dyDescent="0.25">
      <c r="A2301" s="15"/>
      <c r="B2301" s="15">
        <v>2017</v>
      </c>
      <c r="C2301" s="1" t="s">
        <v>417</v>
      </c>
      <c r="D2301" s="1" t="s">
        <v>216</v>
      </c>
      <c r="E2301" s="15" t="s">
        <v>217</v>
      </c>
      <c r="F2301" s="140" t="s">
        <v>156</v>
      </c>
      <c r="G2301" s="230">
        <v>-16758.375999999997</v>
      </c>
      <c r="H2301" s="231">
        <f>IF(G2301&gt;0,'Emission Rates Net-by-Count'!$D$15,0)</f>
        <v>0</v>
      </c>
      <c r="I2301" s="92">
        <f t="shared" si="109"/>
        <v>0</v>
      </c>
      <c r="J2301" s="16">
        <f t="shared" si="110"/>
        <v>0</v>
      </c>
      <c r="M2301" s="19"/>
      <c r="N2301" s="19"/>
      <c r="O2301" s="19"/>
      <c r="P2301" s="19"/>
    </row>
    <row r="2302" spans="1:16" x14ac:dyDescent="0.25">
      <c r="A2302" s="15"/>
      <c r="B2302" s="15">
        <v>2017</v>
      </c>
      <c r="C2302" s="1" t="s">
        <v>417</v>
      </c>
      <c r="D2302" s="1" t="s">
        <v>216</v>
      </c>
      <c r="E2302" s="15" t="s">
        <v>217</v>
      </c>
      <c r="F2302" s="140" t="s">
        <v>78</v>
      </c>
      <c r="G2302" s="106">
        <v>513602</v>
      </c>
      <c r="H2302" s="142">
        <f>IF(G2302&gt;0,'Emission Rates Net-by-Count'!$D$15,'Emission Rates Net-by-Count'!$E$15)</f>
        <v>1004</v>
      </c>
      <c r="I2302" s="92">
        <f t="shared" si="109"/>
        <v>257828.204</v>
      </c>
      <c r="J2302" s="16">
        <f t="shared" si="110"/>
        <v>233897.77209073841</v>
      </c>
      <c r="M2302" s="19"/>
      <c r="N2302" s="19"/>
      <c r="O2302" s="19"/>
      <c r="P2302" s="19"/>
    </row>
    <row r="2303" spans="1:16" x14ac:dyDescent="0.25">
      <c r="A2303" s="15"/>
      <c r="B2303" s="15">
        <v>2017</v>
      </c>
      <c r="C2303" s="1" t="s">
        <v>417</v>
      </c>
      <c r="D2303" s="1" t="s">
        <v>216</v>
      </c>
      <c r="E2303" s="15" t="s">
        <v>217</v>
      </c>
      <c r="F2303" s="140" t="s">
        <v>168</v>
      </c>
      <c r="G2303" s="106">
        <v>-211</v>
      </c>
      <c r="H2303" s="142">
        <f>IF(G2303&gt;0,'Emission Rates Net-by-Count'!$D$15,'Emission Rates Net-by-Count'!$E$15)</f>
        <v>1092.2703265173072</v>
      </c>
      <c r="I2303" s="92">
        <f t="shared" si="109"/>
        <v>-115.23451944757592</v>
      </c>
      <c r="J2303" s="16">
        <f t="shared" si="110"/>
        <v>-104.53897963286776</v>
      </c>
      <c r="M2303" s="19"/>
      <c r="N2303" s="19"/>
      <c r="O2303" s="19"/>
      <c r="P2303" s="19"/>
    </row>
    <row r="2304" spans="1:16" x14ac:dyDescent="0.25">
      <c r="A2304" s="15"/>
      <c r="B2304" s="15">
        <v>2017</v>
      </c>
      <c r="C2304" s="1" t="s">
        <v>417</v>
      </c>
      <c r="D2304" s="1" t="s">
        <v>216</v>
      </c>
      <c r="E2304" s="15" t="s">
        <v>217</v>
      </c>
      <c r="F2304" s="140" t="s">
        <v>208</v>
      </c>
      <c r="G2304" s="106">
        <v>-16</v>
      </c>
      <c r="H2304" s="142">
        <f>IF(G2304&gt;0,'Emission Rates Net-by-Count'!$D$15,'Emission Rates Net-by-Count'!$E$15)</f>
        <v>1092.2703265173072</v>
      </c>
      <c r="I2304" s="92">
        <f t="shared" si="109"/>
        <v>-8.7381626121384581</v>
      </c>
      <c r="J2304" s="16">
        <f t="shared" si="110"/>
        <v>-7.9271264176582186</v>
      </c>
      <c r="M2304" s="19"/>
      <c r="N2304" s="19"/>
      <c r="O2304" s="19"/>
      <c r="P2304" s="19"/>
    </row>
    <row r="2305" spans="1:16" x14ac:dyDescent="0.25">
      <c r="A2305" s="15"/>
      <c r="B2305" s="15">
        <v>2017</v>
      </c>
      <c r="C2305" s="1" t="s">
        <v>417</v>
      </c>
      <c r="D2305" s="1" t="s">
        <v>216</v>
      </c>
      <c r="E2305" s="15" t="s">
        <v>217</v>
      </c>
      <c r="F2305" s="140" t="s">
        <v>173</v>
      </c>
      <c r="G2305" s="106">
        <v>4000</v>
      </c>
      <c r="H2305" s="142">
        <f>IF(G2305&gt;0,'Emission Rates Net-by-Count'!$D$15,'Emission Rates Net-by-Count'!$E$15)</f>
        <v>1004</v>
      </c>
      <c r="I2305" s="92">
        <f t="shared" si="109"/>
        <v>2008</v>
      </c>
      <c r="J2305" s="16">
        <f t="shared" si="110"/>
        <v>1821.6266454627389</v>
      </c>
      <c r="M2305" s="19"/>
      <c r="N2305" s="19"/>
      <c r="O2305" s="19"/>
      <c r="P2305" s="19"/>
    </row>
    <row r="2306" spans="1:16" x14ac:dyDescent="0.25">
      <c r="A2306" s="15"/>
      <c r="B2306" s="15">
        <v>2017</v>
      </c>
      <c r="C2306" s="1" t="s">
        <v>417</v>
      </c>
      <c r="D2306" s="1" t="s">
        <v>216</v>
      </c>
      <c r="E2306" s="15" t="s">
        <v>217</v>
      </c>
      <c r="F2306" s="140" t="s">
        <v>82</v>
      </c>
      <c r="G2306" s="106">
        <v>-15807</v>
      </c>
      <c r="H2306" s="142">
        <f>IF(G2306&gt;0,'Emission Rates Net-by-Count'!$D$15,'Emission Rates Net-by-Count'!$E$15)</f>
        <v>1092.2703265173072</v>
      </c>
      <c r="I2306" s="92">
        <f t="shared" si="109"/>
        <v>-8632.758525629537</v>
      </c>
      <c r="J2306" s="16">
        <f t="shared" si="110"/>
        <v>-7831.5054552452157</v>
      </c>
      <c r="M2306" s="19"/>
      <c r="N2306" s="19"/>
      <c r="O2306" s="19"/>
      <c r="P2306" s="19"/>
    </row>
    <row r="2307" spans="1:16" x14ac:dyDescent="0.25">
      <c r="A2307" s="15"/>
      <c r="B2307" s="15">
        <v>2017</v>
      </c>
      <c r="C2307" s="1" t="s">
        <v>417</v>
      </c>
      <c r="D2307" s="1" t="s">
        <v>216</v>
      </c>
      <c r="E2307" s="15" t="s">
        <v>217</v>
      </c>
      <c r="F2307" s="140" t="s">
        <v>83</v>
      </c>
      <c r="G2307" s="106">
        <v>26026</v>
      </c>
      <c r="H2307" s="142">
        <f>IF(G2307&gt;0,'Emission Rates Net-by-Count'!$D$15,'Emission Rates Net-by-Count'!$E$15)</f>
        <v>1004</v>
      </c>
      <c r="I2307" s="92">
        <f t="shared" si="109"/>
        <v>13065.052</v>
      </c>
      <c r="J2307" s="16">
        <f t="shared" si="110"/>
        <v>11852.413768703311</v>
      </c>
      <c r="M2307" s="19"/>
      <c r="N2307" s="19"/>
      <c r="O2307" s="19"/>
      <c r="P2307" s="19"/>
    </row>
    <row r="2308" spans="1:16" x14ac:dyDescent="0.25">
      <c r="A2308" s="15"/>
      <c r="B2308" s="15">
        <v>2017</v>
      </c>
      <c r="C2308" s="1" t="s">
        <v>417</v>
      </c>
      <c r="D2308" s="1" t="s">
        <v>216</v>
      </c>
      <c r="E2308" s="15" t="s">
        <v>217</v>
      </c>
      <c r="F2308" s="140" t="s">
        <v>111</v>
      </c>
      <c r="G2308" s="106">
        <v>0</v>
      </c>
      <c r="H2308" s="142">
        <f>IF(G2308&gt;0,'Emission Rates Net-by-Count'!$D$15,'Emission Rates Net-by-Count'!$E$15)</f>
        <v>1092.2703265173072</v>
      </c>
      <c r="I2308" s="92">
        <f t="shared" si="109"/>
        <v>0</v>
      </c>
      <c r="J2308" s="16">
        <f t="shared" si="110"/>
        <v>0</v>
      </c>
      <c r="M2308" s="19"/>
      <c r="N2308" s="19"/>
      <c r="O2308" s="19"/>
      <c r="P2308" s="19"/>
    </row>
    <row r="2309" spans="1:16" x14ac:dyDescent="0.25">
      <c r="A2309" s="15"/>
      <c r="B2309" s="15">
        <v>2017</v>
      </c>
      <c r="C2309" s="1" t="s">
        <v>417</v>
      </c>
      <c r="D2309" s="1" t="s">
        <v>216</v>
      </c>
      <c r="E2309" s="15" t="s">
        <v>217</v>
      </c>
      <c r="F2309" s="140" t="s">
        <v>85</v>
      </c>
      <c r="G2309" s="106">
        <v>-237749</v>
      </c>
      <c r="H2309" s="142">
        <f>IF(G2309&gt;0,'Emission Rates Net-by-Count'!$D$15,'Emission Rates Net-by-Count'!$E$15)</f>
        <v>1092.2703265173072</v>
      </c>
      <c r="I2309" s="92">
        <f t="shared" si="109"/>
        <v>-129843.08892958165</v>
      </c>
      <c r="J2309" s="16">
        <f t="shared" si="110"/>
        <v>-117791.648666989</v>
      </c>
      <c r="M2309" s="19"/>
      <c r="N2309" s="19"/>
      <c r="O2309" s="19"/>
      <c r="P2309" s="19"/>
    </row>
    <row r="2310" spans="1:16" x14ac:dyDescent="0.25">
      <c r="A2310" s="15"/>
      <c r="B2310" s="15">
        <v>2017</v>
      </c>
      <c r="C2310" s="1" t="s">
        <v>417</v>
      </c>
      <c r="D2310" s="1" t="s">
        <v>216</v>
      </c>
      <c r="E2310" s="15" t="s">
        <v>217</v>
      </c>
      <c r="F2310" s="140" t="s">
        <v>87</v>
      </c>
      <c r="G2310" s="106">
        <v>-133050</v>
      </c>
      <c r="H2310" s="142">
        <f>IF(G2310&gt;0,'Emission Rates Net-by-Count'!$D$15,'Emission Rates Net-by-Count'!$E$15)</f>
        <v>1092.2703265173072</v>
      </c>
      <c r="I2310" s="92">
        <f t="shared" si="109"/>
        <v>-72663.28347156386</v>
      </c>
      <c r="J2310" s="16">
        <f t="shared" si="110"/>
        <v>-65919.010616839121</v>
      </c>
      <c r="M2310" s="19"/>
      <c r="N2310" s="19"/>
      <c r="O2310" s="19"/>
      <c r="P2310" s="19"/>
    </row>
    <row r="2311" spans="1:16" x14ac:dyDescent="0.25">
      <c r="A2311" s="15"/>
      <c r="B2311" s="15">
        <v>2017</v>
      </c>
      <c r="C2311" s="1" t="s">
        <v>417</v>
      </c>
      <c r="D2311" s="1" t="s">
        <v>216</v>
      </c>
      <c r="E2311" s="15" t="s">
        <v>217</v>
      </c>
      <c r="F2311" s="140" t="s">
        <v>88</v>
      </c>
      <c r="G2311" s="106">
        <v>-1371536</v>
      </c>
      <c r="H2311" s="142">
        <f>IF(G2311&gt;0,'Emission Rates Net-by-Count'!$D$15,'Emission Rates Net-by-Count'!$E$15)</f>
        <v>1092.2703265173072</v>
      </c>
      <c r="I2311" s="92">
        <f t="shared" si="109"/>
        <v>-749044.03727512073</v>
      </c>
      <c r="J2311" s="16">
        <f t="shared" si="110"/>
        <v>-679521.20364808012</v>
      </c>
      <c r="M2311" s="19"/>
      <c r="N2311" s="19"/>
      <c r="O2311" s="19"/>
      <c r="P2311" s="19"/>
    </row>
    <row r="2312" spans="1:16" x14ac:dyDescent="0.25">
      <c r="A2312" s="15"/>
      <c r="B2312" s="15">
        <v>2017</v>
      </c>
      <c r="C2312" s="1" t="s">
        <v>417</v>
      </c>
      <c r="D2312" s="1" t="s">
        <v>216</v>
      </c>
      <c r="E2312" s="15" t="s">
        <v>217</v>
      </c>
      <c r="F2312" s="140" t="s">
        <v>90</v>
      </c>
      <c r="G2312" s="106">
        <v>130513</v>
      </c>
      <c r="H2312" s="142">
        <f>IF(G2312&gt;0,'Emission Rates Net-by-Count'!$D$15,'Emission Rates Net-by-Count'!$E$15)</f>
        <v>1004</v>
      </c>
      <c r="I2312" s="92">
        <f t="shared" si="109"/>
        <v>65517.525999999998</v>
      </c>
      <c r="J2312" s="16">
        <f t="shared" si="110"/>
        <v>59436.489594819614</v>
      </c>
      <c r="M2312" s="19"/>
      <c r="N2312" s="19"/>
      <c r="O2312" s="19"/>
      <c r="P2312" s="19"/>
    </row>
    <row r="2313" spans="1:16" x14ac:dyDescent="0.25">
      <c r="A2313" s="15"/>
      <c r="B2313" s="15">
        <v>2017</v>
      </c>
      <c r="C2313" s="1" t="s">
        <v>417</v>
      </c>
      <c r="D2313" s="1" t="s">
        <v>216</v>
      </c>
      <c r="E2313" s="15" t="s">
        <v>217</v>
      </c>
      <c r="F2313" s="140" t="s">
        <v>91</v>
      </c>
      <c r="G2313" s="106">
        <v>-2638</v>
      </c>
      <c r="H2313" s="142">
        <f>IF(G2313&gt;0,'Emission Rates Net-by-Count'!$D$15,'Emission Rates Net-by-Count'!$E$15)</f>
        <v>1092.2703265173072</v>
      </c>
      <c r="I2313" s="92">
        <f t="shared" si="109"/>
        <v>-1440.7045606763281</v>
      </c>
      <c r="J2313" s="16">
        <f t="shared" si="110"/>
        <v>-1306.9849681113988</v>
      </c>
      <c r="M2313" s="19"/>
      <c r="N2313" s="19"/>
      <c r="O2313" s="19"/>
      <c r="P2313" s="19"/>
    </row>
    <row r="2314" spans="1:16" x14ac:dyDescent="0.25">
      <c r="A2314" s="15"/>
      <c r="B2314" s="15">
        <v>2017</v>
      </c>
      <c r="C2314" s="1" t="s">
        <v>417</v>
      </c>
      <c r="D2314" s="1" t="s">
        <v>216</v>
      </c>
      <c r="E2314" s="15" t="s">
        <v>217</v>
      </c>
      <c r="F2314" s="140" t="s">
        <v>93</v>
      </c>
      <c r="G2314" s="106">
        <v>139</v>
      </c>
      <c r="H2314" s="142">
        <f>IF(G2314&gt;0,'Emission Rates Net-by-Count'!$D$15,'Emission Rates Net-by-Count'!$E$15)</f>
        <v>1004</v>
      </c>
      <c r="I2314" s="92">
        <f t="shared" si="109"/>
        <v>69.778000000000006</v>
      </c>
      <c r="J2314" s="16">
        <f t="shared" si="110"/>
        <v>63.301525929830177</v>
      </c>
      <c r="M2314" s="19"/>
      <c r="N2314" s="19"/>
      <c r="O2314" s="19"/>
      <c r="P2314" s="19"/>
    </row>
    <row r="2315" spans="1:16" x14ac:dyDescent="0.25">
      <c r="A2315" s="15"/>
      <c r="B2315" s="15">
        <v>2017</v>
      </c>
      <c r="C2315" s="1" t="s">
        <v>417</v>
      </c>
      <c r="D2315" s="1" t="s">
        <v>216</v>
      </c>
      <c r="E2315" s="15" t="s">
        <v>217</v>
      </c>
      <c r="F2315" s="140" t="s">
        <v>95</v>
      </c>
      <c r="G2315" s="106">
        <v>132196</v>
      </c>
      <c r="H2315" s="142">
        <f>IF(G2315&gt;0,'Emission Rates Net-by-Count'!$D$15,'Emission Rates Net-by-Count'!$E$15)</f>
        <v>1004</v>
      </c>
      <c r="I2315" s="92">
        <f t="shared" si="109"/>
        <v>66362.392000000007</v>
      </c>
      <c r="J2315" s="16">
        <f t="shared" si="110"/>
        <v>60202.939005898057</v>
      </c>
      <c r="M2315" s="19"/>
      <c r="N2315" s="19"/>
      <c r="O2315" s="19"/>
      <c r="P2315" s="19"/>
    </row>
    <row r="2316" spans="1:16" x14ac:dyDescent="0.25">
      <c r="A2316" s="15"/>
      <c r="B2316" s="15">
        <v>2017</v>
      </c>
      <c r="C2316" s="1" t="s">
        <v>417</v>
      </c>
      <c r="D2316" s="1" t="s">
        <v>216</v>
      </c>
      <c r="E2316" s="15" t="s">
        <v>217</v>
      </c>
      <c r="F2316" s="140" t="s">
        <v>97</v>
      </c>
      <c r="G2316" s="106">
        <v>-73192</v>
      </c>
      <c r="H2316" s="142">
        <f>IF(G2316&gt;0,'Emission Rates Net-by-Count'!$D$15,'Emission Rates Net-by-Count'!$E$15)</f>
        <v>1092.2703265173072</v>
      </c>
      <c r="I2316" s="92">
        <f t="shared" si="109"/>
        <v>-39972.724869227372</v>
      </c>
      <c r="J2316" s="16">
        <f t="shared" si="110"/>
        <v>-36262.639797577518</v>
      </c>
      <c r="M2316" s="19"/>
      <c r="N2316" s="19"/>
      <c r="O2316" s="19"/>
      <c r="P2316" s="19"/>
    </row>
    <row r="2317" spans="1:16" x14ac:dyDescent="0.25">
      <c r="A2317" s="15"/>
      <c r="B2317" s="15">
        <v>2017</v>
      </c>
      <c r="C2317" s="1" t="s">
        <v>417</v>
      </c>
      <c r="D2317" s="1" t="s">
        <v>216</v>
      </c>
      <c r="E2317" s="15" t="s">
        <v>217</v>
      </c>
      <c r="F2317" s="140" t="s">
        <v>100</v>
      </c>
      <c r="G2317" s="106">
        <v>12341</v>
      </c>
      <c r="H2317" s="142">
        <f>IF(G2317&gt;0,'Emission Rates Net-by-Count'!$D$15,'Emission Rates Net-by-Count'!$E$15)</f>
        <v>1004</v>
      </c>
      <c r="I2317" s="92">
        <f t="shared" si="109"/>
        <v>6195.1819999999998</v>
      </c>
      <c r="J2317" s="16">
        <f t="shared" si="110"/>
        <v>5620.1736079139155</v>
      </c>
      <c r="M2317" s="19"/>
      <c r="N2317" s="19"/>
      <c r="O2317" s="19"/>
      <c r="P2317" s="19"/>
    </row>
    <row r="2318" spans="1:16" x14ac:dyDescent="0.25">
      <c r="A2318" s="15"/>
      <c r="B2318" s="15">
        <v>2017</v>
      </c>
      <c r="C2318" s="1" t="s">
        <v>417</v>
      </c>
      <c r="D2318" s="1" t="s">
        <v>216</v>
      </c>
      <c r="E2318" s="15" t="s">
        <v>217</v>
      </c>
      <c r="F2318" s="140" t="s">
        <v>299</v>
      </c>
      <c r="G2318" s="230">
        <v>1788.0920000000001</v>
      </c>
      <c r="H2318" s="231">
        <f>IF(G2318&gt;0,'Emission Rates Net-by-Count'!$D$15,0)</f>
        <v>1004</v>
      </c>
      <c r="I2318" s="92">
        <f t="shared" si="109"/>
        <v>897.62218400000006</v>
      </c>
      <c r="J2318" s="16">
        <f t="shared" si="110"/>
        <v>814.30900793468993</v>
      </c>
      <c r="M2318" s="19"/>
      <c r="N2318" s="19"/>
      <c r="O2318" s="19"/>
      <c r="P2318" s="19"/>
    </row>
    <row r="2319" spans="1:16" x14ac:dyDescent="0.25">
      <c r="A2319" s="15"/>
      <c r="B2319" s="15">
        <v>2017</v>
      </c>
      <c r="C2319" s="1" t="s">
        <v>417</v>
      </c>
      <c r="D2319" s="1" t="s">
        <v>216</v>
      </c>
      <c r="E2319" s="15" t="s">
        <v>217</v>
      </c>
      <c r="F2319" s="140" t="s">
        <v>155</v>
      </c>
      <c r="G2319" s="230">
        <v>24528.660000000003</v>
      </c>
      <c r="H2319" s="231">
        <f>IF(G2319&gt;0,'Emission Rates Net-by-Count'!$D$15,0)</f>
        <v>1004</v>
      </c>
      <c r="I2319" s="92">
        <f t="shared" si="109"/>
        <v>12313.387320000002</v>
      </c>
      <c r="J2319" s="16">
        <f t="shared" si="110"/>
        <v>11170.515158374019</v>
      </c>
      <c r="M2319" s="19"/>
      <c r="N2319" s="19"/>
      <c r="O2319" s="19"/>
      <c r="P2319" s="19"/>
    </row>
    <row r="2320" spans="1:16" x14ac:dyDescent="0.25">
      <c r="A2320" s="15"/>
      <c r="B2320" s="15">
        <v>2017</v>
      </c>
      <c r="C2320" s="1" t="s">
        <v>417</v>
      </c>
      <c r="D2320" s="1" t="s">
        <v>216</v>
      </c>
      <c r="E2320" s="15" t="s">
        <v>217</v>
      </c>
      <c r="F2320" s="140" t="s">
        <v>103</v>
      </c>
      <c r="G2320" s="106">
        <v>30313</v>
      </c>
      <c r="H2320" s="142">
        <f>IF(G2320&gt;0,'Emission Rates Net-by-Count'!$D$15,'Emission Rates Net-by-Count'!$E$15)</f>
        <v>1004</v>
      </c>
      <c r="I2320" s="92">
        <f t="shared" si="109"/>
        <v>15217.126</v>
      </c>
      <c r="J2320" s="16">
        <f t="shared" si="110"/>
        <v>13804.742125978002</v>
      </c>
      <c r="M2320" s="19"/>
      <c r="N2320" s="19"/>
      <c r="O2320" s="19"/>
      <c r="P2320" s="19"/>
    </row>
    <row r="2321" spans="1:16" x14ac:dyDescent="0.25">
      <c r="A2321" s="15"/>
      <c r="B2321" s="15">
        <v>2017</v>
      </c>
      <c r="C2321" s="1" t="s">
        <v>417</v>
      </c>
      <c r="D2321" s="1" t="s">
        <v>216</v>
      </c>
      <c r="E2321" s="15" t="s">
        <v>217</v>
      </c>
      <c r="F2321" s="140" t="s">
        <v>152</v>
      </c>
      <c r="G2321" s="106">
        <v>221765</v>
      </c>
      <c r="H2321" s="142">
        <f>IF(G2321&gt;0,'Emission Rates Net-by-Count'!$D$15,'Emission Rates Net-by-Count'!$E$15)</f>
        <v>1004</v>
      </c>
      <c r="I2321" s="92">
        <f t="shared" si="109"/>
        <v>111326.03</v>
      </c>
      <c r="J2321" s="16">
        <f t="shared" si="110"/>
        <v>100993.25825776107</v>
      </c>
      <c r="M2321" s="19"/>
      <c r="N2321" s="19"/>
      <c r="O2321" s="19"/>
      <c r="P2321" s="19"/>
    </row>
    <row r="2322" spans="1:16" x14ac:dyDescent="0.25">
      <c r="A2322" s="15"/>
      <c r="B2322" s="15">
        <v>2017</v>
      </c>
      <c r="C2322" s="1" t="s">
        <v>417</v>
      </c>
      <c r="D2322" s="1" t="s">
        <v>216</v>
      </c>
      <c r="E2322" s="15" t="s">
        <v>217</v>
      </c>
      <c r="F2322" s="140" t="s">
        <v>186</v>
      </c>
      <c r="G2322" s="106">
        <v>-3000</v>
      </c>
      <c r="H2322" s="142">
        <f>IF(G2322&gt;0,'Emission Rates Net-by-Count'!$D$15,'Emission Rates Net-by-Count'!$E$15)</f>
        <v>1092.2703265173072</v>
      </c>
      <c r="I2322" s="92">
        <f t="shared" ref="I2322:I2331" si="111">(H2322*G2322)/2000</f>
        <v>-1638.4054897759609</v>
      </c>
      <c r="J2322" s="16">
        <f t="shared" ref="J2322:J2331" si="112">(G2322*H2322)/2204.623</f>
        <v>-1486.3362033109161</v>
      </c>
      <c r="M2322" s="19"/>
      <c r="N2322" s="19"/>
      <c r="O2322" s="19"/>
      <c r="P2322" s="19"/>
    </row>
    <row r="2323" spans="1:16" x14ac:dyDescent="0.25">
      <c r="A2323" s="15"/>
      <c r="B2323" s="15">
        <v>2017</v>
      </c>
      <c r="C2323" s="1" t="s">
        <v>417</v>
      </c>
      <c r="D2323" s="1" t="s">
        <v>216</v>
      </c>
      <c r="E2323" s="15" t="s">
        <v>217</v>
      </c>
      <c r="F2323" s="140" t="s">
        <v>153</v>
      </c>
      <c r="G2323" s="106">
        <v>788491</v>
      </c>
      <c r="H2323" s="142">
        <f>IF(G2323&gt;0,'Emission Rates Net-by-Count'!$D$15,'Emission Rates Net-by-Count'!$E$15)</f>
        <v>1004</v>
      </c>
      <c r="I2323" s="92">
        <f t="shared" si="111"/>
        <v>395822.48200000002</v>
      </c>
      <c r="J2323" s="16">
        <f t="shared" si="112"/>
        <v>359084.05382689013</v>
      </c>
      <c r="M2323" s="19"/>
      <c r="N2323" s="19"/>
      <c r="O2323" s="19"/>
      <c r="P2323" s="19"/>
    </row>
    <row r="2324" spans="1:16" x14ac:dyDescent="0.25">
      <c r="A2324" s="15"/>
      <c r="B2324" s="15">
        <v>2017</v>
      </c>
      <c r="C2324" s="1" t="s">
        <v>417</v>
      </c>
      <c r="D2324" s="1" t="s">
        <v>216</v>
      </c>
      <c r="E2324" s="15" t="s">
        <v>217</v>
      </c>
      <c r="F2324" s="140" t="s">
        <v>104</v>
      </c>
      <c r="G2324" s="106">
        <v>-271727</v>
      </c>
      <c r="H2324" s="142">
        <f>IF(G2324&gt;0,'Emission Rates Net-by-Count'!$D$15,'Emission Rates Net-by-Count'!$E$15)</f>
        <v>1092.2703265173072</v>
      </c>
      <c r="I2324" s="92">
        <f t="shared" si="111"/>
        <v>-148399.66950678418</v>
      </c>
      <c r="J2324" s="16">
        <f t="shared" si="112"/>
        <v>-134625.89250568842</v>
      </c>
      <c r="M2324" s="19"/>
      <c r="N2324" s="19"/>
      <c r="O2324" s="19"/>
      <c r="P2324" s="19"/>
    </row>
    <row r="2325" spans="1:16" x14ac:dyDescent="0.25">
      <c r="A2325" s="15"/>
      <c r="B2325" s="15">
        <v>2017</v>
      </c>
      <c r="C2325" s="1" t="s">
        <v>417</v>
      </c>
      <c r="D2325" s="1" t="s">
        <v>216</v>
      </c>
      <c r="E2325" s="15" t="s">
        <v>217</v>
      </c>
      <c r="F2325" s="140" t="s">
        <v>167</v>
      </c>
      <c r="G2325" s="106">
        <v>-46100</v>
      </c>
      <c r="H2325" s="142">
        <f>IF(G2325&gt;0,'Emission Rates Net-by-Count'!$D$15,'Emission Rates Net-by-Count'!$E$15)</f>
        <v>1092.2703265173072</v>
      </c>
      <c r="I2325" s="92">
        <f t="shared" si="111"/>
        <v>-25176.831026223932</v>
      </c>
      <c r="J2325" s="16">
        <f t="shared" si="112"/>
        <v>-22840.032990877742</v>
      </c>
      <c r="M2325" s="19"/>
      <c r="N2325" s="19"/>
      <c r="O2325" s="19"/>
      <c r="P2325" s="19"/>
    </row>
    <row r="2326" spans="1:16" x14ac:dyDescent="0.25">
      <c r="A2326" s="15"/>
      <c r="B2326" s="15">
        <v>2017</v>
      </c>
      <c r="C2326" s="1" t="s">
        <v>417</v>
      </c>
      <c r="D2326" s="1" t="s">
        <v>216</v>
      </c>
      <c r="E2326" s="15" t="s">
        <v>217</v>
      </c>
      <c r="F2326" s="140" t="s">
        <v>106</v>
      </c>
      <c r="G2326" s="106">
        <v>8325</v>
      </c>
      <c r="H2326" s="142">
        <f>IF(G2326&gt;0,'Emission Rates Net-by-Count'!$D$15,'Emission Rates Net-by-Count'!$E$15)</f>
        <v>1004</v>
      </c>
      <c r="I2326" s="92">
        <f t="shared" si="111"/>
        <v>4179.1499999999996</v>
      </c>
      <c r="J2326" s="16">
        <f t="shared" si="112"/>
        <v>3791.2604558693256</v>
      </c>
      <c r="M2326" s="19"/>
      <c r="N2326" s="19"/>
      <c r="O2326" s="19"/>
      <c r="P2326" s="19"/>
    </row>
    <row r="2327" spans="1:16" x14ac:dyDescent="0.25">
      <c r="A2327" s="15"/>
      <c r="B2327" s="15">
        <v>2017</v>
      </c>
      <c r="C2327" s="1" t="s">
        <v>417</v>
      </c>
      <c r="D2327" s="1" t="s">
        <v>216</v>
      </c>
      <c r="E2327" s="15" t="s">
        <v>217</v>
      </c>
      <c r="F2327" s="140" t="s">
        <v>6</v>
      </c>
      <c r="G2327" s="230">
        <v>68798.140999999989</v>
      </c>
      <c r="H2327" s="231">
        <f>IF(G2327&gt;0,'Emission Rates Net-by-Count'!$D$15,0)</f>
        <v>1004</v>
      </c>
      <c r="I2327" s="92">
        <f t="shared" si="111"/>
        <v>34536.666782</v>
      </c>
      <c r="J2327" s="16">
        <f t="shared" si="112"/>
        <v>31331.131700975628</v>
      </c>
      <c r="M2327" s="19"/>
      <c r="N2327" s="19"/>
      <c r="O2327" s="19"/>
      <c r="P2327" s="19"/>
    </row>
    <row r="2328" spans="1:16" x14ac:dyDescent="0.25">
      <c r="A2328" s="15"/>
      <c r="B2328" s="15">
        <v>2017</v>
      </c>
      <c r="C2328" s="1" t="s">
        <v>417</v>
      </c>
      <c r="D2328" s="1" t="s">
        <v>216</v>
      </c>
      <c r="E2328" s="15" t="s">
        <v>217</v>
      </c>
      <c r="F2328" s="140" t="s">
        <v>203</v>
      </c>
      <c r="G2328" s="106">
        <v>226338</v>
      </c>
      <c r="H2328" s="142">
        <f>IF(G2328&gt;0,'Emission Rates Net-by-Count'!$D$15,'Emission Rates Net-by-Count'!$E$15)</f>
        <v>1004</v>
      </c>
      <c r="I2328" s="92">
        <f t="shared" si="111"/>
        <v>113621.67600000001</v>
      </c>
      <c r="J2328" s="16">
        <f t="shared" si="112"/>
        <v>103075.83292018635</v>
      </c>
      <c r="M2328" s="19"/>
      <c r="N2328" s="19"/>
      <c r="O2328" s="19"/>
      <c r="P2328" s="19"/>
    </row>
    <row r="2329" spans="1:16" x14ac:dyDescent="0.25">
      <c r="A2329" s="15"/>
      <c r="B2329" s="15">
        <v>2017</v>
      </c>
      <c r="C2329" s="1" t="s">
        <v>417</v>
      </c>
      <c r="D2329" s="1" t="s">
        <v>216</v>
      </c>
      <c r="E2329" s="15" t="s">
        <v>217</v>
      </c>
      <c r="F2329" s="140" t="s">
        <v>18</v>
      </c>
      <c r="G2329" s="230">
        <v>13715.259000000002</v>
      </c>
      <c r="H2329" s="231">
        <f>IF(G2329&gt;0,'Emission Rates Net-by-Count'!$D$15,0)</f>
        <v>1004</v>
      </c>
      <c r="I2329" s="92">
        <f t="shared" si="111"/>
        <v>6885.060018000001</v>
      </c>
      <c r="J2329" s="16">
        <f t="shared" si="112"/>
        <v>6246.0203109556605</v>
      </c>
      <c r="M2329" s="19"/>
      <c r="N2329" s="19"/>
      <c r="O2329" s="19"/>
      <c r="P2329" s="19"/>
    </row>
    <row r="2330" spans="1:16" x14ac:dyDescent="0.25">
      <c r="A2330" s="15"/>
      <c r="B2330" s="15">
        <v>2017</v>
      </c>
      <c r="C2330" s="1" t="s">
        <v>417</v>
      </c>
      <c r="D2330" s="1" t="s">
        <v>216</v>
      </c>
      <c r="E2330" s="15" t="s">
        <v>217</v>
      </c>
      <c r="F2330" s="140" t="s">
        <v>126</v>
      </c>
      <c r="G2330" s="230">
        <v>-6494.7579999999944</v>
      </c>
      <c r="H2330" s="231">
        <f>IF(G2330&gt;0,'Emission Rates Net-by-Count'!$D$15,0)</f>
        <v>0</v>
      </c>
      <c r="I2330" s="92">
        <f t="shared" si="111"/>
        <v>0</v>
      </c>
      <c r="J2330" s="16">
        <f t="shared" si="112"/>
        <v>0</v>
      </c>
      <c r="M2330" s="19"/>
      <c r="N2330" s="19"/>
      <c r="O2330" s="19"/>
      <c r="P2330" s="19"/>
    </row>
    <row r="2331" spans="1:16" x14ac:dyDescent="0.25">
      <c r="A2331" s="15"/>
      <c r="B2331" s="15">
        <v>2017</v>
      </c>
      <c r="C2331" s="1" t="s">
        <v>417</v>
      </c>
      <c r="D2331" s="1" t="s">
        <v>216</v>
      </c>
      <c r="E2331" s="15" t="s">
        <v>217</v>
      </c>
      <c r="F2331" s="140" t="s">
        <v>140</v>
      </c>
      <c r="G2331" s="232">
        <v>-3928</v>
      </c>
      <c r="H2331" s="142">
        <f>IF(G2331&gt;0,'Emission Rates Net-by-Count'!$D$15,'Emission Rates Net-by-Count'!$E$15)</f>
        <v>1092.2703265173072</v>
      </c>
      <c r="I2331" s="92">
        <f t="shared" si="111"/>
        <v>-2145.2189212799917</v>
      </c>
      <c r="J2331" s="16">
        <f t="shared" si="112"/>
        <v>-1946.1095355350928</v>
      </c>
      <c r="M2331" s="19"/>
      <c r="N2331" s="19"/>
      <c r="O2331" s="19"/>
      <c r="P2331" s="19"/>
    </row>
    <row r="2332" spans="1:16" x14ac:dyDescent="0.25">
      <c r="A2332" s="15"/>
      <c r="C2332" s="1"/>
      <c r="D2332" s="1"/>
      <c r="F2332" s="1"/>
      <c r="G2332" s="106"/>
      <c r="I2332" s="92"/>
      <c r="M2332" s="19"/>
      <c r="N2332" s="19"/>
      <c r="O2332" s="19"/>
      <c r="P2332" s="19"/>
    </row>
  </sheetData>
  <sortState ref="A2:S2061">
    <sortCondition ref="C2:C2061"/>
    <sortCondition ref="A2:A2061"/>
  </sortState>
  <pageMargins left="0.7" right="0.7" top="0.75" bottom="0.75" header="0.3" footer="0.3"/>
  <pageSetup paperSize="17" scale="63" fitToHeight="10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F17"/>
  <sheetViews>
    <sheetView workbookViewId="0">
      <selection activeCell="E14" sqref="E14"/>
    </sheetView>
  </sheetViews>
  <sheetFormatPr defaultRowHeight="15" x14ac:dyDescent="0.25"/>
  <cols>
    <col min="1" max="2" width="9.140625" style="2"/>
    <col min="3" max="3" width="12.7109375" style="2" customWidth="1"/>
    <col min="4" max="4" width="22.7109375" style="2" customWidth="1"/>
    <col min="5" max="5" width="14.42578125" style="2" customWidth="1"/>
    <col min="6" max="16384" width="9.140625" style="2"/>
  </cols>
  <sheetData>
    <row r="1" spans="3:6" ht="47.25" x14ac:dyDescent="0.25">
      <c r="C1" s="42"/>
      <c r="D1" s="149" t="s">
        <v>375</v>
      </c>
      <c r="E1" s="149" t="s">
        <v>422</v>
      </c>
    </row>
    <row r="2" spans="3:6" x14ac:dyDescent="0.25">
      <c r="C2" s="129" t="s">
        <v>210</v>
      </c>
      <c r="D2" s="129" t="s">
        <v>364</v>
      </c>
      <c r="E2" s="129" t="s">
        <v>364</v>
      </c>
    </row>
    <row r="3" spans="3:6" x14ac:dyDescent="0.25">
      <c r="C3" s="129">
        <v>2005</v>
      </c>
      <c r="D3" s="24">
        <v>1009.3086315923503</v>
      </c>
      <c r="E3" s="129"/>
    </row>
    <row r="4" spans="3:6" x14ac:dyDescent="0.25">
      <c r="C4" s="129">
        <f>C3+1</f>
        <v>2006</v>
      </c>
      <c r="D4" s="24">
        <v>1013.8429781871461</v>
      </c>
      <c r="E4" s="129"/>
    </row>
    <row r="5" spans="3:6" x14ac:dyDescent="0.25">
      <c r="C5" s="129">
        <f t="shared" ref="C5" si="0">C4+1</f>
        <v>2007</v>
      </c>
      <c r="D5" s="24">
        <v>1201.8007841674578</v>
      </c>
      <c r="E5" s="129"/>
      <c r="F5" s="2" t="s">
        <v>376</v>
      </c>
    </row>
    <row r="6" spans="3:6" x14ac:dyDescent="0.25">
      <c r="C6" s="129">
        <v>2008</v>
      </c>
      <c r="D6" s="24">
        <v>1024.4699545804308</v>
      </c>
      <c r="E6" s="129"/>
      <c r="F6" s="2" t="s">
        <v>354</v>
      </c>
    </row>
    <row r="7" spans="3:6" x14ac:dyDescent="0.25">
      <c r="C7" s="129">
        <f>C6+1</f>
        <v>2009</v>
      </c>
      <c r="D7" s="24">
        <v>1118.7938637421748</v>
      </c>
      <c r="E7" s="129"/>
      <c r="F7" s="2" t="s">
        <v>355</v>
      </c>
    </row>
    <row r="8" spans="3:6" x14ac:dyDescent="0.25">
      <c r="C8" s="129">
        <f t="shared" ref="C8:C15" si="1">C7+1</f>
        <v>2010</v>
      </c>
      <c r="D8" s="24">
        <v>1191.716320391361</v>
      </c>
      <c r="E8" s="129"/>
      <c r="F8" s="2" t="s">
        <v>356</v>
      </c>
    </row>
    <row r="9" spans="3:6" x14ac:dyDescent="0.25">
      <c r="C9" s="129">
        <f t="shared" si="1"/>
        <v>2011</v>
      </c>
      <c r="D9" s="24">
        <v>904.65944483592443</v>
      </c>
      <c r="E9" s="129"/>
      <c r="F9" s="2" t="s">
        <v>357</v>
      </c>
    </row>
    <row r="10" spans="3:6" x14ac:dyDescent="0.25">
      <c r="C10" s="129">
        <f t="shared" si="1"/>
        <v>2012</v>
      </c>
      <c r="D10" s="24">
        <v>903.13346574503635</v>
      </c>
      <c r="E10" s="129"/>
      <c r="F10" s="2" t="s">
        <v>358</v>
      </c>
    </row>
    <row r="11" spans="3:6" x14ac:dyDescent="0.25">
      <c r="C11" s="129">
        <f t="shared" si="1"/>
        <v>2013</v>
      </c>
      <c r="D11" s="24">
        <v>1132.1250513717666</v>
      </c>
      <c r="E11" s="129"/>
      <c r="F11" s="2" t="s">
        <v>359</v>
      </c>
    </row>
    <row r="12" spans="3:6" x14ac:dyDescent="0.25">
      <c r="C12" s="129">
        <f t="shared" si="1"/>
        <v>2014</v>
      </c>
      <c r="D12" s="24">
        <v>1014</v>
      </c>
      <c r="E12" s="129"/>
      <c r="F12" s="2" t="s">
        <v>360</v>
      </c>
    </row>
    <row r="13" spans="3:6" x14ac:dyDescent="0.25">
      <c r="C13" s="129">
        <f t="shared" si="1"/>
        <v>2015</v>
      </c>
      <c r="D13" s="24">
        <v>1074</v>
      </c>
      <c r="E13" s="129"/>
      <c r="F13" s="2" t="s">
        <v>361</v>
      </c>
    </row>
    <row r="14" spans="3:6" x14ac:dyDescent="0.25">
      <c r="C14" s="129">
        <f t="shared" si="1"/>
        <v>2016</v>
      </c>
      <c r="D14" s="24">
        <v>895</v>
      </c>
      <c r="E14" s="24">
        <f>'Pivot Tables &amp; Chart Data'!W192</f>
        <v>1046.0391339805128</v>
      </c>
      <c r="F14" s="2" t="s">
        <v>362</v>
      </c>
    </row>
    <row r="15" spans="3:6" x14ac:dyDescent="0.25">
      <c r="C15" s="129">
        <f t="shared" si="1"/>
        <v>2017</v>
      </c>
      <c r="D15" s="24">
        <v>1004</v>
      </c>
      <c r="E15" s="24">
        <f>'Pivot Tables &amp; Chart Data'!X192</f>
        <v>1092.2703265173072</v>
      </c>
      <c r="F15" s="2" t="s">
        <v>363</v>
      </c>
    </row>
    <row r="16" spans="3:6" x14ac:dyDescent="0.25">
      <c r="C16" s="10"/>
      <c r="D16" s="10"/>
    </row>
    <row r="17" spans="3:4" x14ac:dyDescent="0.25">
      <c r="C17" s="10"/>
      <c r="D17" s="1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6BE12"/>
    <pageSetUpPr fitToPage="1"/>
  </sheetPr>
  <dimension ref="B2:AL35"/>
  <sheetViews>
    <sheetView showGridLines="0" tabSelected="1" workbookViewId="0">
      <selection activeCell="O33" sqref="O33"/>
    </sheetView>
  </sheetViews>
  <sheetFormatPr defaultRowHeight="15" x14ac:dyDescent="0.25"/>
  <cols>
    <col min="1" max="1" width="1.7109375" style="169" customWidth="1"/>
    <col min="2" max="2" width="19.7109375" style="169" customWidth="1"/>
    <col min="3" max="3" width="11.28515625" style="169" customWidth="1"/>
    <col min="4" max="4" width="10.140625" style="169" bestFit="1" customWidth="1"/>
    <col min="5" max="5" width="11.7109375" style="169" customWidth="1"/>
    <col min="6" max="7" width="9.140625" style="169"/>
    <col min="8" max="8" width="9.140625" style="198"/>
    <col min="9" max="9" width="3.140625" style="169" customWidth="1"/>
    <col min="10" max="10" width="2.85546875" style="198" customWidth="1"/>
    <col min="11" max="11" width="26.42578125" style="169" customWidth="1"/>
    <col min="12" max="12" width="11.7109375" style="169" customWidth="1"/>
    <col min="13" max="13" width="8.28515625" style="169" customWidth="1"/>
    <col min="14" max="14" width="11.7109375" style="169" customWidth="1"/>
    <col min="15" max="15" width="8.28515625" style="169" customWidth="1"/>
    <col min="16" max="16" width="9.140625" style="169"/>
    <col min="17" max="17" width="11.7109375" style="169" customWidth="1"/>
    <col min="18" max="18" width="8.28515625" style="169" customWidth="1"/>
    <col min="19" max="19" width="11.7109375" style="169" customWidth="1"/>
    <col min="20" max="20" width="8.28515625" style="169" customWidth="1"/>
    <col min="21" max="21" width="8.5703125" style="169" customWidth="1"/>
    <col min="22" max="23" width="9.140625" style="169"/>
    <col min="24" max="24" width="9.5703125" style="169" bestFit="1" customWidth="1"/>
    <col min="25" max="28" width="9.140625" style="169"/>
    <col min="29" max="38" width="9.140625" style="198"/>
    <col min="39" max="16384" width="9.140625" style="169"/>
  </cols>
  <sheetData>
    <row r="2" spans="2:35" x14ac:dyDescent="0.25">
      <c r="B2" s="168" t="s">
        <v>384</v>
      </c>
    </row>
    <row r="3" spans="2:35" x14ac:dyDescent="0.25">
      <c r="B3" s="170"/>
      <c r="C3" s="233" t="s">
        <v>385</v>
      </c>
      <c r="D3" s="233"/>
      <c r="E3" s="233"/>
      <c r="F3" s="233"/>
      <c r="G3" s="234"/>
      <c r="H3" s="41"/>
      <c r="AC3" s="216"/>
      <c r="AD3" s="216"/>
      <c r="AE3" s="41"/>
      <c r="AF3" s="41"/>
      <c r="AG3" s="41"/>
      <c r="AH3" s="41"/>
      <c r="AI3" s="41"/>
    </row>
    <row r="4" spans="2:35" x14ac:dyDescent="0.25">
      <c r="B4" s="157"/>
      <c r="C4" s="158" t="s">
        <v>326</v>
      </c>
      <c r="D4" s="159"/>
      <c r="E4" s="160" t="s">
        <v>277</v>
      </c>
      <c r="F4" s="159"/>
      <c r="G4" s="161" t="s">
        <v>328</v>
      </c>
      <c r="H4" s="138"/>
      <c r="AC4" s="136"/>
      <c r="AD4" s="136" t="s">
        <v>373</v>
      </c>
      <c r="AE4" s="136"/>
      <c r="AF4" s="136"/>
      <c r="AG4" s="136"/>
      <c r="AH4" s="136"/>
      <c r="AI4" s="136"/>
    </row>
    <row r="5" spans="2:35" x14ac:dyDescent="0.25">
      <c r="B5" s="166" t="s">
        <v>248</v>
      </c>
      <c r="C5" s="162" t="s">
        <v>275</v>
      </c>
      <c r="D5" s="163" t="s">
        <v>278</v>
      </c>
      <c r="E5" s="164" t="s">
        <v>330</v>
      </c>
      <c r="F5" s="163" t="s">
        <v>278</v>
      </c>
      <c r="G5" s="165" t="s">
        <v>311</v>
      </c>
      <c r="H5" s="138"/>
      <c r="AC5" s="136"/>
      <c r="AD5" s="136"/>
      <c r="AE5" s="138"/>
      <c r="AF5" s="138"/>
      <c r="AG5" s="138"/>
      <c r="AH5" s="138"/>
      <c r="AI5" s="138"/>
    </row>
    <row r="6" spans="2:35" x14ac:dyDescent="0.25">
      <c r="B6" s="171" t="str">
        <f>'Pivot Tables &amp; Chart Data'!L121</f>
        <v>Total</v>
      </c>
      <c r="C6" s="172">
        <f t="shared" ref="C6:C12" si="0">L19-Q19</f>
        <v>-1722534.4519999959</v>
      </c>
      <c r="D6" s="167">
        <f>C6/Q19</f>
        <v>-7.6147136705231724E-2</v>
      </c>
      <c r="E6" s="172">
        <f t="shared" ref="E6:E12" si="1">N19-S19</f>
        <v>28103.531732024625</v>
      </c>
      <c r="F6" s="167">
        <f>E6/S19</f>
        <v>2.5114994276345093E-3</v>
      </c>
      <c r="G6" s="173">
        <f t="shared" ref="G6:G12" si="2">P19-U19</f>
        <v>84.233932437837211</v>
      </c>
      <c r="H6" s="175"/>
      <c r="AC6" s="199"/>
      <c r="AD6" s="199" t="s">
        <v>338</v>
      </c>
      <c r="AE6" s="199"/>
      <c r="AF6" s="199"/>
      <c r="AG6" s="199"/>
      <c r="AH6" s="199"/>
      <c r="AI6" s="199"/>
    </row>
    <row r="7" spans="2:35" x14ac:dyDescent="0.25">
      <c r="B7" s="174" t="str">
        <f>'Pivot Tables &amp; Chart Data'!L114</f>
        <v>PSE Owned Coal</v>
      </c>
      <c r="C7" s="175">
        <f t="shared" si="0"/>
        <v>-65474</v>
      </c>
      <c r="D7" s="54">
        <f t="shared" ref="D7:D12" si="3">C7/Q20</f>
        <v>-1.4456041591643872E-2</v>
      </c>
      <c r="E7" s="175">
        <f t="shared" si="1"/>
        <v>-171790.18246472441</v>
      </c>
      <c r="F7" s="54">
        <f t="shared" ref="F7:F12" si="4">E7/S20</f>
        <v>-3.382028050480626E-2</v>
      </c>
      <c r="G7" s="176">
        <f t="shared" si="2"/>
        <v>-44.071322046544537</v>
      </c>
      <c r="H7" s="175"/>
      <c r="AC7" s="199"/>
      <c r="AD7" s="199" t="s">
        <v>333</v>
      </c>
    </row>
    <row r="8" spans="2:35" x14ac:dyDescent="0.25">
      <c r="B8" s="174" t="str">
        <f>'Pivot Tables &amp; Chart Data'!L115</f>
        <v>Firm Coal</v>
      </c>
      <c r="C8" s="175">
        <f t="shared" si="0"/>
        <v>502153</v>
      </c>
      <c r="D8" s="54">
        <f t="shared" si="3"/>
        <v>0.32008630773104368</v>
      </c>
      <c r="E8" s="175">
        <f t="shared" si="1"/>
        <v>557926.11071994412</v>
      </c>
      <c r="F8" s="54">
        <f t="shared" si="4"/>
        <v>0.29500307527133474</v>
      </c>
      <c r="G8" s="176">
        <f t="shared" si="2"/>
        <v>-45.813381752085661</v>
      </c>
      <c r="H8" s="175"/>
      <c r="AC8" s="199"/>
      <c r="AD8" s="199" t="s">
        <v>334</v>
      </c>
      <c r="AE8" s="199"/>
      <c r="AF8" s="199"/>
      <c r="AG8" s="199"/>
      <c r="AH8" s="199"/>
      <c r="AI8" s="199"/>
    </row>
    <row r="9" spans="2:35" x14ac:dyDescent="0.25">
      <c r="B9" s="174" t="str">
        <f>'Pivot Tables &amp; Chart Data'!L116</f>
        <v>PSE Owned Gas</v>
      </c>
      <c r="C9" s="175">
        <f t="shared" si="0"/>
        <v>-228110.67800000077</v>
      </c>
      <c r="D9" s="54">
        <f t="shared" si="3"/>
        <v>-5.493984038403163E-2</v>
      </c>
      <c r="E9" s="175">
        <f t="shared" si="1"/>
        <v>-156537.45252158819</v>
      </c>
      <c r="F9" s="54">
        <f t="shared" si="4"/>
        <v>-7.5903708642727927E-2</v>
      </c>
      <c r="G9" s="176">
        <f t="shared" si="2"/>
        <v>-22.036316743138173</v>
      </c>
      <c r="H9" s="175"/>
      <c r="AC9" s="199"/>
      <c r="AD9" s="199" t="s">
        <v>335</v>
      </c>
      <c r="AE9" s="199"/>
      <c r="AF9" s="199"/>
      <c r="AG9" s="199"/>
      <c r="AH9" s="199"/>
      <c r="AI9" s="199"/>
    </row>
    <row r="10" spans="2:35" x14ac:dyDescent="0.25">
      <c r="B10" s="174" t="str">
        <f>'Pivot Tables &amp; Chart Data'!L117</f>
        <v>Firm Gas</v>
      </c>
      <c r="C10" s="175">
        <f t="shared" si="0"/>
        <v>-200</v>
      </c>
      <c r="D10" s="54">
        <f t="shared" si="3"/>
        <v>-1</v>
      </c>
      <c r="E10" s="175">
        <f t="shared" si="1"/>
        <v>-80.707833518672004</v>
      </c>
      <c r="F10" s="54">
        <f t="shared" si="4"/>
        <v>-1</v>
      </c>
      <c r="G10" s="176">
        <f t="shared" si="2"/>
        <v>-807.0783351867201</v>
      </c>
      <c r="H10" s="175"/>
      <c r="AC10" s="199"/>
      <c r="AD10" s="199" t="s">
        <v>336</v>
      </c>
      <c r="AE10" s="199"/>
      <c r="AF10" s="199"/>
      <c r="AG10" s="199"/>
      <c r="AH10" s="199"/>
      <c r="AI10" s="199"/>
    </row>
    <row r="11" spans="2:35" x14ac:dyDescent="0.25">
      <c r="B11" s="174" t="str">
        <f>'Pivot Tables &amp; Chart Data'!L118</f>
        <v>PSE Own All Other</v>
      </c>
      <c r="C11" s="175">
        <f t="shared" si="0"/>
        <v>-356412.94700000063</v>
      </c>
      <c r="D11" s="54">
        <f t="shared" si="3"/>
        <v>-0.12305291110795095</v>
      </c>
      <c r="E11" s="175">
        <f t="shared" si="1"/>
        <v>197.69014961025354</v>
      </c>
      <c r="F11" s="54">
        <f t="shared" si="4"/>
        <v>1.1621257085346213</v>
      </c>
      <c r="G11" s="176">
        <f t="shared" si="2"/>
        <v>0.17214342474371891</v>
      </c>
      <c r="H11" s="175"/>
      <c r="AC11" s="199"/>
      <c r="AD11" s="199" t="s">
        <v>337</v>
      </c>
      <c r="AE11" s="199"/>
      <c r="AF11" s="199"/>
      <c r="AG11" s="199"/>
      <c r="AH11" s="199"/>
      <c r="AI11" s="199"/>
    </row>
    <row r="12" spans="2:35" x14ac:dyDescent="0.25">
      <c r="B12" s="177" t="str">
        <f>'Pivot Tables &amp; Chart Data'!L119</f>
        <v>Firm All Other (Renewable)</v>
      </c>
      <c r="C12" s="178">
        <f t="shared" si="0"/>
        <v>57316.00800000038</v>
      </c>
      <c r="D12" s="156">
        <f t="shared" si="3"/>
        <v>1.0797247132100431E-2</v>
      </c>
      <c r="E12" s="178">
        <f t="shared" si="1"/>
        <v>147332.86450849997</v>
      </c>
      <c r="F12" s="156">
        <f t="shared" si="4"/>
        <v>0.23801615284890376</v>
      </c>
      <c r="G12" s="179">
        <f t="shared" si="2"/>
        <v>52.425275061627929</v>
      </c>
      <c r="H12" s="175"/>
      <c r="AC12" s="199"/>
      <c r="AD12" s="199" t="s">
        <v>339</v>
      </c>
      <c r="AE12" s="199"/>
      <c r="AF12" s="199"/>
      <c r="AG12" s="199"/>
      <c r="AH12" s="199"/>
      <c r="AI12" s="199"/>
    </row>
    <row r="13" spans="2:35" x14ac:dyDescent="0.25">
      <c r="B13" s="174" t="s">
        <v>388</v>
      </c>
      <c r="C13" s="175">
        <f>(L20+L22+L24)-(Q20+Q22+Q24)</f>
        <v>-649997.62500000186</v>
      </c>
      <c r="D13" s="54">
        <f>C13/(Q20+Q22+Q24)</f>
        <v>-5.6142654325827379E-2</v>
      </c>
      <c r="E13" s="175">
        <f>(N20+N22+N24)-(S20+S22+S24)</f>
        <v>-328129.94483670127</v>
      </c>
      <c r="F13" s="54">
        <f>E13/(S20+S22+S24)</f>
        <v>-4.5943780331769227E-2</v>
      </c>
      <c r="G13" s="176">
        <f>P28-U28</f>
        <v>13.331412669394922</v>
      </c>
      <c r="AC13" s="199"/>
      <c r="AD13" s="199" t="s">
        <v>329</v>
      </c>
      <c r="AE13" s="199"/>
      <c r="AF13" s="199"/>
      <c r="AG13" s="199"/>
      <c r="AH13" s="199"/>
      <c r="AI13" s="199"/>
    </row>
    <row r="14" spans="2:35" x14ac:dyDescent="0.25">
      <c r="B14" s="174" t="s">
        <v>386</v>
      </c>
      <c r="C14" s="175">
        <f>(L21+L23+L25)-(Q21+Q23+Q25)</f>
        <v>559269.00800000038</v>
      </c>
      <c r="D14" s="54">
        <f>C14/(Q21+Q23+Q25)</f>
        <v>8.1319880272048284E-2</v>
      </c>
      <c r="E14" s="175">
        <f>(N21+N23+N25)-(S21+S23+S25)</f>
        <v>705178.267394925</v>
      </c>
      <c r="F14" s="54">
        <f>E14/(S21+S23+S25)</f>
        <v>0.28090951221466592</v>
      </c>
      <c r="G14" s="176">
        <f>P29-U29</f>
        <v>134.74797156871637</v>
      </c>
      <c r="AC14" s="199"/>
      <c r="AD14" s="199"/>
    </row>
    <row r="15" spans="2:35" x14ac:dyDescent="0.25">
      <c r="B15" s="177" t="str">
        <f>'Pivot Tables &amp; Chart Data'!L120</f>
        <v>Unspecified</v>
      </c>
      <c r="C15" s="178">
        <f>L26-Q26</f>
        <v>-1631805.834999999</v>
      </c>
      <c r="D15" s="156">
        <f>C15/Q26</f>
        <v>-0.39168396651806486</v>
      </c>
      <c r="E15" s="178">
        <f>N26-S26</f>
        <v>-348944.79082619608</v>
      </c>
      <c r="F15" s="156">
        <f>E15/S26</f>
        <v>-0.22693919808692542</v>
      </c>
      <c r="G15" s="179">
        <f>P26-U26</f>
        <v>199.90648384417113</v>
      </c>
      <c r="H15" s="175"/>
      <c r="K15" s="168" t="s">
        <v>371</v>
      </c>
      <c r="L15" s="168"/>
      <c r="AC15" s="199"/>
      <c r="AD15" s="199"/>
    </row>
    <row r="16" spans="2:35" x14ac:dyDescent="0.25">
      <c r="E16" s="200"/>
      <c r="K16" s="170"/>
      <c r="L16" s="188">
        <v>2017</v>
      </c>
      <c r="M16" s="188"/>
      <c r="N16" s="188"/>
      <c r="O16" s="188"/>
      <c r="P16" s="188"/>
      <c r="Q16" s="187">
        <v>2016</v>
      </c>
      <c r="R16" s="188"/>
      <c r="S16" s="188"/>
      <c r="T16" s="188"/>
      <c r="U16" s="189"/>
      <c r="AC16" s="199"/>
      <c r="AD16" s="216"/>
    </row>
    <row r="17" spans="2:30" x14ac:dyDescent="0.25">
      <c r="K17" s="157"/>
      <c r="L17" s="138" t="s">
        <v>326</v>
      </c>
      <c r="M17" s="139"/>
      <c r="N17" s="138" t="s">
        <v>277</v>
      </c>
      <c r="O17" s="139"/>
      <c r="P17" s="138" t="s">
        <v>328</v>
      </c>
      <c r="Q17" s="137" t="s">
        <v>326</v>
      </c>
      <c r="R17" s="139"/>
      <c r="S17" s="138" t="s">
        <v>277</v>
      </c>
      <c r="T17" s="139"/>
      <c r="U17" s="139" t="s">
        <v>328</v>
      </c>
      <c r="AC17" s="199"/>
      <c r="AD17" s="136" t="s">
        <v>372</v>
      </c>
    </row>
    <row r="18" spans="2:30" x14ac:dyDescent="0.25">
      <c r="K18" s="193" t="s">
        <v>248</v>
      </c>
      <c r="L18" s="138" t="s">
        <v>214</v>
      </c>
      <c r="M18" s="139" t="s">
        <v>278</v>
      </c>
      <c r="N18" s="138" t="s">
        <v>327</v>
      </c>
      <c r="O18" s="139" t="s">
        <v>278</v>
      </c>
      <c r="P18" s="138" t="s">
        <v>311</v>
      </c>
      <c r="Q18" s="137" t="s">
        <v>214</v>
      </c>
      <c r="R18" s="139" t="s">
        <v>278</v>
      </c>
      <c r="S18" s="138" t="s">
        <v>327</v>
      </c>
      <c r="T18" s="139" t="s">
        <v>278</v>
      </c>
      <c r="U18" s="139" t="s">
        <v>311</v>
      </c>
      <c r="W18" s="169" t="s">
        <v>387</v>
      </c>
      <c r="AC18" s="199"/>
      <c r="AD18" s="136"/>
    </row>
    <row r="19" spans="2:30" x14ac:dyDescent="0.25">
      <c r="B19" s="201" t="s">
        <v>319</v>
      </c>
      <c r="C19" s="202">
        <f>C15</f>
        <v>-1631805.834999999</v>
      </c>
      <c r="D19" s="121">
        <f>D15</f>
        <v>-0.39168396651806486</v>
      </c>
      <c r="E19" s="202">
        <f t="shared" ref="E19:F19" si="5">E15</f>
        <v>-348944.79082619608</v>
      </c>
      <c r="F19" s="121">
        <f t="shared" si="5"/>
        <v>-0.22693919808692542</v>
      </c>
      <c r="K19" s="191" t="str">
        <f t="shared" ref="K19:K25" si="6">B6</f>
        <v>Total</v>
      </c>
      <c r="L19" s="195">
        <f>'Pivot Tables &amp; Chart Data'!X121</f>
        <v>20898597.826000001</v>
      </c>
      <c r="M19" s="197"/>
      <c r="N19" s="181">
        <f>'Pivot Tables &amp; Chart Data'!X109</f>
        <v>11218045.055427425</v>
      </c>
      <c r="O19" s="197"/>
      <c r="P19" s="181">
        <f>N19*2000/L19</f>
        <v>1073.5691598860308</v>
      </c>
      <c r="Q19" s="195">
        <f>'Pivot Tables &amp; Chart Data'!W121</f>
        <v>22621132.277999997</v>
      </c>
      <c r="R19" s="197"/>
      <c r="S19" s="181">
        <f>'Pivot Tables &amp; Chart Data'!W109</f>
        <v>11189941.5236954</v>
      </c>
      <c r="T19" s="197"/>
      <c r="U19" s="183">
        <f>S19*2000/Q19</f>
        <v>989.33522744819356</v>
      </c>
      <c r="W19" s="118">
        <f>Y19/U19</f>
        <v>8.5141951990431994E-2</v>
      </c>
      <c r="X19" s="120">
        <f>U19+Y19</f>
        <v>1073.5691598860308</v>
      </c>
      <c r="Y19" s="203">
        <f>P19-U19</f>
        <v>84.233932437837211</v>
      </c>
      <c r="AC19" s="199"/>
      <c r="AD19" s="199" t="s">
        <v>374</v>
      </c>
    </row>
    <row r="20" spans="2:30" x14ac:dyDescent="0.25">
      <c r="C20" s="200">
        <f>SUM(C13:C19)</f>
        <v>-3354340.2869999995</v>
      </c>
      <c r="E20" s="200">
        <f>SUM(E13:E19)</f>
        <v>-320841.25909416843</v>
      </c>
      <c r="K20" s="190" t="str">
        <f t="shared" si="6"/>
        <v>PSE Owned Coal</v>
      </c>
      <c r="L20" s="180">
        <f>'Pivot Tables &amp; Chart Data'!X114</f>
        <v>4463705</v>
      </c>
      <c r="M20" s="55">
        <f t="shared" ref="M20:M31" si="7">L20/$L$19</f>
        <v>0.21358873151033572</v>
      </c>
      <c r="N20" s="180">
        <f>'Pivot Tables &amp; Chart Data'!X101</f>
        <v>4907711.8175352756</v>
      </c>
      <c r="O20" s="55">
        <f t="shared" ref="O20:O31" si="8">N20/$N$19</f>
        <v>0.43748369642720109</v>
      </c>
      <c r="P20" s="180">
        <f>N20*2000/L20</f>
        <v>2198.9409324923022</v>
      </c>
      <c r="Q20" s="194">
        <f>'Pivot Tables &amp; Chart Data'!W114</f>
        <v>4529179</v>
      </c>
      <c r="R20" s="55">
        <f t="shared" ref="R20:R31" si="9">Q20/$Q$19</f>
        <v>0.20021893441668334</v>
      </c>
      <c r="S20" s="180">
        <f>'Pivot Tables &amp; Chart Data'!W101</f>
        <v>5079502</v>
      </c>
      <c r="T20" s="55">
        <f t="shared" ref="T20:T28" si="10">S20/$S$19</f>
        <v>0.45393463310275906</v>
      </c>
      <c r="U20" s="182">
        <f>S20*2000/Q20</f>
        <v>2243.0122545388467</v>
      </c>
      <c r="AC20" s="199"/>
      <c r="AD20" s="199" t="s">
        <v>377</v>
      </c>
    </row>
    <row r="21" spans="2:30" x14ac:dyDescent="0.25">
      <c r="K21" s="190" t="str">
        <f t="shared" si="6"/>
        <v>Firm Coal</v>
      </c>
      <c r="L21" s="180">
        <f>'Pivot Tables &amp; Chart Data'!X115</f>
        <v>2070958</v>
      </c>
      <c r="M21" s="55">
        <f t="shared" si="7"/>
        <v>9.9095547808643686E-2</v>
      </c>
      <c r="N21" s="180">
        <f>'Pivot Tables &amp; Chart Data'!X102</f>
        <v>2449181.3466417422</v>
      </c>
      <c r="O21" s="55">
        <f t="shared" si="8"/>
        <v>0.21832514796834399</v>
      </c>
      <c r="P21" s="180">
        <f t="shared" ref="P21:P27" si="11">N21*2000/L21</f>
        <v>2365.2641402111894</v>
      </c>
      <c r="Q21" s="194">
        <f>'Pivot Tables &amp; Chart Data'!W115</f>
        <v>1568805</v>
      </c>
      <c r="R21" s="55">
        <f t="shared" si="9"/>
        <v>6.9351303052399768E-2</v>
      </c>
      <c r="S21" s="180">
        <f>'Pivot Tables &amp; Chart Data'!W102</f>
        <v>1891255.235921798</v>
      </c>
      <c r="T21" s="55">
        <f t="shared" si="10"/>
        <v>0.1690138623081226</v>
      </c>
      <c r="U21" s="182">
        <f t="shared" ref="U21:U27" si="12">S21*2000/Q21</f>
        <v>2411.0775219632751</v>
      </c>
      <c r="AC21" s="199"/>
      <c r="AD21" s="199" t="s">
        <v>380</v>
      </c>
    </row>
    <row r="22" spans="2:30" x14ac:dyDescent="0.25">
      <c r="K22" s="190" t="str">
        <f t="shared" si="6"/>
        <v>PSE Owned Gas</v>
      </c>
      <c r="L22" s="180">
        <f>'Pivot Tables &amp; Chart Data'!X116</f>
        <v>3923897.7079999992</v>
      </c>
      <c r="M22" s="55">
        <f t="shared" si="7"/>
        <v>0.18775889849979635</v>
      </c>
      <c r="N22" s="180">
        <f>'Pivot Tables &amp; Chart Data'!X103</f>
        <v>1905778.8073912996</v>
      </c>
      <c r="O22" s="55">
        <f t="shared" si="8"/>
        <v>0.16988510903415038</v>
      </c>
      <c r="P22" s="180">
        <f t="shared" si="11"/>
        <v>971.37027986525698</v>
      </c>
      <c r="Q22" s="194">
        <f>'Pivot Tables &amp; Chart Data'!W116</f>
        <v>4152008.3859999999</v>
      </c>
      <c r="R22" s="55">
        <f t="shared" si="9"/>
        <v>0.18354555974362091</v>
      </c>
      <c r="S22" s="180">
        <f>'Pivot Tables &amp; Chart Data'!W103</f>
        <v>2062316.2599128878</v>
      </c>
      <c r="T22" s="55">
        <f t="shared" si="10"/>
        <v>0.18430089697482371</v>
      </c>
      <c r="U22" s="182">
        <f t="shared" si="12"/>
        <v>993.40659660839515</v>
      </c>
      <c r="AC22" s="199"/>
      <c r="AD22" s="217" t="s">
        <v>378</v>
      </c>
    </row>
    <row r="23" spans="2:30" x14ac:dyDescent="0.25">
      <c r="K23" s="190" t="str">
        <f t="shared" si="6"/>
        <v>Firm Gas</v>
      </c>
      <c r="L23" s="180">
        <f>'Pivot Tables &amp; Chart Data'!X117</f>
        <v>0</v>
      </c>
      <c r="M23" s="55">
        <f t="shared" si="7"/>
        <v>0</v>
      </c>
      <c r="N23" s="180">
        <f>'Pivot Tables &amp; Chart Data'!X104</f>
        <v>0</v>
      </c>
      <c r="O23" s="55">
        <f t="shared" si="8"/>
        <v>0</v>
      </c>
      <c r="P23" s="180">
        <v>0</v>
      </c>
      <c r="Q23" s="194">
        <f>'Pivot Tables &amp; Chart Data'!W117</f>
        <v>200</v>
      </c>
      <c r="R23" s="55">
        <f t="shared" si="9"/>
        <v>8.8412904156220508E-6</v>
      </c>
      <c r="S23" s="180">
        <f>'Pivot Tables &amp; Chart Data'!W104</f>
        <v>80.707833518672004</v>
      </c>
      <c r="T23" s="55">
        <f t="shared" si="10"/>
        <v>7.212533984004128E-6</v>
      </c>
      <c r="U23" s="182">
        <f t="shared" si="12"/>
        <v>807.0783351867201</v>
      </c>
      <c r="AC23" s="199"/>
      <c r="AD23" s="199" t="s">
        <v>381</v>
      </c>
    </row>
    <row r="24" spans="2:30" x14ac:dyDescent="0.25">
      <c r="K24" s="190" t="str">
        <f t="shared" si="6"/>
        <v>PSE Own All Other</v>
      </c>
      <c r="L24" s="180">
        <f>'Pivot Tables &amp; Chart Data'!X118</f>
        <v>2540007.3309999998</v>
      </c>
      <c r="M24" s="55">
        <f t="shared" si="7"/>
        <v>0.12153960529543134</v>
      </c>
      <c r="N24" s="180">
        <f>'Pivot Tables &amp; Chart Data'!X105</f>
        <v>367.80096306048716</v>
      </c>
      <c r="O24" s="55">
        <f t="shared" si="8"/>
        <v>3.2786547142858961E-5</v>
      </c>
      <c r="P24" s="180">
        <f t="shared" si="11"/>
        <v>0.28960622166053679</v>
      </c>
      <c r="Q24" s="194">
        <f>'Pivot Tables &amp; Chart Data'!W118</f>
        <v>2896420.2780000004</v>
      </c>
      <c r="R24" s="55">
        <f t="shared" si="9"/>
        <v>0.12804046421747381</v>
      </c>
      <c r="S24" s="180">
        <f>'Pivot Tables &amp; Chart Data'!W105</f>
        <v>170.11081345023362</v>
      </c>
      <c r="T24" s="55">
        <f t="shared" si="10"/>
        <v>1.5202118178188274E-5</v>
      </c>
      <c r="U24" s="182">
        <f t="shared" si="12"/>
        <v>0.11746279691681789</v>
      </c>
      <c r="AC24" s="199"/>
      <c r="AD24" s="199" t="s">
        <v>379</v>
      </c>
    </row>
    <row r="25" spans="2:30" x14ac:dyDescent="0.25">
      <c r="K25" s="190" t="str">
        <f t="shared" si="6"/>
        <v>Firm All Other (Renewable)</v>
      </c>
      <c r="L25" s="180">
        <f>'Pivot Tables &amp; Chart Data'!X119</f>
        <v>5365706.8689999999</v>
      </c>
      <c r="M25" s="55">
        <f t="shared" si="7"/>
        <v>0.25674961132198593</v>
      </c>
      <c r="N25" s="180">
        <f>'Pivot Tables &amp; Chart Data'!X106</f>
        <v>766336.50247599999</v>
      </c>
      <c r="O25" s="55">
        <f t="shared" si="8"/>
        <v>6.8312838706708276E-2</v>
      </c>
      <c r="P25" s="180">
        <f t="shared" si="11"/>
        <v>285.6423286569962</v>
      </c>
      <c r="Q25" s="194">
        <f>'Pivot Tables &amp; Chart Data'!W119</f>
        <v>5308390.8609999996</v>
      </c>
      <c r="R25" s="55">
        <f t="shared" si="9"/>
        <v>0.23466512620867494</v>
      </c>
      <c r="S25" s="180">
        <f>'Pivot Tables &amp; Chart Data'!W106</f>
        <v>619003.63796750002</v>
      </c>
      <c r="T25" s="55">
        <f t="shared" si="10"/>
        <v>5.5317861729368395E-2</v>
      </c>
      <c r="U25" s="182">
        <f t="shared" si="12"/>
        <v>233.21705359536827</v>
      </c>
      <c r="AC25" s="199"/>
      <c r="AD25" s="199" t="s">
        <v>382</v>
      </c>
    </row>
    <row r="26" spans="2:30" x14ac:dyDescent="0.25">
      <c r="K26" s="190" t="str">
        <f>B15</f>
        <v>Unspecified</v>
      </c>
      <c r="L26" s="180">
        <f>'Pivot Tables &amp; Chart Data'!X120</f>
        <v>2534322.9180000001</v>
      </c>
      <c r="M26" s="55">
        <f t="shared" si="7"/>
        <v>0.12126760556380688</v>
      </c>
      <c r="N26" s="180">
        <f>'Pivot Tables &amp; Chart Data'!X107</f>
        <v>1188668.7804200475</v>
      </c>
      <c r="O26" s="55">
        <f t="shared" si="8"/>
        <v>0.10596042131645346</v>
      </c>
      <c r="P26" s="180">
        <f t="shared" si="11"/>
        <v>938.05629265121729</v>
      </c>
      <c r="Q26" s="194">
        <f>'Pivot Tables &amp; Chart Data'!W120</f>
        <v>4166128.7529999991</v>
      </c>
      <c r="R26" s="55">
        <f t="shared" si="9"/>
        <v>0.18416977107073171</v>
      </c>
      <c r="S26" s="180">
        <f>'Pivot Tables &amp; Chart Data'!W107</f>
        <v>1537613.5712462435</v>
      </c>
      <c r="T26" s="55">
        <f t="shared" si="10"/>
        <v>0.13741033123276389</v>
      </c>
      <c r="U26" s="182">
        <f t="shared" si="12"/>
        <v>738.14980880704616</v>
      </c>
      <c r="W26" s="118"/>
      <c r="AC26" s="199"/>
      <c r="AD26" s="199"/>
    </row>
    <row r="27" spans="2:30" x14ac:dyDescent="0.25">
      <c r="K27" s="191" t="s">
        <v>424</v>
      </c>
      <c r="L27" s="181">
        <f>L28+L29</f>
        <v>18364274.908</v>
      </c>
      <c r="M27" s="155"/>
      <c r="N27" s="181">
        <f>N28+N29</f>
        <v>10029376.275007378</v>
      </c>
      <c r="O27" s="155"/>
      <c r="P27" s="181">
        <f t="shared" si="11"/>
        <v>1092.2703265173075</v>
      </c>
      <c r="Q27" s="195">
        <f>Q28+Q29</f>
        <v>18455003.524999999</v>
      </c>
      <c r="R27" s="155"/>
      <c r="S27" s="181">
        <f>S28+S29</f>
        <v>9652327.9524491541</v>
      </c>
      <c r="T27" s="155"/>
      <c r="U27" s="183">
        <f t="shared" si="12"/>
        <v>1046.0391339805128</v>
      </c>
      <c r="W27" s="118"/>
      <c r="AC27" s="199"/>
      <c r="AD27" s="199"/>
    </row>
    <row r="28" spans="2:30" x14ac:dyDescent="0.25">
      <c r="K28" s="190" t="s">
        <v>347</v>
      </c>
      <c r="L28" s="180">
        <f>L20+L22+L24</f>
        <v>10927610.038999999</v>
      </c>
      <c r="M28" s="55">
        <f t="shared" si="7"/>
        <v>0.52288723530556347</v>
      </c>
      <c r="N28" s="180">
        <f>N20+N22+N24</f>
        <v>6813858.4258896364</v>
      </c>
      <c r="O28" s="55">
        <f t="shared" si="8"/>
        <v>0.60740159200849442</v>
      </c>
      <c r="P28" s="180">
        <f>(N28*2000)/L28</f>
        <v>1247.0903338555045</v>
      </c>
      <c r="Q28" s="194">
        <f>Q20+Q22+Q24</f>
        <v>11577607.664000001</v>
      </c>
      <c r="R28" s="55">
        <f t="shared" si="9"/>
        <v>0.51180495837777806</v>
      </c>
      <c r="S28" s="180">
        <f>S20+S22+S24</f>
        <v>7141988.3707263377</v>
      </c>
      <c r="T28" s="55">
        <f t="shared" si="10"/>
        <v>0.63825073219576089</v>
      </c>
      <c r="U28" s="182">
        <f>(S28*2000)/Q28</f>
        <v>1233.7589211861095</v>
      </c>
      <c r="W28" s="118">
        <f>Y28/U28</f>
        <v>1.0805524839956891E-2</v>
      </c>
      <c r="X28" s="120">
        <f>U28+Y28</f>
        <v>1247.0903338555045</v>
      </c>
      <c r="Y28" s="203">
        <f>P28-U28</f>
        <v>13.331412669394922</v>
      </c>
      <c r="AC28" s="199"/>
      <c r="AD28" s="217" t="s">
        <v>383</v>
      </c>
    </row>
    <row r="29" spans="2:30" x14ac:dyDescent="0.25">
      <c r="K29" s="190" t="s">
        <v>348</v>
      </c>
      <c r="L29" s="180">
        <f>L21+L23+L25</f>
        <v>7436664.8689999999</v>
      </c>
      <c r="M29" s="55">
        <f t="shared" si="7"/>
        <v>0.35584515913062958</v>
      </c>
      <c r="N29" s="180">
        <f>N21+N23+N25</f>
        <v>3215517.8491177419</v>
      </c>
      <c r="O29" s="55">
        <f t="shared" si="8"/>
        <v>0.28663798667505225</v>
      </c>
      <c r="P29" s="180">
        <f t="shared" ref="P29:P31" si="13">(N29*2000)/L29</f>
        <v>864.77417115345395</v>
      </c>
      <c r="Q29" s="194">
        <f>Q21+Q23+Q25</f>
        <v>6877395.8609999996</v>
      </c>
      <c r="R29" s="55">
        <f t="shared" si="9"/>
        <v>0.30402527055149031</v>
      </c>
      <c r="S29" s="180">
        <f>S21+S23+S25</f>
        <v>2510339.5817228169</v>
      </c>
      <c r="T29" s="55">
        <f>S29/S$19</f>
        <v>0.22433893657147502</v>
      </c>
      <c r="U29" s="182">
        <f t="shared" ref="U29:U31" si="14">(S29*2000)/Q29</f>
        <v>730.02619958473758</v>
      </c>
      <c r="W29" s="118">
        <f t="shared" ref="W29:W31" si="15">Y29/U29</f>
        <v>0.18457963788883927</v>
      </c>
      <c r="X29" s="120">
        <f t="shared" ref="X29:X31" si="16">U29+Y29</f>
        <v>864.77417115345395</v>
      </c>
      <c r="Y29" s="203">
        <f t="shared" ref="Y29:Y31" si="17">P29-U29</f>
        <v>134.74797156871637</v>
      </c>
    </row>
    <row r="30" spans="2:30" x14ac:dyDescent="0.25">
      <c r="K30" s="190" t="s">
        <v>319</v>
      </c>
      <c r="L30" s="180">
        <f>L26</f>
        <v>2534322.9180000001</v>
      </c>
      <c r="M30" s="55">
        <f t="shared" si="7"/>
        <v>0.12126760556380688</v>
      </c>
      <c r="N30" s="180">
        <f>N26</f>
        <v>1188668.7804200475</v>
      </c>
      <c r="O30" s="55">
        <f t="shared" si="8"/>
        <v>0.10596042131645346</v>
      </c>
      <c r="P30" s="180">
        <f t="shared" si="13"/>
        <v>938.05629265121729</v>
      </c>
      <c r="Q30" s="194">
        <f>Q26</f>
        <v>4166128.7529999991</v>
      </c>
      <c r="R30" s="55">
        <f t="shared" si="9"/>
        <v>0.18416977107073171</v>
      </c>
      <c r="S30" s="180">
        <f>S26</f>
        <v>1537613.5712462435</v>
      </c>
      <c r="T30" s="55">
        <f>S30/$S$19</f>
        <v>0.13741033123276389</v>
      </c>
      <c r="U30" s="182">
        <f t="shared" si="14"/>
        <v>738.14980880704616</v>
      </c>
      <c r="W30" s="118">
        <f t="shared" si="15"/>
        <v>0.27082101960745353</v>
      </c>
      <c r="X30" s="120">
        <f t="shared" si="16"/>
        <v>938.05629265121729</v>
      </c>
      <c r="Y30" s="203">
        <f t="shared" si="17"/>
        <v>199.90648384417113</v>
      </c>
    </row>
    <row r="31" spans="2:30" ht="30" x14ac:dyDescent="0.25">
      <c r="K31" s="192" t="s">
        <v>349</v>
      </c>
      <c r="L31" s="184">
        <f>SUM(L28:L30)</f>
        <v>20898597.826000001</v>
      </c>
      <c r="M31" s="185">
        <f t="shared" si="7"/>
        <v>1</v>
      </c>
      <c r="N31" s="184">
        <f>SUM(N28:N30)</f>
        <v>11218045.055427426</v>
      </c>
      <c r="O31" s="185">
        <f t="shared" si="8"/>
        <v>1.0000000000000002</v>
      </c>
      <c r="P31" s="184">
        <f t="shared" si="13"/>
        <v>1073.569159886031</v>
      </c>
      <c r="Q31" s="196">
        <f>SUM(Q28:Q30)</f>
        <v>22621132.277999997</v>
      </c>
      <c r="R31" s="185">
        <f t="shared" si="9"/>
        <v>1</v>
      </c>
      <c r="S31" s="184">
        <f>SUM(S28:S30)</f>
        <v>11189941.523695398</v>
      </c>
      <c r="T31" s="185">
        <f>S31/$S$19</f>
        <v>0.99999999999999989</v>
      </c>
      <c r="U31" s="186">
        <f t="shared" si="14"/>
        <v>989.33522744819345</v>
      </c>
      <c r="W31" s="118">
        <f t="shared" si="15"/>
        <v>8.5141951990432341E-2</v>
      </c>
      <c r="X31" s="120">
        <f t="shared" si="16"/>
        <v>1073.569159886031</v>
      </c>
      <c r="Y31" s="203">
        <f t="shared" si="17"/>
        <v>84.233932437837552</v>
      </c>
    </row>
    <row r="33" spans="12:19" x14ac:dyDescent="0.25">
      <c r="L33" s="200"/>
      <c r="N33" s="200"/>
      <c r="O33" s="235"/>
      <c r="Q33" s="200"/>
      <c r="S33" s="200"/>
    </row>
    <row r="35" spans="12:19" x14ac:dyDescent="0.25">
      <c r="Q35" s="200"/>
    </row>
  </sheetData>
  <mergeCells count="1">
    <mergeCell ref="C3:G3"/>
  </mergeCells>
  <pageMargins left="0.7" right="0.7" top="0.75" bottom="0.75" header="0.3" footer="0.3"/>
  <pageSetup paperSize="5" orientation="landscape" r:id="rId1"/>
  <ignoredErrors>
    <ignoredError sqref="D6:W32"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64C017C3EC0604BB7924903D5DD4A34" ma:contentTypeVersion="68" ma:contentTypeDescription="" ma:contentTypeScope="" ma:versionID="7541b981ec79968da96fa7e810d6d24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2018-06-01T07:00:00+00:00</OpenedDate>
    <SignificantOrder xmlns="dc463f71-b30c-4ab2-9473-d307f9d35888">false</SignificantOrder>
    <Date1 xmlns="dc463f71-b30c-4ab2-9473-d307f9d35888">2018-06-01T07:00:00+00:00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180526</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FA028882-A0A6-42F4-8DDD-3C77AE5C7CFD}"/>
</file>

<file path=customXml/itemProps2.xml><?xml version="1.0" encoding="utf-8"?>
<ds:datastoreItem xmlns:ds="http://schemas.openxmlformats.org/officeDocument/2006/customXml" ds:itemID="{51CE1EB5-6598-4E37-980A-A5B0959AF462}"/>
</file>

<file path=customXml/itemProps3.xml><?xml version="1.0" encoding="utf-8"?>
<ds:datastoreItem xmlns:ds="http://schemas.openxmlformats.org/officeDocument/2006/customXml" ds:itemID="{CF908904-8859-4202-A523-487A0A79C198}"/>
</file>

<file path=customXml/itemProps4.xml><?xml version="1.0" encoding="utf-8"?>
<ds:datastoreItem xmlns:ds="http://schemas.openxmlformats.org/officeDocument/2006/customXml" ds:itemID="{7C8ABBF6-DE76-4C13-9F75-3CD0FFF6EE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9</vt:i4>
      </vt:variant>
      <vt:variant>
        <vt:lpstr>Named Ranges</vt:lpstr>
      </vt:variant>
      <vt:variant>
        <vt:i4>4</vt:i4>
      </vt:variant>
    </vt:vector>
  </HeadingPairs>
  <TitlesOfParts>
    <vt:vector size="17" baseType="lpstr">
      <vt:lpstr>Pivot Tables &amp; Chart Data</vt:lpstr>
      <vt:lpstr>2005-2017 Working data</vt:lpstr>
      <vt:lpstr>Emission Rates Net-by-Count</vt:lpstr>
      <vt:lpstr>Year to Year Comparison</vt:lpstr>
      <vt:lpstr>Chart Emissions - Short Ton</vt:lpstr>
      <vt:lpstr>Chart Generation MWh</vt:lpstr>
      <vt:lpstr>Chart Emissions Metric Tons</vt:lpstr>
      <vt:lpstr>Chart Gen % with % labels</vt:lpstr>
      <vt:lpstr>Chart Gen % with MWh labels</vt:lpstr>
      <vt:lpstr>Chart Emissions %</vt:lpstr>
      <vt:lpstr>Chart Emissions % Metric Tons</vt:lpstr>
      <vt:lpstr>Chart Metric tons with Pop</vt:lpstr>
      <vt:lpstr>Chart Metric tons with aMW</vt:lpstr>
      <vt:lpstr>'2005-2017 Working data'!Print_Area</vt:lpstr>
      <vt:lpstr>'Pivot Tables &amp; Chart Data'!Print_Area</vt:lpstr>
      <vt:lpstr>'Year to Year Comparison'!Print_Area</vt:lpstr>
      <vt:lpstr>'2005-2017 Working data'!Print_Titles</vt:lpstr>
    </vt:vector>
  </TitlesOfParts>
  <Company>Puget Sound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Puget Sound Energy</dc:creator>
  <cp:lastModifiedBy>Puget Sound Energy</cp:lastModifiedBy>
  <cp:lastPrinted>2018-05-03T21:42:54Z</cp:lastPrinted>
  <dcterms:created xsi:type="dcterms:W3CDTF">2016-03-30T23:36:55Z</dcterms:created>
  <dcterms:modified xsi:type="dcterms:W3CDTF">2018-05-29T18:41:24Z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0x0101006E56B4D1795A2E4DB2F0B01679ED314A00664C017C3EC0604BB7924903D5DD4A34</vt:lpwstr>
  </property>
  <property fmtid="{D5CDD505-2E9C-101B-9397-08002B2CF9AE}" pid="3" name="_docset_NoMedatataSyncRequired">
    <vt:lpwstr>False</vt:lpwstr>
  </property>
  <property fmtid="{D5CDD505-2E9C-101B-9397-08002B2CF9AE}" pid="4" name="IsEFSEC">
    <vt:bool>false</vt:bool>
  </property>
</Properties>
</file>